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aPastaDeTrabalho" defaultThemeVersion="124226"/>
  <mc:AlternateContent xmlns:mc="http://schemas.openxmlformats.org/markup-compatibility/2006">
    <mc:Choice Requires="x15">
      <x15ac:absPath xmlns:x15ac="http://schemas.microsoft.com/office/spreadsheetml/2010/11/ac" url="C:\Users\Administrador\Downloads\ITPEES\ITPEES_2\OBRAS\"/>
    </mc:Choice>
  </mc:AlternateContent>
  <xr:revisionPtr revIDLastSave="0" documentId="8_{20B856B3-011D-4CAF-A1C9-8C19C2F79DD6}" xr6:coauthVersionLast="47" xr6:coauthVersionMax="47" xr10:uidLastSave="{00000000-0000-0000-0000-000000000000}"/>
  <bookViews>
    <workbookView xWindow="28680" yWindow="-120" windowWidth="29040" windowHeight="15720" tabRatio="843" firstSheet="92" activeTab="92" xr2:uid="{00000000-000D-0000-FFFF-FFFF00000000}"/>
  </bookViews>
  <sheets>
    <sheet name="1.1.1.1" sheetId="237" state="hidden" r:id="rId1"/>
    <sheet name="1.1.2.1" sheetId="351" state="hidden" r:id="rId2"/>
    <sheet name="1.1.2.5" sheetId="355" state="hidden" r:id="rId3"/>
    <sheet name="1.1.2.6" sheetId="356" state="hidden" r:id="rId4"/>
    <sheet name="1.1.2.8" sheetId="358" state="hidden" r:id="rId5"/>
    <sheet name="1.1.2.9" sheetId="359" state="hidden" r:id="rId6"/>
    <sheet name="2.4.3.1" sheetId="368" state="hidden" r:id="rId7"/>
    <sheet name="1.1.2.10" sheetId="482" state="hidden" r:id="rId8"/>
    <sheet name="1.1.2.11" sheetId="483" state="hidden" r:id="rId9"/>
    <sheet name="1.1.2.12" sheetId="484" state="hidden" r:id="rId10"/>
    <sheet name="1.1.3.1" sheetId="397" state="hidden" r:id="rId11"/>
    <sheet name="1.1.3.2" sheetId="398" state="hidden" r:id="rId12"/>
    <sheet name="1.1.3.3" sheetId="399" state="hidden" r:id="rId13"/>
    <sheet name="1.1.3.4" sheetId="400" state="hidden" r:id="rId14"/>
    <sheet name="1.1.3.5" sheetId="401" state="hidden" r:id="rId15"/>
    <sheet name="1.1.3.8" sheetId="476" state="hidden" r:id="rId16"/>
    <sheet name="1.1.3.9" sheetId="477" state="hidden" r:id="rId17"/>
    <sheet name="1.1.3.6" sheetId="402" state="hidden" r:id="rId18"/>
    <sheet name="3.1.2.1" sheetId="386" state="hidden" r:id="rId19"/>
    <sheet name="3.1.1.1" sheetId="376" state="hidden" r:id="rId20"/>
    <sheet name="2.1.1.1" sheetId="430" state="hidden" r:id="rId21"/>
    <sheet name="2.4.1.5" sheetId="438" state="hidden" r:id="rId22"/>
    <sheet name="2.4.1.12" sheetId="503" state="hidden" r:id="rId23"/>
    <sheet name="3.3.10.2" sheetId="494" state="hidden" r:id="rId24"/>
    <sheet name="3.3.10.3" sheetId="495" state="hidden" r:id="rId25"/>
    <sheet name="3.3.10.4" sheetId="496" state="hidden" r:id="rId26"/>
    <sheet name="3.3.10.5" sheetId="497" state="hidden" r:id="rId27"/>
    <sheet name="2.3.1.1" sheetId="493" state="hidden" r:id="rId28"/>
    <sheet name="1.1.2.2" sheetId="352" state="hidden" r:id="rId29"/>
    <sheet name="1.1.2.3" sheetId="353" state="hidden" r:id="rId30"/>
    <sheet name="1.1.2.4" sheetId="354" state="hidden" r:id="rId31"/>
    <sheet name="2.3.2.3" sheetId="525" state="hidden" r:id="rId32"/>
    <sheet name="2.3.2.4" sheetId="526" state="hidden" r:id="rId33"/>
    <sheet name="2.3.2.5" sheetId="527" state="hidden" r:id="rId34"/>
    <sheet name="2.4.3.2" sheetId="522" state="hidden" r:id="rId35"/>
    <sheet name="1.1.2.7" sheetId="357" state="hidden" r:id="rId36"/>
    <sheet name="1.2.1.1" sheetId="360" state="hidden" r:id="rId37"/>
    <sheet name="3.3.10.10" sheetId="469" state="hidden" r:id="rId38"/>
    <sheet name="3.4.1.1" sheetId="377" state="hidden" r:id="rId39"/>
    <sheet name="2.3.2.1" sheetId="385" state="hidden" r:id="rId40"/>
    <sheet name="3.3.2.1" sheetId="364" state="hidden" r:id="rId41"/>
    <sheet name="REPLANILHAMENTO" sheetId="472" state="hidden" r:id="rId42"/>
    <sheet name="7 medicao" sheetId="474" state="hidden" r:id="rId43"/>
    <sheet name="2.4.1.1" sheetId="435" state="hidden" r:id="rId44"/>
    <sheet name="2.4.1.2 " sheetId="436" state="hidden" r:id="rId45"/>
    <sheet name="2.4.1.3 " sheetId="437" state="hidden" r:id="rId46"/>
    <sheet name="3.4.1.3" sheetId="374" state="hidden" r:id="rId47"/>
    <sheet name="2.4.1.4" sheetId="463" state="hidden" r:id="rId48"/>
    <sheet name="2.4.3.1 " sheetId="439" state="hidden" r:id="rId49"/>
    <sheet name="3,3.6.5" sheetId="440" state="hidden" r:id="rId50"/>
    <sheet name="3.3.7." sheetId="441" state="hidden" r:id="rId51"/>
    <sheet name="5.4.3.1" sheetId="362" state="hidden" r:id="rId52"/>
    <sheet name="3.2.1.1" sheetId="372" state="hidden" r:id="rId53"/>
    <sheet name="3.2.1.2" sheetId="373" state="hidden" r:id="rId54"/>
    <sheet name="3.4.3.1" sheetId="365" state="hidden" r:id="rId55"/>
    <sheet name="3.3.1.1" sheetId="395" state="hidden" r:id="rId56"/>
    <sheet name="3.3.2.11" sheetId="407" state="hidden" r:id="rId57"/>
    <sheet name="3.3.5.2" sheetId="409" state="hidden" r:id="rId58"/>
    <sheet name="3.3.5.3" sheetId="410" state="hidden" r:id="rId59"/>
    <sheet name="3.3.5.4" sheetId="411" state="hidden" r:id="rId60"/>
    <sheet name="3.3.5.5" sheetId="412" state="hidden" r:id="rId61"/>
    <sheet name="3.3.6.1" sheetId="421" state="hidden" r:id="rId62"/>
    <sheet name="3.3.6.2" sheetId="422" state="hidden" r:id="rId63"/>
    <sheet name="3.3.6.3" sheetId="423" state="hidden" r:id="rId64"/>
    <sheet name="3.3.6.4" sheetId="424" state="hidden" r:id="rId65"/>
    <sheet name="3.3.6.5" sheetId="427" state="hidden" r:id="rId66"/>
    <sheet name="3.3.7.1" sheetId="428" state="hidden" r:id="rId67"/>
    <sheet name="3.3.7.2" sheetId="429" state="hidden" r:id="rId68"/>
    <sheet name="3.3.7.3" sheetId="442" state="hidden" r:id="rId69"/>
    <sheet name="3.3.7.4" sheetId="443" state="hidden" r:id="rId70"/>
    <sheet name="3.4.1.5" sheetId="379" state="hidden" r:id="rId71"/>
    <sheet name="3.4.1.11" sheetId="413" state="hidden" r:id="rId72"/>
    <sheet name="3.4.1.12" sheetId="425" state="hidden" r:id="rId73"/>
    <sheet name="3.3.8.3" sheetId="450" state="hidden" r:id="rId74"/>
    <sheet name="3.3.8.5" sheetId="451" state="hidden" r:id="rId75"/>
    <sheet name="3.3.3.1" sheetId="460" state="hidden" r:id="rId76"/>
    <sheet name="2.4.1.6" sheetId="465" state="hidden" r:id="rId77"/>
    <sheet name="2.4.1.13" sheetId="486" state="hidden" r:id="rId78"/>
    <sheet name="3.1.2.2" sheetId="387" state="hidden" r:id="rId79"/>
    <sheet name="3.1.2.3" sheetId="478" state="hidden" r:id="rId80"/>
    <sheet name="3.3.1.2" sheetId="487" state="hidden" r:id="rId81"/>
    <sheet name="3.3.2.5" sheetId="403" state="hidden" r:id="rId82"/>
    <sheet name="3.3.2.6" sheetId="404" state="hidden" r:id="rId83"/>
    <sheet name="3.3.2.7" sheetId="396" state="hidden" r:id="rId84"/>
    <sheet name="3.3.2.8" sheetId="405" state="hidden" r:id="rId85"/>
    <sheet name="3.3.2.10" sheetId="406" state="hidden" r:id="rId86"/>
    <sheet name="3.3.2.12" sheetId="479" state="hidden" r:id="rId87"/>
    <sheet name="3.3.2.13" sheetId="480" state="hidden" r:id="rId88"/>
    <sheet name="3.3.4.1" sheetId="466" state="hidden" r:id="rId89"/>
    <sheet name="FEV" sheetId="568" state="hidden" r:id="rId90"/>
    <sheet name="DEZ" sheetId="75" state="hidden" r:id="rId91"/>
    <sheet name="1.1.3.7" sheetId="475" state="hidden" r:id="rId92"/>
    <sheet name="FINANCEIRO" sheetId="567" r:id="rId93"/>
    <sheet name="4.3.10.8" sheetId="575" r:id="rId94"/>
    <sheet name="4.3.10.9" sheetId="591" r:id="rId95"/>
    <sheet name="4.4.1.4" sheetId="588" r:id="rId96"/>
    <sheet name="4.4.1.7" sheetId="587" r:id="rId97"/>
    <sheet name="4.4.1.17excluir" sheetId="589" r:id="rId98"/>
    <sheet name="4.1.2.1" sheetId="582" state="hidden" r:id="rId99"/>
    <sheet name="4.3.7.3" sheetId="583" state="hidden" r:id="rId100"/>
    <sheet name="4.3.2.11" sheetId="580" state="hidden" r:id="rId101"/>
    <sheet name="4.3.3.1 " sheetId="566" state="hidden" r:id="rId102"/>
    <sheet name="4.3.6.5" sheetId="571" state="hidden" r:id="rId103"/>
    <sheet name="4.3.10.1" sheetId="572" state="hidden" r:id="rId104"/>
    <sheet name="5.4.3.16 " sheetId="584" state="hidden" r:id="rId105"/>
    <sheet name="5.4.4.1" sheetId="585" state="hidden" r:id="rId106"/>
    <sheet name="4.3.10.6" sheetId="573" state="hidden" r:id="rId107"/>
    <sheet name="4.3.10.7" sheetId="574" state="hidden" r:id="rId108"/>
    <sheet name="4.6.1.13" sheetId="581" state="hidden" r:id="rId109"/>
    <sheet name="4.6.1.14" sheetId="577" state="hidden" r:id="rId110"/>
    <sheet name="4.6.1.17" sheetId="578" state="hidden" r:id="rId111"/>
    <sheet name="4.6.2.1" sheetId="579" state="hidden" r:id="rId112"/>
    <sheet name="4.6.2.3" sheetId="576" state="hidden" r:id="rId113"/>
    <sheet name="2.3.2.2" sheetId="524" state="hidden" r:id="rId114"/>
    <sheet name="3.4.3.3" sheetId="535" state="hidden" r:id="rId115"/>
    <sheet name="3.4.3.5" sheetId="536" state="hidden" r:id="rId116"/>
    <sheet name="3.4.3.7" sheetId="537" state="hidden" r:id="rId117"/>
    <sheet name="3.4.3.12" sheetId="551" state="hidden" r:id="rId118"/>
    <sheet name="3.4.3.15" sheetId="500" state="hidden" r:id="rId119"/>
    <sheet name="3.4.3.16" sheetId="528" state="hidden" r:id="rId120"/>
    <sheet name="3.4.3.17" sheetId="529" state="hidden" r:id="rId121"/>
    <sheet name="3.4.3.14" sheetId="553" state="hidden" r:id="rId122"/>
    <sheet name="3.4.3.18" sheetId="552" state="hidden" r:id="rId123"/>
    <sheet name="2.5.1.1" sheetId="517" state="hidden" r:id="rId124"/>
    <sheet name="2.4.1.10" sheetId="559" state="hidden" r:id="rId125"/>
    <sheet name="3.4.1.10" sheetId="560" state="hidden" r:id="rId126"/>
    <sheet name="3.5.1.1" sheetId="366" state="hidden" r:id="rId127"/>
    <sheet name="3.5.1.2" sheetId="554" state="hidden" r:id="rId128"/>
    <sheet name="3.5.1.3" sheetId="555" state="hidden" r:id="rId129"/>
    <sheet name="3.6.3.19" sheetId="516" state="hidden" r:id="rId130"/>
    <sheet name="4.5.1.1" sheetId="519" state="hidden" r:id="rId131"/>
    <sheet name="3.5.1.4" sheetId="549" state="hidden" r:id="rId132"/>
    <sheet name="5.3.7.1" sheetId="530" state="hidden" r:id="rId133"/>
    <sheet name="5.3.7.2" sheetId="531" state="hidden" r:id="rId134"/>
    <sheet name="5.3.7.3" sheetId="532" state="hidden" r:id="rId135"/>
    <sheet name="5.3.8.3" sheetId="545" state="hidden" r:id="rId136"/>
    <sheet name="5.3.8.4" sheetId="546" state="hidden" r:id="rId137"/>
    <sheet name="5.3.8.5" sheetId="533" state="hidden" r:id="rId138"/>
    <sheet name="5.3.8.6" sheetId="534" state="hidden" r:id="rId139"/>
    <sheet name="5.3.9.1" sheetId="541" state="hidden" r:id="rId140"/>
    <sheet name="5.3.9.2" sheetId="542" state="hidden" r:id="rId141"/>
    <sheet name="5.3.9.3" sheetId="543" state="hidden" r:id="rId142"/>
    <sheet name="5.3.9.4" sheetId="544" state="hidden" r:id="rId143"/>
    <sheet name="5.3.10.6 " sheetId="538" state="hidden" r:id="rId144"/>
    <sheet name="5.3.10.7" sheetId="539" state="hidden" r:id="rId145"/>
    <sheet name="5.3.10.8" sheetId="540" state="hidden" r:id="rId146"/>
    <sheet name="5.3.5.1" sheetId="506" state="hidden" r:id="rId147"/>
    <sheet name="5.3.5.2" sheetId="507" state="hidden" r:id="rId148"/>
    <sheet name="5.3.5.3" sheetId="508" state="hidden" r:id="rId149"/>
    <sheet name="5.3.5.4" sheetId="509" state="hidden" r:id="rId150"/>
    <sheet name="5.3.6.1" sheetId="511" state="hidden" r:id="rId151"/>
    <sheet name="5.3.5.5" sheetId="510" state="hidden" r:id="rId152"/>
    <sheet name="5.3.6.2" sheetId="512" state="hidden" r:id="rId153"/>
    <sheet name="5.3.6.3" sheetId="513" state="hidden" r:id="rId154"/>
    <sheet name="5.3.6.4" sheetId="514" state="hidden" r:id="rId155"/>
    <sheet name="5.3.6.5" sheetId="515" state="hidden" r:id="rId156"/>
    <sheet name="3.3.5.1" sheetId="408" state="hidden" r:id="rId157"/>
    <sheet name="4.4.1.1" sheetId="444" state="hidden" r:id="rId158"/>
    <sheet name="3.3.4.2" sheetId="467" state="hidden" r:id="rId159"/>
    <sheet name="3.3.4.3" sheetId="468" state="hidden" r:id="rId160"/>
    <sheet name="3.3.8.2" sheetId="453" state="hidden" r:id="rId161"/>
    <sheet name="3.3.9.1" sheetId="489" state="hidden" r:id="rId162"/>
    <sheet name="3.3.9.2" sheetId="490" state="hidden" r:id="rId163"/>
    <sheet name="3.3.9.3" sheetId="491" state="hidden" r:id="rId164"/>
    <sheet name="3.3.9.4" sheetId="492" state="hidden" r:id="rId165"/>
    <sheet name="4.4.1.2" sheetId="445" state="hidden" r:id="rId166"/>
    <sheet name="4.4.1.5" sheetId="455" state="hidden" r:id="rId167"/>
    <sheet name="4.4.1.6" sheetId="471" state="hidden" r:id="rId168"/>
    <sheet name="3.3.8.4" sheetId="456" state="hidden" r:id="rId169"/>
    <sheet name="3.3.8.6" sheetId="454" state="hidden" r:id="rId170"/>
    <sheet name="3.3.10.1" sheetId="462" state="hidden" r:id="rId171"/>
    <sheet name="3.3.10.6" sheetId="457" state="hidden" r:id="rId172"/>
    <sheet name="3.3.10.7" sheetId="458" state="hidden" r:id="rId173"/>
    <sheet name="3.3.10.8" sheetId="459" state="hidden" r:id="rId174"/>
    <sheet name="3.3.10.9" sheetId="461" state="hidden" r:id="rId175"/>
    <sheet name="4.4.1.3" sheetId="446" state="hidden" r:id="rId176"/>
    <sheet name="5.2.1.2" sheetId="418" state="hidden" r:id="rId177"/>
    <sheet name="5.2.1.3" sheetId="419" state="hidden" r:id="rId178"/>
    <sheet name="5.3.10.1 " sheetId="562" state="hidden" r:id="rId179"/>
    <sheet name="5.3.10.9" sheetId="563" state="hidden" r:id="rId180"/>
    <sheet name="5.3.10.10" sheetId="564" state="hidden" r:id="rId181"/>
    <sheet name="5.3.1.1" sheetId="420" state="hidden" r:id="rId182"/>
    <sheet name="5.3.10.11" sheetId="565" state="hidden" r:id="rId183"/>
    <sheet name="5.4.1.10 " sheetId="561" state="hidden" r:id="rId184"/>
    <sheet name="5.4.3.3 " sheetId="557" state="hidden" r:id="rId185"/>
    <sheet name="5.4.3.5" sheetId="558" state="hidden" r:id="rId186"/>
    <sheet name="3.6.1.19" sheetId="470" state="hidden" r:id="rId187"/>
    <sheet name="5.1.2.1 " sheetId="447" state="hidden" r:id="rId188"/>
    <sheet name="5.1.2.2" sheetId="448" state="hidden" r:id="rId189"/>
    <sheet name="5.1.2.3" sheetId="449" state="hidden" r:id="rId190"/>
    <sheet name="3.4.1.2" sheetId="375" state="hidden" r:id="rId191"/>
    <sheet name="3.4.1.4" sheetId="378" state="hidden" r:id="rId192"/>
    <sheet name="3.4.1.6" sheetId="380" state="hidden" r:id="rId193"/>
    <sheet name="4.3.2.1" sheetId="388" state="hidden" r:id="rId194"/>
    <sheet name="3.4.1.8" sheetId="381" state="hidden" r:id="rId195"/>
    <sheet name="4.4.3.1" sheetId="369" state="hidden" r:id="rId196"/>
    <sheet name="5.1.1.1" sheetId="382" state="hidden" r:id="rId197"/>
    <sheet name="5.4.1.2" sheetId="383" state="hidden" r:id="rId198"/>
    <sheet name="5.4.1.3" sheetId="384" state="hidden" r:id="rId199"/>
    <sheet name="5.4.1.4" sheetId="390" state="hidden" r:id="rId200"/>
    <sheet name="5.2.1.1" sheetId="417" state="hidden" r:id="rId201"/>
    <sheet name="4.4.1.8" sheetId="504" state="hidden" r:id="rId202"/>
    <sheet name="4.4.1.12" sheetId="505" state="hidden" r:id="rId203"/>
    <sheet name="5.3.2.6" sheetId="415" state="hidden" r:id="rId204"/>
    <sheet name="5.3.2.7" sheetId="416" state="hidden" r:id="rId205"/>
    <sheet name="CONCRETO VV" sheetId="499" state="hidden" r:id="rId206"/>
    <sheet name="5.3.2.10" sheetId="464" state="hidden" r:id="rId207"/>
    <sheet name="5.6.1.14" sheetId="502" state="hidden" r:id="rId208"/>
    <sheet name="5.3.2.12" sheetId="481" state="hidden" r:id="rId209"/>
    <sheet name="5.4.1.1" sheetId="389" state="hidden" r:id="rId210"/>
    <sheet name="5.3.2.4" sheetId="433" state="hidden" r:id="rId211"/>
    <sheet name="5.3.2.8" sheetId="431" state="hidden" r:id="rId212"/>
    <sheet name="5.3.2.9" sheetId="432" state="hidden" r:id="rId213"/>
    <sheet name="5.4.1.5" sheetId="391" state="hidden" r:id="rId214"/>
    <sheet name="5.4.1.11" sheetId="414" state="hidden" r:id="rId215"/>
    <sheet name="5.4.1.12" sheetId="426" state="hidden" r:id="rId216"/>
    <sheet name="5.4.1.6" sheetId="393" state="hidden" r:id="rId217"/>
    <sheet name="5.3.2.1" sheetId="361" state="hidden" r:id="rId218"/>
    <sheet name="5.3.7.4" sheetId="521" state="hidden" r:id="rId219"/>
    <sheet name="5.4.3.15" sheetId="501" state="hidden" r:id="rId220"/>
    <sheet name="5.5.1.4" sheetId="550" state="hidden" r:id="rId221"/>
    <sheet name="5.5.1.1" sheetId="363" state="hidden" r:id="rId222"/>
  </sheets>
  <externalReferences>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s>
  <definedNames>
    <definedName name="\ates\z" localSheetId="42">#REF!</definedName>
    <definedName name="\ates\z" localSheetId="41">#REF!</definedName>
    <definedName name="\ates\z">#REF!</definedName>
    <definedName name="\C" localSheetId="42">#REF!</definedName>
    <definedName name="\C" localSheetId="41">#REF!</definedName>
    <definedName name="\C">#REF!</definedName>
    <definedName name="\D" localSheetId="42">#REF!</definedName>
    <definedName name="\D">#REF!</definedName>
    <definedName name="\G">#REF!</definedName>
    <definedName name="\I">#REF!</definedName>
    <definedName name="\M">#REF!</definedName>
    <definedName name="\P">#REF!</definedName>
    <definedName name="\R">#REF!</definedName>
    <definedName name="\Y">#REF!</definedName>
    <definedName name="_">#REF!</definedName>
    <definedName name="__\s">#REF!</definedName>
    <definedName name="__\t">#REF!</definedName>
    <definedName name="___R">#REF!</definedName>
    <definedName name="__6Excel_BuiltIn_Print_Area_3_1_1_1_1_1">#REF!</definedName>
    <definedName name="__MDO1">#REF!</definedName>
    <definedName name="__MDO2">#REF!</definedName>
    <definedName name="__R">#REF!</definedName>
    <definedName name="_10Excel_BuiltIn_Print_Area_5_1">#REF!</definedName>
    <definedName name="_10Excel_BuiltIn_Print_Area_7_1">#REF!</definedName>
    <definedName name="_11Excel_BuiltIn_Print_Area_8_1">([1]EMERGÊNCIA!$A$1:$N$213,[1]EMERGÊNCIA!$A$214:$N$290)</definedName>
    <definedName name="_12Excel_BuiltIn_Print_Area_6_1" localSheetId="205">#REF!</definedName>
    <definedName name="_12Excel_BuiltIn_Print_Area_6_1">#REF!</definedName>
    <definedName name="_12Excel_BuiltIn_Print_Area_9_1" localSheetId="205">#REF!</definedName>
    <definedName name="_12Excel_BuiltIn_Print_Area_9_1">#REF!</definedName>
    <definedName name="_13Excel_BuiltIn_Print_Titles_3_1" localSheetId="205">#REF!</definedName>
    <definedName name="_13Excel_BuiltIn_Print_Titles_3_1">#REF!</definedName>
    <definedName name="_14Excel_BuiltIn_Print_Area_7_1">#REF!</definedName>
    <definedName name="_14Excel_BuiltIn_Print_Titles_4_1">#REF!</definedName>
    <definedName name="_15Excel_BuiltIn_Print_Area_8_1">([1]EMERGÊNCIA!$A$1:$N$213,[1]EMERGÊNCIA!$A$214:$N$290)</definedName>
    <definedName name="_15Excel_BuiltIn_Print_Titles_5_1" localSheetId="205">#REF!</definedName>
    <definedName name="_15Excel_BuiltIn_Print_Titles_5_1">#REF!</definedName>
    <definedName name="_16Excel_BuiltIn_Print_Titles_6_1" localSheetId="205">#REF!</definedName>
    <definedName name="_16Excel_BuiltIn_Print_Titles_6_1">#REF!</definedName>
    <definedName name="_17Excel_BuiltIn_Print_Area_9_1" localSheetId="205">#REF!</definedName>
    <definedName name="_17Excel_BuiltIn_Print_Area_9_1">#REF!</definedName>
    <definedName name="_17Excel_BuiltIn_Print_Titles_7_1">#REF!</definedName>
    <definedName name="_18Excel_BuiltIn_Print_Titles_9_1">#REF!</definedName>
    <definedName name="_1Excel_BuiltIn__FilterDatabase_12_1">#REF!</definedName>
    <definedName name="_1Excel_BuiltIn_Print_Area_2_1">#REF!</definedName>
    <definedName name="_1Excel_BuiltIn_Print_Area_3_1">#REF!</definedName>
    <definedName name="_28Excel_BuiltIn_Print_Titles_3_1">#REF!</definedName>
    <definedName name="_2Excel_BuiltIn__FilterDatabase_12_1">#REF!</definedName>
    <definedName name="_2Excel_BuiltIn_Print_Area_1_1_1_1_1_1_1">#REF!</definedName>
    <definedName name="_2Excel_BuiltIn_Print_Area_3_1_1">#REF!</definedName>
    <definedName name="_39Excel_BuiltIn_Print_Titles_4_1">#REF!</definedName>
    <definedName name="_3Excel_BuiltIn_Print_Area_2_1">#REF!</definedName>
    <definedName name="_3Excel_BuiltIn_Print_Area_3_1_1_1_1_1">#REF!</definedName>
    <definedName name="_4Excel_BuiltIn_Print_Area_3_1">#REF!</definedName>
    <definedName name="_4Excel_BuiltIn_Print_Area_3_1_1_1_1_1">#REF!</definedName>
    <definedName name="_50Excel_BuiltIn_Print_Titles_5_1">#REF!</definedName>
    <definedName name="_5Excel_BuiltIn_Print_Area_3_1">#REF!</definedName>
    <definedName name="_61Excel_BuiltIn_Print_Titles_6_1">#REF!</definedName>
    <definedName name="_6Excel_BuiltIn_Print_Area_3_1_1_1_1_1">#REF!</definedName>
    <definedName name="_6Excel_BuiltIn_Print_Titles_2_1_1" localSheetId="42">(#REF!,#REF!)</definedName>
    <definedName name="_6Excel_BuiltIn_Print_Titles_2_1_1" localSheetId="205">(#REF!,#REF!)</definedName>
    <definedName name="_6Excel_BuiltIn_Print_Titles_2_1_1" localSheetId="41">(#REF!,#REF!)</definedName>
    <definedName name="_6Excel_BuiltIn_Print_Titles_2_1_1">(#REF!,#REF!)</definedName>
    <definedName name="_72Excel_BuiltIn_Print_Titles_7_1" localSheetId="205">#REF!</definedName>
    <definedName name="_72Excel_BuiltIn_Print_Titles_7_1">#REF!</definedName>
    <definedName name="_7Excel_BuiltIn_Print_Area_4_1" localSheetId="205">#REF!</definedName>
    <definedName name="_7Excel_BuiltIn_Print_Area_4_1">#REF!</definedName>
    <definedName name="_83Excel_BuiltIn_Print_Titles_9_1" localSheetId="205">#REF!</definedName>
    <definedName name="_83Excel_BuiltIn_Print_Titles_9_1">#REF!</definedName>
    <definedName name="_8Excel_BuiltIn_Print_Area_4_1">#REF!</definedName>
    <definedName name="_8Excel_BuiltIn_Print_Area_5_1">#REF!</definedName>
    <definedName name="_9Excel_BuiltIn_Print_Area_6_1">#REF!</definedName>
    <definedName name="_aaa1">#REF!</definedName>
    <definedName name="_aaa2">#REF!</definedName>
    <definedName name="_C">[2]Reforma!#REF!</definedName>
    <definedName name="_C_1">[2]Reforma!#REF!</definedName>
    <definedName name="_D">[2]Reforma!#REF!</definedName>
    <definedName name="_D_1">[2]Reforma!#REF!</definedName>
    <definedName name="_FCCEMED_" localSheetId="42">#REF!</definedName>
    <definedName name="_FCCEMED_" localSheetId="205">#REF!</definedName>
    <definedName name="_FCCEMED_" localSheetId="41">#REF!</definedName>
    <definedName name="_FCCEMED_">#REF!</definedName>
    <definedName name="_Fill" localSheetId="0" hidden="1">#REF!</definedName>
    <definedName name="_Fill" localSheetId="42" hidden="1">#REF!</definedName>
    <definedName name="_Fill" localSheetId="41" hidden="1">#REF!</definedName>
    <definedName name="_Fill" hidden="1">#REF!</definedName>
    <definedName name="_xlnm._FilterDatabase" localSheetId="42" hidden="1">'7 medicao'!$B$13:$P$705</definedName>
    <definedName name="_xlnm._FilterDatabase" localSheetId="90" hidden="1">DEZ!$A$13:$U$729</definedName>
    <definedName name="_xlnm._FilterDatabase" localSheetId="89" hidden="1">FEV!$A$13:$U$729</definedName>
    <definedName name="_xlnm._FilterDatabase" localSheetId="92" hidden="1">FINANCEIRO!$A$13:$W$744</definedName>
    <definedName name="_FOG50" localSheetId="42">#REF!</definedName>
    <definedName name="_FOG50" localSheetId="205">#REF!</definedName>
    <definedName name="_FOG50" localSheetId="41">#REF!</definedName>
    <definedName name="_FOG50">#REF!</definedName>
    <definedName name="_For01">#REF!</definedName>
    <definedName name="_G" localSheetId="42">[2]Reforma!#REF!</definedName>
    <definedName name="_G" localSheetId="41">[2]Reforma!#REF!</definedName>
    <definedName name="_G">[2]Reforma!#REF!</definedName>
    <definedName name="_G_1" localSheetId="42">[2]Reforma!#REF!</definedName>
    <definedName name="_G_1" localSheetId="41">[2]Reforma!#REF!</definedName>
    <definedName name="_G_1">[2]Reforma!#REF!</definedName>
    <definedName name="_GOTO_D1_" localSheetId="42">#REF!</definedName>
    <definedName name="_GOTO_D1_" localSheetId="205">#REF!</definedName>
    <definedName name="_GOTO_D1_" localSheetId="41">#REF!</definedName>
    <definedName name="_GOTO_D1_">#REF!</definedName>
    <definedName name="_GOTO_E1_" localSheetId="42">#REF!</definedName>
    <definedName name="_GOTO_E1_" localSheetId="41">#REF!</definedName>
    <definedName name="_GOTO_E1_">#REF!</definedName>
    <definedName name="_GOTO_N1_" localSheetId="42">#REF!</definedName>
    <definedName name="_GOTO_N1_" localSheetId="41">#REF!</definedName>
    <definedName name="_GOTO_N1_">#REF!</definedName>
    <definedName name="_HOME__">#REF!</definedName>
    <definedName name="_I">[2]Reforma!#REF!</definedName>
    <definedName name="_I_1">[2]Reforma!#REF!</definedName>
    <definedName name="_int01" localSheetId="205">#REF!</definedName>
    <definedName name="_int01">#REF!</definedName>
    <definedName name="_int02" localSheetId="205">#REF!</definedName>
    <definedName name="_int02">#REF!</definedName>
    <definedName name="_int03" localSheetId="205">#REF!</definedName>
    <definedName name="_int03">#REF!</definedName>
    <definedName name="_int04">#REF!</definedName>
    <definedName name="_int05">#REF!</definedName>
    <definedName name="_Key1" localSheetId="0" hidden="1">#REF!</definedName>
    <definedName name="_Key1" localSheetId="42" hidden="1">#REF!</definedName>
    <definedName name="_Key1" localSheetId="41" hidden="1">#REF!</definedName>
    <definedName name="_Key1" hidden="1">#REF!</definedName>
    <definedName name="_lim01">#REF!</definedName>
    <definedName name="_M" localSheetId="42">[2]Reforma!#REF!</definedName>
    <definedName name="_M" localSheetId="41">[2]Reforma!#REF!</definedName>
    <definedName name="_M">[2]Reforma!#REF!</definedName>
    <definedName name="_M_1" localSheetId="42">[2]Reforma!#REF!</definedName>
    <definedName name="_M_1" localSheetId="41">[2]Reforma!#REF!</definedName>
    <definedName name="_M_1">[2]Reforma!#REF!</definedName>
    <definedName name="_MDO1" localSheetId="42">#REF!</definedName>
    <definedName name="_MDO1" localSheetId="205">#REF!</definedName>
    <definedName name="_MDO1" localSheetId="41">#REF!</definedName>
    <definedName name="_MDO1">#REF!</definedName>
    <definedName name="_MDO2" localSheetId="42">#REF!</definedName>
    <definedName name="_MDO2" localSheetId="41">#REF!</definedName>
    <definedName name="_MDO2">#REF!</definedName>
    <definedName name="_Order1" hidden="1">255</definedName>
    <definedName name="_P" localSheetId="42">[2]Reforma!#REF!</definedName>
    <definedName name="_P" localSheetId="41">[2]Reforma!#REF!</definedName>
    <definedName name="_P">[2]Reforma!#REF!</definedName>
    <definedName name="_P_1" localSheetId="42">[2]Reforma!#REF!</definedName>
    <definedName name="_P_1" localSheetId="41">[2]Reforma!#REF!</definedName>
    <definedName name="_P_1">[2]Reforma!#REF!</definedName>
    <definedName name="_POS21" localSheetId="205">#REF!</definedName>
    <definedName name="_POS21">#REF!</definedName>
    <definedName name="_PPOS015Q_AGPQ_" localSheetId="42">#REF!</definedName>
    <definedName name="_PPOS015Q_AGPQ_" localSheetId="41">#REF!</definedName>
    <definedName name="_PPOS015Q_AGPQ_">#REF!</definedName>
    <definedName name="_PPOS015Q_AGPQ__6" localSheetId="42">#REF!</definedName>
    <definedName name="_PPOS015Q_AGPQ__6" localSheetId="41">#REF!</definedName>
    <definedName name="_PPOS015Q_AGPQ__6">#REF!</definedName>
    <definedName name="_PVC100" localSheetId="42">#REF!</definedName>
    <definedName name="_PVC100" localSheetId="41">#REF!</definedName>
    <definedName name="_PVC100">#REF!</definedName>
    <definedName name="_PVC150">#REF!</definedName>
    <definedName name="_PVC50">#REF!</definedName>
    <definedName name="_PVC75">#REF!</definedName>
    <definedName name="_R">[2]Reforma!#REF!</definedName>
    <definedName name="_R_1">[2]Reforma!#REF!</definedName>
    <definedName name="_REA1.N10_" localSheetId="42">#REF!</definedName>
    <definedName name="_REA1.N10_" localSheetId="205">#REF!</definedName>
    <definedName name="_REA1.N10_" localSheetId="41">#REF!</definedName>
    <definedName name="_REA1.N10_">#REF!</definedName>
    <definedName name="_s">#REF!</definedName>
    <definedName name="_Sort" localSheetId="0" hidden="1">#REF!</definedName>
    <definedName name="_Sort" localSheetId="42" hidden="1">#REF!</definedName>
    <definedName name="_Sort" localSheetId="41" hidden="1">#REF!</definedName>
    <definedName name="_Sort" hidden="1">#REF!</definedName>
    <definedName name="_VBF1">#REF!</definedName>
    <definedName name="_VE1">#REF!</definedName>
    <definedName name="_VO1">[3]MEMORIAL!#REF!</definedName>
    <definedName name="_VR1" localSheetId="42">#REF!</definedName>
    <definedName name="_VR1" localSheetId="205">#REF!</definedName>
    <definedName name="_VR1" localSheetId="41">#REF!</definedName>
    <definedName name="_VR1">#REF!</definedName>
    <definedName name="_WCS13_" localSheetId="42">#REF!</definedName>
    <definedName name="_WCS13_" localSheetId="41">#REF!</definedName>
    <definedName name="_WCS13_">#REF!</definedName>
    <definedName name="_WCS43_" localSheetId="42">#REF!</definedName>
    <definedName name="_WCS43_" localSheetId="41">#REF!</definedName>
    <definedName name="_WCS43_">#REF!</definedName>
    <definedName name="_WDCN1.S1_">#REF!</definedName>
    <definedName name="_WGZY_">#REF!</definedName>
    <definedName name="_WGZY__6">#REF!</definedName>
    <definedName name="_WICE1_">#REF!</definedName>
    <definedName name="_WIRA1.A8_">#REF!</definedName>
    <definedName name="_Y">[2]Reforma!#REF!</definedName>
    <definedName name="_Y_1">[2]Reforma!#REF!</definedName>
    <definedName name="_z" localSheetId="205">#REF!</definedName>
    <definedName name="_z">#REF!</definedName>
    <definedName name="A" localSheetId="42">#REF!</definedName>
    <definedName name="A" localSheetId="41">#REF!</definedName>
    <definedName name="A">#REF!</definedName>
    <definedName name="A__1" localSheetId="42">[3]MEMORIAL!#REF!</definedName>
    <definedName name="A__1">[3]MEMORIAL!#REF!</definedName>
    <definedName name="A__1_1" localSheetId="42">[3]MEMORIAL!#REF!</definedName>
    <definedName name="A__1_1">[3]MEMORIAL!#REF!</definedName>
    <definedName name="A__2" localSheetId="42">[3]MEMORIAL!#REF!</definedName>
    <definedName name="A__2">[3]MEMORIAL!#REF!</definedName>
    <definedName name="A__2_1" localSheetId="42">[3]MEMORIAL!#REF!</definedName>
    <definedName name="A__2_1">[3]MEMORIAL!#REF!</definedName>
    <definedName name="A__3">[3]MEMORIAL!#REF!</definedName>
    <definedName name="A__3_1">[3]MEMORIAL!#REF!</definedName>
    <definedName name="A__4">[3]MEMORIAL!#REF!</definedName>
    <definedName name="A__4_1">[3]MEMORIAL!#REF!</definedName>
    <definedName name="A__5">[3]MEMORIAL!#REF!</definedName>
    <definedName name="A__5_1">[3]MEMORIAL!#REF!</definedName>
    <definedName name="A__6">[3]MEMORIAL!#REF!</definedName>
    <definedName name="A__6_1">[3]MEMORIAL!#REF!</definedName>
    <definedName name="A_1">[3]MEMORIAL!#REF!</definedName>
    <definedName name="A_1_1">[3]MEMORIAL!#REF!</definedName>
    <definedName name="A_2">[3]MEMORIAL!#REF!</definedName>
    <definedName name="A_2_1">[3]MEMORIAL!#REF!</definedName>
    <definedName name="A_3">[3]MEMORIAL!#REF!</definedName>
    <definedName name="A_3_1">[3]MEMORIAL!#REF!</definedName>
    <definedName name="A_4">[3]MEMORIAL!#REF!</definedName>
    <definedName name="a1B16279" localSheetId="42">#REF!</definedName>
    <definedName name="a1B16279" localSheetId="205">#REF!</definedName>
    <definedName name="a1B16279" localSheetId="41">#REF!</definedName>
    <definedName name="a1B16279">#REF!</definedName>
    <definedName name="Aa" localSheetId="42">#REF!</definedName>
    <definedName name="AA" localSheetId="41">#REF!</definedName>
    <definedName name="Aa">#REF!</definedName>
    <definedName name="AAA" localSheetId="42">#REF!</definedName>
    <definedName name="AAA" localSheetId="41">#REF!</definedName>
    <definedName name="AAA">#REF!</definedName>
    <definedName name="AAAA" localSheetId="42">'[4]PLANILHA DE QUANT. E CUSTOS A'!#REF!</definedName>
    <definedName name="aaaa" localSheetId="205">#REF!</definedName>
    <definedName name="aaaa" localSheetId="41">#REF!</definedName>
    <definedName name="AAAA">'[4]PLANILHA DE QUANT. E CUSTOS A'!#REF!</definedName>
    <definedName name="aaaaa" localSheetId="42">'[4]PLANILHA DE QUANT. E CUSTOS A'!#REF!</definedName>
    <definedName name="aaaaa" localSheetId="41">'[4]PLANILHA DE QUANT. E CUSTOS A'!#REF!</definedName>
    <definedName name="aaaaa">'[4]PLANILHA DE QUANT. E CUSTOS A'!#REF!</definedName>
    <definedName name="AB" localSheetId="42">'[4]PLANILHA DE QUANT. E CUSTOS A'!#REF!</definedName>
    <definedName name="AB" localSheetId="41">'[4]PLANILHA DE QUANT. E CUSTOS A'!#REF!</definedName>
    <definedName name="AB">'[4]PLANILHA DE QUANT. E CUSTOS A'!#REF!</definedName>
    <definedName name="ABC" localSheetId="42">#REF!</definedName>
    <definedName name="ABC" localSheetId="205">#REF!</definedName>
    <definedName name="ABC" localSheetId="41">#REF!</definedName>
    <definedName name="ABC">#REF!</definedName>
    <definedName name="Ac" localSheetId="42">#REF!</definedName>
    <definedName name="Ac" localSheetId="41">#REF!</definedName>
    <definedName name="Ac">#REF!</definedName>
    <definedName name="ACRESC.22" localSheetId="42">#REF!</definedName>
    <definedName name="ACRESC.22" localSheetId="41">#REF!</definedName>
    <definedName name="ACRESC.22">#REF!</definedName>
    <definedName name="ADWEF">#REF!</definedName>
    <definedName name="ADWEF_1">#REF!</definedName>
    <definedName name="ADWEFF">#REF!</definedName>
    <definedName name="Alex">#REF!</definedName>
    <definedName name="ALIAS">#REF!</definedName>
    <definedName name="ANA">'[5]Refor Out. 2001 - BDI=20% Ajust'!#REF!</definedName>
    <definedName name="ancora2" localSheetId="205">#REF!</definedName>
    <definedName name="ancora2">#REF!</definedName>
    <definedName name="APARENTE" localSheetId="42">#REF!</definedName>
    <definedName name="APARENTE" localSheetId="41">#REF!</definedName>
    <definedName name="APARENTE">#REF!</definedName>
    <definedName name="area" localSheetId="42">'[6]BAIXO GUANDU ITAIMBE'!#REF!</definedName>
    <definedName name="area">'[6]BAIXO GUANDU ITAIMBE'!#REF!</definedName>
    <definedName name="_xlnm.Extract">[7]Anexos!#REF!</definedName>
    <definedName name="_xlnm.Print_Area" localSheetId="0">'1.1.1.1'!$B$1:$U$32</definedName>
    <definedName name="_xlnm.Print_Area" localSheetId="1">'1.1.2.1'!$B$1:$U$32</definedName>
    <definedName name="_xlnm.Print_Area" localSheetId="7">'1.1.2.10'!$B$1:$U$24</definedName>
    <definedName name="_xlnm.Print_Area" localSheetId="8">'1.1.2.11'!$B$1:$U$24</definedName>
    <definedName name="_xlnm.Print_Area" localSheetId="9">'1.1.2.12'!$B$1:$U$24</definedName>
    <definedName name="_xlnm.Print_Area" localSheetId="28">'1.1.2.2'!$B$1:$U$32</definedName>
    <definedName name="_xlnm.Print_Area" localSheetId="29">'1.1.2.3'!$B$1:$U$31</definedName>
    <definedName name="_xlnm.Print_Area" localSheetId="30">'1.1.2.4'!$B$1:$U$31</definedName>
    <definedName name="_xlnm.Print_Area" localSheetId="2">'1.1.2.5'!$B$1:$U$32</definedName>
    <definedName name="_xlnm.Print_Area" localSheetId="3">'1.1.2.6'!$B$1:$U$32</definedName>
    <definedName name="_xlnm.Print_Area" localSheetId="35">'1.1.2.7'!$B$1:$U$30</definedName>
    <definedName name="_xlnm.Print_Area" localSheetId="4">'1.1.2.8'!$B$1:$U$32</definedName>
    <definedName name="_xlnm.Print_Area" localSheetId="5">'1.1.2.9'!$B$1:$U$32</definedName>
    <definedName name="_xlnm.Print_Area" localSheetId="10">'1.1.3.1'!$B$1:$U$31</definedName>
    <definedName name="_xlnm.Print_Area" localSheetId="11">'1.1.3.2'!$B$1:$U$32</definedName>
    <definedName name="_xlnm.Print_Area" localSheetId="12">'1.1.3.3'!$B$1:$U$31</definedName>
    <definedName name="_xlnm.Print_Area" localSheetId="13">'1.1.3.4'!$B$1:$U$33</definedName>
    <definedName name="_xlnm.Print_Area" localSheetId="14">'1.1.3.5'!$B$1:$U$35</definedName>
    <definedName name="_xlnm.Print_Area" localSheetId="17">'1.1.3.6'!$B$1:$U$33</definedName>
    <definedName name="_xlnm.Print_Area" localSheetId="91">'1.1.3.7'!$B$1:$U$21</definedName>
    <definedName name="_xlnm.Print_Area" localSheetId="15">'1.1.3.8'!$B$1:$U$20</definedName>
    <definedName name="_xlnm.Print_Area" localSheetId="16">'1.1.3.9'!$B$1:$U$21</definedName>
    <definedName name="_xlnm.Print_Area" localSheetId="36">'1.2.1.1'!$B$1:$U$28</definedName>
    <definedName name="_xlnm.Print_Area" localSheetId="20">'2.1.1.1'!$B$1:$U$27</definedName>
    <definedName name="_xlnm.Print_Area" localSheetId="27">'2.3.1.1'!$B$1:$U$21</definedName>
    <definedName name="_xlnm.Print_Area" localSheetId="39">'2.3.2.1'!$B$1:$U$29</definedName>
    <definedName name="_xlnm.Print_Area" localSheetId="113">'2.3.2.2'!$B$1:$U$21</definedName>
    <definedName name="_xlnm.Print_Area" localSheetId="31">'2.3.2.3'!$B$1:$U$21</definedName>
    <definedName name="_xlnm.Print_Area" localSheetId="32">'2.3.2.4'!$B$1:$U$21</definedName>
    <definedName name="_xlnm.Print_Area" localSheetId="33">'2.3.2.5'!$B$1:$U$21</definedName>
    <definedName name="_xlnm.Print_Area" localSheetId="43">'2.4.1.1'!$B$1:$U$27</definedName>
    <definedName name="_xlnm.Print_Area" localSheetId="22">'2.4.1.12'!$B$1:$U$24</definedName>
    <definedName name="_xlnm.Print_Area" localSheetId="77">'2.4.1.13'!$B$1:$U$27</definedName>
    <definedName name="_xlnm.Print_Area" localSheetId="44">'2.4.1.2 '!$B$1:$U$28</definedName>
    <definedName name="_xlnm.Print_Area" localSheetId="45">'2.4.1.3 '!$B$1:$U$28</definedName>
    <definedName name="_xlnm.Print_Area" localSheetId="47">'2.4.1.4'!$B$1:$U$28</definedName>
    <definedName name="_xlnm.Print_Area" localSheetId="21">'2.4.1.5'!$B$1:$U$28</definedName>
    <definedName name="_xlnm.Print_Area" localSheetId="76">'2.4.1.6'!$B$1:$U$28</definedName>
    <definedName name="_xlnm.Print_Area" localSheetId="6">'2.4.3.1'!$B$1:$U$29</definedName>
    <definedName name="_xlnm.Print_Area" localSheetId="48">'2.4.3.1 '!$B$1:$U$23</definedName>
    <definedName name="_xlnm.Print_Area" localSheetId="34">'2.4.3.2'!$B$1:$U$26</definedName>
    <definedName name="_xlnm.Print_Area" localSheetId="123">'2.5.1.1'!$B$1:$U$21</definedName>
    <definedName name="_xlnm.Print_Area" localSheetId="49">'3,3.6.5'!$B$1:$U$30</definedName>
    <definedName name="_xlnm.Print_Area" localSheetId="19">'3.1.1.1'!$B$1:$U$27</definedName>
    <definedName name="_xlnm.Print_Area" localSheetId="18">'3.1.2.1'!$B$1:$U$29</definedName>
    <definedName name="_xlnm.Print_Area" localSheetId="78">'3.1.2.2'!$B$1:$U$30</definedName>
    <definedName name="_xlnm.Print_Area" localSheetId="79">'3.1.2.3'!$B$1:$U$26</definedName>
    <definedName name="_xlnm.Print_Area" localSheetId="52">'3.2.1.1'!$B$1:$U$30</definedName>
    <definedName name="_xlnm.Print_Area" localSheetId="53">'3.2.1.2'!$B$1:$U$29</definedName>
    <definedName name="_xlnm.Print_Area" localSheetId="55">'3.3.1.1'!$B$1:$U$29</definedName>
    <definedName name="_xlnm.Print_Area" localSheetId="80">'3.3.1.2'!$B$1:$U$23</definedName>
    <definedName name="_xlnm.Print_Area" localSheetId="170">'3.3.10.1'!$B$1:$U$27</definedName>
    <definedName name="_xlnm.Print_Area" localSheetId="37">'3.3.10.10'!$B$1:$U$26</definedName>
    <definedName name="_xlnm.Print_Area" localSheetId="23">'3.3.10.2'!$B$1:$U$20</definedName>
    <definedName name="_xlnm.Print_Area" localSheetId="24">'3.3.10.3'!$B$1:$U$20</definedName>
    <definedName name="_xlnm.Print_Area" localSheetId="25">'3.3.10.4'!$B$1:$U$20</definedName>
    <definedName name="_xlnm.Print_Area" localSheetId="26">'3.3.10.5'!$B$1:$U$20</definedName>
    <definedName name="_xlnm.Print_Area" localSheetId="171">'3.3.10.6'!$B$1:$U$27</definedName>
    <definedName name="_xlnm.Print_Area" localSheetId="172">'3.3.10.7'!$B$1:$U$27</definedName>
    <definedName name="_xlnm.Print_Area" localSheetId="173">'3.3.10.8'!$B$1:$U$27</definedName>
    <definedName name="_xlnm.Print_Area" localSheetId="174">'3.3.10.9'!$B$1:$U$27</definedName>
    <definedName name="_xlnm.Print_Area" localSheetId="40">'3.3.2.1'!$B$1:$U$37</definedName>
    <definedName name="_xlnm.Print_Area" localSheetId="85">'3.3.2.10'!$B$1:$U$28</definedName>
    <definedName name="_xlnm.Print_Area" localSheetId="56">'3.3.2.11'!$B$1:$U$29</definedName>
    <definedName name="_xlnm.Print_Area" localSheetId="86">'3.3.2.12'!$B$1:$U$26</definedName>
    <definedName name="_xlnm.Print_Area" localSheetId="87">'3.3.2.13'!$B$1:$U$26</definedName>
    <definedName name="_xlnm.Print_Area" localSheetId="81">'3.3.2.5'!$B$1:$U$28</definedName>
    <definedName name="_xlnm.Print_Area" localSheetId="82">'3.3.2.6'!$B$1:$U$29</definedName>
    <definedName name="_xlnm.Print_Area" localSheetId="83">'3.3.2.7'!$B$1:$U$29</definedName>
    <definedName name="_xlnm.Print_Area" localSheetId="84">'3.3.2.8'!$B$1:$U$29</definedName>
    <definedName name="_xlnm.Print_Area" localSheetId="75">'3.3.3.1'!$B$1:$U$27</definedName>
    <definedName name="_xlnm.Print_Area" localSheetId="88">'3.3.4.1'!$B$1:$U$26</definedName>
    <definedName name="_xlnm.Print_Area" localSheetId="158">'3.3.4.2'!$B$1:$U$26</definedName>
    <definedName name="_xlnm.Print_Area" localSheetId="159">'3.3.4.3'!$B$1:$U$26</definedName>
    <definedName name="_xlnm.Print_Area" localSheetId="156">'3.3.5.1'!$B$1:$U$29</definedName>
    <definedName name="_xlnm.Print_Area" localSheetId="57">'3.3.5.2'!$B$1:$U$29</definedName>
    <definedName name="_xlnm.Print_Area" localSheetId="58">'3.3.5.3'!$B$1:$U$29</definedName>
    <definedName name="_xlnm.Print_Area" localSheetId="59">'3.3.5.4'!$B$1:$U$29</definedName>
    <definedName name="_xlnm.Print_Area" localSheetId="60">'3.3.5.5'!$B$1:$U$29</definedName>
    <definedName name="_xlnm.Print_Area" localSheetId="61">'3.3.6.1'!$B$1:$U$29</definedName>
    <definedName name="_xlnm.Print_Area" localSheetId="62">'3.3.6.2'!$B$1:$U$29</definedName>
    <definedName name="_xlnm.Print_Area" localSheetId="63">'3.3.6.3'!$B$1:$U$29</definedName>
    <definedName name="_xlnm.Print_Area" localSheetId="64">'3.3.6.4'!$B$1:$U$29</definedName>
    <definedName name="_xlnm.Print_Area" localSheetId="65">'3.3.6.5'!$B$1:$U$29</definedName>
    <definedName name="_xlnm.Print_Area" localSheetId="50">'3.3.7.'!$B$1:$U$29</definedName>
    <definedName name="_xlnm.Print_Area" localSheetId="66">'3.3.7.1'!$B$1:$U$29</definedName>
    <definedName name="_xlnm.Print_Area" localSheetId="67">'3.3.7.2'!$B$1:$U$29</definedName>
    <definedName name="_xlnm.Print_Area" localSheetId="68">'3.3.7.3'!$B$1:$U$29</definedName>
    <definedName name="_xlnm.Print_Area" localSheetId="69">'3.3.7.4'!$B$1:$U$29</definedName>
    <definedName name="_xlnm.Print_Area" localSheetId="160">'3.3.8.2'!$B$1:$U$27</definedName>
    <definedName name="_xlnm.Print_Area" localSheetId="73">'3.3.8.3'!$B$1:$U$27</definedName>
    <definedName name="_xlnm.Print_Area" localSheetId="168">'3.3.8.4'!$B$1:$U$27</definedName>
    <definedName name="_xlnm.Print_Area" localSheetId="74">'3.3.8.5'!$B$1:$U$27</definedName>
    <definedName name="_xlnm.Print_Area" localSheetId="169">'3.3.8.6'!$B$1:$U$27</definedName>
    <definedName name="_xlnm.Print_Area" localSheetId="161">'3.3.9.1'!$B$1:$U$26</definedName>
    <definedName name="_xlnm.Print_Area" localSheetId="162">'3.3.9.2'!$B$1:$U$26</definedName>
    <definedName name="_xlnm.Print_Area" localSheetId="163">'3.3.9.3'!$B$1:$U$26</definedName>
    <definedName name="_xlnm.Print_Area" localSheetId="164">'3.3.9.4'!$B$1:$U$26</definedName>
    <definedName name="_xlnm.Print_Area" localSheetId="38">'3.4.1.1'!$B$1:$U$20</definedName>
    <definedName name="_xlnm.Print_Area" localSheetId="71">'3.4.1.11'!$B$1:$U$27</definedName>
    <definedName name="_xlnm.Print_Area" localSheetId="72">'3.4.1.12'!$B$1:$U$27</definedName>
    <definedName name="_xlnm.Print_Area" localSheetId="190">'3.4.1.2'!$B$1:$U$28</definedName>
    <definedName name="_xlnm.Print_Area" localSheetId="46">'3.4.1.3'!$B$1:$U$28</definedName>
    <definedName name="_xlnm.Print_Area" localSheetId="191">'3.4.1.4'!$B$1:$U$28</definedName>
    <definedName name="_xlnm.Print_Area" localSheetId="70">'3.4.1.5'!$B$1:$U$27</definedName>
    <definedName name="_xlnm.Print_Area" localSheetId="192">'3.4.1.6'!$B$1:$U$28</definedName>
    <definedName name="_xlnm.Print_Area" localSheetId="194">'3.4.1.8'!$B$1:$U$28</definedName>
    <definedName name="_xlnm.Print_Area" localSheetId="54">'3.4.3.1'!$B$1:$U$29</definedName>
    <definedName name="_xlnm.Print_Area" localSheetId="117">'3.4.3.12'!$B$1:$U$22</definedName>
    <definedName name="_xlnm.Print_Area" localSheetId="121">'3.4.3.14'!$B$1:$U$22</definedName>
    <definedName name="_xlnm.Print_Area" localSheetId="118">'3.4.3.15'!$B$1:$U$22</definedName>
    <definedName name="_xlnm.Print_Area" localSheetId="119">'3.4.3.16'!$B$1:$U$31</definedName>
    <definedName name="_xlnm.Print_Area" localSheetId="120">'3.4.3.17'!$B$1:$U$28</definedName>
    <definedName name="_xlnm.Print_Area" localSheetId="122">'3.4.3.18'!$B$1:$U$28</definedName>
    <definedName name="_xlnm.Print_Area" localSheetId="114">'3.4.3.3'!$B$1:$U$22</definedName>
    <definedName name="_xlnm.Print_Area" localSheetId="115">'3.4.3.5'!$B$1:$U$22</definedName>
    <definedName name="_xlnm.Print_Area" localSheetId="116">'3.4.3.7'!$B$1:$U$22</definedName>
    <definedName name="_xlnm.Print_Area" localSheetId="126">'3.5.1.1'!$B$1:$U$23</definedName>
    <definedName name="_xlnm.Print_Area" localSheetId="127">'3.5.1.2'!$B$1:$U$23</definedName>
    <definedName name="_xlnm.Print_Area" localSheetId="128">'3.5.1.3'!$B$1:$U$23</definedName>
    <definedName name="_xlnm.Print_Area" localSheetId="131">'3.5.1.4'!$B$1:$U$22</definedName>
    <definedName name="_xlnm.Print_Area" localSheetId="186">'3.6.1.19'!$B$1:$U$27</definedName>
    <definedName name="_xlnm.Print_Area" localSheetId="129">'3.6.3.19'!$B$1:$U$22</definedName>
    <definedName name="_xlnm.Print_Area" localSheetId="98">'4.1.2.1'!$B$1:$P$24</definedName>
    <definedName name="_xlnm.Print_Area" localSheetId="103">'4.3.10.1'!$B$1:$Q$27</definedName>
    <definedName name="_xlnm.Print_Area" localSheetId="106">'4.3.10.6'!$B$1:$Q$23</definedName>
    <definedName name="_xlnm.Print_Area" localSheetId="107">'4.3.10.7'!$B$1:$P$23</definedName>
    <definedName name="_xlnm.Print_Area" localSheetId="93">'4.3.10.8'!$B$1:$U$23</definedName>
    <definedName name="_xlnm.Print_Area" localSheetId="94">'4.3.10.9'!$B$1:$U$21</definedName>
    <definedName name="_xlnm.Print_Area" localSheetId="193">'4.3.2.1'!$B$1:$U$22</definedName>
    <definedName name="_xlnm.Print_Area" localSheetId="100">'4.3.2.11'!$B$1:$U$23</definedName>
    <definedName name="_xlnm.Print_Area" localSheetId="101">'4.3.3.1 '!$B$1:$U$24</definedName>
    <definedName name="_xlnm.Print_Area" localSheetId="102">'4.3.6.5'!$B$1:$U$24</definedName>
    <definedName name="_xlnm.Print_Area" localSheetId="99">'4.3.7.3'!$B$1:$P$24</definedName>
    <definedName name="_xlnm.Print_Area" localSheetId="157">'4.4.1.1'!$B$1:$U$24</definedName>
    <definedName name="_xlnm.Print_Area" localSheetId="202">'4.4.1.12'!$B$1:$U$21</definedName>
    <definedName name="_xlnm.Print_Area" localSheetId="97">'4.4.1.17excluir'!$B$1:$P$20</definedName>
    <definedName name="_xlnm.Print_Area" localSheetId="165">'4.4.1.2'!$B$1:$U$27</definedName>
    <definedName name="_xlnm.Print_Area" localSheetId="175">'4.4.1.3'!$B$1:$U$27</definedName>
    <definedName name="_xlnm.Print_Area" localSheetId="95">'4.4.1.4'!$B$1:$P$20</definedName>
    <definedName name="_xlnm.Print_Area" localSheetId="166">'4.4.1.5'!$B$1:$U$23</definedName>
    <definedName name="_xlnm.Print_Area" localSheetId="167">'4.4.1.6'!$B$1:$U$26</definedName>
    <definedName name="_xlnm.Print_Area" localSheetId="96">'4.4.1.7'!$B$1:$P$20</definedName>
    <definedName name="_xlnm.Print_Area" localSheetId="201">'4.4.1.8'!$B$1:$U$21</definedName>
    <definedName name="_xlnm.Print_Area" localSheetId="195">'4.4.3.1'!$B$1:$U$32</definedName>
    <definedName name="_xlnm.Print_Area" localSheetId="130">'4.5.1.1'!$B$1:$U$32</definedName>
    <definedName name="_xlnm.Print_Area" localSheetId="108">'4.6.1.13'!$B$1:$U$23</definedName>
    <definedName name="_xlnm.Print_Area" localSheetId="109">'4.6.1.14'!$B$1:$U$23</definedName>
    <definedName name="_xlnm.Print_Area" localSheetId="110">'4.6.1.17'!$B$1:$U$23</definedName>
    <definedName name="_xlnm.Print_Area" localSheetId="111">'4.6.2.1'!$B$1:$U$23</definedName>
    <definedName name="_xlnm.Print_Area" localSheetId="112">'4.6.2.3'!$B$1:$U$23</definedName>
    <definedName name="_xlnm.Print_Area" localSheetId="196">'5.1.1.1'!$B$1:$U$27</definedName>
    <definedName name="_xlnm.Print_Area" localSheetId="187">'5.1.2.1 '!$B$1:$U$27</definedName>
    <definedName name="_xlnm.Print_Area" localSheetId="188">'5.1.2.2'!$B$1:$U$27</definedName>
    <definedName name="_xlnm.Print_Area" localSheetId="189">'5.1.2.3'!$B$1:$U$27</definedName>
    <definedName name="_xlnm.Print_Area" localSheetId="200">'5.2.1.1'!$B$1:$U$27</definedName>
    <definedName name="_xlnm.Print_Area" localSheetId="176">'5.2.1.2'!$B$1:$U$27</definedName>
    <definedName name="_xlnm.Print_Area" localSheetId="177">'5.2.1.3'!$B$1:$U$27</definedName>
    <definedName name="_xlnm.Print_Area" localSheetId="181">'5.3.1.1'!$B$1:$U$27</definedName>
    <definedName name="_xlnm.Print_Area" localSheetId="178">'5.3.10.1 '!$B$1:$P$27</definedName>
    <definedName name="_xlnm.Print_Area" localSheetId="180">'5.3.10.10'!$B$1:$P$27</definedName>
    <definedName name="_xlnm.Print_Area" localSheetId="182">'5.3.10.11'!$B$1:$P$27</definedName>
    <definedName name="_xlnm.Print_Area" localSheetId="143">'5.3.10.6 '!$B$1:$U$24</definedName>
    <definedName name="_xlnm.Print_Area" localSheetId="144">'5.3.10.7'!$B$1:$U$24</definedName>
    <definedName name="_xlnm.Print_Area" localSheetId="145">'5.3.10.8'!$B$1:$U$24</definedName>
    <definedName name="_xlnm.Print_Area" localSheetId="179">'5.3.10.9'!$B$1:$P$27</definedName>
    <definedName name="_xlnm.Print_Area" localSheetId="217">'5.3.2.1'!$B$1:$U$32</definedName>
    <definedName name="_xlnm.Print_Area" localSheetId="206">'5.3.2.10'!$B$1:$U$57</definedName>
    <definedName name="_xlnm.Print_Area" localSheetId="208">'5.3.2.12'!$B$1:$U$43</definedName>
    <definedName name="_xlnm.Print_Area" localSheetId="210">'5.3.2.4'!$B$1:$U$27</definedName>
    <definedName name="_xlnm.Print_Area" localSheetId="203">'5.3.2.6'!$B$1:$U$27</definedName>
    <definedName name="_xlnm.Print_Area" localSheetId="204">'5.3.2.7'!$B$1:$U$26</definedName>
    <definedName name="_xlnm.Print_Area" localSheetId="211">'5.3.2.8'!$B$1:$U$27</definedName>
    <definedName name="_xlnm.Print_Area" localSheetId="212">'5.3.2.9'!$B$1:$U$27</definedName>
    <definedName name="_xlnm.Print_Area" localSheetId="146">'5.3.5.1'!$B$1:$U$24</definedName>
    <definedName name="_xlnm.Print_Area" localSheetId="147">'5.3.5.2'!$B$1:$U$29</definedName>
    <definedName name="_xlnm.Print_Area" localSheetId="148">'5.3.5.3'!$B$1:$U$29</definedName>
    <definedName name="_xlnm.Print_Area" localSheetId="149">'5.3.5.4'!$B$1:$U$29</definedName>
    <definedName name="_xlnm.Print_Area" localSheetId="151">'5.3.5.5'!$B$1:$U$29</definedName>
    <definedName name="_xlnm.Print_Area" localSheetId="150">'5.3.6.1'!$B$1:$U$29</definedName>
    <definedName name="_xlnm.Print_Area" localSheetId="152">'5.3.6.2'!$B$1:$U$29</definedName>
    <definedName name="_xlnm.Print_Area" localSheetId="153">'5.3.6.3'!$B$1:$U$29</definedName>
    <definedName name="_xlnm.Print_Area" localSheetId="154">'5.3.6.4'!$B$1:$U$29</definedName>
    <definedName name="_xlnm.Print_Area" localSheetId="155">'5.3.6.5'!$B$1:$U$29</definedName>
    <definedName name="_xlnm.Print_Area" localSheetId="132">'5.3.7.1'!$B$1:$U$24</definedName>
    <definedName name="_xlnm.Print_Area" localSheetId="133">'5.3.7.2'!$B$1:$U$24</definedName>
    <definedName name="_xlnm.Print_Area" localSheetId="134">'5.3.7.3'!$B$1:$U$24</definedName>
    <definedName name="_xlnm.Print_Area" localSheetId="218">'5.3.7.4'!$B$1:$U$29</definedName>
    <definedName name="_xlnm.Print_Area" localSheetId="135">'5.3.8.3'!$B$1:$U$24</definedName>
    <definedName name="_xlnm.Print_Area" localSheetId="136">'5.3.8.4'!$B$1:$U$24</definedName>
    <definedName name="_xlnm.Print_Area" localSheetId="137">'5.3.8.5'!$B$1:$U$24</definedName>
    <definedName name="_xlnm.Print_Area" localSheetId="138">'5.3.8.6'!$B$1:$U$24</definedName>
    <definedName name="_xlnm.Print_Area" localSheetId="139">'5.3.9.1'!$B$1:$U$24</definedName>
    <definedName name="_xlnm.Print_Area" localSheetId="140">'5.3.9.2'!$B$1:$U$24</definedName>
    <definedName name="_xlnm.Print_Area" localSheetId="141">'5.3.9.3'!$B$1:$U$24</definedName>
    <definedName name="_xlnm.Print_Area" localSheetId="142">'5.3.9.4'!$B$1:$U$24</definedName>
    <definedName name="_xlnm.Print_Area" localSheetId="209">'5.4.1.1'!$B$1:$U$27</definedName>
    <definedName name="_xlnm.Print_Area" localSheetId="214">'5.4.1.11'!$B$1:$U$27</definedName>
    <definedName name="_xlnm.Print_Area" localSheetId="215">'5.4.1.12'!$B$1:$U$27</definedName>
    <definedName name="_xlnm.Print_Area" localSheetId="197">'5.4.1.2'!$B$1:$U$28</definedName>
    <definedName name="_xlnm.Print_Area" localSheetId="198">'5.4.1.3'!$B$1:$U$28</definedName>
    <definedName name="_xlnm.Print_Area" localSheetId="199">'5.4.1.4'!$B$1:$U$28</definedName>
    <definedName name="_xlnm.Print_Area" localSheetId="213">'5.4.1.5'!$B$1:$U$27</definedName>
    <definedName name="_xlnm.Print_Area" localSheetId="216">'5.4.1.6'!$B$1:$U$26</definedName>
    <definedName name="_xlnm.Print_Area" localSheetId="51">'5.4.3.1'!$B$1:$U$32</definedName>
    <definedName name="_xlnm.Print_Area" localSheetId="219">'5.4.3.15'!$B$1:$U$39</definedName>
    <definedName name="_xlnm.Print_Area" localSheetId="104">'5.4.3.16 '!$B$1:$Q$31</definedName>
    <definedName name="_xlnm.Print_Area" localSheetId="184">'5.4.3.3 '!$B$1:$U$27</definedName>
    <definedName name="_xlnm.Print_Area" localSheetId="185">'5.4.3.5'!$B$1:$U$27</definedName>
    <definedName name="_xlnm.Print_Area" localSheetId="105">'5.4.4.1'!$B$1:$Q$19</definedName>
    <definedName name="_xlnm.Print_Area" localSheetId="221">'5.5.1.1'!$B$1:$U$24</definedName>
    <definedName name="_xlnm.Print_Area" localSheetId="220">'5.5.1.4'!$B$1:$U$22</definedName>
    <definedName name="_xlnm.Print_Area" localSheetId="207">'5.6.1.14'!$B$1:$U$38</definedName>
    <definedName name="_xlnm.Print_Area" localSheetId="42">'7 medicao'!$B$2:$P$733</definedName>
    <definedName name="_xlnm.Print_Area" localSheetId="205">'CONCRETO VV'!$B$3:$J$37</definedName>
    <definedName name="_xlnm.Print_Area" localSheetId="90">DEZ!$A$2:$V$756</definedName>
    <definedName name="_xlnm.Print_Area" localSheetId="89">FEV!$A$2:$V$756</definedName>
    <definedName name="_xlnm.Print_Area" localSheetId="92">FINANCEIRO!$A$2:$X$770</definedName>
    <definedName name="_xlnm.Print_Area" localSheetId="41">REPLANILHAMENTO!$A$1:$R$648</definedName>
    <definedName name="_xlnm.Print_Area">#REF!</definedName>
    <definedName name="Área_de_impressão1" localSheetId="205">#REF!</definedName>
    <definedName name="Área_de_impressão1">#REF!</definedName>
    <definedName name="Área_de_impressão2" localSheetId="205">#REF!</definedName>
    <definedName name="Área_de_impressão2">#REF!</definedName>
    <definedName name="Área_impressão_IM">"$#REF!.$A$1:$H$39"</definedName>
    <definedName name="Área_impressão_IM_1">"$#REF!.$A$1:$H$39"</definedName>
    <definedName name="Área_impressão_IM_5">"$#REF!.$A$1:$H$39"</definedName>
    <definedName name="areia" localSheetId="42">'[6]BAIXO GUANDU ITAIMBE'!#REF!</definedName>
    <definedName name="areia" localSheetId="205">'[6]BAIXO GUANDU ITAIMBE'!#REF!</definedName>
    <definedName name="areia" localSheetId="41">'[6]BAIXO GUANDU ITAIMBE'!#REF!</definedName>
    <definedName name="areia">'[6]BAIXO GUANDU ITAIMBE'!#REF!</definedName>
    <definedName name="arta" localSheetId="42">#REF!</definedName>
    <definedName name="arta" localSheetId="205">#REF!</definedName>
    <definedName name="arta" localSheetId="41">#REF!</definedName>
    <definedName name="arta">#REF!</definedName>
    <definedName name="as" localSheetId="42">#REF!</definedName>
    <definedName name="as" localSheetId="41">#REF!</definedName>
    <definedName name="as">#REF!</definedName>
    <definedName name="ASD">#REF!</definedName>
    <definedName name="asdf" localSheetId="42">#REF!</definedName>
    <definedName name="asdf" localSheetId="41">#REF!</definedName>
    <definedName name="asdf">#REF!</definedName>
    <definedName name="ASDSSS">#REF!</definedName>
    <definedName name="ASFALTO">#REF!</definedName>
    <definedName name="ASFALTO_1">#REF!</definedName>
    <definedName name="ASPECTO_ARQ">[8]Plan1!$A$145:$A$148</definedName>
    <definedName name="asSDas" localSheetId="205">#REF!</definedName>
    <definedName name="asSDas" localSheetId="41">#REF!</definedName>
    <definedName name="asSDas">#REF!</definedName>
    <definedName name="ATERRO" localSheetId="42">#REF!</definedName>
    <definedName name="ATERRO" localSheetId="41">#REF!</definedName>
    <definedName name="ATERRO">#REF!</definedName>
    <definedName name="ATERRO_100" localSheetId="42">#REF!</definedName>
    <definedName name="ATERRO_100" localSheetId="41">#REF!</definedName>
    <definedName name="ATERRO_100">#REF!</definedName>
    <definedName name="ATUAL">#REF!</definedName>
    <definedName name="B" localSheetId="42">#REF!</definedName>
    <definedName name="B" localSheetId="41">#REF!</definedName>
    <definedName name="B">#REF!</definedName>
    <definedName name="Banco_dados_IM">#REF!</definedName>
    <definedName name="_xlnm.Database">#REF!</definedName>
    <definedName name="BASE">[9]BASE!$B:$J</definedName>
    <definedName name="BBB">#REF!</definedName>
    <definedName name="BBBB">'[4]PLANILHA DE QUANT. E CUSTOS A'!#REF!</definedName>
    <definedName name="BBBBBBB" localSheetId="42">#REF!</definedName>
    <definedName name="BBBBBBB" localSheetId="205">#REF!</definedName>
    <definedName name="BBBBBBB" localSheetId="41">#REF!</definedName>
    <definedName name="BBBBBBB">#REF!</definedName>
    <definedName name="BC" localSheetId="42">#REF!</definedName>
    <definedName name="BC" localSheetId="41">#REF!</definedName>
    <definedName name="BC">#REF!</definedName>
    <definedName name="BDI" localSheetId="42">#REF!</definedName>
    <definedName name="BDI" localSheetId="41">#REF!</definedName>
    <definedName name="BDI">#REF!</definedName>
    <definedName name="BDIc">#REF!</definedName>
    <definedName name="BDIf">#REF!</definedName>
    <definedName name="BDTC100">#REF!</definedName>
    <definedName name="BF">[10]MEMORIAL!#REF!</definedName>
    <definedName name="BF_1">[11]MEMORIAL!#REF!</definedName>
    <definedName name="BG" localSheetId="42">#REF!</definedName>
    <definedName name="BG" localSheetId="205">#REF!</definedName>
    <definedName name="BG" localSheetId="41">#REF!</definedName>
    <definedName name="BG">#REF!</definedName>
    <definedName name="bitmin">#REF!</definedName>
    <definedName name="BLO">#REF!</definedName>
    <definedName name="BLOCO_B">'[12]CAPA -1'!#REF!</definedName>
    <definedName name="BLOCO_BB" localSheetId="205">#REF!</definedName>
    <definedName name="BLOCO_BB">#REF!</definedName>
    <definedName name="BLOCO_BBB" localSheetId="205">#REF!</definedName>
    <definedName name="BLOCO_BBB">#REF!</definedName>
    <definedName name="BLOCO_C" localSheetId="205">#REF!</definedName>
    <definedName name="BLOCO_C">#REF!</definedName>
    <definedName name="BLOCO_CC">#REF!</definedName>
    <definedName name="BLOCO_CCC">#REF!</definedName>
    <definedName name="BLOCO_CCCC">#REF!</definedName>
    <definedName name="BLOCRET" localSheetId="42">#REF!</definedName>
    <definedName name="BLOCRET" localSheetId="41">#REF!</definedName>
    <definedName name="BLOCRET">#REF!</definedName>
    <definedName name="BLOCRET_1" localSheetId="42">#REF!</definedName>
    <definedName name="BLOCRET_1" localSheetId="41">#REF!</definedName>
    <definedName name="BLOCRET_1">#REF!</definedName>
    <definedName name="BRITAS">#REF!</definedName>
    <definedName name="BTTC1200">#REF!</definedName>
    <definedName name="BTTC12001">'[4]PLANILHA DE QUANT. E CUSTOS A'!#REF!</definedName>
    <definedName name="BTTC1200ADASDS" localSheetId="42">#REF!</definedName>
    <definedName name="BTTC1200ADASDS" localSheetId="205">#REF!</definedName>
    <definedName name="BTTC1200ADASDS" localSheetId="41">#REF!</definedName>
    <definedName name="BTTC1200ADASDS">#REF!</definedName>
    <definedName name="BuiltIn_AutoFilter___7">#REF!</definedName>
    <definedName name="BuiltIn_AutoFilter___7_1">#REF!</definedName>
    <definedName name="BuiltIn_AutoFilter___7_10">#REF!</definedName>
    <definedName name="BuiltIn_AutoFilter___7_11">#REF!</definedName>
    <definedName name="BuiltIn_AutoFilter___7_12">#REF!</definedName>
    <definedName name="BuiltIn_AutoFilter___7_2">#REF!</definedName>
    <definedName name="BuiltIn_AutoFilter___7_3">#REF!</definedName>
    <definedName name="BuiltIn_AutoFilter___7_4">#REF!</definedName>
    <definedName name="BuiltIn_AutoFilter___7_5">#REF!</definedName>
    <definedName name="BuiltIn_AutoFilter___7_6">#REF!</definedName>
    <definedName name="BuiltIn_AutoFilter___7_7">#REF!</definedName>
    <definedName name="BuiltIn_AutoFilter___7_8">#REF!</definedName>
    <definedName name="BuiltIn_AutoFilter___7_9">#REF!</definedName>
    <definedName name="BuiltIn_AutoFilter___8">#REF!</definedName>
    <definedName name="BuiltIn_AutoFilter___8_1">#REF!</definedName>
    <definedName name="BuiltIn_AutoFilter___8_10">#REF!</definedName>
    <definedName name="BuiltIn_AutoFilter___8_11">#REF!</definedName>
    <definedName name="BuiltIn_AutoFilter___8_12">#REF!</definedName>
    <definedName name="BuiltIn_AutoFilter___8_13">#REF!</definedName>
    <definedName name="BuiltIn_AutoFilter___8_14">#REF!</definedName>
    <definedName name="BuiltIn_AutoFilter___8_15">#REF!</definedName>
    <definedName name="BuiltIn_AutoFilter___8_16">#REF!</definedName>
    <definedName name="BuiltIn_AutoFilter___8_17">#REF!</definedName>
    <definedName name="BuiltIn_AutoFilter___8_18">#REF!</definedName>
    <definedName name="BuiltIn_AutoFilter___8_19">#REF!</definedName>
    <definedName name="BuiltIn_AutoFilter___8_2">#REF!</definedName>
    <definedName name="BuiltIn_AutoFilter___8_20">#REF!</definedName>
    <definedName name="BuiltIn_AutoFilter___8_21">#REF!</definedName>
    <definedName name="BuiltIn_AutoFilter___8_22">#REF!</definedName>
    <definedName name="BuiltIn_AutoFilter___8_23">#REF!</definedName>
    <definedName name="BuiltIn_AutoFilter___8_24">#REF!</definedName>
    <definedName name="BuiltIn_AutoFilter___8_25">#REF!</definedName>
    <definedName name="BuiltIn_AutoFilter___8_26">#REF!</definedName>
    <definedName name="BuiltIn_AutoFilter___8_27">#REF!</definedName>
    <definedName name="BuiltIn_AutoFilter___8_28">#REF!</definedName>
    <definedName name="BuiltIn_AutoFilter___8_29">#REF!</definedName>
    <definedName name="BuiltIn_AutoFilter___8_3">#REF!</definedName>
    <definedName name="BuiltIn_AutoFilter___8_30">#REF!</definedName>
    <definedName name="BuiltIn_AutoFilter___8_31">#REF!</definedName>
    <definedName name="BuiltIn_AutoFilter___8_32">#REF!</definedName>
    <definedName name="BuiltIn_AutoFilter___8_4">#REF!</definedName>
    <definedName name="BuiltIn_AutoFilter___8_5">#REF!</definedName>
    <definedName name="BuiltIn_AutoFilter___8_6">#REF!</definedName>
    <definedName name="BuiltIn_AutoFilter___8_7">#REF!</definedName>
    <definedName name="BuiltIn_AutoFilter___8_8">#REF!</definedName>
    <definedName name="BuiltIn_AutoFilter___8_9">#REF!</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#REF!</definedName>
    <definedName name="BuiltIn_Print_Area___0___0___0___0___0___0">#REF!</definedName>
    <definedName name="BuiltIn_Print_Area___0___0___0___0___0___0___0">#REF!</definedName>
    <definedName name="BuiltIn_Print_Area___0___0___0___0___0___0___0___0___0">#REF!</definedName>
    <definedName name="BuiltIn_Print_Area___0___0___10">#REF!</definedName>
    <definedName name="BuiltIn_Print_Area___0___1">#REF!</definedName>
    <definedName name="BuiltIn_Print_Area___0___1___0">#REF!</definedName>
    <definedName name="BuiltIn_Print_Area___0___1___0___0">#REF!</definedName>
    <definedName name="BuiltIn_Print_Area___0___1___0___0___0">#REF!</definedName>
    <definedName name="BuiltIn_Print_Area___0___1___0___0___0___0">#REF!</definedName>
    <definedName name="BuiltIn_Print_Area___0___1___0___0___0___0___0">#REF!</definedName>
    <definedName name="BuiltIn_Print_Area___0___1___0___0___0___0___0___0">#REF!</definedName>
    <definedName name="BuiltIn_Print_Area___0___1___0___0___0___0___0___0___0">#REF!</definedName>
    <definedName name="BuiltIn_Print_Area___0___1___0___0___0___0___0___0___0___0">#REF!</definedName>
    <definedName name="BuiltIn_Print_Area___0___1___0___0___0___0___0___0___0___0_1">#REF!</definedName>
    <definedName name="BuiltIn_Print_Area___0___1___0___0___0___0___0___0___0___0_1_1">#REF!</definedName>
    <definedName name="BuiltIn_Print_Area___0___1___0___0___0___0___0___0___0_1">#REF!</definedName>
    <definedName name="BuiltIn_Print_Area___0___1___0___0___0___0___0___0___0_1_1">#REF!</definedName>
    <definedName name="BuiltIn_Print_Area___0___1___0___0___0___0___0___0_1">#REF!</definedName>
    <definedName name="BuiltIn_Print_Area___0___1___0___0___0___0___0___0_1_1">#REF!</definedName>
    <definedName name="BuiltIn_Print_Area___0___1___0___0___0___0___0_1">#REF!</definedName>
    <definedName name="BuiltIn_Print_Area___0___1___0___0___0___0___0_1_1">#REF!</definedName>
    <definedName name="BuiltIn_Print_Area___0___1___0___0___0___0_1">#REF!</definedName>
    <definedName name="BuiltIn_Print_Area___0___1___0___0___0___0_1_1">#REF!</definedName>
    <definedName name="BuiltIn_Print_Area___0___1___0___0___0_1">#REF!</definedName>
    <definedName name="BuiltIn_Print_Area___0___1___0___0___0_1_1">#REF!</definedName>
    <definedName name="BuiltIn_Print_Area___0___1___0___0_1">#REF!</definedName>
    <definedName name="BuiltIn_Print_Area___0___1___0___0_1_1">#REF!</definedName>
    <definedName name="BuiltIn_Print_Area___0___1___0_1">#REF!</definedName>
    <definedName name="BuiltIn_Print_Area___0___1___0_1_1">#REF!</definedName>
    <definedName name="BuiltIn_Print_Area___0___1_1">#REF!</definedName>
    <definedName name="BuiltIn_Print_Area___0___1_1_1">#REF!</definedName>
    <definedName name="BuiltIn_Print_Area___0___16">#REF!</definedName>
    <definedName name="BuiltIn_Print_Area___0___16___0">#REF!</definedName>
    <definedName name="BuiltIn_Print_Area___0___16___0___0">#REF!</definedName>
    <definedName name="BuiltIn_Print_Area___0___16___0___0___0">#REF!</definedName>
    <definedName name="BuiltIn_Print_Area___0___16___0___0___0___0">#REF!</definedName>
    <definedName name="BuiltIn_Print_Area___0___16___0___0___0___0___0">#REF!</definedName>
    <definedName name="BuiltIn_Print_Area___0___16___0___0___0___0___0___0">#REF!</definedName>
    <definedName name="BuiltIn_Print_Area___0___16___0___0___0___0___0___0___0">#REF!</definedName>
    <definedName name="BuiltIn_Print_Area___0___4">#REF!</definedName>
    <definedName name="BuiltIn_Print_Area___0___5">#REF!</definedName>
    <definedName name="BuiltIn_Print_Area___0___5___0">#REF!</definedName>
    <definedName name="BuiltIn_Print_Area___0___6">#REF!</definedName>
    <definedName name="BuiltIn_Print_Area___0___6___0">#REF!</definedName>
    <definedName name="BuiltIn_Print_Area___0___7">#REF!</definedName>
    <definedName name="BuiltIn_Print_Area___0___7___0">#REF!</definedName>
    <definedName name="BuiltIn_Print_Area___0___8">#REF!</definedName>
    <definedName name="BuiltIn_Print_Area___0_1">#REF!</definedName>
    <definedName name="BuiltIn_Print_Area___0_1_1">#REF!</definedName>
    <definedName name="BuiltIn_Print_Area_1">#REF!</definedName>
    <definedName name="BuiltIn_Print_Area_1_1">#REF!</definedName>
    <definedName name="BuiltIn_Print_Titles">#REF!</definedName>
    <definedName name="BuiltIn_Print_Titles___0">#REF!</definedName>
    <definedName name="BuiltIn_Print_Titles___0___0">#REF!</definedName>
    <definedName name="BuiltIn_Print_Titles___0___0___0">#REF!</definedName>
    <definedName name="BuiltIn_Print_Titles___0___0___0___0">#REF!</definedName>
    <definedName name="BuiltIn_Print_Titles___0___0___0___0___0">#REF!</definedName>
    <definedName name="BuiltIn_Print_Titles___0___0___0___0___0___0">#REF!</definedName>
    <definedName name="BuiltIn_Print_Titles___0___0___0___0___0___0___0">#REF!</definedName>
    <definedName name="BuiltIn_Print_Titles___0___0___0___0___0___0___0___0___0">#REF!</definedName>
    <definedName name="BuiltIn_Print_Titles___0___0___10">#REF!</definedName>
    <definedName name="BuiltIn_Print_Titles___0___1">#REF!</definedName>
    <definedName name="BuiltIn_Print_Titles___0___16">#REF!</definedName>
    <definedName name="BuiltIn_Print_Titles___0___16___0">#REF!</definedName>
    <definedName name="BuiltIn_Print_Titles___0___16___0___0">#REF!</definedName>
    <definedName name="BuiltIn_Print_Titles___0___16___0___0___0">#REF!</definedName>
    <definedName name="BuiltIn_Print_Titles___0___16___0___0___0___0">#REF!</definedName>
    <definedName name="BuiltIn_Print_Titles___0___16___0___0___0___0___0">#REF!</definedName>
    <definedName name="BuiltIn_Print_Titles___0___5">#REF!</definedName>
    <definedName name="BuiltIn_Print_Titles___0___6">#REF!</definedName>
    <definedName name="BuiltIn_Print_Titles___0___7">#REF!</definedName>
    <definedName name="BuiltIn_Print_Titles___0___8">#REF!</definedName>
    <definedName name="BuiltIn_Print_Titles___0_1">#REF!</definedName>
    <definedName name="BuiltIn_Print_Titles___0_1_1">#REF!</definedName>
    <definedName name="BuiltIn_Print_Titles___4___4">#REF!</definedName>
    <definedName name="BuiltIn_Print_Titles___5___5">#REF!</definedName>
    <definedName name="BuiltIn_Print_Titles___5___5___0">#REF!</definedName>
    <definedName name="BuiltIn_Print_Titles___6___6">#REF!</definedName>
    <definedName name="BuiltIn_Print_Titles___6___6___0">#REF!</definedName>
    <definedName name="BuiltIn_Print_Titles___7___7">#REF!</definedName>
    <definedName name="BuiltIn_Print_Titles_1">#REF!</definedName>
    <definedName name="BuiltIn_Print_Titles_1_1">#REF!</definedName>
    <definedName name="Capa" localSheetId="205" hidden="1">{#N/A,#N/A,FALSE,"ET-CAPA";#N/A,#N/A,FALSE,"ET-PAG1";#N/A,#N/A,FALSE,"ET-PAG2";#N/A,#N/A,FALSE,"ET-PAG3";#N/A,#N/A,FALSE,"ET-PAG4";#N/A,#N/A,FALSE,"ET-PAG5"}</definedName>
    <definedName name="Capa" localSheetId="41" hidden="1">{#N/A,#N/A,FALSE,"ET-CAPA";#N/A,#N/A,FALSE,"ET-PAG1";#N/A,#N/A,FALSE,"ET-PAG2";#N/A,#N/A,FALSE,"ET-PAG3";#N/A,#N/A,FALSE,"ET-PAG4";#N/A,#N/A,FALSE,"ET-PAG5"}</definedName>
    <definedName name="Capa" hidden="1">{#N/A,#N/A,FALSE,"ET-CAPA";#N/A,#N/A,FALSE,"ET-PAG1";#N/A,#N/A,FALSE,"ET-PAG2";#N/A,#N/A,FALSE,"ET-PAG3";#N/A,#N/A,FALSE,"ET-PAG4";#N/A,#N/A,FALSE,"ET-PAG5"}</definedName>
    <definedName name="capa1" localSheetId="205">#REF!</definedName>
    <definedName name="capa1">#REF!</definedName>
    <definedName name="Carimbo" localSheetId="205">#REF!</definedName>
    <definedName name="Carimbo">#REF!</definedName>
    <definedName name="carlos" localSheetId="42">[2]Reforma!#REF!</definedName>
    <definedName name="carlos" localSheetId="205">[2]Reforma!#REF!</definedName>
    <definedName name="carlos">[2]Reforma!#REF!</definedName>
    <definedName name="CCCCCCCCCCCCCCCC" localSheetId="42">#REF!</definedName>
    <definedName name="CCCCCCCCCCCCCCCC" localSheetId="205">#REF!</definedName>
    <definedName name="CCCCCCCCCCCCCCCC" localSheetId="41">#REF!</definedName>
    <definedName name="CCCCCCCCCCCCCCCC">#REF!</definedName>
    <definedName name="CCCCCCCCCCCCCCCCC" localSheetId="42">#REF!</definedName>
    <definedName name="CCCCCCCCCCCCCCCCC" localSheetId="41">#REF!</definedName>
    <definedName name="CCCCCCCCCCCCCCCCC">#REF!</definedName>
    <definedName name="CERTIDAO">#REF!</definedName>
    <definedName name="CERTIDOES">#REF!</definedName>
    <definedName name="CERTIDÕES">#REF!</definedName>
    <definedName name="ciclopico" localSheetId="42">[11]MEMORIAL!#REF!</definedName>
    <definedName name="ciclopico" localSheetId="41">[11]MEMORIAL!#REF!</definedName>
    <definedName name="ciclopico">[11]MEMORIAL!#REF!</definedName>
    <definedName name="ciclopico_1" localSheetId="42">[11]MEMORIAL!#REF!</definedName>
    <definedName name="ciclopico_1" localSheetId="41">[11]MEMORIAL!#REF!</definedName>
    <definedName name="ciclopico_1">[11]MEMORIAL!#REF!</definedName>
    <definedName name="CODIGO" localSheetId="205">#REF!</definedName>
    <definedName name="CODIGO">#REF!</definedName>
    <definedName name="COMEÇO">'[12]CAPA -1'!#REF!</definedName>
    <definedName name="COMPLETO" localSheetId="42">#REF!</definedName>
    <definedName name="COMPLETO" localSheetId="205">#REF!</definedName>
    <definedName name="COMPLETO" localSheetId="41">#REF!</definedName>
    <definedName name="COMPLETO">#REF!</definedName>
    <definedName name="COMPOSICAO01" localSheetId="42">#REF!</definedName>
    <definedName name="COMPOSICAO01" localSheetId="41">#REF!</definedName>
    <definedName name="COMPOSICAO01">#REF!</definedName>
    <definedName name="COMPOSIÇÃO01" localSheetId="42">#REF!</definedName>
    <definedName name="COMPOSIÇÃO01" localSheetId="41">#REF!</definedName>
    <definedName name="COMPOSIÇÃO01">#REF!</definedName>
    <definedName name="COMPOSICAO01_1">#REF!</definedName>
    <definedName name="COMPOSICAO02">#REF!</definedName>
    <definedName name="COMPOSICAO02_1">#REF!</definedName>
    <definedName name="concciclo">#REF!</definedName>
    <definedName name="concreto">#REF!</definedName>
    <definedName name="CONDICOES_ACESSO">[8]Plan1!$A$26:$A$29</definedName>
    <definedName name="Construtora" localSheetId="42">#REF!</definedName>
    <definedName name="Construtora" localSheetId="205">#REF!</definedName>
    <definedName name="Construtora" localSheetId="41">#REF!</definedName>
    <definedName name="Construtora">#REF!</definedName>
    <definedName name="CORTE" localSheetId="42">#REF!</definedName>
    <definedName name="CORTE" localSheetId="41">#REF!</definedName>
    <definedName name="CORTE">#REF!</definedName>
    <definedName name="COTA_GREIDE">[8]Plan1!$A$52:$A$55</definedName>
    <definedName name="crono" localSheetId="42">#REF!</definedName>
    <definedName name="crono" localSheetId="205">#REF!</definedName>
    <definedName name="crono" localSheetId="41">#REF!</definedName>
    <definedName name="crono">#REF!</definedName>
    <definedName name="CSA" localSheetId="42">#REF!</definedName>
    <definedName name="CSA" localSheetId="41">#REF!</definedName>
    <definedName name="CSA">#REF!</definedName>
    <definedName name="CSA_1" localSheetId="42">#REF!</definedName>
    <definedName name="CSA_1" localSheetId="41">#REF!</definedName>
    <definedName name="CSA_1">#REF!</definedName>
    <definedName name="CSPP">#REF!</definedName>
    <definedName name="CSPP_1">#REF!</definedName>
    <definedName name="CustoReal">#REF!</definedName>
    <definedName name="D">#REF!</definedName>
    <definedName name="daddf">#REF!</definedName>
    <definedName name="DAF">#REF!</definedName>
    <definedName name="daniel">#REF!</definedName>
    <definedName name="DASDA">#REF!</definedName>
    <definedName name="dat">#REF!</definedName>
    <definedName name="DATA">#REF!</definedName>
    <definedName name="DATA_17">#REF!</definedName>
    <definedName name="DATA_8">#REF!</definedName>
    <definedName name="data1">#REF!</definedName>
    <definedName name="Database">#REF!</definedName>
    <definedName name="dataf">#REF!</definedName>
    <definedName name="DD">#REF!</definedName>
    <definedName name="DD_2">#REF!</definedName>
    <definedName name="DD_5">#REF!</definedName>
    <definedName name="DDD">#REF!</definedName>
    <definedName name="DDF">#REF!</definedName>
    <definedName name="DEFOFO">#REF!</definedName>
    <definedName name="DEFOFO100">#REF!</definedName>
    <definedName name="DEFOFO150">#REF!</definedName>
    <definedName name="DEFOFO200">#REF!</definedName>
    <definedName name="DEFOFO250">#REF!</definedName>
    <definedName name="DEFOFO300">#REF!</definedName>
    <definedName name="DEMANDA">[8]Plan1!$A$171:$A$174</definedName>
    <definedName name="DEMOLIÇÃO" localSheetId="42">#REF!</definedName>
    <definedName name="DEMOLIÇÃO" localSheetId="205">#REF!</definedName>
    <definedName name="DEMOLIÇÃO" localSheetId="41">#REF!</definedName>
    <definedName name="DEMOLIÇÃO">#REF!</definedName>
    <definedName name="DENSIDADE_HABITACIONAL">[8]Plan1!$A$34:$A$37</definedName>
    <definedName name="DESEMPENHO">[8]Plan1!$A$180:$A$183</definedName>
    <definedName name="DESTERRO" localSheetId="42">#REF!</definedName>
    <definedName name="DESTERRO" localSheetId="205">#REF!</definedName>
    <definedName name="DESTERRO" localSheetId="41">#REF!</definedName>
    <definedName name="DESTERRO">#REF!</definedName>
    <definedName name="df" localSheetId="42">#REF!</definedName>
    <definedName name="DF" localSheetId="41">#REF!</definedName>
    <definedName name="df">#REF!</definedName>
    <definedName name="DFADFA">#REF!</definedName>
    <definedName name="DFAFAF">#REF!</definedName>
    <definedName name="dfdd" localSheetId="42">#REF!</definedName>
    <definedName name="dfdd" localSheetId="41">#REF!</definedName>
    <definedName name="dfdd">#REF!</definedName>
    <definedName name="DFH" localSheetId="42">'[4]PLANILHA DE QUANT. E CUSTOS A'!#REF!</definedName>
    <definedName name="DFH" localSheetId="41">'[4]PLANILHA DE QUANT. E CUSTOS A'!#REF!</definedName>
    <definedName name="DFH">'[4]PLANILHA DE QUANT. E CUSTOS A'!#REF!</definedName>
    <definedName name="dois" localSheetId="42">#REF!</definedName>
    <definedName name="dois" localSheetId="205">#REF!</definedName>
    <definedName name="dois" localSheetId="41">#REF!</definedName>
    <definedName name="dois">#REF!</definedName>
    <definedName name="dre" localSheetId="42">#REF!</definedName>
    <definedName name="dre" localSheetId="41">#REF!</definedName>
    <definedName name="dre">#REF!</definedName>
    <definedName name="DREN" localSheetId="42">#REF!</definedName>
    <definedName name="DREN" localSheetId="41">#REF!</definedName>
    <definedName name="DREN">#REF!</definedName>
    <definedName name="drenag">#REF!</definedName>
    <definedName name="DRENAGEM">#REF!</definedName>
    <definedName name="DRENAGEM_17">#REF!</definedName>
    <definedName name="DRENAGEM_8">#REF!</definedName>
    <definedName name="DSDS">("$#REF!.$A$1:$H$65184~$#REF!.$A$1:$AMJ$14)))))))")</definedName>
    <definedName name="DUDU" localSheetId="42">'[13]Rede de Distribuição de Água'!#REF!</definedName>
    <definedName name="DUDU" localSheetId="205">'[13]Rede de Distribuição de Água'!#REF!</definedName>
    <definedName name="DUDU" localSheetId="41">'[13]Rede de Distribuição de Água'!#REF!</definedName>
    <definedName name="DUDU">'[13]Rede de Distribuição de Água'!#REF!</definedName>
    <definedName name="E" localSheetId="42">#REF!</definedName>
    <definedName name="E" localSheetId="205">#REF!</definedName>
    <definedName name="E" localSheetId="41">#REF!</definedName>
    <definedName name="E">#REF!</definedName>
    <definedName name="ee" localSheetId="42">[2]Reforma!#REF!</definedName>
    <definedName name="ee" localSheetId="205">[2]Reforma!#REF!</definedName>
    <definedName name="ee" localSheetId="41">[2]Reforma!#REF!</definedName>
    <definedName name="ee">[2]Reforma!#REF!</definedName>
    <definedName name="EEE" localSheetId="42">#REF!</definedName>
    <definedName name="EEE" localSheetId="205">#REF!</definedName>
    <definedName name="EEE" localSheetId="41">#REF!</definedName>
    <definedName name="EEE">#REF!</definedName>
    <definedName name="EEEEE" localSheetId="42">[2]Reforma!#REF!</definedName>
    <definedName name="EEEEE" localSheetId="205">[2]Reforma!#REF!</definedName>
    <definedName name="EEEEE" localSheetId="41">[2]Reforma!#REF!</definedName>
    <definedName name="EEEEE">[2]Reforma!#REF!</definedName>
    <definedName name="EEEEEEEEEEEEEEEEEE" localSheetId="42">#REF!</definedName>
    <definedName name="EEEEEEEEEEEEEEEEEE" localSheetId="205">#REF!</definedName>
    <definedName name="EEEEEEEEEEEEEEEEEE" localSheetId="41">#REF!</definedName>
    <definedName name="EEEEEEEEEEEEEEEEEE">#REF!</definedName>
    <definedName name="eng" localSheetId="42">#REF!</definedName>
    <definedName name="eng" localSheetId="41">#REF!</definedName>
    <definedName name="eng">#REF!</definedName>
    <definedName name="Eng.º_Const" localSheetId="42">#REF!</definedName>
    <definedName name="Eng.º_Const" localSheetId="41">#REF!</definedName>
    <definedName name="Eng.º_Const">#REF!</definedName>
    <definedName name="Eng.º_Super">#REF!</definedName>
    <definedName name="ER" localSheetId="0">[14]!PassaExtenso</definedName>
    <definedName name="ER" localSheetId="7">[14]!PassaExtenso</definedName>
    <definedName name="ER" localSheetId="8">[14]!PassaExtenso</definedName>
    <definedName name="ER" localSheetId="9">[14]!PassaExtenso</definedName>
    <definedName name="ER" localSheetId="10">[14]!PassaExtenso</definedName>
    <definedName name="ER" localSheetId="11">[14]!PassaExtenso</definedName>
    <definedName name="ER" localSheetId="12">[14]!PassaExtenso</definedName>
    <definedName name="ER" localSheetId="13">[14]!PassaExtenso</definedName>
    <definedName name="ER" localSheetId="14">[14]!PassaExtenso</definedName>
    <definedName name="ER" localSheetId="17">[14]!PassaExtenso</definedName>
    <definedName name="ER" localSheetId="91">[14]!PassaExtenso</definedName>
    <definedName name="ER" localSheetId="15">[14]!PassaExtenso</definedName>
    <definedName name="ER" localSheetId="16">[14]!PassaExtenso</definedName>
    <definedName name="ER" localSheetId="20">[14]!PassaExtenso</definedName>
    <definedName name="ER" localSheetId="27">[14]!PassaExtenso</definedName>
    <definedName name="ER" localSheetId="113">[14]!PassaExtenso</definedName>
    <definedName name="ER" localSheetId="31">[14]!PassaExtenso</definedName>
    <definedName name="ER" localSheetId="32">[14]!PassaExtenso</definedName>
    <definedName name="ER" localSheetId="33">[14]!PassaExtenso</definedName>
    <definedName name="ER" localSheetId="43">[14]!PassaExtenso</definedName>
    <definedName name="ER" localSheetId="124">[14]!PassaExtenso</definedName>
    <definedName name="ER" localSheetId="22">[14]!PassaExtenso</definedName>
    <definedName name="ER" localSheetId="77">[14]!PassaExtenso</definedName>
    <definedName name="ER" localSheetId="44">[14]!PassaExtenso</definedName>
    <definedName name="ER" localSheetId="45">[14]!PassaExtenso</definedName>
    <definedName name="ER" localSheetId="47">[14]!PassaExtenso</definedName>
    <definedName name="ER" localSheetId="21">[14]!PassaExtenso</definedName>
    <definedName name="ER" localSheetId="76">[14]!PassaExtenso</definedName>
    <definedName name="ER" localSheetId="48">[14]!PassaExtenso</definedName>
    <definedName name="ER" localSheetId="34">[14]!PassaExtenso</definedName>
    <definedName name="ER" localSheetId="123">[14]!PassaExtenso</definedName>
    <definedName name="ER" localSheetId="49">[14]!PassaExtenso</definedName>
    <definedName name="ER" localSheetId="79">[14]!PassaExtenso</definedName>
    <definedName name="ER" localSheetId="55">[14]!PassaExtenso</definedName>
    <definedName name="ER" localSheetId="80">[14]!PassaExtenso</definedName>
    <definedName name="ER" localSheetId="170">[14]!PassaExtenso</definedName>
    <definedName name="ER" localSheetId="37">[14]!PassaExtenso</definedName>
    <definedName name="ER" localSheetId="23">[14]!PassaExtenso</definedName>
    <definedName name="ER" localSheetId="24">[14]!PassaExtenso</definedName>
    <definedName name="ER" localSheetId="25">[14]!PassaExtenso</definedName>
    <definedName name="ER" localSheetId="26">[14]!PassaExtenso</definedName>
    <definedName name="ER" localSheetId="171">[14]!PassaExtenso</definedName>
    <definedName name="ER" localSheetId="172">[14]!PassaExtenso</definedName>
    <definedName name="ER" localSheetId="173">[14]!PassaExtenso</definedName>
    <definedName name="ER" localSheetId="174">[14]!PassaExtenso</definedName>
    <definedName name="ER" localSheetId="85">[14]!PassaExtenso</definedName>
    <definedName name="ER" localSheetId="56">[14]!PassaExtenso</definedName>
    <definedName name="ER" localSheetId="86">[14]!PassaExtenso</definedName>
    <definedName name="ER" localSheetId="87">[14]!PassaExtenso</definedName>
    <definedName name="ER" localSheetId="81">[14]!PassaExtenso</definedName>
    <definedName name="ER" localSheetId="82">[14]!PassaExtenso</definedName>
    <definedName name="ER" localSheetId="83">[14]!PassaExtenso</definedName>
    <definedName name="ER" localSheetId="84">[14]!PassaExtenso</definedName>
    <definedName name="ER" localSheetId="75">[14]!PassaExtenso</definedName>
    <definedName name="ER" localSheetId="88">[14]!PassaExtenso</definedName>
    <definedName name="ER" localSheetId="158">[14]!PassaExtenso</definedName>
    <definedName name="ER" localSheetId="159">[14]!PassaExtenso</definedName>
    <definedName name="ER" localSheetId="156">[14]!PassaExtenso</definedName>
    <definedName name="ER" localSheetId="57">[14]!PassaExtenso</definedName>
    <definedName name="ER" localSheetId="58">[14]!PassaExtenso</definedName>
    <definedName name="ER" localSheetId="59">[14]!PassaExtenso</definedName>
    <definedName name="ER" localSheetId="60">[14]!PassaExtenso</definedName>
    <definedName name="ER" localSheetId="61">[14]!PassaExtenso</definedName>
    <definedName name="ER" localSheetId="62">[14]!PassaExtenso</definedName>
    <definedName name="ER" localSheetId="63">[14]!PassaExtenso</definedName>
    <definedName name="ER" localSheetId="64">[14]!PassaExtenso</definedName>
    <definedName name="ER" localSheetId="65">[14]!PassaExtenso</definedName>
    <definedName name="ER" localSheetId="50">[14]!PassaExtenso</definedName>
    <definedName name="ER" localSheetId="66">[14]!PassaExtenso</definedName>
    <definedName name="ER" localSheetId="67">[14]!PassaExtenso</definedName>
    <definedName name="ER" localSheetId="68">[14]!PassaExtenso</definedName>
    <definedName name="ER" localSheetId="69">[14]!PassaExtenso</definedName>
    <definedName name="ER" localSheetId="160">[14]!PassaExtenso</definedName>
    <definedName name="ER" localSheetId="73">[14]!PassaExtenso</definedName>
    <definedName name="ER" localSheetId="168">[14]!PassaExtenso</definedName>
    <definedName name="ER" localSheetId="74">[14]!PassaExtenso</definedName>
    <definedName name="ER" localSheetId="169">[14]!PassaExtenso</definedName>
    <definedName name="ER" localSheetId="161">[14]!PassaExtenso</definedName>
    <definedName name="ER" localSheetId="162">[14]!PassaExtenso</definedName>
    <definedName name="ER" localSheetId="163">[14]!PassaExtenso</definedName>
    <definedName name="ER" localSheetId="164">[14]!PassaExtenso</definedName>
    <definedName name="ER" localSheetId="125">[14]!PassaExtenso</definedName>
    <definedName name="ER" localSheetId="71">[14]!PassaExtenso</definedName>
    <definedName name="ER" localSheetId="72">[14]!PassaExtenso</definedName>
    <definedName name="ER" localSheetId="117">[14]!PassaExtenso</definedName>
    <definedName name="ER" localSheetId="121">[14]!PassaExtenso</definedName>
    <definedName name="ER" localSheetId="118">[14]!PassaExtenso</definedName>
    <definedName name="ER" localSheetId="119">[14]!PassaExtenso</definedName>
    <definedName name="ER" localSheetId="120">[14]!PassaExtenso</definedName>
    <definedName name="ER" localSheetId="122">[14]!PassaExtenso</definedName>
    <definedName name="ER" localSheetId="114">[14]!PassaExtenso</definedName>
    <definedName name="ER" localSheetId="115">[14]!PassaExtenso</definedName>
    <definedName name="ER" localSheetId="116">[14]!PassaExtenso</definedName>
    <definedName name="ER" localSheetId="127">[14]!PassaExtenso</definedName>
    <definedName name="ER" localSheetId="128">[14]!PassaExtenso</definedName>
    <definedName name="ER" localSheetId="131">[14]!PassaExtenso</definedName>
    <definedName name="ER" localSheetId="186">[14]!PassaExtenso</definedName>
    <definedName name="ER" localSheetId="129">[14]!PassaExtenso</definedName>
    <definedName name="ER" localSheetId="98">[14]!PassaExtenso</definedName>
    <definedName name="ER" localSheetId="103">[14]!PassaExtenso</definedName>
    <definedName name="ER" localSheetId="106">[14]!PassaExtenso</definedName>
    <definedName name="ER" localSheetId="107">[14]!PassaExtenso</definedName>
    <definedName name="ER" localSheetId="93">[14]!PassaExtenso</definedName>
    <definedName name="ER" localSheetId="94">[14]!PassaExtenso</definedName>
    <definedName name="ER" localSheetId="100">[14]!PassaExtenso</definedName>
    <definedName name="ER" localSheetId="101">[14]!PassaExtenso</definedName>
    <definedName name="ER" localSheetId="102">[14]!PassaExtenso</definedName>
    <definedName name="ER" localSheetId="99">[14]!PassaExtenso</definedName>
    <definedName name="ER" localSheetId="157">[14]!PassaExtenso</definedName>
    <definedName name="ER" localSheetId="202">[14]!PassaExtenso</definedName>
    <definedName name="ER" localSheetId="97">[14]!PassaExtenso</definedName>
    <definedName name="ER" localSheetId="165">[14]!PassaExtenso</definedName>
    <definedName name="ER" localSheetId="175">[14]!PassaExtenso</definedName>
    <definedName name="ER" localSheetId="95">[14]!PassaExtenso</definedName>
    <definedName name="ER" localSheetId="166">[14]!PassaExtenso</definedName>
    <definedName name="ER" localSheetId="167">[14]!PassaExtenso</definedName>
    <definedName name="ER" localSheetId="96">[14]!PassaExtenso</definedName>
    <definedName name="ER" localSheetId="201">[14]!PassaExtenso</definedName>
    <definedName name="ER" localSheetId="130">[14]!PassaExtenso</definedName>
    <definedName name="ER" localSheetId="108">[14]!PassaExtenso</definedName>
    <definedName name="ER" localSheetId="109">[14]!PassaExtenso</definedName>
    <definedName name="ER" localSheetId="110">[14]!PassaExtenso</definedName>
    <definedName name="ER" localSheetId="111">[14]!PassaExtenso</definedName>
    <definedName name="ER" localSheetId="112">[14]!PassaExtenso</definedName>
    <definedName name="ER" localSheetId="187">[14]!PassaExtenso</definedName>
    <definedName name="ER" localSheetId="188">[14]!PassaExtenso</definedName>
    <definedName name="ER" localSheetId="189">[14]!PassaExtenso</definedName>
    <definedName name="ER" localSheetId="200">[14]!PassaExtenso</definedName>
    <definedName name="ER" localSheetId="176">[14]!PassaExtenso</definedName>
    <definedName name="ER" localSheetId="177">[14]!PassaExtenso</definedName>
    <definedName name="ER" localSheetId="181">[14]!PassaExtenso</definedName>
    <definedName name="ER" localSheetId="178">[14]!PassaExtenso</definedName>
    <definedName name="ER" localSheetId="180">[14]!PassaExtenso</definedName>
    <definedName name="ER" localSheetId="182">[14]!PassaExtenso</definedName>
    <definedName name="ER" localSheetId="143">[14]!PassaExtenso</definedName>
    <definedName name="ER" localSheetId="144">[14]!PassaExtenso</definedName>
    <definedName name="ER" localSheetId="145">[14]!PassaExtenso</definedName>
    <definedName name="ER" localSheetId="179">[14]!PassaExtenso</definedName>
    <definedName name="ER" localSheetId="206">[14]!PassaExtenso</definedName>
    <definedName name="ER" localSheetId="208">[14]!PassaExtenso</definedName>
    <definedName name="ER" localSheetId="210">[14]!PassaExtenso</definedName>
    <definedName name="ER" localSheetId="203">[14]!PassaExtenso</definedName>
    <definedName name="ER" localSheetId="204">[14]!PassaExtenso</definedName>
    <definedName name="ER" localSheetId="211">[14]!PassaExtenso</definedName>
    <definedName name="ER" localSheetId="212">[14]!PassaExtenso</definedName>
    <definedName name="ER" localSheetId="146">[14]!PassaExtenso</definedName>
    <definedName name="ER" localSheetId="147">[14]!PassaExtenso</definedName>
    <definedName name="ER" localSheetId="148">[14]!PassaExtenso</definedName>
    <definedName name="ER" localSheetId="149">[14]!PassaExtenso</definedName>
    <definedName name="ER" localSheetId="151">[14]!PassaExtenso</definedName>
    <definedName name="ER" localSheetId="150">[14]!PassaExtenso</definedName>
    <definedName name="ER" localSheetId="152">[14]!PassaExtenso</definedName>
    <definedName name="ER" localSheetId="153">[14]!PassaExtenso</definedName>
    <definedName name="ER" localSheetId="154">[14]!PassaExtenso</definedName>
    <definedName name="ER" localSheetId="155">[14]!PassaExtenso</definedName>
    <definedName name="ER" localSheetId="132">[14]!PassaExtenso</definedName>
    <definedName name="ER" localSheetId="133">[14]!PassaExtenso</definedName>
    <definedName name="ER" localSheetId="134">[14]!PassaExtenso</definedName>
    <definedName name="ER" localSheetId="218">[14]!PassaExtenso</definedName>
    <definedName name="ER" localSheetId="135">[14]!PassaExtenso</definedName>
    <definedName name="ER" localSheetId="136">[14]!PassaExtenso</definedName>
    <definedName name="ER" localSheetId="137">[14]!PassaExtenso</definedName>
    <definedName name="ER" localSheetId="138">[14]!PassaExtenso</definedName>
    <definedName name="ER" localSheetId="139">[14]!PassaExtenso</definedName>
    <definedName name="ER" localSheetId="140">[14]!PassaExtenso</definedName>
    <definedName name="ER" localSheetId="141">[14]!PassaExtenso</definedName>
    <definedName name="ER" localSheetId="142">[14]!PassaExtenso</definedName>
    <definedName name="ER" localSheetId="183">[14]!PassaExtenso</definedName>
    <definedName name="ER" localSheetId="214">[14]!PassaExtenso</definedName>
    <definedName name="ER" localSheetId="215">[14]!PassaExtenso</definedName>
    <definedName name="ER" localSheetId="216">[14]!PassaExtenso</definedName>
    <definedName name="ER" localSheetId="219">[14]!PassaExtenso</definedName>
    <definedName name="ER" localSheetId="104">[14]!PassaExtenso</definedName>
    <definedName name="ER" localSheetId="184">[14]!PassaExtenso</definedName>
    <definedName name="ER" localSheetId="185">[14]!PassaExtenso</definedName>
    <definedName name="ER" localSheetId="105">[14]!PassaExtenso</definedName>
    <definedName name="ER" localSheetId="220">[14]!PassaExtenso</definedName>
    <definedName name="ER" localSheetId="207">[14]!PassaExtenso</definedName>
    <definedName name="ER" localSheetId="89">[14]!PassaExtenso</definedName>
    <definedName name="ER" localSheetId="92">[14]!PassaExtenso</definedName>
    <definedName name="ER">[14]!PassaExtenso</definedName>
    <definedName name="ES" localSheetId="42">[2]Reforma!#REF!</definedName>
    <definedName name="ES" localSheetId="205">[2]Reforma!#REF!</definedName>
    <definedName name="ES" localSheetId="41">[2]Reforma!#REF!</definedName>
    <definedName name="ES">[2]Reforma!#REF!</definedName>
    <definedName name="Esc.3" localSheetId="42">#REF!</definedName>
    <definedName name="Esc.3" localSheetId="205">#REF!</definedName>
    <definedName name="Esc.3" localSheetId="41">#REF!</definedName>
    <definedName name="Esc.3">#REF!</definedName>
    <definedName name="ESQUADRIAS">[8]Plan1!$A$121:$A$125</definedName>
    <definedName name="ESTABILIDADE">[8]Plan1!$A$163:$A$165</definedName>
    <definedName name="ESTADO_CONSERVACAO">[8]Plan1!$A$134:$A$140</definedName>
    <definedName name="eu" localSheetId="42" hidden="1">{#N/A,#N/A,FALSE,"MO (2)"}</definedName>
    <definedName name="eu" localSheetId="205" hidden="1">{#N/A,#N/A,FALSE,"MO (2)"}</definedName>
    <definedName name="eu" localSheetId="41" hidden="1">{#N/A,#N/A,FALSE,"MO (2)"}</definedName>
    <definedName name="eu" hidden="1">{#N/A,#N/A,FALSE,"MO (2)"}</definedName>
    <definedName name="Excel_BuiltIn__FilterDatabase_1" localSheetId="42">#REF!</definedName>
    <definedName name="Excel_BuiltIn__FilterDatabase_1" localSheetId="205">#REF!</definedName>
    <definedName name="Excel_BuiltIn__FilterDatabase_1" localSheetId="41">#REF!</definedName>
    <definedName name="Excel_BuiltIn__FilterDatabase_1">#REF!</definedName>
    <definedName name="Excel_BuiltIn__FilterDatabase_10" localSheetId="42">#REF!</definedName>
    <definedName name="Excel_BuiltIn__FilterDatabase_10" localSheetId="41">#REF!</definedName>
    <definedName name="Excel_BuiltIn__FilterDatabase_10">#REF!</definedName>
    <definedName name="Excel_BuiltIn__FilterDatabase_10_1">#REF!</definedName>
    <definedName name="Excel_BuiltIn__FilterDatabase_10_12" localSheetId="42">#REF!</definedName>
    <definedName name="Excel_BuiltIn__FilterDatabase_10_12" localSheetId="41">#REF!</definedName>
    <definedName name="Excel_BuiltIn__FilterDatabase_10_12">#REF!</definedName>
    <definedName name="Excel_BuiltIn__FilterDatabase_11">#REF!</definedName>
    <definedName name="Excel_BuiltIn__FilterDatabase_12">#REF!</definedName>
    <definedName name="Excel_BuiltIn__FilterDatabase_13">#REF!</definedName>
    <definedName name="Excel_BuiltIn__FilterDatabase_14">#REF!</definedName>
    <definedName name="Excel_BuiltIn__FilterDatabase_15">#REF!</definedName>
    <definedName name="Excel_BuiltIn__FilterDatabase_16">#REF!</definedName>
    <definedName name="Excel_BuiltIn__FilterDatabase_17">#REF!</definedName>
    <definedName name="Excel_BuiltIn__FilterDatabase_18">#REF!</definedName>
    <definedName name="Excel_BuiltIn__FilterDatabase_2">#REF!</definedName>
    <definedName name="Excel_BuiltIn__FilterDatabase_3">#REF!</definedName>
    <definedName name="Excel_BuiltIn__FilterDatabase_3_1">#REF!</definedName>
    <definedName name="Excel_BuiltIn__FilterDatabase_3_1_1">#REF!</definedName>
    <definedName name="Excel_BuiltIn__FilterDatabase_3_4">#REF!</definedName>
    <definedName name="Excel_BuiltIn__FilterDatabase_3_5">#REF!</definedName>
    <definedName name="Excel_BuiltIn__FilterDatabase_3_6">#REF!</definedName>
    <definedName name="Excel_BuiltIn__FilterDatabase_3_7">#REF!</definedName>
    <definedName name="Excel_BuiltIn__FilterDatabase_3_8">#REF!</definedName>
    <definedName name="Excel_BuiltIn__FilterDatabase_3_9">#REF!</definedName>
    <definedName name="Excel_BuiltIn__FilterDatabase_4">#REF!</definedName>
    <definedName name="Excel_BuiltIn__FilterDatabase_4_1" localSheetId="205">#REF!</definedName>
    <definedName name="Excel_BuiltIn__FilterDatabase_4_1" localSheetId="41">#REF!</definedName>
    <definedName name="Excel_BuiltIn__FilterDatabase_4_1">'[15]Orientaçao Terraplenagem'!#REF!</definedName>
    <definedName name="Excel_BuiltIn__FilterDatabase_4_10" localSheetId="41">'[16]Orientaçao Terraplenagem'!#REF!</definedName>
    <definedName name="Excel_BuiltIn__FilterDatabase_4_10">'[16]Orientaçao Terraplenagem'!#REF!</definedName>
    <definedName name="Excel_BuiltIn__FilterDatabase_5" localSheetId="42">#REF!</definedName>
    <definedName name="Excel_BuiltIn__FilterDatabase_5" localSheetId="205">#REF!</definedName>
    <definedName name="Excel_BuiltIn__FilterDatabase_5" localSheetId="41">#REF!</definedName>
    <definedName name="Excel_BuiltIn__FilterDatabase_5">#REF!</definedName>
    <definedName name="Excel_BuiltIn__FilterDatabase_5_1">#REF!</definedName>
    <definedName name="Excel_BuiltIn__FilterDatabase_5_1_1">#REF!</definedName>
    <definedName name="Excel_BuiltIn__FilterDatabase_6" localSheetId="42">#REF!</definedName>
    <definedName name="Excel_BuiltIn__FilterDatabase_6" localSheetId="41">#REF!</definedName>
    <definedName name="Excel_BuiltIn__FilterDatabase_6">#REF!</definedName>
    <definedName name="Excel_BuiltIn__FilterDatabase_6_1">#REF!</definedName>
    <definedName name="Excel_BuiltIn__FilterDatabase_7" localSheetId="205">#REF!</definedName>
    <definedName name="Excel_BuiltIn__FilterDatabase_7" localSheetId="41">#REF!</definedName>
    <definedName name="Excel_BuiltIn__FilterDatabase_7">"$Terraplenagem.$#REF!$#REF!:$#REF!$#REF!"</definedName>
    <definedName name="Excel_BuiltIn__FilterDatabase_7_1" localSheetId="205">#REF!</definedName>
    <definedName name="Excel_BuiltIn__FilterDatabase_7_1">#REF!</definedName>
    <definedName name="Excel_BuiltIn__FilterDatabase_8" localSheetId="205">#REF!</definedName>
    <definedName name="Excel_BuiltIn__FilterDatabase_8" localSheetId="41">#REF!</definedName>
    <definedName name="Excel_BuiltIn__FilterDatabase_8">"$#REF!.$#REF!$#REF!:$#REF!$#REF!"</definedName>
    <definedName name="Excel_BuiltIn__FilterDatabase_8_1" localSheetId="205">#REF!</definedName>
    <definedName name="Excel_BuiltIn__FilterDatabase_8_1">#REF!</definedName>
    <definedName name="Excel_BuiltIn__FilterDatabase_9" localSheetId="205">#REF!</definedName>
    <definedName name="Excel_BuiltIn__FilterDatabase_9" localSheetId="41">#REF!</definedName>
    <definedName name="Excel_BuiltIn__FilterDatabase_9">"$#REF!.$#REF!$#REF!:$#REF!$#REF!"</definedName>
    <definedName name="Excel_BuiltIn__FilterDatabase_9_1" localSheetId="205">#REF!</definedName>
    <definedName name="Excel_BuiltIn__FilterDatabase_9_1">#REF!</definedName>
    <definedName name="Excel_BuiltIn_Database" localSheetId="42">#REF!</definedName>
    <definedName name="Excel_BuiltIn_Database" localSheetId="41">#REF!</definedName>
    <definedName name="Excel_BuiltIn_Database">#REF!</definedName>
    <definedName name="Excel_BuiltIn_Database_1" localSheetId="42">#REF!</definedName>
    <definedName name="Excel_BuiltIn_Database_1" localSheetId="41">#REF!</definedName>
    <definedName name="Excel_BuiltIn_Database_1">#REF!</definedName>
    <definedName name="Excel_BuiltIn_Database_6" localSheetId="42">#REF!</definedName>
    <definedName name="Excel_BuiltIn_Database_6" localSheetId="41">#REF!</definedName>
    <definedName name="Excel_BuiltIn_Database_6">#REF!</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1_1_1_1_1">#REF!</definedName>
    <definedName name="Excel_BuiltIn_Print_Area_1_1_1_1_1_1">#REF!</definedName>
    <definedName name="Excel_BuiltIn_Print_Area_1_1_1_1_1_1_1">#REF!</definedName>
    <definedName name="Excel_BuiltIn_Print_Area_1_1_1_1_1_1_1_1">#REF!</definedName>
    <definedName name="Excel_BuiltIn_Print_Area_1_1_1_1_1_1_1_1_1">#REF!</definedName>
    <definedName name="Excel_BuiltIn_Print_Area_10">#REF!</definedName>
    <definedName name="Excel_BuiltIn_Print_Area_10_1">#REF!</definedName>
    <definedName name="Excel_BuiltIn_Print_Area_11">#REF!</definedName>
    <definedName name="Excel_BuiltIn_Print_Area_11_1">#REF!</definedName>
    <definedName name="Excel_BuiltIn_Print_Area_11_1_1">#REF!</definedName>
    <definedName name="Excel_BuiltIn_Print_Area_11_1_1_1">#REF!</definedName>
    <definedName name="Excel_BuiltIn_Print_Area_12_1">#REF!</definedName>
    <definedName name="Excel_BuiltIn_Print_Area_12_1_1">#REF!</definedName>
    <definedName name="Excel_BuiltIn_Print_Area_13">#REF!</definedName>
    <definedName name="Excel_BuiltIn_Print_Area_13_1">#REF!</definedName>
    <definedName name="Excel_BuiltIn_Print_Area_14">#REF!</definedName>
    <definedName name="Excel_BuiltIn_Print_Area_14_1">#REF!</definedName>
    <definedName name="Excel_BuiltIn_Print_Area_15">#REF!</definedName>
    <definedName name="Excel_BuiltIn_Print_Area_16">#REF!</definedName>
    <definedName name="Excel_BuiltIn_Print_Area_17">#REF!</definedName>
    <definedName name="Excel_BuiltIn_Print_Area_18">#REF!</definedName>
    <definedName name="Excel_BuiltIn_Print_Area_19">#REF!</definedName>
    <definedName name="Excel_BuiltIn_Print_Area_2">#REF!</definedName>
    <definedName name="Excel_BuiltIn_Print_Area_2_1">#REF!</definedName>
    <definedName name="Excel_BuiltIn_Print_Area_20">#REF!</definedName>
    <definedName name="Excel_BuiltIn_Print_Area_20_1">#REF!</definedName>
    <definedName name="Excel_BuiltIn_Print_Area_21">#REF!</definedName>
    <definedName name="Excel_BuiltIn_Print_Area_22">#REF!</definedName>
    <definedName name="Excel_BuiltIn_Print_Area_23">#REF!</definedName>
    <definedName name="Excel_BuiltIn_Print_Area_24">#REF!</definedName>
    <definedName name="Excel_BuiltIn_Print_Area_24_1">#REF!</definedName>
    <definedName name="Excel_BuiltIn_Print_Area_25">#REF!</definedName>
    <definedName name="Excel_BuiltIn_Print_Area_26">#REF!</definedName>
    <definedName name="Excel_BuiltIn_Print_Area_27">#REF!</definedName>
    <definedName name="Excel_BuiltIn_Print_Area_28">#REF!</definedName>
    <definedName name="Excel_BuiltIn_Print_Area_29">#REF!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1_1_1">#REF!</definedName>
    <definedName name="Excel_BuiltIn_Print_Area_30">#REF!</definedName>
    <definedName name="Excel_BuiltIn_Print_Area_31">#REF!</definedName>
    <definedName name="Excel_BuiltIn_Print_Area_32">#REF!</definedName>
    <definedName name="Excel_BuiltIn_Print_Area_33">#REF!</definedName>
    <definedName name="Excel_BuiltIn_Print_Area_34">#REF!</definedName>
    <definedName name="Excel_BuiltIn_Print_Area_35">#REF!</definedName>
    <definedName name="Excel_BuiltIn_Print_Area_36">#REF!</definedName>
    <definedName name="Excel_BuiltIn_Print_Area_37">#REF!</definedName>
    <definedName name="Excel_BuiltIn_Print_Area_38">#REF!</definedName>
    <definedName name="Excel_BuiltIn_Print_Area_4">#REF!</definedName>
    <definedName name="Excel_BuiltIn_Print_Area_4_1">#REF!</definedName>
    <definedName name="Excel_BuiltIn_Print_Area_4_1_1" localSheetId="205">#REF!</definedName>
    <definedName name="Excel_BuiltIn_Print_Area_4_1_1" localSheetId="41">#REF!</definedName>
    <definedName name="Excel_BuiltIn_Print_Area_4_1_1">"$#REF!.$A$3:$BN$276"</definedName>
    <definedName name="Excel_BuiltIn_Print_Area_5" localSheetId="205">#REF!</definedName>
    <definedName name="Excel_BuiltIn_Print_Area_5" localSheetId="41">#REF!</definedName>
    <definedName name="Excel_BuiltIn_Print_Area_5">"$#REF!.$A$1:$H$302"</definedName>
    <definedName name="Excel_BuiltIn_Print_Area_5_1" localSheetId="42">#REF!</definedName>
    <definedName name="Excel_BuiltIn_Print_Area_5_1" localSheetId="205">#REF!</definedName>
    <definedName name="Excel_BuiltIn_Print_Area_5_1" localSheetId="41">#REF!</definedName>
    <definedName name="Excel_BuiltIn_Print_Area_5_1">#REF!</definedName>
    <definedName name="Excel_BuiltIn_Print_Area_5_1_1" localSheetId="42">#REF!</definedName>
    <definedName name="Excel_BuiltIn_Print_Area_5_1_1" localSheetId="41">#REF!</definedName>
    <definedName name="Excel_BuiltIn_Print_Area_5_1_1">#REF!</definedName>
    <definedName name="Excel_BuiltIn_Print_Area_5_1_1_1" localSheetId="42">#REF!</definedName>
    <definedName name="Excel_BuiltIn_Print_Area_5_1_1_1" localSheetId="41">#REF!</definedName>
    <definedName name="Excel_BuiltIn_Print_Area_5_1_1_1">#REF!</definedName>
    <definedName name="Excel_BuiltIn_Print_Area_5_6">#REF!</definedName>
    <definedName name="Excel_BuiltIn_Print_Area_5_7">#REF!</definedName>
    <definedName name="Excel_BuiltIn_Print_Area_6" localSheetId="205">#REF!</definedName>
    <definedName name="Excel_BuiltIn_Print_Area_6" localSheetId="41">#REF!</definedName>
    <definedName name="Excel_BuiltIn_Print_Area_6">"$#REF!.$A$1:$X$14"</definedName>
    <definedName name="Excel_BuiltIn_Print_Area_6_1" localSheetId="42">#REF!</definedName>
    <definedName name="Excel_BuiltIn_Print_Area_6_1" localSheetId="205">#REF!</definedName>
    <definedName name="Excel_BuiltIn_Print_Area_6_1" localSheetId="41">#REF!</definedName>
    <definedName name="Excel_BuiltIn_Print_Area_6_1">#REF!</definedName>
    <definedName name="Excel_BuiltIn_Print_Area_6_1_1" localSheetId="42">#REF!</definedName>
    <definedName name="Excel_BuiltIn_Print_Area_6_1_1" localSheetId="41">#REF!</definedName>
    <definedName name="Excel_BuiltIn_Print_Area_6_1_1">#REF!</definedName>
    <definedName name="Excel_BuiltIn_Print_Area_6_1_1_1">#REF!</definedName>
    <definedName name="Excel_BuiltIn_Print_Area_7" localSheetId="205">#REF!</definedName>
    <definedName name="Excel_BuiltIn_Print_Area_7" localSheetId="41">#REF!</definedName>
    <definedName name="Excel_BuiltIn_Print_Area_7">"$#REF!.$A$1:$G$30"</definedName>
    <definedName name="Excel_BuiltIn_Print_Area_7_1" localSheetId="42">#REF!</definedName>
    <definedName name="Excel_BuiltIn_Print_Area_7_1" localSheetId="205">#REF!</definedName>
    <definedName name="Excel_BuiltIn_Print_Area_7_1" localSheetId="41">#REF!</definedName>
    <definedName name="Excel_BuiltIn_Print_Area_7_1">#REF!</definedName>
    <definedName name="Excel_BuiltIn_Print_Area_7_1_1" localSheetId="42">#REF!</definedName>
    <definedName name="Excel_BuiltIn_Print_Area_7_1_1" localSheetId="41">#REF!</definedName>
    <definedName name="Excel_BuiltIn_Print_Area_7_1_1">#REF!</definedName>
    <definedName name="Excel_BuiltIn_Print_Area_8">#REF!</definedName>
    <definedName name="Excel_BuiltIn_Print_Area_8_1" localSheetId="42">#REF!</definedName>
    <definedName name="Excel_BuiltIn_Print_Area_8_1" localSheetId="41">#REF!</definedName>
    <definedName name="Excel_BuiltIn_Print_Area_8_1">#REF!</definedName>
    <definedName name="Excel_BuiltIn_Print_Area_8_1_1">([1]EMERGÊNCIA!$A$1:$N$213,[1]EMERGÊNCIA!$A$214:$N$290)</definedName>
    <definedName name="Excel_BuiltIn_Print_Area_8_1_1_1">([1]EMERGÊNCIA!$A$1:$N$213,[1]EMERGÊNCIA!$A$214:$N$290)</definedName>
    <definedName name="Excel_BuiltIn_Print_Area_9" localSheetId="205">#REF!</definedName>
    <definedName name="Excel_BuiltIn_Print_Area_9">#REF!</definedName>
    <definedName name="Excel_BuiltIn_Print_Area_9_1" localSheetId="42">#REF!</definedName>
    <definedName name="Excel_BuiltIn_Print_Area_9_1" localSheetId="205">#REF!</definedName>
    <definedName name="Excel_BuiltIn_Print_Area_9_1">#REF!</definedName>
    <definedName name="Excel_BuiltIn_Print_Area_9_1_1" localSheetId="42">#REF!</definedName>
    <definedName name="Excel_BuiltIn_Print_Area_9_1_1">#REF!</definedName>
    <definedName name="Excel_BuiltIn_Print_Area_9_1_1_1">#REF!</definedName>
    <definedName name="Excel_BuiltIn_Print_Titles_1">#REF!</definedName>
    <definedName name="Excel_BuiltIn_Print_Titles_1_1">#REF!</definedName>
    <definedName name="Excel_BuiltIn_Print_Titles_1_1_1">#REF!</definedName>
    <definedName name="Excel_BuiltIn_Print_Titles_10">#REF!</definedName>
    <definedName name="Excel_BuiltIn_Print_Titles_11">#REF!</definedName>
    <definedName name="Excel_BuiltIn_Print_Titles_12">#REF!</definedName>
    <definedName name="Excel_BuiltIn_Print_Titles_13">#REF!</definedName>
    <definedName name="Excel_BuiltIn_Print_Titles_14">#REF!</definedName>
    <definedName name="Excel_BuiltIn_Print_Titles_15">#REF!</definedName>
    <definedName name="Excel_BuiltIn_Print_Titles_16">#REF!</definedName>
    <definedName name="Excel_BuiltIn_Print_Titles_17">#REF!</definedName>
    <definedName name="Excel_BuiltIn_Print_Titles_18">#REF!</definedName>
    <definedName name="Excel_BuiltIn_Print_Titles_19">#REF!</definedName>
    <definedName name="Excel_BuiltIn_Print_Titles_2">#REF!</definedName>
    <definedName name="Excel_BuiltIn_Print_Titles_2_1">#REF!</definedName>
    <definedName name="Excel_BuiltIn_Print_Titles_20">#REF!</definedName>
    <definedName name="Excel_BuiltIn_Print_Titles_21">#REF!</definedName>
    <definedName name="Excel_BuiltIn_Print_Titles_22">#REF!</definedName>
    <definedName name="Excel_BuiltIn_Print_Titles_23">#REF!</definedName>
    <definedName name="Excel_BuiltIn_Print_Titles_24">#REF!</definedName>
    <definedName name="Excel_BuiltIn_Print_Titles_25">#REF!</definedName>
    <definedName name="Excel_BuiltIn_Print_Titles_26">#REF!</definedName>
    <definedName name="Excel_BuiltIn_Print_Titles_27">#REF!</definedName>
    <definedName name="Excel_BuiltIn_Print_Titles_28">#REF!</definedName>
    <definedName name="Excel_BuiltIn_Print_Titles_29">#REF!</definedName>
    <definedName name="Excel_BuiltIn_Print_Titles_3">#REF!</definedName>
    <definedName name="Excel_BuiltIn_Print_Titles_3_1">#REF!</definedName>
    <definedName name="Excel_BuiltIn_Print_Titles_3_1_1">#REF!</definedName>
    <definedName name="Excel_BuiltIn_Print_Titles_3_1_1_1">#REF!</definedName>
    <definedName name="Excel_BuiltIn_Print_Titles_3_4">#REF!</definedName>
    <definedName name="Excel_BuiltIn_Print_Titles_3_5">#REF!</definedName>
    <definedName name="Excel_BuiltIn_Print_Titles_3_6">#REF!</definedName>
    <definedName name="Excel_BuiltIn_Print_Titles_3_7">#REF!</definedName>
    <definedName name="Excel_BuiltIn_Print_Titles_3_8">#REF!</definedName>
    <definedName name="Excel_BuiltIn_Print_Titles_3_9">#REF!</definedName>
    <definedName name="Excel_BuiltIn_Print_Titles_30">#REF!</definedName>
    <definedName name="Excel_BuiltIn_Print_Titles_31">#REF!</definedName>
    <definedName name="Excel_BuiltIn_Print_Titles_32">#REF!</definedName>
    <definedName name="Excel_BuiltIn_Print_Titles_33">#REF!</definedName>
    <definedName name="Excel_BuiltIn_Print_Titles_34">#REF!</definedName>
    <definedName name="Excel_BuiltIn_Print_Titles_35">#REF!</definedName>
    <definedName name="Excel_BuiltIn_Print_Titles_36">#REF!</definedName>
    <definedName name="Excel_BuiltIn_Print_Titles_37">#REF!</definedName>
    <definedName name="Excel_BuiltIn_Print_Titles_38">#REF!</definedName>
    <definedName name="Excel_BuiltIn_Print_Titles_4">#REF!</definedName>
    <definedName name="Excel_BuiltIn_Print_Titles_4_1">#REF!</definedName>
    <definedName name="Excel_BuiltIn_Print_Titles_4_1_1">#REF!</definedName>
    <definedName name="Excel_BuiltIn_Print_Titles_5" localSheetId="205">#REF!</definedName>
    <definedName name="Excel_BuiltIn_Print_Titles_5" localSheetId="41">#REF!</definedName>
    <definedName name="Excel_BuiltIn_Print_Titles_5">("$#REF!.$A$1:$H$65184~$#REF!.$A$1:$AMJ$14))))))))))))))))))))))")</definedName>
    <definedName name="Excel_BuiltIn_Print_Titles_5_1" localSheetId="42">#REF!</definedName>
    <definedName name="Excel_BuiltIn_Print_Titles_5_1" localSheetId="205">#REF!</definedName>
    <definedName name="Excel_BuiltIn_Print_Titles_5_1" localSheetId="41">#REF!</definedName>
    <definedName name="Excel_BuiltIn_Print_Titles_5_1">#REF!</definedName>
    <definedName name="Excel_BuiltIn_Print_Titles_5_1_1" localSheetId="42">#REF!</definedName>
    <definedName name="Excel_BuiltIn_Print_Titles_5_1_1" localSheetId="41">#REF!</definedName>
    <definedName name="Excel_BuiltIn_Print_Titles_5_1_1">#REF!</definedName>
    <definedName name="Excel_BuiltIn_Print_Titles_5_1_1_1">#REF!</definedName>
    <definedName name="Excel_BuiltIn_Print_Titles_6" localSheetId="205">#REF!</definedName>
    <definedName name="Excel_BuiltIn_Print_Titles_6" localSheetId="41">#REF!</definedName>
    <definedName name="Excel_BuiltIn_Print_Titles_6">("$#REF!.$A$1:$X$65206~$#REF!.$A$1:$AMJ$7))))))))))))))))))))))")</definedName>
    <definedName name="Excel_BuiltIn_Print_Titles_6_1" localSheetId="42">#REF!</definedName>
    <definedName name="Excel_BuiltIn_Print_Titles_6_1" localSheetId="205">#REF!</definedName>
    <definedName name="Excel_BuiltIn_Print_Titles_6_1" localSheetId="41">#REF!</definedName>
    <definedName name="Excel_BuiltIn_Print_Titles_6_1">#REF!</definedName>
    <definedName name="Excel_BuiltIn_Print_Titles_6_1_1">#REF!</definedName>
    <definedName name="Excel_BuiltIn_Print_Titles_7" localSheetId="42">#REF!</definedName>
    <definedName name="Excel_BuiltIn_Print_Titles_7" localSheetId="41">#REF!</definedName>
    <definedName name="Excel_BuiltIn_Print_Titles_7">#REF!</definedName>
    <definedName name="Excel_BuiltIn_Print_Titles_7_1">#REF!</definedName>
    <definedName name="Excel_BuiltIn_Print_Titles_8">#REF!</definedName>
    <definedName name="Excel_BuiltIn_Print_Titles_9" localSheetId="42">#REF!</definedName>
    <definedName name="Excel_BuiltIn_Print_Titles_9" localSheetId="41">#REF!</definedName>
    <definedName name="Excel_BuiltIn_Print_Titles_9">#REF!</definedName>
    <definedName name="Excel_BuiltIn_Print_Titles_9_1">#REF!</definedName>
    <definedName name="EXTENSÃO">#REF!</definedName>
    <definedName name="EXTENSÃO_1">#REF!</definedName>
    <definedName name="extred100" localSheetId="42">[17]MEMORIAL!#REF!</definedName>
    <definedName name="extred100" localSheetId="205">[17]MEMORIAL!#REF!</definedName>
    <definedName name="extred100" localSheetId="41">[17]MEMORIAL!#REF!</definedName>
    <definedName name="extred100">[17]MEMORIAL!#REF!</definedName>
    <definedName name="EXTREDE" localSheetId="42">#REF!</definedName>
    <definedName name="EXTREDE" localSheetId="205">#REF!</definedName>
    <definedName name="EXTREDE" localSheetId="41">#REF!</definedName>
    <definedName name="EXTREDE">#REF!</definedName>
    <definedName name="EXTREDE_1" localSheetId="42">#REF!</definedName>
    <definedName name="EXTREDE_1" localSheetId="41">#REF!</definedName>
    <definedName name="EXTREDE_1">#REF!</definedName>
    <definedName name="FACILID_ESTACIONAMENTO">[8]Plan1!$A$30:$A$33</definedName>
    <definedName name="FAF" localSheetId="205">#REF!</definedName>
    <definedName name="FAF" localSheetId="41">#REF!</definedName>
    <definedName name="FAF">#REF!</definedName>
    <definedName name="FAMILIAS" localSheetId="205">#REF!</definedName>
    <definedName name="FAMILIAS">#REF!</definedName>
    <definedName name="FatSabadoOut">'[18]TrafContExpan-NoPrint'!$O$5</definedName>
    <definedName name="FatSextaOut">'[18]TrafContExpan-NoPrint'!$O$4</definedName>
    <definedName name="fd" localSheetId="42">#REF!</definedName>
    <definedName name="fd" localSheetId="205">#REF!</definedName>
    <definedName name="fd" localSheetId="41">#REF!</definedName>
    <definedName name="fd">#REF!</definedName>
    <definedName name="FDDFASD">#REF!</definedName>
    <definedName name="FDEee" localSheetId="42">#REF!</definedName>
    <definedName name="FDEee" localSheetId="41">#REF!</definedName>
    <definedName name="FDEee">#REF!</definedName>
    <definedName name="FECHAMENTO_PAREDES">[8]Plan1!$A$101:$A$105</definedName>
    <definedName name="ffdf" localSheetId="42">#REF!</definedName>
    <definedName name="ffdf" localSheetId="205">#REF!</definedName>
    <definedName name="ffdf" localSheetId="41">#REF!</definedName>
    <definedName name="ffdf">#REF!</definedName>
    <definedName name="FINALIDADE">[8]Plan1!$A$8:$A$18</definedName>
    <definedName name="FOFO" localSheetId="42">#REF!</definedName>
    <definedName name="FOFO" localSheetId="205">#REF!</definedName>
    <definedName name="FOFO" localSheetId="41">#REF!</definedName>
    <definedName name="FOFO">#REF!</definedName>
    <definedName name="FOFO150" localSheetId="42">#REF!</definedName>
    <definedName name="FOFO150" localSheetId="41">#REF!</definedName>
    <definedName name="FOFO150">#REF!</definedName>
    <definedName name="FOFO200" localSheetId="42">#REF!</definedName>
    <definedName name="FOFO200" localSheetId="41">#REF!</definedName>
    <definedName name="FOFO200">#REF!</definedName>
    <definedName name="FOFO50">#REF!</definedName>
    <definedName name="FOFO75">#REF!</definedName>
    <definedName name="FOFO80">#REF!</definedName>
    <definedName name="folha">#REF!</definedName>
    <definedName name="folhas">#REF!</definedName>
    <definedName name="form01a">#REF!</definedName>
    <definedName name="form01b">#REF!</definedName>
    <definedName name="FORMATO">[8]Plan1!$A$46:$A$51</definedName>
    <definedName name="Formula" localSheetId="42">#REF!</definedName>
    <definedName name="Formula" localSheetId="205">#REF!</definedName>
    <definedName name="Formula" localSheetId="41">#REF!</definedName>
    <definedName name="Formula">#REF!</definedName>
    <definedName name="Formula_1" localSheetId="42">#REF!</definedName>
    <definedName name="Formula_1" localSheetId="41">#REF!</definedName>
    <definedName name="Formula_1">#REF!</definedName>
    <definedName name="Formula_10" localSheetId="42">#REF!</definedName>
    <definedName name="Formula_10" localSheetId="41">#REF!</definedName>
    <definedName name="Formula_10">#REF!</definedName>
    <definedName name="Formula_2">#REF!</definedName>
    <definedName name="Formula_3">#REF!</definedName>
    <definedName name="Formula_4">#REF!</definedName>
    <definedName name="Formula_5">#REF!</definedName>
    <definedName name="Formula_5_1">#REF!</definedName>
    <definedName name="Formula_6">#REF!</definedName>
    <definedName name="FRD">#REF!</definedName>
    <definedName name="frtiop">[19]Planilha!$C$126:$D$130</definedName>
    <definedName name="FUNDAMENTACAO_PRECISAO">[8]Plan1!$A$206:$A$210</definedName>
    <definedName name="g" localSheetId="42">#REF!</definedName>
    <definedName name="g" localSheetId="205">#REF!</definedName>
    <definedName name="g" localSheetId="41">#REF!</definedName>
    <definedName name="g">#REF!</definedName>
    <definedName name="gasdfsdfase">#REF!</definedName>
    <definedName name="gfdgh" localSheetId="42">#REF!</definedName>
    <definedName name="gfdgh" localSheetId="41">#REF!</definedName>
    <definedName name="gfdgh">#REF!</definedName>
    <definedName name="gfhfgh">#REF!</definedName>
    <definedName name="gfhfgh___6">#REF!</definedName>
    <definedName name="gfhfgh___6_1">#REF!</definedName>
    <definedName name="gfhfgh___6_1_1">#REF!</definedName>
    <definedName name="gfhfgh_1">#REF!</definedName>
    <definedName name="gfhfgh_1_1">#REF!</definedName>
    <definedName name="ggg" localSheetId="42">#REF!</definedName>
    <definedName name="ggg" localSheetId="41">#REF!</definedName>
    <definedName name="ggg">#REF!</definedName>
    <definedName name="GGGG">#REF!</definedName>
    <definedName name="ghd">#REF!</definedName>
    <definedName name="gil">#REF!</definedName>
    <definedName name="HABITABILIDADE">[8]Plan1!$A$159:$A$162</definedName>
    <definedName name="hd" localSheetId="42">#REF!</definedName>
    <definedName name="hd" localSheetId="205">#REF!</definedName>
    <definedName name="hd" localSheetId="41">#REF!</definedName>
    <definedName name="hd">#REF!</definedName>
    <definedName name="hh" localSheetId="42">#REF!</definedName>
    <definedName name="hh" localSheetId="41">#REF!</definedName>
    <definedName name="hh">#REF!</definedName>
    <definedName name="HHHHHHHHHHHHHHHHHHHHHH" localSheetId="42">#REF!</definedName>
    <definedName name="HHHHHHHHHHHHHHHHHHHHHH" localSheetId="41">#REF!</definedName>
    <definedName name="HHHHHHHHHHHHHHHHHHHHHH">#REF!</definedName>
    <definedName name="hjjhj">#REF!</definedName>
    <definedName name="hjjhj_1">#REF!</definedName>
    <definedName name="hjjhj_1_1">#REF!</definedName>
    <definedName name="hnc">#REF!</definedName>
    <definedName name="Im">#REF!</definedName>
    <definedName name="INCLINACAO">[8]Plan1!$A$56:$A$59</definedName>
    <definedName name="ind" localSheetId="42">#REF!</definedName>
    <definedName name="ind" localSheetId="205">#REF!</definedName>
    <definedName name="ind" localSheetId="41">#REF!</definedName>
    <definedName name="ind">#REF!</definedName>
    <definedName name="ÍND" localSheetId="42">#REF!</definedName>
    <definedName name="ÍND" localSheetId="41">#REF!</definedName>
    <definedName name="ÍND">#REF!</definedName>
    <definedName name="INDICE" localSheetId="42">#REF!</definedName>
    <definedName name="INDICE" localSheetId="41">#REF!</definedName>
    <definedName name="INDICE">#REF!</definedName>
    <definedName name="INDICE_10">[20]Planilha!$C$126:$D$130</definedName>
    <definedName name="INDICE_13">[21]Planilha!$C$126:$D$130</definedName>
    <definedName name="INDICE_16" localSheetId="42">#REF!</definedName>
    <definedName name="INDICE_16" localSheetId="205">#REF!</definedName>
    <definedName name="INDICE_16" localSheetId="41">#REF!</definedName>
    <definedName name="INDICE_16">#REF!</definedName>
    <definedName name="INDICE_17" localSheetId="42">#REF!</definedName>
    <definedName name="INDICE_17" localSheetId="41">#REF!</definedName>
    <definedName name="INDICE_17">#REF!</definedName>
    <definedName name="INDICE_2" localSheetId="42">#REF!</definedName>
    <definedName name="INDICE_2" localSheetId="41">#REF!</definedName>
    <definedName name="INDICE_2">#REF!</definedName>
    <definedName name="INDICE_5">#REF!</definedName>
    <definedName name="indice2">#REF!</definedName>
    <definedName name="intemizacao">#REF!</definedName>
    <definedName name="Io">#REF!</definedName>
    <definedName name="ISS">#REF!</definedName>
    <definedName name="IT">#REF!</definedName>
    <definedName name="ITEM">[22]Plan1!$E$3:$E$5</definedName>
    <definedName name="item1.1" localSheetId="42">#REF!</definedName>
    <definedName name="item1.1" localSheetId="205">#REF!</definedName>
    <definedName name="item1.1" localSheetId="41">#REF!</definedName>
    <definedName name="item1.1">#REF!</definedName>
    <definedName name="item1.2" localSheetId="41">#REF!</definedName>
    <definedName name="item1.2">#REF!</definedName>
    <definedName name="item1.3" localSheetId="41">#REF!</definedName>
    <definedName name="item1.3">#REF!</definedName>
    <definedName name="item1.4">#REF!</definedName>
    <definedName name="item1.5">#REF!</definedName>
    <definedName name="item1.6">#REF!</definedName>
    <definedName name="item10.1">#REF!</definedName>
    <definedName name="item10.10">#REF!</definedName>
    <definedName name="item10.11">#REF!</definedName>
    <definedName name="item10.12">#REF!</definedName>
    <definedName name="item10.13">#REF!</definedName>
    <definedName name="item10.14">#REF!</definedName>
    <definedName name="item10.15">#REF!</definedName>
    <definedName name="item10.16">#REF!</definedName>
    <definedName name="item10.17">#REF!</definedName>
    <definedName name="item10.18">#REF!</definedName>
    <definedName name="item10.19">#REF!</definedName>
    <definedName name="item10.2">#REF!</definedName>
    <definedName name="item10.3">#REF!</definedName>
    <definedName name="item10.4">#REF!</definedName>
    <definedName name="item10.5">#REF!</definedName>
    <definedName name="item10.6">#REF!</definedName>
    <definedName name="item10.7">#REF!</definedName>
    <definedName name="item10.8">#REF!</definedName>
    <definedName name="item10.9">#REF!</definedName>
    <definedName name="item11.1">#REF!</definedName>
    <definedName name="item11.10">#REF!</definedName>
    <definedName name="item11.11">#REF!</definedName>
    <definedName name="item11.12">#REF!</definedName>
    <definedName name="item11.13">#REF!</definedName>
    <definedName name="item11.14">#REF!</definedName>
    <definedName name="item11.15">#REF!</definedName>
    <definedName name="item11.16">#REF!</definedName>
    <definedName name="item11.17">#REF!</definedName>
    <definedName name="item11.18">#REF!</definedName>
    <definedName name="item11.19">#REF!</definedName>
    <definedName name="item11.2">#REF!</definedName>
    <definedName name="item11.20">#REF!</definedName>
    <definedName name="item11.21">#REF!</definedName>
    <definedName name="item11.22">#REF!</definedName>
    <definedName name="item11.23">#REF!</definedName>
    <definedName name="item11.24">#REF!</definedName>
    <definedName name="item11.25">#REF!</definedName>
    <definedName name="item11.26">#REF!</definedName>
    <definedName name="item11.27">#REF!</definedName>
    <definedName name="item11.28">#REF!</definedName>
    <definedName name="item11.3">#REF!</definedName>
    <definedName name="item11.4">#REF!</definedName>
    <definedName name="item11.5">#REF!</definedName>
    <definedName name="item11.6">#REF!</definedName>
    <definedName name="item11.7">#REF!</definedName>
    <definedName name="item11.8">#REF!</definedName>
    <definedName name="item11.9">#REF!</definedName>
    <definedName name="item12.0">#REF!</definedName>
    <definedName name="item12.1">#REF!</definedName>
    <definedName name="item12.10">#REF!</definedName>
    <definedName name="item12.11">#REF!</definedName>
    <definedName name="item12.12">#REF!</definedName>
    <definedName name="item12.13">#REF!</definedName>
    <definedName name="item12.14">#REF!</definedName>
    <definedName name="item12.15">#REF!</definedName>
    <definedName name="item12.16">#REF!</definedName>
    <definedName name="item12.17">#REF!</definedName>
    <definedName name="item12.18">#REF!</definedName>
    <definedName name="item12.19">#REF!</definedName>
    <definedName name="item12.2">#REF!</definedName>
    <definedName name="item12.20">#REF!</definedName>
    <definedName name="item12.21">#REF!</definedName>
    <definedName name="item12.22">#REF!</definedName>
    <definedName name="item12.23">#REF!</definedName>
    <definedName name="item12.24">#REF!</definedName>
    <definedName name="item12.25">#REF!</definedName>
    <definedName name="item12.26">#REF!</definedName>
    <definedName name="item12.27">#REF!</definedName>
    <definedName name="item12.3">#REF!</definedName>
    <definedName name="item12.4">#REF!</definedName>
    <definedName name="item12.5">#REF!</definedName>
    <definedName name="item12.6">#REF!</definedName>
    <definedName name="item12.7">#REF!</definedName>
    <definedName name="item12.8">#REF!</definedName>
    <definedName name="item12.9">#REF!</definedName>
    <definedName name="item13.1">#REF!</definedName>
    <definedName name="item13.10">#REF!</definedName>
    <definedName name="item13.11">#REF!</definedName>
    <definedName name="item13.12">#REF!</definedName>
    <definedName name="item13.13">#REF!</definedName>
    <definedName name="item13.2">#REF!</definedName>
    <definedName name="item13.3">#REF!</definedName>
    <definedName name="item13.4">#REF!</definedName>
    <definedName name="item13.5">#REF!</definedName>
    <definedName name="item13.6">#REF!</definedName>
    <definedName name="item13.7">#REF!</definedName>
    <definedName name="item13.8">#REF!</definedName>
    <definedName name="item13.9">#REF!</definedName>
    <definedName name="item14.1">#REF!</definedName>
    <definedName name="item14.2">#REF!</definedName>
    <definedName name="item14.3">#REF!</definedName>
    <definedName name="item14.4">#REF!</definedName>
    <definedName name="item14.5">#REF!</definedName>
    <definedName name="item14.6">#REF!</definedName>
    <definedName name="item15.1">#REF!</definedName>
    <definedName name="item15.10">#REF!</definedName>
    <definedName name="item15.11">#REF!</definedName>
    <definedName name="item15.12">#REF!</definedName>
    <definedName name="item15.13">#REF!</definedName>
    <definedName name="item15.2">#REF!</definedName>
    <definedName name="item15.3">#REF!</definedName>
    <definedName name="item15.4">#REF!</definedName>
    <definedName name="item15.5">#REF!</definedName>
    <definedName name="item15.6">#REF!</definedName>
    <definedName name="item15.7">#REF!</definedName>
    <definedName name="item15.8">#REF!</definedName>
    <definedName name="item15.9">#REF!</definedName>
    <definedName name="item2.1">#REF!</definedName>
    <definedName name="item2.10">#REF!</definedName>
    <definedName name="item2.11">#REF!</definedName>
    <definedName name="item2.12">#REF!</definedName>
    <definedName name="item2.13">#REF!</definedName>
    <definedName name="item2.14">#REF!</definedName>
    <definedName name="item2.15">#REF!</definedName>
    <definedName name="item2.16">#REF!</definedName>
    <definedName name="item2.17">#REF!</definedName>
    <definedName name="item2.18">#REF!</definedName>
    <definedName name="item2.19">#REF!</definedName>
    <definedName name="item2.2">#REF!</definedName>
    <definedName name="item2.20">#REF!</definedName>
    <definedName name="item2.21">#REF!</definedName>
    <definedName name="item2.22">#REF!</definedName>
    <definedName name="item2.23">#REF!</definedName>
    <definedName name="item2.24">#REF!</definedName>
    <definedName name="item2.25">#REF!</definedName>
    <definedName name="item2.26">#REF!</definedName>
    <definedName name="item2.27">#REF!</definedName>
    <definedName name="item2.3">#REF!</definedName>
    <definedName name="item2.4">#REF!</definedName>
    <definedName name="item2.5">#REF!</definedName>
    <definedName name="item2.6">#REF!</definedName>
    <definedName name="item2.7">#REF!</definedName>
    <definedName name="item2.8">#REF!</definedName>
    <definedName name="item2.9">#REF!</definedName>
    <definedName name="item3.1">#REF!</definedName>
    <definedName name="item3.2">#REF!</definedName>
    <definedName name="item3.3">#REF!</definedName>
    <definedName name="item4.1">#REF!</definedName>
    <definedName name="item4.2">#REF!</definedName>
    <definedName name="item4.3">#REF!</definedName>
    <definedName name="item4.4">#REF!</definedName>
    <definedName name="item4.5">#REF!</definedName>
    <definedName name="item4.6">#REF!</definedName>
    <definedName name="item4.7">#REF!</definedName>
    <definedName name="item5.1">#REF!</definedName>
    <definedName name="item5.2">#REF!</definedName>
    <definedName name="item5.3">#REF!</definedName>
    <definedName name="item5.4">#REF!</definedName>
    <definedName name="item5.5">#REF!</definedName>
    <definedName name="item5.6">#REF!</definedName>
    <definedName name="item5.7">#REF!</definedName>
    <definedName name="item6.1">#REF!</definedName>
    <definedName name="item6.2">#REF!</definedName>
    <definedName name="item6.3">#REF!</definedName>
    <definedName name="item6.4">#REF!</definedName>
    <definedName name="item6.5">#REF!</definedName>
    <definedName name="item7.1">#REF!</definedName>
    <definedName name="item7.10">#REF!</definedName>
    <definedName name="item7.11">#REF!</definedName>
    <definedName name="item7.12">#REF!</definedName>
    <definedName name="item7.13">#REF!</definedName>
    <definedName name="item7.14">#REF!</definedName>
    <definedName name="item7.15">#REF!</definedName>
    <definedName name="item7.16">#REF!</definedName>
    <definedName name="item7.17">#REF!</definedName>
    <definedName name="item7.18">#REF!</definedName>
    <definedName name="item7.19">#REF!</definedName>
    <definedName name="item7.2">#REF!</definedName>
    <definedName name="item7.3">#REF!</definedName>
    <definedName name="item7.4">#REF!</definedName>
    <definedName name="item7.5">#REF!</definedName>
    <definedName name="item7.6">#REF!</definedName>
    <definedName name="item7.7">#REF!</definedName>
    <definedName name="item7.8">#REF!</definedName>
    <definedName name="item7.9">#REF!</definedName>
    <definedName name="item8.1">#REF!</definedName>
    <definedName name="item8.2">#REF!</definedName>
    <definedName name="item8.3">#REF!</definedName>
    <definedName name="item8.4">#REF!</definedName>
    <definedName name="item8.5">#REF!</definedName>
    <definedName name="item8.6">#REF!</definedName>
    <definedName name="item9.1">#REF!</definedName>
    <definedName name="item9.2">#REF!</definedName>
    <definedName name="item9.3">#REF!</definedName>
    <definedName name="item9.4">#REF!</definedName>
    <definedName name="item9.5">#REF!</definedName>
    <definedName name="item9.6">#REF!</definedName>
    <definedName name="item9.7">#REF!</definedName>
    <definedName name="item9.8">#REF!</definedName>
    <definedName name="item9.9">#REF!</definedName>
    <definedName name="itm10.2">#REF!</definedName>
    <definedName name="iu" localSheetId="0">[14]!PassaExtenso</definedName>
    <definedName name="iu" localSheetId="7">[14]!PassaExtenso</definedName>
    <definedName name="iu" localSheetId="8">[14]!PassaExtenso</definedName>
    <definedName name="iu" localSheetId="9">[14]!PassaExtenso</definedName>
    <definedName name="iu" localSheetId="10">[14]!PassaExtenso</definedName>
    <definedName name="iu" localSheetId="11">[14]!PassaExtenso</definedName>
    <definedName name="iu" localSheetId="12">[14]!PassaExtenso</definedName>
    <definedName name="iu" localSheetId="13">[14]!PassaExtenso</definedName>
    <definedName name="iu" localSheetId="14">[14]!PassaExtenso</definedName>
    <definedName name="iu" localSheetId="17">[14]!PassaExtenso</definedName>
    <definedName name="iu" localSheetId="91">[14]!PassaExtenso</definedName>
    <definedName name="iu" localSheetId="15">[14]!PassaExtenso</definedName>
    <definedName name="iu" localSheetId="16">[14]!PassaExtenso</definedName>
    <definedName name="iu" localSheetId="20">[14]!PassaExtenso</definedName>
    <definedName name="iu" localSheetId="27">[14]!PassaExtenso</definedName>
    <definedName name="iu" localSheetId="113">[14]!PassaExtenso</definedName>
    <definedName name="iu" localSheetId="31">[14]!PassaExtenso</definedName>
    <definedName name="iu" localSheetId="32">[14]!PassaExtenso</definedName>
    <definedName name="iu" localSheetId="33">[14]!PassaExtenso</definedName>
    <definedName name="iu" localSheetId="43">[14]!PassaExtenso</definedName>
    <definedName name="iu" localSheetId="124">[14]!PassaExtenso</definedName>
    <definedName name="iu" localSheetId="22">[14]!PassaExtenso</definedName>
    <definedName name="iu" localSheetId="77">[14]!PassaExtenso</definedName>
    <definedName name="iu" localSheetId="44">[14]!PassaExtenso</definedName>
    <definedName name="iu" localSheetId="45">[14]!PassaExtenso</definedName>
    <definedName name="iu" localSheetId="47">[14]!PassaExtenso</definedName>
    <definedName name="iu" localSheetId="21">[14]!PassaExtenso</definedName>
    <definedName name="iu" localSheetId="76">[14]!PassaExtenso</definedName>
    <definedName name="iu" localSheetId="48">[14]!PassaExtenso</definedName>
    <definedName name="iu" localSheetId="34">[14]!PassaExtenso</definedName>
    <definedName name="iu" localSheetId="123">[14]!PassaExtenso</definedName>
    <definedName name="iu" localSheetId="49">[14]!PassaExtenso</definedName>
    <definedName name="iu" localSheetId="79">[14]!PassaExtenso</definedName>
    <definedName name="iu" localSheetId="55">[14]!PassaExtenso</definedName>
    <definedName name="iu" localSheetId="80">[14]!PassaExtenso</definedName>
    <definedName name="iu" localSheetId="170">[14]!PassaExtenso</definedName>
    <definedName name="iu" localSheetId="37">[14]!PassaExtenso</definedName>
    <definedName name="iu" localSheetId="23">[14]!PassaExtenso</definedName>
    <definedName name="iu" localSheetId="24">[14]!PassaExtenso</definedName>
    <definedName name="iu" localSheetId="25">[14]!PassaExtenso</definedName>
    <definedName name="iu" localSheetId="26">[14]!PassaExtenso</definedName>
    <definedName name="iu" localSheetId="171">[14]!PassaExtenso</definedName>
    <definedName name="iu" localSheetId="172">[14]!PassaExtenso</definedName>
    <definedName name="iu" localSheetId="173">[14]!PassaExtenso</definedName>
    <definedName name="iu" localSheetId="174">[14]!PassaExtenso</definedName>
    <definedName name="iu" localSheetId="85">[14]!PassaExtenso</definedName>
    <definedName name="iu" localSheetId="56">[14]!PassaExtenso</definedName>
    <definedName name="iu" localSheetId="86">[14]!PassaExtenso</definedName>
    <definedName name="iu" localSheetId="87">[14]!PassaExtenso</definedName>
    <definedName name="iu" localSheetId="81">[14]!PassaExtenso</definedName>
    <definedName name="iu" localSheetId="82">[14]!PassaExtenso</definedName>
    <definedName name="iu" localSheetId="83">[14]!PassaExtenso</definedName>
    <definedName name="iu" localSheetId="84">[14]!PassaExtenso</definedName>
    <definedName name="iu" localSheetId="75">[14]!PassaExtenso</definedName>
    <definedName name="iu" localSheetId="88">[14]!PassaExtenso</definedName>
    <definedName name="iu" localSheetId="158">[14]!PassaExtenso</definedName>
    <definedName name="iu" localSheetId="159">[14]!PassaExtenso</definedName>
    <definedName name="iu" localSheetId="156">[14]!PassaExtenso</definedName>
    <definedName name="iu" localSheetId="57">[14]!PassaExtenso</definedName>
    <definedName name="iu" localSheetId="58">[14]!PassaExtenso</definedName>
    <definedName name="iu" localSheetId="59">[14]!PassaExtenso</definedName>
    <definedName name="iu" localSheetId="60">[14]!PassaExtenso</definedName>
    <definedName name="iu" localSheetId="61">[14]!PassaExtenso</definedName>
    <definedName name="iu" localSheetId="62">[14]!PassaExtenso</definedName>
    <definedName name="iu" localSheetId="63">[14]!PassaExtenso</definedName>
    <definedName name="iu" localSheetId="64">[14]!PassaExtenso</definedName>
    <definedName name="iu" localSheetId="65">[14]!PassaExtenso</definedName>
    <definedName name="iu" localSheetId="50">[14]!PassaExtenso</definedName>
    <definedName name="iu" localSheetId="66">[14]!PassaExtenso</definedName>
    <definedName name="iu" localSheetId="67">[14]!PassaExtenso</definedName>
    <definedName name="iu" localSheetId="68">[14]!PassaExtenso</definedName>
    <definedName name="iu" localSheetId="69">[14]!PassaExtenso</definedName>
    <definedName name="iu" localSheetId="160">[14]!PassaExtenso</definedName>
    <definedName name="iu" localSheetId="73">[14]!PassaExtenso</definedName>
    <definedName name="iu" localSheetId="168">[14]!PassaExtenso</definedName>
    <definedName name="iu" localSheetId="74">[14]!PassaExtenso</definedName>
    <definedName name="iu" localSheetId="169">[14]!PassaExtenso</definedName>
    <definedName name="iu" localSheetId="161">[14]!PassaExtenso</definedName>
    <definedName name="iu" localSheetId="162">[14]!PassaExtenso</definedName>
    <definedName name="iu" localSheetId="163">[14]!PassaExtenso</definedName>
    <definedName name="iu" localSheetId="164">[14]!PassaExtenso</definedName>
    <definedName name="iu" localSheetId="125">[14]!PassaExtenso</definedName>
    <definedName name="iu" localSheetId="71">[14]!PassaExtenso</definedName>
    <definedName name="iu" localSheetId="72">[14]!PassaExtenso</definedName>
    <definedName name="iu" localSheetId="117">[14]!PassaExtenso</definedName>
    <definedName name="iu" localSheetId="121">[14]!PassaExtenso</definedName>
    <definedName name="iu" localSheetId="118">[14]!PassaExtenso</definedName>
    <definedName name="iu" localSheetId="119">[14]!PassaExtenso</definedName>
    <definedName name="iu" localSheetId="120">[14]!PassaExtenso</definedName>
    <definedName name="iu" localSheetId="122">[14]!PassaExtenso</definedName>
    <definedName name="iu" localSheetId="114">[14]!PassaExtenso</definedName>
    <definedName name="iu" localSheetId="115">[14]!PassaExtenso</definedName>
    <definedName name="iu" localSheetId="116">[14]!PassaExtenso</definedName>
    <definedName name="iu" localSheetId="127">[14]!PassaExtenso</definedName>
    <definedName name="iu" localSheetId="128">[14]!PassaExtenso</definedName>
    <definedName name="iu" localSheetId="131">[14]!PassaExtenso</definedName>
    <definedName name="iu" localSheetId="186">[14]!PassaExtenso</definedName>
    <definedName name="iu" localSheetId="129">[14]!PassaExtenso</definedName>
    <definedName name="iu" localSheetId="98">[14]!PassaExtenso</definedName>
    <definedName name="iu" localSheetId="103">[14]!PassaExtenso</definedName>
    <definedName name="iu" localSheetId="106">[14]!PassaExtenso</definedName>
    <definedName name="iu" localSheetId="107">[14]!PassaExtenso</definedName>
    <definedName name="iu" localSheetId="93">[14]!PassaExtenso</definedName>
    <definedName name="iu" localSheetId="94">[14]!PassaExtenso</definedName>
    <definedName name="iu" localSheetId="100">[14]!PassaExtenso</definedName>
    <definedName name="iu" localSheetId="101">[14]!PassaExtenso</definedName>
    <definedName name="iu" localSheetId="102">[14]!PassaExtenso</definedName>
    <definedName name="iu" localSheetId="99">[14]!PassaExtenso</definedName>
    <definedName name="iu" localSheetId="157">[14]!PassaExtenso</definedName>
    <definedName name="iu" localSheetId="202">[14]!PassaExtenso</definedName>
    <definedName name="iu" localSheetId="97">[14]!PassaExtenso</definedName>
    <definedName name="iu" localSheetId="165">[14]!PassaExtenso</definedName>
    <definedName name="iu" localSheetId="175">[14]!PassaExtenso</definedName>
    <definedName name="iu" localSheetId="95">[14]!PassaExtenso</definedName>
    <definedName name="iu" localSheetId="166">[14]!PassaExtenso</definedName>
    <definedName name="iu" localSheetId="167">[14]!PassaExtenso</definedName>
    <definedName name="iu" localSheetId="96">[14]!PassaExtenso</definedName>
    <definedName name="iu" localSheetId="201">[14]!PassaExtenso</definedName>
    <definedName name="iu" localSheetId="130">[14]!PassaExtenso</definedName>
    <definedName name="iu" localSheetId="108">[14]!PassaExtenso</definedName>
    <definedName name="iu" localSheetId="109">[14]!PassaExtenso</definedName>
    <definedName name="iu" localSheetId="110">[14]!PassaExtenso</definedName>
    <definedName name="iu" localSheetId="111">[14]!PassaExtenso</definedName>
    <definedName name="iu" localSheetId="112">[14]!PassaExtenso</definedName>
    <definedName name="iu" localSheetId="187">[14]!PassaExtenso</definedName>
    <definedName name="iu" localSheetId="188">[14]!PassaExtenso</definedName>
    <definedName name="iu" localSheetId="189">[14]!PassaExtenso</definedName>
    <definedName name="iu" localSheetId="200">[14]!PassaExtenso</definedName>
    <definedName name="iu" localSheetId="176">[14]!PassaExtenso</definedName>
    <definedName name="iu" localSheetId="177">[14]!PassaExtenso</definedName>
    <definedName name="iu" localSheetId="181">[14]!PassaExtenso</definedName>
    <definedName name="iu" localSheetId="178">[14]!PassaExtenso</definedName>
    <definedName name="iu" localSheetId="180">[14]!PassaExtenso</definedName>
    <definedName name="iu" localSheetId="182">[14]!PassaExtenso</definedName>
    <definedName name="iu" localSheetId="143">[14]!PassaExtenso</definedName>
    <definedName name="iu" localSheetId="144">[14]!PassaExtenso</definedName>
    <definedName name="iu" localSheetId="145">[14]!PassaExtenso</definedName>
    <definedName name="iu" localSheetId="179">[14]!PassaExtenso</definedName>
    <definedName name="iu" localSheetId="206">[14]!PassaExtenso</definedName>
    <definedName name="iu" localSheetId="208">[14]!PassaExtenso</definedName>
    <definedName name="iu" localSheetId="210">[14]!PassaExtenso</definedName>
    <definedName name="iu" localSheetId="203">[14]!PassaExtenso</definedName>
    <definedName name="iu" localSheetId="204">[14]!PassaExtenso</definedName>
    <definedName name="iu" localSheetId="211">[14]!PassaExtenso</definedName>
    <definedName name="iu" localSheetId="212">[14]!PassaExtenso</definedName>
    <definedName name="iu" localSheetId="146">[14]!PassaExtenso</definedName>
    <definedName name="iu" localSheetId="147">[14]!PassaExtenso</definedName>
    <definedName name="iu" localSheetId="148">[14]!PassaExtenso</definedName>
    <definedName name="iu" localSheetId="149">[14]!PassaExtenso</definedName>
    <definedName name="iu" localSheetId="151">[14]!PassaExtenso</definedName>
    <definedName name="iu" localSheetId="150">[14]!PassaExtenso</definedName>
    <definedName name="iu" localSheetId="152">[14]!PassaExtenso</definedName>
    <definedName name="iu" localSheetId="153">[14]!PassaExtenso</definedName>
    <definedName name="iu" localSheetId="154">[14]!PassaExtenso</definedName>
    <definedName name="iu" localSheetId="155">[14]!PassaExtenso</definedName>
    <definedName name="iu" localSheetId="132">[14]!PassaExtenso</definedName>
    <definedName name="iu" localSheetId="133">[14]!PassaExtenso</definedName>
    <definedName name="iu" localSheetId="134">[14]!PassaExtenso</definedName>
    <definedName name="iu" localSheetId="218">[14]!PassaExtenso</definedName>
    <definedName name="iu" localSheetId="135">[14]!PassaExtenso</definedName>
    <definedName name="iu" localSheetId="136">[14]!PassaExtenso</definedName>
    <definedName name="iu" localSheetId="137">[14]!PassaExtenso</definedName>
    <definedName name="iu" localSheetId="138">[14]!PassaExtenso</definedName>
    <definedName name="iu" localSheetId="139">[14]!PassaExtenso</definedName>
    <definedName name="iu" localSheetId="140">[14]!PassaExtenso</definedName>
    <definedName name="iu" localSheetId="141">[14]!PassaExtenso</definedName>
    <definedName name="iu" localSheetId="142">[14]!PassaExtenso</definedName>
    <definedName name="iu" localSheetId="183">[14]!PassaExtenso</definedName>
    <definedName name="iu" localSheetId="214">[14]!PassaExtenso</definedName>
    <definedName name="iu" localSheetId="215">[14]!PassaExtenso</definedName>
    <definedName name="iu" localSheetId="216">[14]!PassaExtenso</definedName>
    <definedName name="iu" localSheetId="219">[14]!PassaExtenso</definedName>
    <definedName name="iu" localSheetId="104">[14]!PassaExtenso</definedName>
    <definedName name="iu" localSheetId="184">[14]!PassaExtenso</definedName>
    <definedName name="iu" localSheetId="185">[14]!PassaExtenso</definedName>
    <definedName name="iu" localSheetId="105">[14]!PassaExtenso</definedName>
    <definedName name="iu" localSheetId="220">[14]!PassaExtenso</definedName>
    <definedName name="iu" localSheetId="207">[14]!PassaExtenso</definedName>
    <definedName name="iu" localSheetId="89">[14]!PassaExtenso</definedName>
    <definedName name="iu" localSheetId="92">[14]!PassaExtenso</definedName>
    <definedName name="iu">[14]!PassaExtenso</definedName>
    <definedName name="Jd" localSheetId="42">#REF!</definedName>
    <definedName name="Jd" localSheetId="205">#REF!</definedName>
    <definedName name="Jd" localSheetId="41">#REF!</definedName>
    <definedName name="Jd">#REF!</definedName>
    <definedName name="JESUS" localSheetId="42">'[5]Refor Out. 2001 - BDI=20% Ajust'!#REF!</definedName>
    <definedName name="JESUS" localSheetId="205">'[5]Refor Out. 2001 - BDI=20% Ajust'!#REF!</definedName>
    <definedName name="JESUS" localSheetId="41">'[5]Refor Out. 2001 - BDI=20% Ajust'!#REF!</definedName>
    <definedName name="JESUS">'[5]Refor Out. 2001 - BDI=20% Ajust'!#REF!</definedName>
    <definedName name="jj" localSheetId="42">#REF!</definedName>
    <definedName name="jj" localSheetId="205">#REF!</definedName>
    <definedName name="jj" localSheetId="41">#REF!</definedName>
    <definedName name="jj">#REF!</definedName>
    <definedName name="Jm" localSheetId="42">#REF!</definedName>
    <definedName name="Jm" localSheetId="41">#REF!</definedName>
    <definedName name="Jm">#REF!</definedName>
    <definedName name="JOBINFO">#REF!</definedName>
    <definedName name="JUR">#REF!</definedName>
    <definedName name="kg" localSheetId="42">'[4]PLANILHA DE QUANT. E CUSTOS A'!#REF!</definedName>
    <definedName name="kg" localSheetId="41">'[4]PLANILHA DE QUANT. E CUSTOS A'!#REF!</definedName>
    <definedName name="kg">'[4]PLANILHA DE QUANT. E CUSTOS A'!#REF!</definedName>
    <definedName name="khgu" localSheetId="42">#REF!</definedName>
    <definedName name="khgu" localSheetId="205">#REF!</definedName>
    <definedName name="khgu" localSheetId="41">#REF!</definedName>
    <definedName name="khgu">#REF!</definedName>
    <definedName name="kj" localSheetId="42">#REF!</definedName>
    <definedName name="kj" localSheetId="41">#REF!</definedName>
    <definedName name="kj">#REF!</definedName>
    <definedName name="kjh" localSheetId="42">#REF!</definedName>
    <definedName name="kjh" localSheetId="41">#REF!</definedName>
    <definedName name="kjh">#REF!</definedName>
    <definedName name="KPAV">#REF!</definedName>
    <definedName name="kpavi">#REF!</definedName>
    <definedName name="kpavim">#REF!</definedName>
    <definedName name="kpavime">#REF!</definedName>
    <definedName name="KTER">#REF!</definedName>
    <definedName name="kterr">#REF!</definedName>
    <definedName name="kterra">#REF!</definedName>
    <definedName name="kterrap">#REF!</definedName>
    <definedName name="kterraple">#REF!</definedName>
    <definedName name="kudyud">#REF!</definedName>
    <definedName name="la">[2]Reforma!#REF!</definedName>
    <definedName name="Lado2" localSheetId="42">#REF!</definedName>
    <definedName name="Lado2" localSheetId="205">#REF!</definedName>
    <definedName name="Lado2" localSheetId="41">#REF!</definedName>
    <definedName name="Lado2">#REF!</definedName>
    <definedName name="LIQUIDEZ">[8]Plan1!$A$184:$A$187</definedName>
    <definedName name="ljh" localSheetId="42">#REF!</definedName>
    <definedName name="ljh" localSheetId="205">#REF!</definedName>
    <definedName name="ljh" localSheetId="41">#REF!</definedName>
    <definedName name="ljh">#REF!</definedName>
    <definedName name="LL">#REF!</definedName>
    <definedName name="LL_1">#REF!</definedName>
    <definedName name="LL_1_1">#REF!</definedName>
    <definedName name="Local" localSheetId="42">#REF!</definedName>
    <definedName name="Local" localSheetId="41">#REF!</definedName>
    <definedName name="Local">#REF!</definedName>
    <definedName name="LOP" localSheetId="42">(#REF!,#REF!)</definedName>
    <definedName name="LOP" localSheetId="205">(#REF!,#REF!)</definedName>
    <definedName name="LOP" localSheetId="41">(#REF!,#REF!)</definedName>
    <definedName name="LOP">(#REF!,#REF!)</definedName>
    <definedName name="Lucro" localSheetId="42">#REF!</definedName>
    <definedName name="Lucro" localSheetId="205">#REF!</definedName>
    <definedName name="Lucro" localSheetId="41">#REF!</definedName>
    <definedName name="Lucro">#REF!</definedName>
    <definedName name="m" localSheetId="42">#REF!</definedName>
    <definedName name="m" localSheetId="41">#REF!</definedName>
    <definedName name="m">#REF!</definedName>
    <definedName name="MAR" localSheetId="42">[2]Reforma!#REF!</definedName>
    <definedName name="MAR" localSheetId="41">[2]Reforma!#REF!</definedName>
    <definedName name="MAR">[2]Reforma!#REF!</definedName>
    <definedName name="MCOD02.020.0010" localSheetId="42">[23]MEMORIAL!#REF!</definedName>
    <definedName name="MCOD02.020.0010" localSheetId="41">[23]MEMORIAL!#REF!</definedName>
    <definedName name="MCOD02.020.0010">[23]MEMORIAL!#REF!</definedName>
    <definedName name="MCOD02.020.0010_1" localSheetId="42">[24]MEMORIAL!#REF!</definedName>
    <definedName name="MCOD02.020.0010_1" localSheetId="41">[24]MEMORIAL!#REF!</definedName>
    <definedName name="MCOD02.020.0010_1">[24]MEMORIAL!#REF!</definedName>
    <definedName name="MCOD02.020.0070" localSheetId="42">[23]MEMORIAL!#REF!</definedName>
    <definedName name="MCOD02.020.0070" localSheetId="41">[23]MEMORIAL!#REF!</definedName>
    <definedName name="MCOD02.020.0070">[23]MEMORIAL!#REF!</definedName>
    <definedName name="MCOD02.020.0070_1">[24]MEMORIAL!#REF!</definedName>
    <definedName name="MCOD02.030.0090">[23]MEMORIAL!#REF!</definedName>
    <definedName name="MCOD02.030.0090_1">[24]MEMORIAL!#REF!</definedName>
    <definedName name="MCOD02.030.0100">[23]MEMORIAL!#REF!</definedName>
    <definedName name="MCOD02.030.0100_1">[24]MEMORIAL!#REF!</definedName>
    <definedName name="MCOD02.040.0200">[23]MEMORIAL!#REF!</definedName>
    <definedName name="MCOD02.040.0200_1">[24]MEMORIAL!#REF!</definedName>
    <definedName name="MCOD02.040.0280">[23]MEMORIAL!#REF!</definedName>
    <definedName name="MCOD02.040.0280_1">[24]MEMORIAL!#REF!</definedName>
    <definedName name="MCOD02.040.0921">[23]MEMORIAL!#REF!</definedName>
    <definedName name="MCOD02.040.0921_1">[24]MEMORIAL!#REF!</definedName>
    <definedName name="MCOD02.040.1055">[23]MEMORIAL!#REF!</definedName>
    <definedName name="MCOD02.040.1055_1">[24]MEMORIAL!#REF!</definedName>
    <definedName name="MCOD02.040.1060">[23]MEMORIAL!#REF!</definedName>
    <definedName name="MCOD02.040.1060_1">[24]MEMORIAL!#REF!</definedName>
    <definedName name="MCOD02.040.3790">[23]MEMORIAL!#REF!</definedName>
    <definedName name="MCOD02.040.3790_1">[24]MEMORIAL!#REF!</definedName>
    <definedName name="MCOD02.040.3800">[23]MEMORIAL!#REF!</definedName>
    <definedName name="MCOD02.040.3800_1">[24]MEMORIAL!#REF!</definedName>
    <definedName name="MCOD02.040.3810">[23]MEMORIAL!#REF!</definedName>
    <definedName name="MCOD02.040.3810_1">[24]MEMORIAL!#REF!</definedName>
    <definedName name="MCOD02.040.4510">[23]MEMORIAL!#REF!</definedName>
    <definedName name="MCOD02.040.4510_1">[24]MEMORIAL!#REF!</definedName>
    <definedName name="MCOD02.040.4520">[23]MEMORIAL!#REF!</definedName>
    <definedName name="MCOD02.040.4520_1">[24]MEMORIAL!#REF!</definedName>
    <definedName name="MCOD02.040.4550">[23]MEMORIAL!#REF!</definedName>
    <definedName name="MCOD02.040.4550_1">[24]MEMORIAL!#REF!</definedName>
    <definedName name="MCOD02.040.4620">[23]MEMORIAL!#REF!</definedName>
    <definedName name="MCOD02.040.4620_1">[24]MEMORIAL!#REF!</definedName>
    <definedName name="MCOD02.040.4630">[23]MEMORIAL!#REF!</definedName>
    <definedName name="MCOD02.040.4630_1">[24]MEMORIAL!#REF!</definedName>
    <definedName name="MCOD02.040.4636">[23]MEMORIAL!#REF!</definedName>
    <definedName name="MCOD02.040.4636_1">[24]MEMORIAL!#REF!</definedName>
    <definedName name="MCOD02.040.4690">[23]MEMORIAL!#REF!</definedName>
    <definedName name="MCOD02.040.4690_1">[24]MEMORIAL!#REF!</definedName>
    <definedName name="MCOD02.040.7402">[23]MEMORIAL!#REF!</definedName>
    <definedName name="MCOD02.040.7402_1">[24]MEMORIAL!#REF!</definedName>
    <definedName name="MCOD02.040.9800">[23]MEMORIAL!#REF!</definedName>
    <definedName name="MCOD02.040.9800_1">[24]MEMORIAL!#REF!</definedName>
    <definedName name="MCOD02.040.9802">[23]MEMORIAL!#REF!</definedName>
    <definedName name="MCOD02.040.9802_1">[24]MEMORIAL!#REF!</definedName>
    <definedName name="MCOD02.040.9804">[23]MEMORIAL!#REF!</definedName>
    <definedName name="MCOD02.040.9804_1">[24]MEMORIAL!#REF!</definedName>
    <definedName name="MCOD02.110.0014">[23]MEMORIAL!#REF!</definedName>
    <definedName name="MCOD02.110.0014_1">[24]MEMORIAL!#REF!</definedName>
    <definedName name="MCOD02.110.0054">[23]MEMORIAL!#REF!</definedName>
    <definedName name="MCOD02.110.0054_1">[24]MEMORIAL!#REF!</definedName>
    <definedName name="MCOD02.110.0066">[23]MEMORIAL!#REF!</definedName>
    <definedName name="MCOD02.110.0066_1">[24]MEMORIAL!#REF!</definedName>
    <definedName name="MCOD02.110.0094">[23]MEMORIAL!#REF!</definedName>
    <definedName name="MCOD02.110.0094_1">[24]MEMORIAL!#REF!</definedName>
    <definedName name="MCOD02.110.0106">[23]MEMORIAL!#REF!</definedName>
    <definedName name="MCOD02.110.0106_1">[24]MEMORIAL!#REF!</definedName>
    <definedName name="MCOD02.110.0110">[23]MEMORIAL!#REF!</definedName>
    <definedName name="MCOD02.110.0110_1">[24]MEMORIAL!#REF!</definedName>
    <definedName name="MCOD02.110.0134">[23]MEMORIAL!#REF!</definedName>
    <definedName name="MCOD02.110.0134_1">[24]MEMORIAL!#REF!</definedName>
    <definedName name="MCOD02.110.0146">[23]MEMORIAL!#REF!</definedName>
    <definedName name="MCOD02.110.0146_1">[24]MEMORIAL!#REF!</definedName>
    <definedName name="MCOD02.110.0150">[23]MEMORIAL!#REF!</definedName>
    <definedName name="MCOD02.110.0150_1">[24]MEMORIAL!#REF!</definedName>
    <definedName name="MCOD02.110.0610">[23]MEMORIAL!#REF!</definedName>
    <definedName name="MCOD02.110.0610_1">[24]MEMORIAL!#REF!</definedName>
    <definedName name="MCOD02.110.0620">[23]MEMORIAL!#REF!</definedName>
    <definedName name="MCOD02.110.0620_1">[24]MEMORIAL!#REF!</definedName>
    <definedName name="MCOD02.110.0734">[23]MEMORIAL!#REF!</definedName>
    <definedName name="MCOD02.110.0734_1">[24]MEMORIAL!#REF!</definedName>
    <definedName name="MCOD02.110.0738">[23]MEMORIAL!#REF!</definedName>
    <definedName name="MCOD02.110.0738_1">[24]MEMORIAL!#REF!</definedName>
    <definedName name="MCOD02.110.0750">[23]MEMORIAL!#REF!</definedName>
    <definedName name="MCOD02.110.0750_1">[24]MEMORIAL!#REF!</definedName>
    <definedName name="MCOD02.110.1014">[23]MEMORIAL!#REF!</definedName>
    <definedName name="MCOD02.110.1014_1">[24]MEMORIAL!#REF!</definedName>
    <definedName name="MCOD02.110.1020">[23]MEMORIAL!#REF!</definedName>
    <definedName name="MCOD02.110.1020_1">[24]MEMORIAL!#REF!</definedName>
    <definedName name="MCOD02.110.1164">[23]MEMORIAL!#REF!</definedName>
    <definedName name="MCOD02.110.1164_1">[24]MEMORIAL!#REF!</definedName>
    <definedName name="MCOD02.110.1166">[23]MEMORIAL!#REF!</definedName>
    <definedName name="MCOD02.110.1166_1">[24]MEMORIAL!#REF!</definedName>
    <definedName name="MCOD02.110.1420">[23]MEMORIAL!#REF!</definedName>
    <definedName name="MCOD02.110.1420_1">[24]MEMORIAL!#REF!</definedName>
    <definedName name="MCOD02.110.1426">[23]MEMORIAL!#REF!</definedName>
    <definedName name="MCOD02.110.1426_1">[24]MEMORIAL!#REF!</definedName>
    <definedName name="MCOD02.110.1654">[23]MEMORIAL!#REF!</definedName>
    <definedName name="MCOD02.110.1654_1">[24]MEMORIAL!#REF!</definedName>
    <definedName name="MCOD02.110.1880">[23]MEMORIAL!#REF!</definedName>
    <definedName name="MCOD02.110.1880_1">[24]MEMORIAL!#REF!</definedName>
    <definedName name="MCOD02.110.1974">[23]MEMORIAL!#REF!</definedName>
    <definedName name="MCOD02.110.1974_1">[24]MEMORIAL!#REF!</definedName>
    <definedName name="MCOD02.110.1996">[23]MEMORIAL!#REF!</definedName>
    <definedName name="MCOD02.110.1996_1">[24]MEMORIAL!#REF!</definedName>
    <definedName name="MCOD02.110.2012">[23]MEMORIAL!#REF!</definedName>
    <definedName name="MCOD02.110.2012_1">[24]MEMORIAL!#REF!</definedName>
    <definedName name="MCOD02.110.2016">[23]MEMORIAL!#REF!</definedName>
    <definedName name="MCOD02.110.2016_1">[24]MEMORIAL!#REF!</definedName>
    <definedName name="MCOD02.110.2024">[23]MEMORIAL!#REF!</definedName>
    <definedName name="MCOD02.110.2024_1">[24]MEMORIAL!#REF!</definedName>
    <definedName name="MCOD02.110.2026">[23]MEMORIAL!#REF!</definedName>
    <definedName name="MCOD02.110.2026_1">[24]MEMORIAL!#REF!</definedName>
    <definedName name="MCOD02.110.2310">[23]MEMORIAL!#REF!</definedName>
    <definedName name="MCOD02.110.2310_1">[24]MEMORIAL!#REF!</definedName>
    <definedName name="MCOD02.110.2480">[23]MEMORIAL!#REF!</definedName>
    <definedName name="MCOD02.110.2480_1">[24]MEMORIAL!#REF!</definedName>
    <definedName name="MCOD02.110.2798">[23]MEMORIAL!#REF!</definedName>
    <definedName name="MCOD02.110.2798_1">[24]MEMORIAL!#REF!</definedName>
    <definedName name="MCOD02.110.2806">[23]MEMORIAL!#REF!</definedName>
    <definedName name="MCOD02.110.2806_1">[24]MEMORIAL!#REF!</definedName>
    <definedName name="MCOD02.110.2868">[23]MEMORIAL!#REF!</definedName>
    <definedName name="MCOD02.110.2868_1">[24]MEMORIAL!#REF!</definedName>
    <definedName name="MCOD02.110.3856">[23]MEMORIAL!#REF!</definedName>
    <definedName name="MCOD02.110.3856_1">[24]MEMORIAL!#REF!</definedName>
    <definedName name="MCOD02.110.3908">[23]MEMORIAL!#REF!</definedName>
    <definedName name="MCOD02.110.3908_1">[24]MEMORIAL!#REF!</definedName>
    <definedName name="MCOD02.110.3926">[23]MEMORIAL!#REF!</definedName>
    <definedName name="MCOD02.110.3926_1">[24]MEMORIAL!#REF!</definedName>
    <definedName name="MCOD02.110.4288">[23]MEMORIAL!#REF!</definedName>
    <definedName name="MCOD02.110.4288_1">[24]MEMORIAL!#REF!</definedName>
    <definedName name="MCOD02.110.4296">[23]MEMORIAL!#REF!</definedName>
    <definedName name="MCOD02.110.4296_1">[24]MEMORIAL!#REF!</definedName>
    <definedName name="MCOD02.110.4308">[23]MEMORIAL!#REF!</definedName>
    <definedName name="MCOD02.110.4308_1">[24]MEMORIAL!#REF!</definedName>
    <definedName name="MCOD02.110.4312">[23]MEMORIAL!#REF!</definedName>
    <definedName name="MCOD02.110.4312_1">[24]MEMORIAL!#REF!</definedName>
    <definedName name="MCOD02.110.4320">[23]MEMORIAL!#REF!</definedName>
    <definedName name="MCOD02.110.4320_1">[24]MEMORIAL!#REF!</definedName>
    <definedName name="MCOD02.110.4780">[23]MEMORIAL!#REF!</definedName>
    <definedName name="MCOD02.110.4780_1">[24]MEMORIAL!#REF!</definedName>
    <definedName name="MCOD02.120.0050">[23]MEMORIAL!#REF!</definedName>
    <definedName name="MCOD02.120.0050_1">[24]MEMORIAL!#REF!</definedName>
    <definedName name="MCOD02.120.0060">[23]MEMORIAL!#REF!</definedName>
    <definedName name="MCOD02.120.0060_1">[24]MEMORIAL!#REF!</definedName>
    <definedName name="MCOD02.120.0140">[23]MEMORIAL!#REF!</definedName>
    <definedName name="MCOD02.120.0140_1">[24]MEMORIAL!#REF!</definedName>
    <definedName name="MCOD02.130.0070">[23]MEMORIAL!#REF!</definedName>
    <definedName name="MCOD02.130.0070_1">[24]MEMORIAL!#REF!</definedName>
    <definedName name="MCOD02.130.0080">[23]MEMORIAL!#REF!</definedName>
    <definedName name="MCOD02.130.0080_1">[24]MEMORIAL!#REF!</definedName>
    <definedName name="MCOD02.130.0100">[23]MEMORIAL!#REF!</definedName>
    <definedName name="MCOD02.130.0100_1">[24]MEMORIAL!#REF!</definedName>
    <definedName name="MCOD02.140.0030">[23]MEMORIAL!#REF!</definedName>
    <definedName name="MCOD02.140.0030_1">[24]MEMORIAL!#REF!</definedName>
    <definedName name="MCOD02.140.0080">[23]MEMORIAL!#REF!</definedName>
    <definedName name="MCOD02.140.0080_1">[24]MEMORIAL!#REF!</definedName>
    <definedName name="MCOD02.140.0090">[23]MEMORIAL!#REF!</definedName>
    <definedName name="MCOD02.140.0090_1">[24]MEMORIAL!#REF!</definedName>
    <definedName name="MCOD02.160.0010">[23]MEMORIAL!#REF!</definedName>
    <definedName name="MCOD02.160.0010_1">[24]MEMORIAL!#REF!</definedName>
    <definedName name="MCOD02.160.0110">[23]MEMORIAL!#REF!</definedName>
    <definedName name="MCOD02.160.0110_1">[24]MEMORIAL!#REF!</definedName>
    <definedName name="MCOD02.180.0010">[23]MEMORIAL!#REF!</definedName>
    <definedName name="MCOD02.180.0010_1">[24]MEMORIAL!#REF!</definedName>
    <definedName name="MCOD02.210.0020">[23]MEMORIAL!#REF!</definedName>
    <definedName name="MCOD02.210.0020_1">[24]MEMORIAL!#REF!</definedName>
    <definedName name="MCOD02.210.0030">[23]MEMORIAL!#REF!</definedName>
    <definedName name="MCOD02.210.0030_1">[24]MEMORIAL!#REF!</definedName>
    <definedName name="MCOD02.210.0090">[23]MEMORIAL!#REF!</definedName>
    <definedName name="MCOD02.210.0090_1">[24]MEMORIAL!#REF!</definedName>
    <definedName name="MCOD02.210.0110">[23]MEMORIAL!#REF!</definedName>
    <definedName name="MCOD02.210.0110_1">[24]MEMORIAL!#REF!</definedName>
    <definedName name="MCOD02.210.0310">[23]MEMORIAL!#REF!</definedName>
    <definedName name="MCOD02.210.0310_1">[24]MEMORIAL!#REF!</definedName>
    <definedName name="MCOD02.210.0340">[23]MEMORIAL!#REF!</definedName>
    <definedName name="MCOD02.210.0340_1">[24]MEMORIAL!#REF!</definedName>
    <definedName name="MCOD02.210.0350">[23]MEMORIAL!#REF!</definedName>
    <definedName name="MCOD02.210.0350_1">[24]MEMORIAL!#REF!</definedName>
    <definedName name="MCOD02.210.0360">[23]MEMORIAL!#REF!</definedName>
    <definedName name="MCOD02.210.0360_1">[24]MEMORIAL!#REF!</definedName>
    <definedName name="MCOD02.210.0370">[23]MEMORIAL!#REF!</definedName>
    <definedName name="MCOD02.210.0370_1">[24]MEMORIAL!#REF!</definedName>
    <definedName name="MCOD02.210.0380">[23]MEMORIAL!#REF!</definedName>
    <definedName name="MCOD02.210.0380_1">[24]MEMORIAL!#REF!</definedName>
    <definedName name="MCOD02.210.1620">[23]MEMORIAL!#REF!</definedName>
    <definedName name="MCOD02.210.1620_1">[24]MEMORIAL!#REF!</definedName>
    <definedName name="MCOD02.210.1625">[23]MEMORIAL!#REF!</definedName>
    <definedName name="MCOD02.210.1625_1">[24]MEMORIAL!#REF!</definedName>
    <definedName name="MCOD02.210.1635">[23]MEMORIAL!#REF!</definedName>
    <definedName name="MCOD02.210.1635_1">[24]MEMORIAL!#REF!</definedName>
    <definedName name="MCOD02.210.1637">[23]MEMORIAL!#REF!</definedName>
    <definedName name="MCOD02.210.1637_1">[24]MEMORIAL!#REF!</definedName>
    <definedName name="MCOD03.020.0020">[23]MEMORIAL!#REF!</definedName>
    <definedName name="MCOD03.020.0020_1">[24]MEMORIAL!#REF!</definedName>
    <definedName name="MCOD05.150.0830">[23]MEMORIAL!#REF!</definedName>
    <definedName name="MCOD05.150.0830_1">[24]MEMORIAL!#REF!</definedName>
    <definedName name="MCOD05.150.0840">[23]MEMORIAL!#REF!</definedName>
    <definedName name="MCOD05.150.0840_1">[24]MEMORIAL!#REF!</definedName>
    <definedName name="MCODCOTADO01">[23]MEMORIAL!#REF!</definedName>
    <definedName name="MCODCOTADO01_1">[24]MEMORIAL!#REF!</definedName>
    <definedName name="MCODCOTADO02">[23]MEMORIAL!#REF!</definedName>
    <definedName name="MCODCOTADO02_1">[24]MEMORIAL!#REF!</definedName>
    <definedName name="MCODCOTADO03">[23]MEMORIAL!#REF!</definedName>
    <definedName name="MCODCOTADO03_1">[24]MEMORIAL!#REF!</definedName>
    <definedName name="MCODCOTADO04">[23]MEMORIAL!#REF!</definedName>
    <definedName name="MCODCOTADO04_1">[24]MEMORIAL!#REF!</definedName>
    <definedName name="medição" localSheetId="42">#REF!</definedName>
    <definedName name="medição" localSheetId="205">#REF!</definedName>
    <definedName name="medição" localSheetId="41">#REF!</definedName>
    <definedName name="medição">#REF!</definedName>
    <definedName name="MEMORIA" localSheetId="42">#REF!</definedName>
    <definedName name="MEMORIA" localSheetId="41">#REF!</definedName>
    <definedName name="MEMORIA">#REF!</definedName>
    <definedName name="METODOLOGIA">[8]Plan1!$A$195:$A$203</definedName>
    <definedName name="MmExcelLinker_CBF3F7D5_5F0E_4EA5_B59F_34028F0F12D2">[25]ADMI_25.01!$G$48:$G$48</definedName>
    <definedName name="mmm" localSheetId="42">#REF!</definedName>
    <definedName name="mmm" localSheetId="205">#REF!</definedName>
    <definedName name="mmm" localSheetId="41">#REF!</definedName>
    <definedName name="mmm">#REF!</definedName>
    <definedName name="MMMMMM" localSheetId="42">[2]Reforma!#REF!</definedName>
    <definedName name="mmmmmm" localSheetId="205">#REF!</definedName>
    <definedName name="mmmmmm" localSheetId="41">#REF!</definedName>
    <definedName name="MMMMMM">[2]Reforma!#REF!</definedName>
    <definedName name="MTOT02.020.0010" localSheetId="42">[23]MEMORIAL!#REF!</definedName>
    <definedName name="MTOT02.020.0010" localSheetId="205">[23]MEMORIAL!#REF!</definedName>
    <definedName name="MTOT02.020.0010" localSheetId="41">[23]MEMORIAL!#REF!</definedName>
    <definedName name="MTOT02.020.0010">[23]MEMORIAL!#REF!</definedName>
    <definedName name="MTOT02.020.0010_1" localSheetId="42">[24]MEMORIAL!#REF!</definedName>
    <definedName name="MTOT02.020.0010_1">[24]MEMORIAL!#REF!</definedName>
    <definedName name="MTOT02.020.0070">[23]MEMORIAL!#REF!</definedName>
    <definedName name="MTOT02.020.0070_1">[24]MEMORIAL!#REF!</definedName>
    <definedName name="MTOT02.030.0090">[23]MEMORIAL!#REF!</definedName>
    <definedName name="MTOT02.030.0090_1">[24]MEMORIAL!#REF!</definedName>
    <definedName name="MTOT02.030.0100">[23]MEMORIAL!#REF!</definedName>
    <definedName name="MTOT02.030.0100_1">[24]MEMORIAL!#REF!</definedName>
    <definedName name="MTOT02.040.0200">[23]MEMORIAL!#REF!</definedName>
    <definedName name="MTOT02.040.0200_1">[24]MEMORIAL!#REF!</definedName>
    <definedName name="MTOT02.040.0280">[23]MEMORIAL!#REF!</definedName>
    <definedName name="MTOT02.040.0280_1">[24]MEMORIAL!#REF!</definedName>
    <definedName name="MTOT02.040.0921">[23]MEMORIAL!#REF!</definedName>
    <definedName name="MTOT02.040.0921_1">[24]MEMORIAL!#REF!</definedName>
    <definedName name="MTOT02.040.1055">[23]MEMORIAL!#REF!</definedName>
    <definedName name="MTOT02.040.1055_1">[24]MEMORIAL!#REF!</definedName>
    <definedName name="MTOT02.040.1060">[23]MEMORIAL!#REF!</definedName>
    <definedName name="MTOT02.040.1060_1">[24]MEMORIAL!#REF!</definedName>
    <definedName name="MTOT02.040.3790">[23]MEMORIAL!#REF!</definedName>
    <definedName name="MTOT02.040.3790_1">[24]MEMORIAL!#REF!</definedName>
    <definedName name="MTOT02.040.3800">[23]MEMORIAL!#REF!</definedName>
    <definedName name="MTOT02.040.3800_1">[24]MEMORIAL!#REF!</definedName>
    <definedName name="MTOT02.040.3810">[23]MEMORIAL!#REF!</definedName>
    <definedName name="MTOT02.040.3810_1">[24]MEMORIAL!#REF!</definedName>
    <definedName name="MTOT02.040.4510">[23]MEMORIAL!#REF!</definedName>
    <definedName name="MTOT02.040.4510_1">[24]MEMORIAL!#REF!</definedName>
    <definedName name="MTOT02.040.4520">[23]MEMORIAL!#REF!</definedName>
    <definedName name="MTOT02.040.4520_1">[24]MEMORIAL!#REF!</definedName>
    <definedName name="MTOT02.040.4550">[23]MEMORIAL!#REF!</definedName>
    <definedName name="MTOT02.040.4550_1">[24]MEMORIAL!#REF!</definedName>
    <definedName name="MTOT02.040.4620">[23]MEMORIAL!#REF!</definedName>
    <definedName name="MTOT02.040.4620_1">[24]MEMORIAL!#REF!</definedName>
    <definedName name="MTOT02.040.4630">[23]MEMORIAL!#REF!</definedName>
    <definedName name="MTOT02.040.4630_1">[24]MEMORIAL!#REF!</definedName>
    <definedName name="MTOT02.040.4636">[23]MEMORIAL!#REF!</definedName>
    <definedName name="MTOT02.040.4636_1">[24]MEMORIAL!#REF!</definedName>
    <definedName name="MTOT02.040.4690">[23]MEMORIAL!#REF!</definedName>
    <definedName name="MTOT02.040.4690_1">[24]MEMORIAL!#REF!</definedName>
    <definedName name="MTOT02.040.7402">[23]MEMORIAL!#REF!</definedName>
    <definedName name="MTOT02.040.7402_1">[24]MEMORIAL!#REF!</definedName>
    <definedName name="MTOT02.040.9800">[23]MEMORIAL!#REF!</definedName>
    <definedName name="MTOT02.040.9800_1">[24]MEMORIAL!#REF!</definedName>
    <definedName name="MTOT02.040.9802">[23]MEMORIAL!#REF!</definedName>
    <definedName name="MTOT02.040.9802_1">[24]MEMORIAL!#REF!</definedName>
    <definedName name="MTOT02.040.9804">[23]MEMORIAL!#REF!</definedName>
    <definedName name="MTOT02.040.9804_1">[24]MEMORIAL!#REF!</definedName>
    <definedName name="MTOT02.110.0014">[23]MEMORIAL!#REF!</definedName>
    <definedName name="MTOT02.110.0014_1">[24]MEMORIAL!#REF!</definedName>
    <definedName name="MTOT02.110.0054">[23]MEMORIAL!#REF!</definedName>
    <definedName name="MTOT02.110.0054_1">[24]MEMORIAL!#REF!</definedName>
    <definedName name="MTOT02.110.0066">[23]MEMORIAL!#REF!</definedName>
    <definedName name="MTOT02.110.0066_1">[24]MEMORIAL!#REF!</definedName>
    <definedName name="MTOT02.110.0094">[23]MEMORIAL!#REF!</definedName>
    <definedName name="MTOT02.110.0094_1">[24]MEMORIAL!#REF!</definedName>
    <definedName name="MTOT02.110.0106">[23]MEMORIAL!#REF!</definedName>
    <definedName name="MTOT02.110.0106_1">[24]MEMORIAL!#REF!</definedName>
    <definedName name="MTOT02.110.0110">[23]MEMORIAL!#REF!</definedName>
    <definedName name="MTOT02.110.0110_1">[24]MEMORIAL!#REF!</definedName>
    <definedName name="MTOT02.110.0134">[23]MEMORIAL!#REF!</definedName>
    <definedName name="MTOT02.110.0134_1">[24]MEMORIAL!#REF!</definedName>
    <definedName name="MTOT02.110.0146">[23]MEMORIAL!#REF!</definedName>
    <definedName name="MTOT02.110.0146_1">[24]MEMORIAL!#REF!</definedName>
    <definedName name="MTOT02.110.0150">[23]MEMORIAL!#REF!</definedName>
    <definedName name="MTOT02.110.0150_1">[24]MEMORIAL!#REF!</definedName>
    <definedName name="MTOT02.110.0610">[23]MEMORIAL!#REF!</definedName>
    <definedName name="MTOT02.110.0610_1">[24]MEMORIAL!#REF!</definedName>
    <definedName name="MTOT02.110.0620">[23]MEMORIAL!#REF!</definedName>
    <definedName name="MTOT02.110.0620_1">[24]MEMORIAL!#REF!</definedName>
    <definedName name="MTOT02.110.0734">[23]MEMORIAL!#REF!</definedName>
    <definedName name="MTOT02.110.0734_1">[24]MEMORIAL!#REF!</definedName>
    <definedName name="MTOT02.110.0738">[23]MEMORIAL!#REF!</definedName>
    <definedName name="MTOT02.110.0738_1">[24]MEMORIAL!#REF!</definedName>
    <definedName name="MTOT02.110.0750">[23]MEMORIAL!#REF!</definedName>
    <definedName name="MTOT02.110.0750_1">[24]MEMORIAL!#REF!</definedName>
    <definedName name="MTOT02.110.1014">[23]MEMORIAL!#REF!</definedName>
    <definedName name="MTOT02.110.1014_1">[24]MEMORIAL!#REF!</definedName>
    <definedName name="MTOT02.110.1020">[23]MEMORIAL!#REF!</definedName>
    <definedName name="MTOT02.110.1020_1">[24]MEMORIAL!#REF!</definedName>
    <definedName name="MTOT02.110.1164">[23]MEMORIAL!#REF!</definedName>
    <definedName name="MTOT02.110.1164_1">[24]MEMORIAL!#REF!</definedName>
    <definedName name="MTOT02.110.1166">[23]MEMORIAL!#REF!</definedName>
    <definedName name="MTOT02.110.1166_1">[24]MEMORIAL!#REF!</definedName>
    <definedName name="MTOT02.110.1420">[23]MEMORIAL!#REF!</definedName>
    <definedName name="MTOT02.110.1420_1">[24]MEMORIAL!#REF!</definedName>
    <definedName name="MTOT02.110.1426">[23]MEMORIAL!#REF!</definedName>
    <definedName name="MTOT02.110.1426_1">[24]MEMORIAL!#REF!</definedName>
    <definedName name="MTOT02.110.1654">[23]MEMORIAL!#REF!</definedName>
    <definedName name="MTOT02.110.1654_1">[24]MEMORIAL!#REF!</definedName>
    <definedName name="MTOT02.110.1880">[23]MEMORIAL!#REF!</definedName>
    <definedName name="MTOT02.110.1880_1">[24]MEMORIAL!#REF!</definedName>
    <definedName name="MTOT02.110.1974">[23]MEMORIAL!#REF!</definedName>
    <definedName name="MTOT02.110.1974_1">[24]MEMORIAL!#REF!</definedName>
    <definedName name="MTOT02.110.1996">[23]MEMORIAL!#REF!</definedName>
    <definedName name="MTOT02.110.1996_1">[24]MEMORIAL!#REF!</definedName>
    <definedName name="MTOT02.110.2012">[23]MEMORIAL!#REF!</definedName>
    <definedName name="MTOT02.110.2012_1">[24]MEMORIAL!#REF!</definedName>
    <definedName name="MTOT02.110.2016">[23]MEMORIAL!#REF!</definedName>
    <definedName name="MTOT02.110.2016_1">[24]MEMORIAL!#REF!</definedName>
    <definedName name="MTOT02.110.2024">[23]MEMORIAL!#REF!</definedName>
    <definedName name="MTOT02.110.2024_1">[24]MEMORIAL!#REF!</definedName>
    <definedName name="MTOT02.110.2026">[23]MEMORIAL!#REF!</definedName>
    <definedName name="MTOT02.110.2026_1">[24]MEMORIAL!#REF!</definedName>
    <definedName name="MTOT02.110.2310">[23]MEMORIAL!#REF!</definedName>
    <definedName name="MTOT02.110.2310_1">[24]MEMORIAL!#REF!</definedName>
    <definedName name="MTOT02.110.2480">[23]MEMORIAL!#REF!</definedName>
    <definedName name="MTOT02.110.2480_1">[24]MEMORIAL!#REF!</definedName>
    <definedName name="MTOT02.110.2798">[23]MEMORIAL!#REF!</definedName>
    <definedName name="MTOT02.110.2798_1">[24]MEMORIAL!#REF!</definedName>
    <definedName name="MTOT02.110.2806">[23]MEMORIAL!#REF!</definedName>
    <definedName name="MTOT02.110.2806_1">[24]MEMORIAL!#REF!</definedName>
    <definedName name="MTOT02.110.2868">[23]MEMORIAL!#REF!</definedName>
    <definedName name="MTOT02.110.2868_1">[24]MEMORIAL!#REF!</definedName>
    <definedName name="MTOT02.110.3856">[23]MEMORIAL!#REF!</definedName>
    <definedName name="MTOT02.110.3856_1">[24]MEMORIAL!#REF!</definedName>
    <definedName name="MTOT02.110.3908">[23]MEMORIAL!#REF!</definedName>
    <definedName name="MTOT02.110.3908_1">[24]MEMORIAL!#REF!</definedName>
    <definedName name="MTOT02.110.3926">[23]MEMORIAL!#REF!</definedName>
    <definedName name="MTOT02.110.3926_1">[24]MEMORIAL!#REF!</definedName>
    <definedName name="MTOT02.110.4288">[23]MEMORIAL!#REF!</definedName>
    <definedName name="MTOT02.110.4288_1">[24]MEMORIAL!#REF!</definedName>
    <definedName name="MTOT02.110.4296">[23]MEMORIAL!#REF!</definedName>
    <definedName name="MTOT02.110.4296_1">[24]MEMORIAL!#REF!</definedName>
    <definedName name="MTOT02.110.4308">[23]MEMORIAL!#REF!</definedName>
    <definedName name="MTOT02.110.4308_1">[24]MEMORIAL!#REF!</definedName>
    <definedName name="MTOT02.110.4312">[23]MEMORIAL!#REF!</definedName>
    <definedName name="MTOT02.110.4312_1">[24]MEMORIAL!#REF!</definedName>
    <definedName name="MTOT02.110.4320">[23]MEMORIAL!#REF!</definedName>
    <definedName name="MTOT02.110.4320_1">[24]MEMORIAL!#REF!</definedName>
    <definedName name="MTOT02.110.4780">[23]MEMORIAL!#REF!</definedName>
    <definedName name="MTOT02.110.4780_1">[24]MEMORIAL!#REF!</definedName>
    <definedName name="MTOT02.110.610">[23]MEMORIAL!#REF!</definedName>
    <definedName name="MTOT02.110.610_1">[24]MEMORIAL!#REF!</definedName>
    <definedName name="MTOT02.120.0050">[23]MEMORIAL!#REF!</definedName>
    <definedName name="MTOT02.120.0050_1">[24]MEMORIAL!#REF!</definedName>
    <definedName name="MTOT02.120.0060">[23]MEMORIAL!#REF!</definedName>
    <definedName name="MTOT02.120.0060_1">[24]MEMORIAL!#REF!</definedName>
    <definedName name="MTOT02.120.0140">[23]MEMORIAL!#REF!</definedName>
    <definedName name="MTOT02.120.0140_1">[24]MEMORIAL!#REF!</definedName>
    <definedName name="MTOT02.130.0070">[23]MEMORIAL!#REF!</definedName>
    <definedName name="MTOT02.130.0070_1">[24]MEMORIAL!#REF!</definedName>
    <definedName name="MTOT02.130.0080">[23]MEMORIAL!#REF!</definedName>
    <definedName name="MTOT02.130.0080_1">[24]MEMORIAL!#REF!</definedName>
    <definedName name="MTOT02.130.0100">[23]MEMORIAL!#REF!</definedName>
    <definedName name="MTOT02.130.0100_1">[24]MEMORIAL!#REF!</definedName>
    <definedName name="MTOT02.140.0030">[23]MEMORIAL!#REF!</definedName>
    <definedName name="MTOT02.140.0030_1">[24]MEMORIAL!#REF!</definedName>
    <definedName name="MTOT02.140.0080">[23]MEMORIAL!#REF!</definedName>
    <definedName name="MTOT02.140.0080_1">[24]MEMORIAL!#REF!</definedName>
    <definedName name="MTOT02.140.0090">[23]MEMORIAL!#REF!</definedName>
    <definedName name="MTOT02.140.0090_1">[24]MEMORIAL!#REF!</definedName>
    <definedName name="MTOT02.160.0010">[23]MEMORIAL!#REF!</definedName>
    <definedName name="MTOT02.160.0010_1">[24]MEMORIAL!#REF!</definedName>
    <definedName name="MTOT02.160.0110">[23]MEMORIAL!#REF!</definedName>
    <definedName name="MTOT02.160.0110_1">[24]MEMORIAL!#REF!</definedName>
    <definedName name="MTOT02.180.0010">[23]MEMORIAL!#REF!</definedName>
    <definedName name="MTOT02.180.0010_1">[24]MEMORIAL!#REF!</definedName>
    <definedName name="MTOT02.210.0020">[23]MEMORIAL!#REF!</definedName>
    <definedName name="MTOT02.210.0020_1">[24]MEMORIAL!#REF!</definedName>
    <definedName name="MTOT02.210.0030">[23]MEMORIAL!#REF!</definedName>
    <definedName name="MTOT02.210.0030_1">[24]MEMORIAL!#REF!</definedName>
    <definedName name="MTOT02.210.0090">[23]MEMORIAL!#REF!</definedName>
    <definedName name="MTOT02.210.0090_1">[24]MEMORIAL!#REF!</definedName>
    <definedName name="MTOT02.210.0110">[23]MEMORIAL!#REF!</definedName>
    <definedName name="MTOT02.210.0110_1">[24]MEMORIAL!#REF!</definedName>
    <definedName name="MTOT02.210.0310">[23]MEMORIAL!#REF!</definedName>
    <definedName name="MTOT02.210.0310_1">[24]MEMORIAL!#REF!</definedName>
    <definedName name="MTOT02.210.0340">[23]MEMORIAL!#REF!</definedName>
    <definedName name="MTOT02.210.0340_1">[24]MEMORIAL!#REF!</definedName>
    <definedName name="MTOT02.210.0350">[23]MEMORIAL!#REF!</definedName>
    <definedName name="MTOT02.210.0350_1">[24]MEMORIAL!#REF!</definedName>
    <definedName name="MTOT02.210.0360">[23]MEMORIAL!#REF!</definedName>
    <definedName name="MTOT02.210.0360_1">[24]MEMORIAL!#REF!</definedName>
    <definedName name="MTOT02.210.0370">[23]MEMORIAL!#REF!</definedName>
    <definedName name="MTOT02.210.0370_1">[24]MEMORIAL!#REF!</definedName>
    <definedName name="MTOT02.210.0380">[23]MEMORIAL!#REF!</definedName>
    <definedName name="MTOT02.210.0380_1">[24]MEMORIAL!#REF!</definedName>
    <definedName name="MTOT02.210.1620">[23]MEMORIAL!#REF!</definedName>
    <definedName name="MTOT02.210.1620_1">[24]MEMORIAL!#REF!</definedName>
    <definedName name="MTOT02.210.1625">[23]MEMORIAL!#REF!</definedName>
    <definedName name="MTOT02.210.1625_1">[24]MEMORIAL!#REF!</definedName>
    <definedName name="MTOT02.210.1635">[23]MEMORIAL!#REF!</definedName>
    <definedName name="MTOT02.210.1635_1">[24]MEMORIAL!#REF!</definedName>
    <definedName name="MTOT02.210.1637">[23]MEMORIAL!#REF!</definedName>
    <definedName name="MTOT02.210.1637_1">[24]MEMORIAL!#REF!</definedName>
    <definedName name="MTOT02.2140.">[23]MEMORIAL!#REF!</definedName>
    <definedName name="MTOT02.2140._1">[24]MEMORIAL!#REF!</definedName>
    <definedName name="MTOT03.020.0020">[23]MEMORIAL!#REF!</definedName>
    <definedName name="MTOT03.020.0020_1">[24]MEMORIAL!#REF!</definedName>
    <definedName name="MTOT05.150.0830">[23]MEMORIAL!#REF!</definedName>
    <definedName name="MTOT05.150.0830_1">[24]MEMORIAL!#REF!</definedName>
    <definedName name="MTOT05.150.0840">[23]MEMORIAL!#REF!</definedName>
    <definedName name="MTOT05.150.0840_1">[24]MEMORIAL!#REF!</definedName>
    <definedName name="MTOTCOTADO01">[23]MEMORIAL!#REF!</definedName>
    <definedName name="MTOTCOTADO01_1">[24]MEMORIAL!#REF!</definedName>
    <definedName name="MTOTCOTADO02">[23]MEMORIAL!#REF!</definedName>
    <definedName name="MTOTCOTADO02_1">[24]MEMORIAL!#REF!</definedName>
    <definedName name="MTOTCOTADO03">[23]MEMORIAL!#REF!</definedName>
    <definedName name="MTOTCOTADO03_1">[24]MEMORIAL!#REF!</definedName>
    <definedName name="MTOTCOTADO04">[23]MEMORIAL!#REF!</definedName>
    <definedName name="MTOTCOTADO04_1">[24]MEMORIAL!#REF!</definedName>
    <definedName name="MTOTCOTADO05">[23]MEMORIAL!#REF!</definedName>
    <definedName name="MTOTCOTADO05_1">[24]MEMORIAL!#REF!</definedName>
    <definedName name="MTOTCOTADO21">[10]MEMORIAL!#REF!</definedName>
    <definedName name="MTOTCOTADO21_1">[10]MEMORIAL!#REF!</definedName>
    <definedName name="MTOTVERBA">[10]MEMORIAL!#REF!</definedName>
    <definedName name="MTOTVERBA_1">[10]MEMORIAL!#REF!</definedName>
    <definedName name="MULT">'[6]BAIXO GUANDU ITAIMBE'!#REF!</definedName>
    <definedName name="MULT_2">'[6]BAIXO GUANDU ITAIMBE'!#REF!</definedName>
    <definedName name="N" localSheetId="42">#REF!</definedName>
    <definedName name="N" localSheetId="205">#REF!</definedName>
    <definedName name="N" localSheetId="41">#REF!</definedName>
    <definedName name="N">#REF!</definedName>
    <definedName name="NN" localSheetId="42">#REF!</definedName>
    <definedName name="NN" localSheetId="41">#REF!</definedName>
    <definedName name="NN">#REF!</definedName>
    <definedName name="NOME1" localSheetId="42">#REF!</definedName>
    <definedName name="NOME1" localSheetId="41">#REF!</definedName>
    <definedName name="NOME1">#REF!</definedName>
    <definedName name="NOME1_6">#REF!</definedName>
    <definedName name="Novo">#REF!</definedName>
    <definedName name="numcond1">#REF!</definedName>
    <definedName name="numcond3">#REF!</definedName>
    <definedName name="OBJETIVO">[8]Plan1!$A$2:$A$7</definedName>
    <definedName name="OBRA" localSheetId="42">#REF!</definedName>
    <definedName name="OBRA" localSheetId="205">#REF!</definedName>
    <definedName name="OBRA" localSheetId="41">#REF!</definedName>
    <definedName name="OBRA">#REF!</definedName>
    <definedName name="OCUPACAO">[8]Plan1!$A$153:$A$158</definedName>
    <definedName name="OFERTAS">[8]Plan1!$A$175:$A$179</definedName>
    <definedName name="oh" localSheetId="42">#REF!</definedName>
    <definedName name="oh" localSheetId="205">#REF!</definedName>
    <definedName name="oh" localSheetId="41">#REF!</definedName>
    <definedName name="oh">#REF!</definedName>
    <definedName name="onde" localSheetId="42">'[6]BAIXO GUANDU ITAIMBE'!#REF!</definedName>
    <definedName name="onde" localSheetId="205">'[6]BAIXO GUANDU ITAIMBE'!#REF!</definedName>
    <definedName name="onde" localSheetId="41">'[6]BAIXO GUANDU ITAIMBE'!#REF!</definedName>
    <definedName name="onde">'[6]BAIXO GUANDU ITAIMBE'!#REF!</definedName>
    <definedName name="opções">'[26]FRE '!$AM$248:$AM$250</definedName>
    <definedName name="Orçamento" localSheetId="42">#REF!</definedName>
    <definedName name="Orçamento" localSheetId="205">#REF!</definedName>
    <definedName name="Orçamento" localSheetId="41">#REF!</definedName>
    <definedName name="Orçamento">#REF!</definedName>
    <definedName name="Orçamento_Básico" localSheetId="42">#REF!</definedName>
    <definedName name="Orçamento_Básico" localSheetId="41">#REF!</definedName>
    <definedName name="Orçamento_Básico">#REF!</definedName>
    <definedName name="p" localSheetId="42">#REF!</definedName>
    <definedName name="p" localSheetId="41">#REF!</definedName>
    <definedName name="p">#REF!</definedName>
    <definedName name="PADRAO_ACABAMENTO">[8]Plan1!$A$126:$A$133</definedName>
    <definedName name="PADRAO_CONST_PREDOM">[8]Plan1!$A$21:$A$25</definedName>
    <definedName name="PARALELO" localSheetId="42">#REF!</definedName>
    <definedName name="PARALELO" localSheetId="205">#REF!</definedName>
    <definedName name="PARALELO" localSheetId="41">#REF!</definedName>
    <definedName name="PARALELO">#REF!</definedName>
    <definedName name="PARALELO_1" localSheetId="42">#REF!</definedName>
    <definedName name="PARALELO_1" localSheetId="41">#REF!</definedName>
    <definedName name="PARALELO_1">#REF!</definedName>
    <definedName name="Parcial" localSheetId="42">#REF!</definedName>
    <definedName name="Parcial" localSheetId="41">#REF!</definedName>
    <definedName name="Parcial">#REF!</definedName>
    <definedName name="PassaExtenso">"#NAME!PassaExtenso"</definedName>
    <definedName name="PAULO" localSheetId="42">#REF!</definedName>
    <definedName name="PAULO" localSheetId="205">#REF!</definedName>
    <definedName name="PAULO" localSheetId="41">#REF!</definedName>
    <definedName name="PAULO">#REF!</definedName>
    <definedName name="pav" localSheetId="42">#REF!</definedName>
    <definedName name="pav" localSheetId="41">#REF!</definedName>
    <definedName name="pav">#REF!</definedName>
    <definedName name="PAVIM" localSheetId="42">#REF!</definedName>
    <definedName name="PAVIM" localSheetId="41">#REF!</definedName>
    <definedName name="PAVIM">#REF!</definedName>
    <definedName name="PAVIM_17">#REF!</definedName>
    <definedName name="PAVIM_8">#REF!</definedName>
    <definedName name="pavimen">#REF!</definedName>
    <definedName name="paviment">#REF!</definedName>
    <definedName name="pEZZIN">#REF!</definedName>
    <definedName name="Pfim0">#REF!</definedName>
    <definedName name="Pfim0a">#REF!</definedName>
    <definedName name="Pfim1">#REF!</definedName>
    <definedName name="PISOS">[8]Plan1!$A$111:$A$120</definedName>
    <definedName name="Plan" localSheetId="42">#REF!</definedName>
    <definedName name="Plan" localSheetId="205">#REF!</definedName>
    <definedName name="Plan" localSheetId="41">#REF!</definedName>
    <definedName name="Plan">#REF!</definedName>
    <definedName name="PLANILHA" localSheetId="42">#REF!</definedName>
    <definedName name="PLANILHA" localSheetId="41">#REF!</definedName>
    <definedName name="PLANILHA">#REF!</definedName>
    <definedName name="POOO" localSheetId="42">#REF!</definedName>
    <definedName name="POOO" localSheetId="41">#REF!</definedName>
    <definedName name="POOO">#REF!</definedName>
    <definedName name="POSICAO">[8]Plan1!$A$87:$A$93</definedName>
    <definedName name="PREÇO">("$#REF!.$A$1:$H$65198~$#REF!.$A$1:$AMJ$14)))))))")</definedName>
    <definedName name="PRINT_AREA_MI" localSheetId="42">#REF!</definedName>
    <definedName name="Print_Area_MI" localSheetId="205">#REF!</definedName>
    <definedName name="Print_Area_MI" localSheetId="41">#REF!</definedName>
    <definedName name="PRINT_AREA_MI">#REF!</definedName>
    <definedName name="PRINT_TITLES_MI" localSheetId="42">#REF!</definedName>
    <definedName name="Print_Titles_MI" localSheetId="41">#REF!</definedName>
    <definedName name="PRINT_TITLES_MI">#REF!</definedName>
    <definedName name="PROFISSIONAIS">[8]LISTAS!$A$1:$A$13</definedName>
    <definedName name="Q" localSheetId="42">#REF!</definedName>
    <definedName name="Q" localSheetId="205">#REF!</definedName>
    <definedName name="Q" localSheetId="41">#REF!</definedName>
    <definedName name="Q">#REF!</definedName>
    <definedName name="QQ" localSheetId="42">#REF!</definedName>
    <definedName name="QQ" localSheetId="41">#REF!</definedName>
    <definedName name="QQ">#REF!</definedName>
    <definedName name="Quadra" localSheetId="42" hidden="1">{#N/A,#N/A,FALSE,"MO (2)"}</definedName>
    <definedName name="Quadra" localSheetId="205" hidden="1">{#N/A,#N/A,FALSE,"MO (2)"}</definedName>
    <definedName name="Quadra" localSheetId="41" hidden="1">{#N/A,#N/A,FALSE,"MO (2)"}</definedName>
    <definedName name="Quadra" hidden="1">{#N/A,#N/A,FALSE,"MO (2)"}</definedName>
    <definedName name="Quant." localSheetId="42">#REF!</definedName>
    <definedName name="Quant." localSheetId="205">#REF!</definedName>
    <definedName name="Quant." localSheetId="41">#REF!</definedName>
    <definedName name="Quant.">#REF!</definedName>
    <definedName name="Quantidades" localSheetId="42" hidden="1">{#N/A,#N/A,FALSE,"MO (2)"}</definedName>
    <definedName name="Quantidades" localSheetId="205" hidden="1">{#N/A,#N/A,FALSE,"MO (2)"}</definedName>
    <definedName name="Quantidades" localSheetId="41" hidden="1">{#N/A,#N/A,FALSE,"MO (2)"}</definedName>
    <definedName name="Quantidades" hidden="1">{#N/A,#N/A,FALSE,"MO (2)"}</definedName>
    <definedName name="qwer" localSheetId="42">#REF!</definedName>
    <definedName name="qwer" localSheetId="205">#REF!</definedName>
    <definedName name="qwer" localSheetId="41">#REF!</definedName>
    <definedName name="qwer">#REF!</definedName>
    <definedName name="RAH" localSheetId="42">#REF!</definedName>
    <definedName name="RAH" localSheetId="41">#REF!</definedName>
    <definedName name="RAH">#REF!</definedName>
    <definedName name="RAH_1" localSheetId="42">#REF!</definedName>
    <definedName name="RAH_1" localSheetId="41">#REF!</definedName>
    <definedName name="RAH_1">#REF!</definedName>
    <definedName name="RE">#REF!</definedName>
    <definedName name="REATERRO">#REF!</definedName>
    <definedName name="REC.ATE.">[11]MEMORIAL!#REF!</definedName>
    <definedName name="REFORMA">[8]Plan1!$A$149:$A$152</definedName>
    <definedName name="RES" localSheetId="42">#REF!</definedName>
    <definedName name="RES" localSheetId="205">#REF!</definedName>
    <definedName name="RES" localSheetId="41">#REF!</definedName>
    <definedName name="RES">#REF!</definedName>
    <definedName name="RESTRICOES">[8]Plan1!$A$38:$A$43</definedName>
    <definedName name="RESUMO">[9]RESUMO_COD!$A:$T</definedName>
    <definedName name="RESUMO_COD">[27]RESUMO_COD!$A:$T</definedName>
    <definedName name="RESUMO_COD_EQU">[28]RESUMO_COD_EQU!$A:$AI</definedName>
    <definedName name="RESUMO_COMP">[29]RESUMO_COMP!$A:$T</definedName>
    <definedName name="Rev" localSheetId="205">#REF!</definedName>
    <definedName name="Rev">#REF!</definedName>
    <definedName name="rfv" localSheetId="42">#REF!</definedName>
    <definedName name="rfv" localSheetId="41">#REF!</definedName>
    <definedName name="rfv">#REF!</definedName>
    <definedName name="rfv_1" localSheetId="42">#REF!</definedName>
    <definedName name="rfv_1" localSheetId="41">#REF!</definedName>
    <definedName name="rfv_1">#REF!</definedName>
    <definedName name="rocha" localSheetId="42">#REF!</definedName>
    <definedName name="rocha" localSheetId="41">#REF!</definedName>
    <definedName name="rocha">#REF!</definedName>
    <definedName name="rpa">#REF!</definedName>
    <definedName name="rpa_1">#REF!</definedName>
    <definedName name="rpb">#REF!</definedName>
    <definedName name="rpb_1">#REF!</definedName>
    <definedName name="rpp">#REF!</definedName>
    <definedName name="rpp_1">#REF!</definedName>
    <definedName name="rr">#REF!</definedName>
    <definedName name="RRRR">#REF!</definedName>
    <definedName name="rwgnkd">#REF!</definedName>
    <definedName name="s">#REF!</definedName>
    <definedName name="SAD">#REF!</definedName>
    <definedName name="SCOD02.010.0020">#REF!</definedName>
    <definedName name="SCOD02.010.0020_1">#REF!</definedName>
    <definedName name="SCOD02.010.0050">[23]MEMORIAL!#REF!</definedName>
    <definedName name="SCOD02.010.0050_1">[24]MEMORIAL!#REF!</definedName>
    <definedName name="SCOD02.010.0065">[23]MEMORIAL!#REF!</definedName>
    <definedName name="SCOD02.010.0065_1">[24]MEMORIAL!#REF!</definedName>
    <definedName name="SCOD02.010.0130">[23]MEMORIAL!#REF!</definedName>
    <definedName name="SCOD02.010.0130_1">[24]MEMORIAL!#REF!</definedName>
    <definedName name="SCOD03.010.0020">[23]MEMORIAL!#REF!</definedName>
    <definedName name="SCOD03.010.0020_1">[24]MEMORIAL!#REF!</definedName>
    <definedName name="SCOD03.010.0025">[23]MEMORIAL!#REF!</definedName>
    <definedName name="SCOD03.010.0025_1">[24]MEMORIAL!#REF!</definedName>
    <definedName name="SCOD03.010.0040">[23]MEMORIAL!#REF!</definedName>
    <definedName name="SCOD03.010.0040_1">[24]MEMORIAL!#REF!</definedName>
    <definedName name="SCOD03.010.0050">[23]MEMORIAL!#REF!</definedName>
    <definedName name="SCOD03.010.0050_1">[24]MEMORIAL!#REF!</definedName>
    <definedName name="SCOD03.010.0100">[23]MEMORIAL!#REF!</definedName>
    <definedName name="SCOD03.010.0100_1">[24]MEMORIAL!#REF!</definedName>
    <definedName name="SCOD03.010.0180">[23]MEMORIAL!#REF!</definedName>
    <definedName name="SCOD03.010.0180_1">[24]MEMORIAL!#REF!</definedName>
    <definedName name="SCOD03.010.0200">[23]MEMORIAL!#REF!</definedName>
    <definedName name="SCOD03.010.0200_1">[24]MEMORIAL!#REF!</definedName>
    <definedName name="SCOD04.010.0010">[11]MEMORIAL!#REF!</definedName>
    <definedName name="SCOD04.010.0010_1">[11]MEMORIAL!#REF!</definedName>
    <definedName name="SCOD04.010.0040">[11]MEMORIAL!#REF!</definedName>
    <definedName name="SCOD04.010.0040_1">[11]MEMORIAL!#REF!</definedName>
    <definedName name="SCOD04.010.0070">[11]MEMORIAL!#REF!</definedName>
    <definedName name="SCOD04.010.0070_1">[11]MEMORIAL!#REF!</definedName>
    <definedName name="SCOD04.010.0150">[11]MEMORIAL!#REF!</definedName>
    <definedName name="SCOD04.010.0150_1">[11]MEMORIAL!#REF!</definedName>
    <definedName name="SCOD04.010.0190">[11]MEMORIAL!#REF!</definedName>
    <definedName name="SCOD04.010.0190_1">[11]MEMORIAL!#REF!</definedName>
    <definedName name="SCOD04.010.0200">[11]MEMORIAL!#REF!</definedName>
    <definedName name="SCOD04.010.0200_1">[11]MEMORIAL!#REF!</definedName>
    <definedName name="SCOD04.010.0320">[23]MEMORIAL!#REF!</definedName>
    <definedName name="SCOD04.010.0320_1">[11]MEMORIAL!#REF!</definedName>
    <definedName name="SCOD04.010.0330">[23]MEMORIAL!#REF!</definedName>
    <definedName name="SCOD04.010.0330_1">[11]MEMORIAL!#REF!</definedName>
    <definedName name="SCOD04.010.0371">[23]MEMORIAL!#REF!</definedName>
    <definedName name="SCOD04.010.0371_1">[24]MEMORIAL!#REF!</definedName>
    <definedName name="SCOD04.010.0375">[23]MEMORIAL!#REF!</definedName>
    <definedName name="SCOD04.010.0375_1">[11]MEMORIAL!#REF!</definedName>
    <definedName name="SCOD04.010.0395">[23]MEMORIAL!#REF!</definedName>
    <definedName name="SCOD04.010.0395_1">[11]MEMORIAL!#REF!</definedName>
    <definedName name="SCOD04.010.0420">[11]MEMORIAL!#REF!</definedName>
    <definedName name="SCOD04.010.0420_1">[11]MEMORIAL!#REF!</definedName>
    <definedName name="SCOD04.010.0430">[11]MEMORIAL!#REF!</definedName>
    <definedName name="SCOD04.010.0430_1">[11]MEMORIAL!#REF!</definedName>
    <definedName name="SCOD05.010.0020">[23]MEMORIAL!#REF!</definedName>
    <definedName name="SCOD05.010.0020_1">[11]MEMORIAL!#REF!</definedName>
    <definedName name="SCOD08.010.0010">[11]MEMORIAL!#REF!</definedName>
    <definedName name="SCOD08.010.0010_1">[11]MEMORIAL!#REF!</definedName>
    <definedName name="SCOD08.010.0040">[11]MEMORIAL!#REF!</definedName>
    <definedName name="SCOD08.010.0040_1">[11]MEMORIAL!#REF!</definedName>
    <definedName name="SCOD08.010.0060">[23]MEMORIAL!#REF!</definedName>
    <definedName name="SCOD08.010.0060_1">[24]MEMORIAL!#REF!</definedName>
    <definedName name="SCOD08.010.0130">[11]MEMORIAL!#REF!</definedName>
    <definedName name="SCOD08.010.0130_1">[11]MEMORIAL!#REF!</definedName>
    <definedName name="SCOD08.010.0135">[23]MEMORIAL!#REF!</definedName>
    <definedName name="SCOD08.010.0135_1">[11]MEMORIAL!#REF!</definedName>
    <definedName name="SCOD08.010.0270">[23]MEMORIAL!#REF!</definedName>
    <definedName name="SCOD08.010.0270_1">[11]MEMORIAL!#REF!</definedName>
    <definedName name="SCOD09.010.0060">[23]MEMORIAL!#REF!</definedName>
    <definedName name="SCOD09.010.0060_1">[11]MEMORIAL!#REF!</definedName>
    <definedName name="SCOD09.010.0240">[23]MEMORIAL!#REF!</definedName>
    <definedName name="SCOD09.010.0240_1">[24]MEMORIAL!#REF!</definedName>
    <definedName name="SCOD09.010.0430">[23]MEMORIAL!#REF!</definedName>
    <definedName name="SCOD09.010.0430_1">[24]MEMORIAL!#REF!</definedName>
    <definedName name="SCOD09.010.0470">[23]MEMORIAL!#REF!</definedName>
    <definedName name="SCOD09.010.0470_1">[24]MEMORIAL!#REF!</definedName>
    <definedName name="SCOD09.010.0700">[23]MEMORIAL!#REF!</definedName>
    <definedName name="SCOD09.010.0700_1">[24]MEMORIAL!#REF!</definedName>
    <definedName name="SCOD10.010.0140">[23]MEMORIAL!#REF!</definedName>
    <definedName name="SCOD10.010.0140_1">[11]MEMORIAL!#REF!</definedName>
    <definedName name="SCOD10.010.0180">[23]MEMORIAL!#REF!</definedName>
    <definedName name="SCOD10.010.0180_1">[11]MEMORIAL!#REF!</definedName>
    <definedName name="SCOD10.010.0270">[23]MEMORIAL!#REF!</definedName>
    <definedName name="SCOD10.010.0270_1">[24]MEMORIAL!#REF!</definedName>
    <definedName name="SCOD10.010.0280">[23]MEMORIAL!#REF!</definedName>
    <definedName name="SCOD10.010.0280_1">[24]MEMORIAL!#REF!</definedName>
    <definedName name="SCOD10.010.0298">[11]MEMORIAL!#REF!</definedName>
    <definedName name="SCOD10.010.0298_1">[11]MEMORIAL!#REF!</definedName>
    <definedName name="SCOD10.010.0307">[23]MEMORIAL!#REF!</definedName>
    <definedName name="SCOD10.010.0307_1">[24]MEMORIAL!#REF!</definedName>
    <definedName name="SCOD10.010.0308">[23]MEMORIAL!#REF!</definedName>
    <definedName name="SCOD10.010.0308_1">[24]MEMORIAL!#REF!</definedName>
    <definedName name="SCOD10.010.0310">[23]MEMORIAL!#REF!</definedName>
    <definedName name="SCOD10.010.0310_1">[11]MEMORIAL!#REF!</definedName>
    <definedName name="SCOD10.010.0330">[23]MEMORIAL!#REF!</definedName>
    <definedName name="SCOD10.010.0330_1">[24]MEMORIAL!#REF!</definedName>
    <definedName name="SCOD10.010.0333">[23]MEMORIAL!#REF!</definedName>
    <definedName name="SCOD10.010.0333_1">[24]MEMORIAL!#REF!</definedName>
    <definedName name="SCOD10.010.0380">[23]MEMORIAL!#REF!</definedName>
    <definedName name="SCOD10.010.0380_1">[24]MEMORIAL!#REF!</definedName>
    <definedName name="SCOD10.010.0400">[23]MEMORIAL!#REF!</definedName>
    <definedName name="SCOD10.010.0400_1">[24]MEMORIAL!#REF!</definedName>
    <definedName name="SCOD10.010.0431">[23]MEMORIAL!#REF!</definedName>
    <definedName name="SCOD10.010.0431_1">[24]MEMORIAL!#REF!</definedName>
    <definedName name="SCOD10.010.1110">[11]MEMORIAL!#REF!</definedName>
    <definedName name="SCOD10.010.1110_1">[11]MEMORIAL!#REF!</definedName>
    <definedName name="SCOD12.010.0010">[11]MEMORIAL!#REF!</definedName>
    <definedName name="SCOD12.010.0010_1">[11]MEMORIAL!#REF!</definedName>
    <definedName name="SCOD12.010.0060">[23]MEMORIAL!#REF!</definedName>
    <definedName name="SCOD12.010.0060_1">[24]MEMORIAL!#REF!</definedName>
    <definedName name="SCOD12.010.0210">[23]MEMORIAL!#REF!</definedName>
    <definedName name="SCOD12.010.0210_1">[24]MEMORIAL!#REF!</definedName>
    <definedName name="SCOD12.010.0360">[23]MEMORIAL!#REF!</definedName>
    <definedName name="SCOD12.010.0360_1">[24]MEMORIAL!#REF!</definedName>
    <definedName name="SCOD12.010.0550">[23]MEMORIAL!#REF!</definedName>
    <definedName name="SCOD12.010.0550_1">[24]MEMORIAL!#REF!</definedName>
    <definedName name="SCOD13.010.0030">[23]MEMORIAL!#REF!</definedName>
    <definedName name="SCOD13.010.0030_1">[24]MEMORIAL!#REF!</definedName>
    <definedName name="SCOD13.010.0090">[23]MEMORIAL!#REF!</definedName>
    <definedName name="SCOD13.010.0090_1">[24]MEMORIAL!#REF!</definedName>
    <definedName name="SCOD13.010.0100">[11]MEMORIAL!#REF!</definedName>
    <definedName name="SCOD13.010.0100_1">[11]MEMORIAL!#REF!</definedName>
    <definedName name="SCOD13.010.0110">[23]MEMORIAL!#REF!</definedName>
    <definedName name="SCOD13.010.0110_1">[24]MEMORIAL!#REF!</definedName>
    <definedName name="SCOD13.010.1200">[23]MEMORIAL!#REF!</definedName>
    <definedName name="SCOD13.010.1200_1">[24]MEMORIAL!#REF!</definedName>
    <definedName name="SCOD15.010.0010">[23]MEMORIAL!#REF!</definedName>
    <definedName name="SCOD15.010.0010_1">[24]MEMORIAL!#REF!</definedName>
    <definedName name="SCOD15.010.0055">[23]MEMORIAL!#REF!</definedName>
    <definedName name="SCOD15.010.0055_1">[24]MEMORIAL!#REF!</definedName>
    <definedName name="SCOD15.010.0140">[23]MEMORIAL!#REF!</definedName>
    <definedName name="SCOD15.010.0140_1">[24]MEMORIAL!#REF!</definedName>
    <definedName name="SCOD15.010.0181">[23]MEMORIAL!#REF!</definedName>
    <definedName name="SCOD15.010.0181_1">[24]MEMORIAL!#REF!</definedName>
    <definedName name="SCOD15.010.0270">[23]MEMORIAL!#REF!</definedName>
    <definedName name="SCOD15.010.0270_1">[24]MEMORIAL!#REF!</definedName>
    <definedName name="SCOD15.010.0280">[23]MEMORIAL!#REF!</definedName>
    <definedName name="SCOD15.010.0280_1">[11]MEMORIAL!#REF!</definedName>
    <definedName name="SCOD15.010.0290">[11]MEMORIAL!#REF!</definedName>
    <definedName name="SCOD15.010.0290_1">[11]MEMORIAL!#REF!</definedName>
    <definedName name="SCOD16.010.0010">[23]MEMORIAL!#REF!</definedName>
    <definedName name="SCOD16.010.0010_1">[11]MEMORIAL!#REF!</definedName>
    <definedName name="SCOD16.010.0060">[23]MEMORIAL!#REF!</definedName>
    <definedName name="SCOD16.010.0060_1">[24]MEMORIAL!#REF!</definedName>
    <definedName name="SCOD16.010.0110">[23]MEMORIAL!#REF!</definedName>
    <definedName name="SCOD16.010.0110_1">[24]MEMORIAL!#REF!</definedName>
    <definedName name="SCOD16.010.0120">[23]MEMORIAL!#REF!</definedName>
    <definedName name="SCOD16.010.0120_1">[24]MEMORIAL!#REF!</definedName>
    <definedName name="SCOD16.010.0170">[23]MEMORIAL!#REF!</definedName>
    <definedName name="SCOD16.010.0170_1">[24]MEMORIAL!#REF!</definedName>
    <definedName name="SCOD17.010.0080">[23]MEMORIAL!#REF!</definedName>
    <definedName name="SCOD17.010.0080_1">[24]MEMORIAL!#REF!</definedName>
    <definedName name="SCOD17.010.0100">[11]MEMORIAL!#REF!</definedName>
    <definedName name="SCOD17.010.0100_1">[11]MEMORIAL!#REF!</definedName>
    <definedName name="SCOD17.010.0150">[23]MEMORIAL!#REF!</definedName>
    <definedName name="SCOD17.010.0150_1">[24]MEMORIAL!#REF!</definedName>
    <definedName name="SCOD17.010.0290">[23]MEMORIAL!#REF!</definedName>
    <definedName name="SCOD17.010.0290_1">[24]MEMORIAL!#REF!</definedName>
    <definedName name="SCOD17.010.0390">[23]MEMORIAL!#REF!</definedName>
    <definedName name="SCOD17.010.0390_1">[24]MEMORIAL!#REF!</definedName>
    <definedName name="SCOD17.010.0436">[11]MEMORIAL!#REF!</definedName>
    <definedName name="SCOD17.010.0436_1">[11]MEMORIAL!#REF!</definedName>
    <definedName name="SCOD17.010.0437">[23]MEMORIAL!#REF!</definedName>
    <definedName name="SCOD17.010.0437_1">[24]MEMORIAL!#REF!</definedName>
    <definedName name="SCOD17.010.0602">[23]MEMORIAL!#REF!</definedName>
    <definedName name="SCOD17.010.0602_1">[24]MEMORIAL!#REF!</definedName>
    <definedName name="SCODCOMPOSIÇÃO01">[17]MEMORIAL!#REF!</definedName>
    <definedName name="SCODCOMPOSIÇÃO01A">[10]MEMORIAL!#REF!</definedName>
    <definedName name="SCODCOMPOSIÇÃO02">[10]MEMORIAL!#REF!</definedName>
    <definedName name="SCODCOTADO01">[11]MEMORIAL!#REF!</definedName>
    <definedName name="SCODCOTADO01_1">[11]MEMORIAL!#REF!</definedName>
    <definedName name="SCODCOTADO02">[11]MEMORIAL!#REF!</definedName>
    <definedName name="SCODCOTADO02_1">[11]MEMORIAL!#REF!</definedName>
    <definedName name="SCODCOTADO03">[11]MEMORIAL!#REF!</definedName>
    <definedName name="SCODCOTADO03_1">[11]MEMORIAL!#REF!</definedName>
    <definedName name="SCODCOTADO04">[11]MEMORIAL!#REF!</definedName>
    <definedName name="SCODCOTADO04_1">[11]MEMORIAL!#REF!</definedName>
    <definedName name="SCODCOTADO05">[11]MEMORIAL!#REF!</definedName>
    <definedName name="SCODCOTADO05_1">[11]MEMORIAL!#REF!</definedName>
    <definedName name="SCODCOTADO06">[11]MEMORIAL!#REF!</definedName>
    <definedName name="SCODCOTADO06_1">[11]MEMORIAL!#REF!</definedName>
    <definedName name="SCODVERBA01">[10]MEMORIAL!#REF!</definedName>
    <definedName name="SCODVERBA01_1">[11]MEMORIAL!#REF!</definedName>
    <definedName name="SCOMPOS01">[10]MEMORIAL!#REF!</definedName>
    <definedName name="SCOMPOS01_1">[11]MEMORIAL!#REF!</definedName>
    <definedName name="sd" localSheetId="205">#REF!</definedName>
    <definedName name="sd" localSheetId="41">#REF!</definedName>
    <definedName name="sd">#REF!</definedName>
    <definedName name="sdaa" localSheetId="42">#REF!</definedName>
    <definedName name="sdaa" localSheetId="41">#REF!</definedName>
    <definedName name="sdaa">#REF!</definedName>
    <definedName name="SDF">#REF!</definedName>
    <definedName name="SDFDSF">#REF!</definedName>
    <definedName name="Semnome">#REF!</definedName>
    <definedName name="Semnome___0">#REF!</definedName>
    <definedName name="Semnome___0___0">#REF!</definedName>
    <definedName name="Semnome___0___0___0">#REF!</definedName>
    <definedName name="Semnome___0___0___0___0">#REF!</definedName>
    <definedName name="Semnome___0___0___0___0___0">#REF!</definedName>
    <definedName name="Semnome___0___0___0___0___0___0">#REF!</definedName>
    <definedName name="Semnome___0___0___0___0___0___0___0">#REF!</definedName>
    <definedName name="Semnome_1">#REF!</definedName>
    <definedName name="Semnome_1_1">#REF!</definedName>
    <definedName name="SERVIX">'[4]PLANILHA DE QUANT. E CUSTOS A'!#REF!</definedName>
    <definedName name="SERVIX_17">'[4]PLANILHA DE QUANT_ E CUSTOS A'!#REF!</definedName>
    <definedName name="SERVIX_8">'[4]PLANILHA DE QUANT_ E CUSTOS A'!#REF!</definedName>
    <definedName name="sh" localSheetId="42">#REF!</definedName>
    <definedName name="sh" localSheetId="205">#REF!</definedName>
    <definedName name="sh" localSheetId="41">#REF!</definedName>
    <definedName name="sh">#REF!</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08">#N/A</definedName>
    <definedName name="SHARED_FORMULA_109">#N/A</definedName>
    <definedName name="SHARED_FORMULA_11">#N/A</definedName>
    <definedName name="SHARED_FORMULA_110">#N/A</definedName>
    <definedName name="SHARED_FORMULA_111">#N/A</definedName>
    <definedName name="SHARED_FORMULA_112">#N/A</definedName>
    <definedName name="SHARED_FORMULA_113">#N/A</definedName>
    <definedName name="SHARED_FORMULA_114">#N/A</definedName>
    <definedName name="SHARED_FORMULA_115">#N/A</definedName>
    <definedName name="SHARED_FORMULA_116">#N/A</definedName>
    <definedName name="SHARED_FORMULA_117">#N/A</definedName>
    <definedName name="SHARED_FORMULA_118">#N/A</definedName>
    <definedName name="SHARED_FORMULA_119">#N/A</definedName>
    <definedName name="SHARED_FORMULA_12">#N/A</definedName>
    <definedName name="SHARED_FORMULA_120">#N/A</definedName>
    <definedName name="SHARED_FORMULA_121">#N/A</definedName>
    <definedName name="SHARED_FORMULA_122">#N/A</definedName>
    <definedName name="SHARED_FORMULA_123">#N/A</definedName>
    <definedName name="SHARED_FORMULA_124">#N/A</definedName>
    <definedName name="SHARED_FORMULA_125">#N/A</definedName>
    <definedName name="SHARED_FORMULA_126">#N/A</definedName>
    <definedName name="SHARED_FORMULA_127">#N/A</definedName>
    <definedName name="SHARED_FORMULA_128">#N/A</definedName>
    <definedName name="SHARED_FORMULA_129">#N/A</definedName>
    <definedName name="SHARED_FORMULA_13">#N/A</definedName>
    <definedName name="SHARED_FORMULA_130">#N/A</definedName>
    <definedName name="SHARED_FORMULA_131">#N/A</definedName>
    <definedName name="SHARED_FORMULA_132">#N/A</definedName>
    <definedName name="SHARED_FORMULA_133">#N/A</definedName>
    <definedName name="SHARED_FORMULA_134">#N/A</definedName>
    <definedName name="SHARED_FORMULA_135">#N/A</definedName>
    <definedName name="SHARED_FORMULA_136">#N/A</definedName>
    <definedName name="SHARED_FORMULA_137">#N/A</definedName>
    <definedName name="SHARED_FORMULA_138">#N/A</definedName>
    <definedName name="SHARED_FORMULA_139">#N/A</definedName>
    <definedName name="SHARED_FORMULA_14">#N/A</definedName>
    <definedName name="SHARED_FORMULA_140">#N/A</definedName>
    <definedName name="SHARED_FORMULA_141">#N/A</definedName>
    <definedName name="SHARED_FORMULA_142">#N/A</definedName>
    <definedName name="SHARED_FORMULA_143">#N/A</definedName>
    <definedName name="SHARED_FORMULA_144">#N/A</definedName>
    <definedName name="SHARED_FORMULA_145">#N/A</definedName>
    <definedName name="SHARED_FORMULA_146">#N/A</definedName>
    <definedName name="SHARED_FORMULA_147">#N/A</definedName>
    <definedName name="SHARED_FORMULA_148">#N/A</definedName>
    <definedName name="SHARED_FORMULA_149">#N/A</definedName>
    <definedName name="SHARED_FORMULA_15">#N/A</definedName>
    <definedName name="SHARED_FORMULA_150">#N/A</definedName>
    <definedName name="SHARED_FORMULA_151">#N/A</definedName>
    <definedName name="SHARED_FORMULA_152">#N/A</definedName>
    <definedName name="SHARED_FORMULA_153">#N/A</definedName>
    <definedName name="SHARED_FORMULA_154">#N/A</definedName>
    <definedName name="SHARED_FORMULA_155">#N/A</definedName>
    <definedName name="SHARED_FORMULA_156">#N/A</definedName>
    <definedName name="SHARED_FORMULA_157">#N/A</definedName>
    <definedName name="SHARED_FORMULA_158">#N/A</definedName>
    <definedName name="SHARED_FORMULA_159">#N/A</definedName>
    <definedName name="SHARED_FORMULA_16">#N/A</definedName>
    <definedName name="SHARED_FORMULA_160">#N/A</definedName>
    <definedName name="SHARED_FORMULA_161">#N/A</definedName>
    <definedName name="SHARED_FORMULA_162">#N/A</definedName>
    <definedName name="SHARED_FORMULA_163">#N/A</definedName>
    <definedName name="SHARED_FORMULA_164">#N/A</definedName>
    <definedName name="SHARED_FORMULA_165">#N/A</definedName>
    <definedName name="SHARED_FORMULA_166">#N/A</definedName>
    <definedName name="SHARED_FORMULA_167">#N/A</definedName>
    <definedName name="SHARED_FORMULA_168">#N/A</definedName>
    <definedName name="SHARED_FORMULA_169">#N/A</definedName>
    <definedName name="SHARED_FORMULA_17">#N/A</definedName>
    <definedName name="SHARED_FORMULA_170">#N/A</definedName>
    <definedName name="SHARED_FORMULA_171">#N/A</definedName>
    <definedName name="SHARED_FORMULA_172">#N/A</definedName>
    <definedName name="SHARED_FORMULA_173">#N/A</definedName>
    <definedName name="SHARED_FORMULA_174">#N/A</definedName>
    <definedName name="SHARED_FORMULA_175">#N/A</definedName>
    <definedName name="SHARED_FORMULA_176">#N/A</definedName>
    <definedName name="SHARED_FORMULA_177">#N/A</definedName>
    <definedName name="SHARED_FORMULA_178">#N/A</definedName>
    <definedName name="SHARED_FORMULA_179">#N/A</definedName>
    <definedName name="SHARED_FORMULA_18">#N/A</definedName>
    <definedName name="SHARED_FORMULA_180">#N/A</definedName>
    <definedName name="SHARED_FORMULA_181">#N/A</definedName>
    <definedName name="SHARED_FORMULA_182">#N/A</definedName>
    <definedName name="SHARED_FORMULA_183">#N/A</definedName>
    <definedName name="SHARED_FORMULA_184">#N/A</definedName>
    <definedName name="SHARED_FORMULA_185">#N/A</definedName>
    <definedName name="SHARED_FORMULA_186">#N/A</definedName>
    <definedName name="SHARED_FORMULA_187">#N/A</definedName>
    <definedName name="SHARED_FORMULA_188">#N/A</definedName>
    <definedName name="SHARED_FORMULA_189">#N/A</definedName>
    <definedName name="SHARED_FORMULA_19">#N/A</definedName>
    <definedName name="SHARED_FORMULA_190">#N/A</definedName>
    <definedName name="SHARED_FORMULA_191">#N/A</definedName>
    <definedName name="SHARED_FORMULA_192">#N/A</definedName>
    <definedName name="SHARED_FORMULA_193">#N/A</definedName>
    <definedName name="SHARED_FORMULA_194">#N/A</definedName>
    <definedName name="SHARED_FORMULA_195">#N/A</definedName>
    <definedName name="SHARED_FORMULA_196">#N/A</definedName>
    <definedName name="SHARED_FORMULA_197">#N/A</definedName>
    <definedName name="SHARED_FORMULA_198">#N/A</definedName>
    <definedName name="SHARED_FORMULA_199">#N/A</definedName>
    <definedName name="SHARED_FORMULA_2">#N/A</definedName>
    <definedName name="SHARED_FORMULA_20">#N/A</definedName>
    <definedName name="SHARED_FORMULA_200">#N/A</definedName>
    <definedName name="SHARED_FORMULA_201">#N/A</definedName>
    <definedName name="SHARED_FORMULA_202">#N/A</definedName>
    <definedName name="SHARED_FORMULA_203">#N/A</definedName>
    <definedName name="SHARED_FORMULA_204">#N/A</definedName>
    <definedName name="SHARED_FORMULA_205">#N/A</definedName>
    <definedName name="SHARED_FORMULA_206">#N/A</definedName>
    <definedName name="SHARED_FORMULA_207">#N/A</definedName>
    <definedName name="SHARED_FORMULA_208">#N/A</definedName>
    <definedName name="SHARED_FORMULA_209">#N/A</definedName>
    <definedName name="SHARED_FORMULA_21">#N/A</definedName>
    <definedName name="SHARED_FORMULA_210">#N/A</definedName>
    <definedName name="SHARED_FORMULA_211">#N/A</definedName>
    <definedName name="SHARED_FORMULA_212">#N/A</definedName>
    <definedName name="SHARED_FORMULA_213">#N/A</definedName>
    <definedName name="SHARED_FORMULA_214">#N/A</definedName>
    <definedName name="SHARED_FORMULA_215">#N/A</definedName>
    <definedName name="SHARED_FORMULA_216">#N/A</definedName>
    <definedName name="SHARED_FORMULA_217">#N/A</definedName>
    <definedName name="SHARED_FORMULA_218">#N/A</definedName>
    <definedName name="SHARED_FORMULA_219">#N/A</definedName>
    <definedName name="SHARED_FORMULA_22">#N/A</definedName>
    <definedName name="SHARED_FORMULA_220">#N/A</definedName>
    <definedName name="SHARED_FORMULA_221">#N/A</definedName>
    <definedName name="SHARED_FORMULA_222">#N/A</definedName>
    <definedName name="SHARED_FORMULA_223">#N/A</definedName>
    <definedName name="SHARED_FORMULA_224">#N/A</definedName>
    <definedName name="SHARED_FORMULA_225">#N/A</definedName>
    <definedName name="SHARED_FORMULA_226">#N/A</definedName>
    <definedName name="SHARED_FORMULA_227">#N/A</definedName>
    <definedName name="SHARED_FORMULA_228">#N/A</definedName>
    <definedName name="SHARED_FORMULA_229">#N/A</definedName>
    <definedName name="SHARED_FORMULA_23">#N/A</definedName>
    <definedName name="SHARED_FORMULA_230">#N/A</definedName>
    <definedName name="SHARED_FORMULA_231">#N/A</definedName>
    <definedName name="SHARED_FORMULA_232">#N/A</definedName>
    <definedName name="SHARED_FORMULA_233">#N/A</definedName>
    <definedName name="SHARED_FORMULA_234">#N/A</definedName>
    <definedName name="SHARED_FORMULA_235">#N/A</definedName>
    <definedName name="SHARED_FORMULA_236">#N/A</definedName>
    <definedName name="SHARED_FORMULA_237">#N/A</definedName>
    <definedName name="SHARED_FORMULA_238">#N/A</definedName>
    <definedName name="SHARED_FORMULA_239">#N/A</definedName>
    <definedName name="SHARED_FORMULA_24">#N/A</definedName>
    <definedName name="SHARED_FORMULA_240">#N/A</definedName>
    <definedName name="SHARED_FORMULA_241">#N/A</definedName>
    <definedName name="SHARED_FORMULA_242">#N/A</definedName>
    <definedName name="SHARED_FORMULA_243">#N/A</definedName>
    <definedName name="SHARED_FORMULA_244">#N/A</definedName>
    <definedName name="SHARED_FORMULA_245">#N/A</definedName>
    <definedName name="SHARED_FORMULA_246">#N/A</definedName>
    <definedName name="SHARED_FORMULA_247">#N/A</definedName>
    <definedName name="SHARED_FORMULA_248">#N/A</definedName>
    <definedName name="SHARED_FORMULA_249">#N/A</definedName>
    <definedName name="SHARED_FORMULA_25">#N/A</definedName>
    <definedName name="SHARED_FORMULA_250">#N/A</definedName>
    <definedName name="SHARED_FORMULA_251">#N/A</definedName>
    <definedName name="SHARED_FORMULA_252">#N/A</definedName>
    <definedName name="SHARED_FORMULA_253">#N/A</definedName>
    <definedName name="SHARED_FORMULA_254">#N/A</definedName>
    <definedName name="SHARED_FORMULA_255">#N/A</definedName>
    <definedName name="SHARED_FORMULA_256">#N/A</definedName>
    <definedName name="SHARED_FORMULA_257">#N/A</definedName>
    <definedName name="SHARED_FORMULA_258">#N/A</definedName>
    <definedName name="SHARED_FORMULA_259">#N/A</definedName>
    <definedName name="SHARED_FORMULA_26">#N/A</definedName>
    <definedName name="SHARED_FORMULA_260">#N/A</definedName>
    <definedName name="SHARED_FORMULA_261">#N/A</definedName>
    <definedName name="SHARED_FORMULA_262">#N/A</definedName>
    <definedName name="SHARED_FORMULA_263">#N/A</definedName>
    <definedName name="SHARED_FORMULA_264">#N/A</definedName>
    <definedName name="SHARED_FORMULA_265">#N/A</definedName>
    <definedName name="SHARED_FORMULA_266">#N/A</definedName>
    <definedName name="SHARED_FORMULA_267">#N/A</definedName>
    <definedName name="SHARED_FORMULA_268">#N/A</definedName>
    <definedName name="SHARED_FORMULA_269">#N/A</definedName>
    <definedName name="SHARED_FORMULA_27">#N/A</definedName>
    <definedName name="SHARED_FORMULA_270">#N/A</definedName>
    <definedName name="SHARED_FORMULA_271">#N/A</definedName>
    <definedName name="SHARED_FORMULA_272">#N/A</definedName>
    <definedName name="SHARED_FORMULA_273">#N/A</definedName>
    <definedName name="SHARED_FORMULA_274">#N/A</definedName>
    <definedName name="SHARED_FORMULA_275">#N/A</definedName>
    <definedName name="SHARED_FORMULA_276">#N/A</definedName>
    <definedName name="SHARED_FORMULA_277">#N/A</definedName>
    <definedName name="SHARED_FORMULA_278">#N/A</definedName>
    <definedName name="SHARED_FORMULA_279">#N/A</definedName>
    <definedName name="SHARED_FORMULA_28">#N/A</definedName>
    <definedName name="SHARED_FORMULA_280">#N/A</definedName>
    <definedName name="SHARED_FORMULA_281">#N/A</definedName>
    <definedName name="SHARED_FORMULA_282">#N/A</definedName>
    <definedName name="SHARED_FORMULA_283">#N/A</definedName>
    <definedName name="SHARED_FORMULA_284">#N/A</definedName>
    <definedName name="SHARED_FORMULA_285">#N/A</definedName>
    <definedName name="SHARED_FORMULA_286">#N/A</definedName>
    <definedName name="SHARED_FORMULA_287">#N/A</definedName>
    <definedName name="SHARED_FORMULA_288">#N/A</definedName>
    <definedName name="SHARED_FORMULA_289">#N/A</definedName>
    <definedName name="SHARED_FORMULA_29">#N/A</definedName>
    <definedName name="SHARED_FORMULA_290">#N/A</definedName>
    <definedName name="SHARED_FORMULA_291">#N/A</definedName>
    <definedName name="SHARED_FORMULA_292">#N/A</definedName>
    <definedName name="SHARED_FORMULA_293">#N/A</definedName>
    <definedName name="SHARED_FORMULA_294">#N/A</definedName>
    <definedName name="SHARED_FORMULA_295">#N/A</definedName>
    <definedName name="SHARED_FORMULA_296">#N/A</definedName>
    <definedName name="SHARED_FORMULA_297">#N/A</definedName>
    <definedName name="SHARED_FORMULA_298">#N/A</definedName>
    <definedName name="SHARED_FORMULA_299">#N/A</definedName>
    <definedName name="SHARED_FORMULA_3">#N/A</definedName>
    <definedName name="SHARED_FORMULA_30">#N/A</definedName>
    <definedName name="SHARED_FORMULA_300">#N/A</definedName>
    <definedName name="SHARED_FORMULA_301">#N/A</definedName>
    <definedName name="SHARED_FORMULA_302">#N/A</definedName>
    <definedName name="SHARED_FORMULA_303">#N/A</definedName>
    <definedName name="SHARED_FORMULA_304">#N/A</definedName>
    <definedName name="SHARED_FORMULA_305">#N/A</definedName>
    <definedName name="SHARED_FORMULA_306">#N/A</definedName>
    <definedName name="SHARED_FORMULA_307">#N/A</definedName>
    <definedName name="SHARED_FORMULA_308">#N/A</definedName>
    <definedName name="SHARED_FORMULA_309">#N/A</definedName>
    <definedName name="SHARED_FORMULA_31">#N/A</definedName>
    <definedName name="SHARED_FORMULA_310">#N/A</definedName>
    <definedName name="SHARED_FORMULA_311">#N/A</definedName>
    <definedName name="SHARED_FORMULA_312">#N/A</definedName>
    <definedName name="SHARED_FORMULA_313">#N/A</definedName>
    <definedName name="SHARED_FORMULA_314">#N/A</definedName>
    <definedName name="SHARED_FORMULA_315">#N/A</definedName>
    <definedName name="SHARED_FORMULA_316">#N/A</definedName>
    <definedName name="SHARED_FORMULA_317">#N/A</definedName>
    <definedName name="SHARED_FORMULA_318">#N/A</definedName>
    <definedName name="SHARED_FORMULA_319">#N/A</definedName>
    <definedName name="SHARED_FORMULA_32">#N/A</definedName>
    <definedName name="SHARED_FORMULA_320">#N/A</definedName>
    <definedName name="SHARED_FORMULA_321">#N/A</definedName>
    <definedName name="SHARED_FORMULA_322">#N/A</definedName>
    <definedName name="SHARED_FORMULA_323">#N/A</definedName>
    <definedName name="SHARED_FORMULA_324">#N/A</definedName>
    <definedName name="SHARED_FORMULA_325">#N/A</definedName>
    <definedName name="SHARED_FORMULA_326">#N/A</definedName>
    <definedName name="SHARED_FORMULA_327">#N/A</definedName>
    <definedName name="SHARED_FORMULA_328">#N/A</definedName>
    <definedName name="SHARED_FORMULA_329">#N/A</definedName>
    <definedName name="SHARED_FORMULA_33">#N/A</definedName>
    <definedName name="SHARED_FORMULA_330">#N/A</definedName>
    <definedName name="SHARED_FORMULA_331">#N/A</definedName>
    <definedName name="SHARED_FORMULA_332">#N/A</definedName>
    <definedName name="SHARED_FORMULA_333">#N/A</definedName>
    <definedName name="SHARED_FORMULA_334">#N/A</definedName>
    <definedName name="SHARED_FORMULA_335">#N/A</definedName>
    <definedName name="SHARED_FORMULA_336">#N/A</definedName>
    <definedName name="SHARED_FORMULA_337">#N/A</definedName>
    <definedName name="SHARED_FORMULA_338">#N/A</definedName>
    <definedName name="SHARED_FORMULA_339">#N/A</definedName>
    <definedName name="SHARED_FORMULA_34">#N/A</definedName>
    <definedName name="SHARED_FORMULA_340">#N/A</definedName>
    <definedName name="SHARED_FORMULA_341">#N/A</definedName>
    <definedName name="SHARED_FORMULA_342">#N/A</definedName>
    <definedName name="SHARED_FORMULA_343">#N/A</definedName>
    <definedName name="SHARED_FORMULA_344">#N/A</definedName>
    <definedName name="SHARED_FORMULA_345">#N/A</definedName>
    <definedName name="SHARED_FORMULA_346">#N/A</definedName>
    <definedName name="SHARED_FORMULA_347">#N/A</definedName>
    <definedName name="SHARED_FORMULA_348">#N/A</definedName>
    <definedName name="SHARED_FORMULA_349">#N/A</definedName>
    <definedName name="SHARED_FORMULA_35">#N/A</definedName>
    <definedName name="SHARED_FORMULA_350">#N/A</definedName>
    <definedName name="SHARED_FORMULA_351">#N/A</definedName>
    <definedName name="SHARED_FORMULA_352">#N/A</definedName>
    <definedName name="SHARED_FORMULA_353">#N/A</definedName>
    <definedName name="SHARED_FORMULA_354">#N/A</definedName>
    <definedName name="SHARED_FORMULA_355">#N/A</definedName>
    <definedName name="SHARED_FORMULA_356">#N/A</definedName>
    <definedName name="SHARED_FORMULA_357">#N/A</definedName>
    <definedName name="SHARED_FORMULA_358">#N/A</definedName>
    <definedName name="SHARED_FORMULA_359">#N/A</definedName>
    <definedName name="SHARED_FORMULA_36">#N/A</definedName>
    <definedName name="SHARED_FORMULA_360">#N/A</definedName>
    <definedName name="SHARED_FORMULA_361">#N/A</definedName>
    <definedName name="SHARED_FORMULA_362">#N/A</definedName>
    <definedName name="SHARED_FORMULA_363">#N/A</definedName>
    <definedName name="SHARED_FORMULA_364">#N/A</definedName>
    <definedName name="SHARED_FORMULA_365">#N/A</definedName>
    <definedName name="SHARED_FORMULA_366">#N/A</definedName>
    <definedName name="SHARED_FORMULA_367">#N/A</definedName>
    <definedName name="SHARED_FORMULA_368">#N/A</definedName>
    <definedName name="SHARED_FORMULA_369">#N/A</definedName>
    <definedName name="SHARED_FORMULA_37">#N/A</definedName>
    <definedName name="SHARED_FORMULA_370">#N/A</definedName>
    <definedName name="SHARED_FORMULA_371">#N/A</definedName>
    <definedName name="SHARED_FORMULA_372">#N/A</definedName>
    <definedName name="SHARED_FORMULA_373">#N/A</definedName>
    <definedName name="SHARED_FORMULA_374">#N/A</definedName>
    <definedName name="SHARED_FORMULA_375">#N/A</definedName>
    <definedName name="SHARED_FORMULA_376">#N/A</definedName>
    <definedName name="SHARED_FORMULA_377">#N/A</definedName>
    <definedName name="SHARED_FORMULA_378">#N/A</definedName>
    <definedName name="SHARED_FORMULA_379">#N/A</definedName>
    <definedName name="SHARED_FORMULA_38">#N/A</definedName>
    <definedName name="SHARED_FORMULA_380">#N/A</definedName>
    <definedName name="SHARED_FORMULA_381">#N/A</definedName>
    <definedName name="SHARED_FORMULA_382">#N/A</definedName>
    <definedName name="SHARED_FORMULA_383">#N/A</definedName>
    <definedName name="SHARED_FORMULA_384">#N/A</definedName>
    <definedName name="SHARED_FORMULA_385">#N/A</definedName>
    <definedName name="SHARED_FORMULA_386">#N/A</definedName>
    <definedName name="SHARED_FORMULA_387">#N/A</definedName>
    <definedName name="SHARED_FORMULA_388">#N/A</definedName>
    <definedName name="SHARED_FORMULA_389">#N/A</definedName>
    <definedName name="SHARED_FORMULA_39">#N/A</definedName>
    <definedName name="SHARED_FORMULA_390">#N/A</definedName>
    <definedName name="SHARED_FORMULA_391">#N/A</definedName>
    <definedName name="SHARED_FORMULA_392">#N/A</definedName>
    <definedName name="SHARED_FORMULA_393">#N/A</definedName>
    <definedName name="SHARED_FORMULA_394">#N/A</definedName>
    <definedName name="SHARED_FORMULA_395">#N/A</definedName>
    <definedName name="SHARED_FORMULA_396">#N/A</definedName>
    <definedName name="SHARED_FORMULA_397">#N/A</definedName>
    <definedName name="SHARED_FORMULA_398">#N/A</definedName>
    <definedName name="SHARED_FORMULA_399">#N/A</definedName>
    <definedName name="SHARED_FORMULA_4">#N/A</definedName>
    <definedName name="SHARED_FORMULA_40">#N/A</definedName>
    <definedName name="SHARED_FORMULA_400">#N/A</definedName>
    <definedName name="SHARED_FORMULA_401">#N/A</definedName>
    <definedName name="SHARED_FORMULA_402">#N/A</definedName>
    <definedName name="SHARED_FORMULA_403">#N/A</definedName>
    <definedName name="SHARED_FORMULA_404">#N/A</definedName>
    <definedName name="SHARED_FORMULA_405">#N/A</definedName>
    <definedName name="SHARED_FORMULA_406">#N/A</definedName>
    <definedName name="SHARED_FORMULA_407">#N/A</definedName>
    <definedName name="SHARED_FORMULA_408">#N/A</definedName>
    <definedName name="SHARED_FORMULA_409">#N/A</definedName>
    <definedName name="SHARED_FORMULA_41">#N/A</definedName>
    <definedName name="SHARED_FORMULA_410">#N/A</definedName>
    <definedName name="SHARED_FORMULA_411">#N/A</definedName>
    <definedName name="SHARED_FORMULA_412">#N/A</definedName>
    <definedName name="SHARED_FORMULA_413">#N/A</definedName>
    <definedName name="SHARED_FORMULA_414">#N/A</definedName>
    <definedName name="SHARED_FORMULA_415">#N/A</definedName>
    <definedName name="SHARED_FORMULA_416">#N/A</definedName>
    <definedName name="SHARED_FORMULA_417">#N/A</definedName>
    <definedName name="SHARED_FORMULA_418">#N/A</definedName>
    <definedName name="SHARED_FORMULA_419">#N/A</definedName>
    <definedName name="SHARED_FORMULA_42">#N/A</definedName>
    <definedName name="SHARED_FORMULA_420">#N/A</definedName>
    <definedName name="SHARED_FORMULA_421">#N/A</definedName>
    <definedName name="SHARED_FORMULA_422">#N/A</definedName>
    <definedName name="SHARED_FORMULA_423">#N/A</definedName>
    <definedName name="SHARED_FORMULA_424">#N/A</definedName>
    <definedName name="SHARED_FORMULA_425">#N/A</definedName>
    <definedName name="SHARED_FORMULA_426">#N/A</definedName>
    <definedName name="SHARED_FORMULA_427">#N/A</definedName>
    <definedName name="SHARED_FORMULA_428">#N/A</definedName>
    <definedName name="SHARED_FORMULA_429">#N/A</definedName>
    <definedName name="SHARED_FORMULA_43">#N/A</definedName>
    <definedName name="SHARED_FORMULA_430">#N/A</definedName>
    <definedName name="SHARED_FORMULA_431">#N/A</definedName>
    <definedName name="SHARED_FORMULA_432">#N/A</definedName>
    <definedName name="SHARED_FORMULA_433">#N/A</definedName>
    <definedName name="SHARED_FORMULA_434">#N/A</definedName>
    <definedName name="SHARED_FORMULA_435">#N/A</definedName>
    <definedName name="SHARED_FORMULA_436">#N/A</definedName>
    <definedName name="SHARED_FORMULA_437">#N/A</definedName>
    <definedName name="SHARED_FORMULA_438">#N/A</definedName>
    <definedName name="SHARED_FORMULA_439">#N/A</definedName>
    <definedName name="SHARED_FORMULA_44">#N/A</definedName>
    <definedName name="SHARED_FORMULA_440">#N/A</definedName>
    <definedName name="SHARED_FORMULA_441">#N/A</definedName>
    <definedName name="SHARED_FORMULA_442">#N/A</definedName>
    <definedName name="SHARED_FORMULA_443">#N/A</definedName>
    <definedName name="SHARED_FORMULA_444">#N/A</definedName>
    <definedName name="SHARED_FORMULA_445">#N/A</definedName>
    <definedName name="SHARED_FORMULA_446">#N/A</definedName>
    <definedName name="SHARED_FORMULA_447">#N/A</definedName>
    <definedName name="SHARED_FORMULA_448">#N/A</definedName>
    <definedName name="SHARED_FORMULA_449">#N/A</definedName>
    <definedName name="SHARED_FORMULA_45">#N/A</definedName>
    <definedName name="SHARED_FORMULA_450">#N/A</definedName>
    <definedName name="SHARED_FORMULA_451">#N/A</definedName>
    <definedName name="SHARED_FORMULA_452">#N/A</definedName>
    <definedName name="SHARED_FORMULA_453">#N/A</definedName>
    <definedName name="SHARED_FORMULA_454">#N/A</definedName>
    <definedName name="SHARED_FORMULA_455">#N/A</definedName>
    <definedName name="SHARED_FORMULA_456">#N/A</definedName>
    <definedName name="SHARED_FORMULA_457">#N/A</definedName>
    <definedName name="SHARED_FORMULA_458">#N/A</definedName>
    <definedName name="SHARED_FORMULA_459">#N/A</definedName>
    <definedName name="SHARED_FORMULA_46">#N/A</definedName>
    <definedName name="SHARED_FORMULA_460">#N/A</definedName>
    <definedName name="SHARED_FORMULA_461">#N/A</definedName>
    <definedName name="SHARED_FORMULA_462">#N/A</definedName>
    <definedName name="SHARED_FORMULA_463">#N/A</definedName>
    <definedName name="SHARED_FORMULA_464">#N/A</definedName>
    <definedName name="SHARED_FORMULA_465">#N/A</definedName>
    <definedName name="SHARED_FORMULA_466">#N/A</definedName>
    <definedName name="SHARED_FORMULA_467">#N/A</definedName>
    <definedName name="SHARED_FORMULA_468">#N/A</definedName>
    <definedName name="SHARED_FORMULA_469">#N/A</definedName>
    <definedName name="SHARED_FORMULA_47">#N/A</definedName>
    <definedName name="SHARED_FORMULA_470">#N/A</definedName>
    <definedName name="SHARED_FORMULA_471">#N/A</definedName>
    <definedName name="SHARED_FORMULA_472">#N/A</definedName>
    <definedName name="SHARED_FORMULA_473">#N/A</definedName>
    <definedName name="SHARED_FORMULA_474">#N/A</definedName>
    <definedName name="SHARED_FORMULA_475">#N/A</definedName>
    <definedName name="SHARED_FORMULA_476">#N/A</definedName>
    <definedName name="SHARED_FORMULA_477">#N/A</definedName>
    <definedName name="SHARED_FORMULA_478">#N/A</definedName>
    <definedName name="SHARED_FORMULA_479">#N/A</definedName>
    <definedName name="SHARED_FORMULA_48">#N/A</definedName>
    <definedName name="SHARED_FORMULA_480">#N/A</definedName>
    <definedName name="SHARED_FORMULA_481">#N/A</definedName>
    <definedName name="SHARED_FORMULA_482">#N/A</definedName>
    <definedName name="SHARED_FORMULA_483">#N/A</definedName>
    <definedName name="SHARED_FORMULA_484">#N/A</definedName>
    <definedName name="SHARED_FORMULA_485">#N/A</definedName>
    <definedName name="SHARED_FORMULA_486">#N/A</definedName>
    <definedName name="SHARED_FORMULA_487">#N/A</definedName>
    <definedName name="SHARED_FORMULA_488">#N/A</definedName>
    <definedName name="SHARED_FORMULA_489">#N/A</definedName>
    <definedName name="SHARED_FORMULA_49">#N/A</definedName>
    <definedName name="SHARED_FORMULA_490">#N/A</definedName>
    <definedName name="SHARED_FORMULA_491">#N/A</definedName>
    <definedName name="SHARED_FORMULA_492">#N/A</definedName>
    <definedName name="SHARED_FORMULA_493">#N/A</definedName>
    <definedName name="SHARED_FORMULA_494">#N/A</definedName>
    <definedName name="SHARED_FORMULA_495">#N/A</definedName>
    <definedName name="SHARED_FORMULA_496">#N/A</definedName>
    <definedName name="SHARED_FORMULA_497">#N/A</definedName>
    <definedName name="SHARED_FORMULA_498">#N/A</definedName>
    <definedName name="SHARED_FORMULA_499">#N/A</definedName>
    <definedName name="SHARED_FORMULA_5">#N/A</definedName>
    <definedName name="SHARED_FORMULA_50">#N/A</definedName>
    <definedName name="SHARED_FORMULA_500">#N/A</definedName>
    <definedName name="SHARED_FORMULA_501">#N/A</definedName>
    <definedName name="SHARED_FORMULA_502">#N/A</definedName>
    <definedName name="SHARED_FORMULA_503">#N/A</definedName>
    <definedName name="SHARED_FORMULA_504">#N/A</definedName>
    <definedName name="SHARED_FORMULA_505">#N/A</definedName>
    <definedName name="SHARED_FORMULA_506">#N/A</definedName>
    <definedName name="SHARED_FORMULA_507">#N/A</definedName>
    <definedName name="SHARED_FORMULA_508">#N/A</definedName>
    <definedName name="SHARED_FORMULA_509">#N/A</definedName>
    <definedName name="SHARED_FORMULA_51">#N/A</definedName>
    <definedName name="SHARED_FORMULA_510">#N/A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SISTEMA_ESTRUTURAL">[8]Plan1!$A$94:$A$100</definedName>
    <definedName name="SITUACAO">[8]Plan1!$A$60:$A$64</definedName>
    <definedName name="SS" localSheetId="42">#REF!</definedName>
    <definedName name="SS" localSheetId="205">#REF!</definedName>
    <definedName name="SS" localSheetId="41">#REF!</definedName>
    <definedName name="SS">#REF!</definedName>
    <definedName name="SSS">#REF!</definedName>
    <definedName name="SSSSS">#REF!</definedName>
    <definedName name="SSSSSSS">#REF!</definedName>
    <definedName name="START">#REF!</definedName>
    <definedName name="STATUS">#REF!</definedName>
    <definedName name="STOT01.010.0020" localSheetId="42">[11]MEMORIAL!#REF!</definedName>
    <definedName name="STOT01.010.0020" localSheetId="41">[11]MEMORIAL!#REF!</definedName>
    <definedName name="STOT01.010.0020">[11]MEMORIAL!#REF!</definedName>
    <definedName name="STOT01.010.0020_1" localSheetId="42">[11]MEMORIAL!#REF!</definedName>
    <definedName name="STOT01.010.0020_1" localSheetId="41">[11]MEMORIAL!#REF!</definedName>
    <definedName name="STOT01.010.0020_1">[11]MEMORIAL!#REF!</definedName>
    <definedName name="STOT01.050.0040">[11]MEMORIAL!#REF!</definedName>
    <definedName name="STOT01.050.0040_1">[11]MEMORIAL!#REF!</definedName>
    <definedName name="STOT01.110.0010">[11]MEMORIAL!#REF!</definedName>
    <definedName name="STOT01.110.0010_1">[11]MEMORIAL!#REF!</definedName>
    <definedName name="STOT01.110.0295">[11]MEMORIAL!#REF!</definedName>
    <definedName name="STOT01.110.0295_1">[11]MEMORIAL!#REF!</definedName>
    <definedName name="STOT01.110.0720">[11]MEMORIAL!#REF!</definedName>
    <definedName name="STOT01.110.0720_1">[11]MEMORIAL!#REF!</definedName>
    <definedName name="STOT01.120.O22O">[11]MEMORIAL!#REF!</definedName>
    <definedName name="STOT01.120.O22O_1">[11]MEMORIAL!#REF!</definedName>
    <definedName name="STOT01.150.0130">[11]MEMORIAL!#REF!</definedName>
    <definedName name="STOT01.150.0190">[11]MEMORIAL!#REF!</definedName>
    <definedName name="STOT01.150.0190_1">[11]MEMORIAL!#REF!</definedName>
    <definedName name="STOT01.250.0020">[11]MEMORIAL!#REF!</definedName>
    <definedName name="STOT01.250.0020_1">[11]MEMORIAL!#REF!</definedName>
    <definedName name="STOT01.250.0040">[11]MEMORIAL!#REF!</definedName>
    <definedName name="STOT01.250.0040_1">[11]MEMORIAL!#REF!</definedName>
    <definedName name="STOT01.250.0340">[11]MEMORIAL!#REF!</definedName>
    <definedName name="STOT01.250.0340_1">[11]MEMORIAL!#REF!</definedName>
    <definedName name="STOT01.2500040">[11]MEMORIAL!#REF!</definedName>
    <definedName name="STOT01.2500040_1">[11]MEMORIAL!#REF!</definedName>
    <definedName name="STOT02.010.0020" localSheetId="42">#REF!</definedName>
    <definedName name="STOT02.010.0020" localSheetId="205">#REF!</definedName>
    <definedName name="STOT02.010.0020" localSheetId="41">#REF!</definedName>
    <definedName name="STOT02.010.0020">#REF!</definedName>
    <definedName name="STOT02.010.0020_1" localSheetId="42">[11]MEMORIAL!#REF!</definedName>
    <definedName name="STOT02.010.0020_1" localSheetId="205">[11]MEMORIAL!#REF!</definedName>
    <definedName name="STOT02.010.0020_1">[11]MEMORIAL!#REF!</definedName>
    <definedName name="STOT02.010.0030" localSheetId="42">[11]MEMORIAL!#REF!</definedName>
    <definedName name="STOT02.010.0030" localSheetId="205">[11]MEMORIAL!#REF!</definedName>
    <definedName name="STOT02.010.0030">[11]MEMORIAL!#REF!</definedName>
    <definedName name="STOT02.010.0030_1">[11]MEMORIAL!#REF!</definedName>
    <definedName name="STOT02.010.0050">[23]MEMORIAL!#REF!</definedName>
    <definedName name="STOT02.010.0050_1">[23]MEMORIAL!#REF!</definedName>
    <definedName name="STOT02.010.0060">[11]MEMORIAL!#REF!</definedName>
    <definedName name="STOT02.010.0060_1">[11]MEMORIAL!#REF!</definedName>
    <definedName name="STOT02.010.0065">[23]MEMORIAL!#REF!</definedName>
    <definedName name="STOT02.010.0065_1">[11]MEMORIAL!#REF!</definedName>
    <definedName name="STOT02.010.0080">[11]MEMORIAL!#REF!</definedName>
    <definedName name="STOT02.010.0080_1">[11]MEMORIAL!#REF!</definedName>
    <definedName name="STOT02.010.0090">[11]MEMORIAL!#REF!</definedName>
    <definedName name="STOT02.010.0090_1">[11]MEMORIAL!#REF!</definedName>
    <definedName name="STOT02.010.0130">[23]MEMORIAL!#REF!</definedName>
    <definedName name="STOT02.010.0130_1">[23]MEMORIAL!#REF!</definedName>
    <definedName name="STOT02.010.0140">[11]MEMORIAL!#REF!</definedName>
    <definedName name="STOT02.010.0140_1">[11]MEMORIAL!#REF!</definedName>
    <definedName name="STOT02.010.0150">[11]MEMORIAL!#REF!</definedName>
    <definedName name="STOT02.010.0150_1">[11]MEMORIAL!#REF!</definedName>
    <definedName name="STOT02.020.0020">[11]MEMORIAL!#REF!</definedName>
    <definedName name="STOT02.020.0020_1">[11]MEMORIAL!#REF!</definedName>
    <definedName name="STOT02.040.0320">[11]MEMORIAL!#REF!</definedName>
    <definedName name="STOT02.040.0320_1">[11]MEMORIAL!#REF!</definedName>
    <definedName name="STOT02.040.3910">[11]MEMORIAL!#REF!</definedName>
    <definedName name="STOT02.040.3910_1">[11]MEMORIAL!#REF!</definedName>
    <definedName name="STOT02.040.3930">[11]MEMORIAL!#REF!</definedName>
    <definedName name="STOT02.040.3930_1">[11]MEMORIAL!#REF!</definedName>
    <definedName name="STOT02.040.7438">[11]MEMORIAL!#REF!</definedName>
    <definedName name="STOT02.040.7438_1">[11]MEMORIAL!#REF!</definedName>
    <definedName name="STOT02.110.0136">[11]MEMORIAL!#REF!</definedName>
    <definedName name="STOT02.110.0136_1">[11]MEMORIAL!#REF!</definedName>
    <definedName name="STOT02.110.0736">[11]MEMORIAL!#REF!</definedName>
    <definedName name="STOT02.110.0736_1">[11]MEMORIAL!#REF!</definedName>
    <definedName name="STOT02.110.1866">[11]MEMORIAL!#REF!</definedName>
    <definedName name="STOT02.110.1866_1">[11]MEMORIAL!#REF!</definedName>
    <definedName name="STOT02.110.2021">[11]MEMORIAL!#REF!</definedName>
    <definedName name="STOT02.110.2021_1">[11]MEMORIAL!#REF!</definedName>
    <definedName name="STOT02.110.2070">[11]MEMORIAL!#REF!</definedName>
    <definedName name="STOT02.110.2070_1">[11]MEMORIAL!#REF!</definedName>
    <definedName name="STOT02.110.2284">[11]MEMORIAL!#REF!</definedName>
    <definedName name="STOT02.110.2284_1">[11]MEMORIAL!#REF!</definedName>
    <definedName name="STOT02.110.2758">[11]MEMORIAL!#REF!</definedName>
    <definedName name="STOT02.110.2758_1">[11]MEMORIAL!#REF!</definedName>
    <definedName name="STOT02.110.3862">[11]MEMORIAL!#REF!</definedName>
    <definedName name="STOT02.110.3862_1">[11]MEMORIAL!#REF!</definedName>
    <definedName name="STOT02.110.3868">[11]MEMORIAL!#REF!</definedName>
    <definedName name="STOT02.110.3926">[11]MEMORIAL!#REF!</definedName>
    <definedName name="STOT02.110.3926_1">[11]MEMORIAL!#REF!</definedName>
    <definedName name="STOT02.110.4292">[11]MEMORIAL!#REF!</definedName>
    <definedName name="STOT02.110.4292_1">[11]MEMORIAL!#REF!</definedName>
    <definedName name="STOT02.110.4760">[11]MEMORIAL!#REF!</definedName>
    <definedName name="STOT02.110.4760_1">[11]MEMORIAL!#REF!</definedName>
    <definedName name="STOT02.120.0010">[11]MEMORIAL!#REF!</definedName>
    <definedName name="STOT02.120.0010_1">[11]MEMORIAL!#REF!</definedName>
    <definedName name="STOT02.120.0040">[11]MEMORIAL!#REF!</definedName>
    <definedName name="STOT02.120.0040_1">[11]MEMORIAL!#REF!</definedName>
    <definedName name="STOT02.140.0040">[11]MEMORIAL!#REF!</definedName>
    <definedName name="STOT02.140.0040_1">[11]MEMORIAL!#REF!</definedName>
    <definedName name="STOT02.160.0010">[11]MEMORIAL!#REF!</definedName>
    <definedName name="STOT02.160.0010_1">[11]MEMORIAL!#REF!</definedName>
    <definedName name="STOT02.160.0075">[11]MEMORIAL!#REF!</definedName>
    <definedName name="STOT02.160.0075_1">[11]MEMORIAL!#REF!</definedName>
    <definedName name="STOT02.210.0030">[11]MEMORIAL!#REF!</definedName>
    <definedName name="STOT02.210.0030_1">[11]MEMORIAL!#REF!</definedName>
    <definedName name="STOT02.210.0110">[11]MEMORIAL!#REF!</definedName>
    <definedName name="STOT02.210.0110_1">[11]MEMORIAL!#REF!</definedName>
    <definedName name="STOT02.210.0290">[11]MEMORIAL!#REF!</definedName>
    <definedName name="STOT02.210.0290_1">[11]MEMORIAL!#REF!</definedName>
    <definedName name="STOT02.210.0320">[11]MEMORIAL!#REF!</definedName>
    <definedName name="STOT02.210.0320_1">[11]MEMORIAL!#REF!</definedName>
    <definedName name="STOT03.010.0020">[23]MEMORIAL!#REF!</definedName>
    <definedName name="STOT03.010.0020_1">[11]MEMORIAL!#REF!</definedName>
    <definedName name="STOT03.010.0025">[23]MEMORIAL!#REF!</definedName>
    <definedName name="STOT03.010.0025_1">[11]MEMORIAL!#REF!</definedName>
    <definedName name="STOT03.010.0040">[23]MEMORIAL!#REF!</definedName>
    <definedName name="STOT03.010.0040_1">[24]MEMORIAL!#REF!</definedName>
    <definedName name="STOT03.010.0050">[23]MEMORIAL!#REF!</definedName>
    <definedName name="STOT03.010.0050_1">[24]MEMORIAL!#REF!</definedName>
    <definedName name="STOT03.010.0100">[23]MEMORIAL!#REF!</definedName>
    <definedName name="STOT03.010.0100_1">[23]MEMORIAL!#REF!</definedName>
    <definedName name="STOT03.010.0140">[11]MEMORIAL!#REF!</definedName>
    <definedName name="STOT03.010.0140_1">[11]MEMORIAL!#REF!</definedName>
    <definedName name="STOT03.010.0160">[11]MEMORIAL!#REF!</definedName>
    <definedName name="STOT03.010.0160_1">[11]MEMORIAL!#REF!</definedName>
    <definedName name="STOT03.010.0170">[11]MEMORIAL!#REF!</definedName>
    <definedName name="STOT03.010.0170_1">[11]MEMORIAL!#REF!</definedName>
    <definedName name="STOT03.010.0180">[23]MEMORIAL!#REF!</definedName>
    <definedName name="STOT03.010.0180_1">[11]MEMORIAL!#REF!</definedName>
    <definedName name="STOT03.010.0190">[11]MEMORIAL!#REF!</definedName>
    <definedName name="STOT03.010.0190_1">[11]MEMORIAL!#REF!</definedName>
    <definedName name="STOT03.010.0200">[23]MEMORIAL!#REF!</definedName>
    <definedName name="STOT03.010.0200_1">[11]MEMORIAL!#REF!</definedName>
    <definedName name="STOT04.010.0010">[11]MEMORIAL!#REF!</definedName>
    <definedName name="STOT04.010.0010_1">[11]MEMORIAL!#REF!</definedName>
    <definedName name="STOT04.010.0040">[11]MEMORIAL!#REF!</definedName>
    <definedName name="STOT04.010.0040_1">[11]MEMORIAL!#REF!</definedName>
    <definedName name="STOT04.010.0070">[11]MEMORIAL!#REF!</definedName>
    <definedName name="STOT04.010.0070_1">[11]MEMORIAL!#REF!</definedName>
    <definedName name="STOT04.010.0150">[11]MEMORIAL!#REF!</definedName>
    <definedName name="STOT04.010.0150_1">[11]MEMORIAL!#REF!</definedName>
    <definedName name="STOT04.010.0190">[11]MEMORIAL!#REF!</definedName>
    <definedName name="STOT04.010.0190_1">[11]MEMORIAL!#REF!</definedName>
    <definedName name="STOT04.010.0200">[11]MEMORIAL!#REF!</definedName>
    <definedName name="STOT04.010.0200_1">[11]MEMORIAL!#REF!</definedName>
    <definedName name="STOT04.010.0290" localSheetId="42">#REF!</definedName>
    <definedName name="STOT04.010.0290" localSheetId="205">#REF!</definedName>
    <definedName name="STOT04.010.0290" localSheetId="41">#REF!</definedName>
    <definedName name="STOT04.010.0290">#REF!</definedName>
    <definedName name="STOT04.010.0290_1" localSheetId="42">[30]MEMORIAL!#REF!</definedName>
    <definedName name="STOT04.010.0290_1" localSheetId="205">[30]MEMORIAL!#REF!</definedName>
    <definedName name="STOT04.010.0290_1">[30]MEMORIAL!#REF!</definedName>
    <definedName name="STOT04.010.0320" localSheetId="42">[23]MEMORIAL!#REF!</definedName>
    <definedName name="STOT04.010.0320" localSheetId="205">[23]MEMORIAL!#REF!</definedName>
    <definedName name="STOT04.010.0320">[23]MEMORIAL!#REF!</definedName>
    <definedName name="STOT04.010.0320_1">[11]MEMORIAL!#REF!</definedName>
    <definedName name="stot04.010.0330" localSheetId="42">#REF!</definedName>
    <definedName name="stot04.010.0330" localSheetId="205">#REF!</definedName>
    <definedName name="stot04.010.0330" localSheetId="41">#REF!</definedName>
    <definedName name="stot04.010.0330">#REF!</definedName>
    <definedName name="STOT04.010.0330_1" localSheetId="42">[11]MEMORIAL!#REF!</definedName>
    <definedName name="STOT04.010.0330_1" localSheetId="205">[11]MEMORIAL!#REF!</definedName>
    <definedName name="STOT04.010.0330_1">[11]MEMORIAL!#REF!</definedName>
    <definedName name="STOT04.010.0371" localSheetId="42">[23]MEMORIAL!#REF!</definedName>
    <definedName name="STOT04.010.0371" localSheetId="205">[23]MEMORIAL!#REF!</definedName>
    <definedName name="STOT04.010.0371">[23]MEMORIAL!#REF!</definedName>
    <definedName name="STOT04.010.0371_1">[24]MEMORIAL!#REF!</definedName>
    <definedName name="STOT04.010.0375">[23]MEMORIAL!#REF!</definedName>
    <definedName name="STOT04.010.0375_1">[11]MEMORIAL!#REF!</definedName>
    <definedName name="STOT04.010.0395">[23]MEMORIAL!#REF!</definedName>
    <definedName name="STOT04.010.0395_1">[11]MEMORIAL!#REF!</definedName>
    <definedName name="STOT04.010.0420">[11]MEMORIAL!#REF!</definedName>
    <definedName name="STOT04.010.0420_1">[11]MEMORIAL!#REF!</definedName>
    <definedName name="STOT04.010.0430">[11]MEMORIAL!#REF!</definedName>
    <definedName name="STOT04.010.0430_1">[11]MEMORIAL!#REF!</definedName>
    <definedName name="STOT05.010.0020">[23]MEMORIAL!#REF!</definedName>
    <definedName name="STOT05.010.0020_1">[11]MEMORIAL!#REF!</definedName>
    <definedName name="STOT05.110.0005">[11]MEMORIAL!#REF!</definedName>
    <definedName name="STOT05.110.0005_1">[11]MEMORIAL!#REF!</definedName>
    <definedName name="STOT05.110.0420">[11]MEMORIAL!#REF!</definedName>
    <definedName name="STOT05.110.0420_1">[11]MEMORIAL!#REF!</definedName>
    <definedName name="STOT05.110.1300">[11]MEMORIAL!#REF!</definedName>
    <definedName name="STOT05.110.1300_1">[11]MEMORIAL!#REF!</definedName>
    <definedName name="STOT05.110.1565">[11]MEMORIAL!#REF!</definedName>
    <definedName name="STOT05.110.1565_1">[11]MEMORIAL!#REF!</definedName>
    <definedName name="STOT05.110.1590">[11]MEMORIAL!#REF!</definedName>
    <definedName name="STOT05.110.1590_1">[11]MEMORIAL!#REF!</definedName>
    <definedName name="STOT05.110.1620">[11]MEMORIAL!#REF!</definedName>
    <definedName name="STOT05.120.0060">[11]MEMORIAL!#REF!</definedName>
    <definedName name="STOT05.120.0060_1">[11]MEMORIAL!#REF!</definedName>
    <definedName name="STOT06.010.0010">[11]MEMORIAL!#REF!</definedName>
    <definedName name="STOT06.010.0010_1">[11]MEMORIAL!#REF!</definedName>
    <definedName name="STOT08.010.0010">[11]MEMORIAL!#REF!</definedName>
    <definedName name="STOT08.010.0010_1">[11]MEMORIAL!#REF!</definedName>
    <definedName name="STOT08.010.0040">[11]MEMORIAL!#REF!</definedName>
    <definedName name="STOT08.010.0040_1">[11]MEMORIAL!#REF!</definedName>
    <definedName name="STOT08.010.0060">[23]MEMORIAL!#REF!</definedName>
    <definedName name="STOT08.010.0060_1">[24]MEMORIAL!#REF!</definedName>
    <definedName name="STOT08.010.0120">[23]MEMORIAL!#REF!</definedName>
    <definedName name="STOT08.010.0120_1">[11]MEMORIAL!#REF!</definedName>
    <definedName name="STOT08.010.0130">[11]MEMORIAL!#REF!</definedName>
    <definedName name="STOT08.010.0130_1">[11]MEMORIAL!#REF!</definedName>
    <definedName name="STOT08.010.0135">[23]MEMORIAL!#REF!</definedName>
    <definedName name="STOT08.010.0135_1">[11]MEMORIAL!#REF!</definedName>
    <definedName name="STOT08.010.0190">[11]MEMORIAL!#REF!</definedName>
    <definedName name="STOT08.010.0190_1">[11]MEMORIAL!#REF!</definedName>
    <definedName name="STOT08.010.0270">[23]MEMORIAL!#REF!</definedName>
    <definedName name="STOT08.010.0270_1">[11]MEMORIAL!#REF!</definedName>
    <definedName name="STOT080.010.0350">[11]MEMORIAL!#REF!</definedName>
    <definedName name="STOT080.010.0350_1">[11]MEMORIAL!#REF!</definedName>
    <definedName name="STOT09.010.0060">[23]MEMORIAL!#REF!</definedName>
    <definedName name="STOT09.010.0060_1">[11]MEMORIAL!#REF!</definedName>
    <definedName name="STOT09.010.0070">[11]MEMORIAL!#REF!</definedName>
    <definedName name="STOT09.010.0070_1">[11]MEMORIAL!#REF!</definedName>
    <definedName name="STOT09.010.0240">[23]MEMORIAL!#REF!</definedName>
    <definedName name="STOT09.010.0240_1">[11]MEMORIAL!#REF!</definedName>
    <definedName name="STOT09.010.0380">[11]MEMORIAL!#REF!</definedName>
    <definedName name="STOT09.010.0380_1">[11]MEMORIAL!#REF!</definedName>
    <definedName name="STOT09.010.0430">[23]MEMORIAL!#REF!</definedName>
    <definedName name="STOT09.010.0430_1">[11]MEMORIAL!#REF!</definedName>
    <definedName name="STOT09.010.0470">[23]MEMORIAL!#REF!</definedName>
    <definedName name="STOT09.010.0470_1">[11]MEMORIAL!#REF!</definedName>
    <definedName name="STOT09.010.0700">[23]MEMORIAL!#REF!</definedName>
    <definedName name="STOT09.010.0700_1">[11]MEMORIAL!#REF!</definedName>
    <definedName name="STOT10.010.0140">[23]MEMORIAL!#REF!</definedName>
    <definedName name="STOT10.010.0140_1">[11]MEMORIAL!#REF!</definedName>
    <definedName name="STOT10.010.0150">[11]MEMORIAL!#REF!</definedName>
    <definedName name="STOT10.010.0150_1">[11]MEMORIAL!#REF!</definedName>
    <definedName name="STOT10.010.0180">[23]MEMORIAL!#REF!</definedName>
    <definedName name="STOT10.010.0180_1">[11]MEMORIAL!#REF!</definedName>
    <definedName name="STOT10.010.0270">[23]MEMORIAL!#REF!</definedName>
    <definedName name="STOT10.010.0270_1">[24]MEMORIAL!#REF!</definedName>
    <definedName name="STOT10.010.0280">[23]MEMORIAL!#REF!</definedName>
    <definedName name="STOT10.010.0280_1">[11]MEMORIAL!#REF!</definedName>
    <definedName name="STOT10.010.0290">[11]MEMORIAL!#REF!</definedName>
    <definedName name="STOT10.010.0290_1">[11]MEMORIAL!#REF!</definedName>
    <definedName name="STOT10.010.0298">[11]MEMORIAL!#REF!</definedName>
    <definedName name="STOT10.010.0298_1">[11]MEMORIAL!#REF!</definedName>
    <definedName name="STOT10.010.0307">[23]MEMORIAL!#REF!</definedName>
    <definedName name="STOT10.010.0307_1">[11]MEMORIAL!#REF!</definedName>
    <definedName name="STOT10.010.0308">[23]MEMORIAL!#REF!</definedName>
    <definedName name="STOT10.010.0308_1">[11]MEMORIAL!#REF!</definedName>
    <definedName name="STOT10.010.0310">[23]MEMORIAL!#REF!</definedName>
    <definedName name="STOT10.010.0310_1">[11]MEMORIAL!#REF!</definedName>
    <definedName name="STOT10.010.0330">[23]MEMORIAL!#REF!</definedName>
    <definedName name="STOT10.010.0330_1">[11]MEMORIAL!#REF!</definedName>
    <definedName name="STOT10.010.0333">[23]MEMORIAL!#REF!</definedName>
    <definedName name="STOT10.010.0333_1">[11]MEMORIAL!#REF!</definedName>
    <definedName name="STOT10.010.0350">[11]MEMORIAL!#REF!</definedName>
    <definedName name="STOT10.010.0350_1">[11]MEMORIAL!#REF!</definedName>
    <definedName name="STOT10.010.0380">[23]MEMORIAL!#REF!</definedName>
    <definedName name="STOT10.010.0380_1">[11]MEMORIAL!#REF!</definedName>
    <definedName name="STOT10.010.0400">[23]MEMORIAL!#REF!</definedName>
    <definedName name="STOT10.010.0400_1">[11]MEMORIAL!#REF!</definedName>
    <definedName name="STOT10.010.0431">[23]MEMORIAL!#REF!</definedName>
    <definedName name="STOT10.010.0431_1">[11]MEMORIAL!#REF!</definedName>
    <definedName name="STOT10.010.1100">[11]MEMORIAL!#REF!</definedName>
    <definedName name="STOT10.010.1100_1">[11]MEMORIAL!#REF!</definedName>
    <definedName name="STOT10.010.1110">[11]MEMORIAL!#REF!</definedName>
    <definedName name="STOT10.010.1110_1">[11]MEMORIAL!#REF!</definedName>
    <definedName name="STOT12.010.0010">[11]MEMORIAL!#REF!</definedName>
    <definedName name="STOT12.010.0010_1">[11]MEMORIAL!#REF!</definedName>
    <definedName name="STOT12.010.0050">[11]MEMORIAL!#REF!</definedName>
    <definedName name="STOT12.010.0050_1">[11]MEMORIAL!#REF!</definedName>
    <definedName name="STOT12.010.0060">[23]MEMORIAL!#REF!</definedName>
    <definedName name="STOT12.010.0060_1">[11]MEMORIAL!#REF!</definedName>
    <definedName name="STOT12.010.0210">[23]MEMORIAL!#REF!</definedName>
    <definedName name="STOT12.010.0210_1">[11]MEMORIAL!#REF!</definedName>
    <definedName name="STOT12.010.0300">[11]MEMORIAL!#REF!</definedName>
    <definedName name="STOT12.010.0300_1">[11]MEMORIAL!#REF!</definedName>
    <definedName name="STOT12.010.0340">[11]MEMORIAL!#REF!</definedName>
    <definedName name="STOT12.010.0340_1">[11]MEMORIAL!#REF!</definedName>
    <definedName name="STOT12.010.0360">[23]MEMORIAL!#REF!</definedName>
    <definedName name="STOT12.010.0360_1">[11]MEMORIAL!#REF!</definedName>
    <definedName name="STOT12.010.0550">[23]MEMORIAL!#REF!</definedName>
    <definedName name="STOT12.010.0550_1">[11]MEMORIAL!#REF!</definedName>
    <definedName name="STOT13.010.0030">[23]MEMORIAL!#REF!</definedName>
    <definedName name="STOT13.010.0030_1">[24]MEMORIAL!#REF!</definedName>
    <definedName name="STOT13.010.0040">[11]MEMORIAL!#REF!</definedName>
    <definedName name="STOT13.010.0040_1">[11]MEMORIAL!#REF!</definedName>
    <definedName name="STOT13.010.0090">[23]MEMORIAL!#REF!</definedName>
    <definedName name="STOT13.010.0090_1">[11]MEMORIAL!#REF!</definedName>
    <definedName name="STOT13.010.0100">[11]MEMORIAL!#REF!</definedName>
    <definedName name="STOT13.010.0100_1">[11]MEMORIAL!#REF!</definedName>
    <definedName name="STOT13.010.0110">[23]MEMORIAL!#REF!</definedName>
    <definedName name="STOT13.010.0110_1">[11]MEMORIAL!#REF!</definedName>
    <definedName name="STOT13.010.0350">[11]MEMORIAL!#REF!</definedName>
    <definedName name="STOT13.010.0350_1">[11]MEMORIAL!#REF!</definedName>
    <definedName name="STOT13.010.0360">[11]MEMORIAL!#REF!</definedName>
    <definedName name="STOT13.010.0360_1">[11]MEMORIAL!#REF!</definedName>
    <definedName name="STOT13.010.0380">[11]MEMORIAL!#REF!</definedName>
    <definedName name="STOT13.010.0380_1">[11]MEMORIAL!#REF!</definedName>
    <definedName name="STOT13.010.0410">[11]MEMORIAL!#REF!</definedName>
    <definedName name="STOT13.010.0410_1">[11]MEMORIAL!#REF!</definedName>
    <definedName name="STOT13.010.0860">[11]MEMORIAL!#REF!</definedName>
    <definedName name="STOT13.010.0860_1">[11]MEMORIAL!#REF!</definedName>
    <definedName name="STOT13.010.0880">[11]MEMORIAL!#REF!</definedName>
    <definedName name="STOT13.010.0880_1">[11]MEMORIAL!#REF!</definedName>
    <definedName name="STOT13.010.1200">[23]MEMORIAL!#REF!</definedName>
    <definedName name="STOT13.010.1200_1">[11]MEMORIAL!#REF!</definedName>
    <definedName name="STOT15.010.0010" localSheetId="42">#REF!</definedName>
    <definedName name="STOT15.010.0010" localSheetId="205">#REF!</definedName>
    <definedName name="STOT15.010.0010" localSheetId="41">#REF!</definedName>
    <definedName name="STOT15.010.0010">#REF!</definedName>
    <definedName name="STOT15.010.0010_1" localSheetId="42">[24]MEMORIAL!#REF!</definedName>
    <definedName name="STOT15.010.0010_1" localSheetId="205">[24]MEMORIAL!#REF!</definedName>
    <definedName name="STOT15.010.0010_1">[24]MEMORIAL!#REF!</definedName>
    <definedName name="STOT15.010.0040" localSheetId="42">#REF!</definedName>
    <definedName name="STOT15.010.0040" localSheetId="205">#REF!</definedName>
    <definedName name="STOT15.010.0040" localSheetId="41">#REF!</definedName>
    <definedName name="STOT15.010.0040">#REF!</definedName>
    <definedName name="STOT15.010.0040_1" localSheetId="42">[30]MEMORIAL!#REF!</definedName>
    <definedName name="STOT15.010.0040_1" localSheetId="205">[30]MEMORIAL!#REF!</definedName>
    <definedName name="STOT15.010.0040_1">[30]MEMORIAL!#REF!</definedName>
    <definedName name="STOT15.010.0055" localSheetId="42">#REF!</definedName>
    <definedName name="STOT15.010.0055" localSheetId="205">#REF!</definedName>
    <definedName name="STOT15.010.0055" localSheetId="41">#REF!</definedName>
    <definedName name="STOT15.010.0055">#REF!</definedName>
    <definedName name="STOT15.010.0055_1" localSheetId="42">[24]MEMORIAL!#REF!</definedName>
    <definedName name="STOT15.010.0055_1" localSheetId="205">[24]MEMORIAL!#REF!</definedName>
    <definedName name="STOT15.010.0055_1">[24]MEMORIAL!#REF!</definedName>
    <definedName name="STOT15.010.0140" localSheetId="42">[23]MEMORIAL!#REF!</definedName>
    <definedName name="STOT15.010.0140" localSheetId="205">[23]MEMORIAL!#REF!</definedName>
    <definedName name="STOT15.010.0140">[23]MEMORIAL!#REF!</definedName>
    <definedName name="STOT15.010.0140_1" localSheetId="42">[24]MEMORIAL!#REF!</definedName>
    <definedName name="STOT15.010.0140_1">[24]MEMORIAL!#REF!</definedName>
    <definedName name="STOT15.010.0181" localSheetId="42">[23]MEMORIAL!#REF!</definedName>
    <definedName name="STOT15.010.0181">[23]MEMORIAL!#REF!</definedName>
    <definedName name="STOT15.010.0181_1" localSheetId="42">[24]MEMORIAL!#REF!</definedName>
    <definedName name="STOT15.010.0181_1">[24]MEMORIAL!#REF!</definedName>
    <definedName name="STOT15.010.0270">[23]MEMORIAL!#REF!</definedName>
    <definedName name="STOT15.010.0270_1">[11]MEMORIAL!#REF!</definedName>
    <definedName name="STOT15.010.0280">[23]MEMORIAL!#REF!</definedName>
    <definedName name="STOT15.010.0280_1">[11]MEMORIAL!#REF!</definedName>
    <definedName name="STOT15.010.0290">[11]MEMORIAL!#REF!</definedName>
    <definedName name="STOT15.010.0290_1">[11]MEMORIAL!#REF!</definedName>
    <definedName name="stot16.010.0000">[23]MEMORIAL!#REF!</definedName>
    <definedName name="STOT16.010.0010">[23]MEMORIAL!#REF!</definedName>
    <definedName name="STOT16.010.0010_1">[11]MEMORIAL!#REF!</definedName>
    <definedName name="STOT16.010.0060">[23]MEMORIAL!#REF!</definedName>
    <definedName name="STOT16.010.0060_1">[11]MEMORIAL!#REF!</definedName>
    <definedName name="stot16.010.0061">[23]MEMORIAL!#REF!</definedName>
    <definedName name="STOT16.010.0110">[23]MEMORIAL!#REF!</definedName>
    <definedName name="STOT16.010.0110_1">[11]MEMORIAL!#REF!</definedName>
    <definedName name="STOT16.010.0120">[23]MEMORIAL!#REF!</definedName>
    <definedName name="STOT16.010.0120_1">[11]MEMORIAL!#REF!</definedName>
    <definedName name="STOT16.010.0150">[11]MEMORIAL!#REF!</definedName>
    <definedName name="STOT16.010.0150_1">[11]MEMORIAL!#REF!</definedName>
    <definedName name="STOT16.010.0170">[23]MEMORIAL!#REF!</definedName>
    <definedName name="STOT16.010.0170_1">[11]MEMORIAL!#REF!</definedName>
    <definedName name="STOT17.010.0080">[23]MEMORIAL!#REF!</definedName>
    <definedName name="STOT17.010.0080_1">[11]MEMORIAL!#REF!</definedName>
    <definedName name="STOT17.010.0100">[11]MEMORIAL!#REF!</definedName>
    <definedName name="STOT17.010.0100_1">[11]MEMORIAL!#REF!</definedName>
    <definedName name="STOT17.010.0120">[11]MEMORIAL!#REF!</definedName>
    <definedName name="STOT17.010.0120_1">[11]MEMORIAL!#REF!</definedName>
    <definedName name="STOT17.010.0150">[23]MEMORIAL!#REF!</definedName>
    <definedName name="STOT17.010.0150_1">[11]MEMORIAL!#REF!</definedName>
    <definedName name="STOT17.010.0290">[23]MEMORIAL!#REF!</definedName>
    <definedName name="STOT17.010.0290_1">[11]MEMORIAL!#REF!</definedName>
    <definedName name="STOT17.010.0350">[11]MEMORIAL!#REF!</definedName>
    <definedName name="STOT17.010.0350_1">[11]MEMORIAL!#REF!</definedName>
    <definedName name="STOT17.010.0390">[23]MEMORIAL!#REF!</definedName>
    <definedName name="STOT17.010.0390_1">[24]MEMORIAL!#REF!</definedName>
    <definedName name="STOT17.010.0437">[23]MEMORIAL!#REF!</definedName>
    <definedName name="STOT17.010.0437_1">[24]MEMORIAL!#REF!</definedName>
    <definedName name="STOT17.010.0602">[23]MEMORIAL!#REF!</definedName>
    <definedName name="STOT17.010.0602_1">[24]MEMORIAL!#REF!</definedName>
    <definedName name="STOTCOMPOS01">[23]MEMORIAL!#REF!</definedName>
    <definedName name="STOTCOMPOS01_1">[24]MEMORIAL!#REF!</definedName>
    <definedName name="Super" localSheetId="42">#REF!</definedName>
    <definedName name="Super" localSheetId="205">#REF!</definedName>
    <definedName name="Super" localSheetId="41">#REF!</definedName>
    <definedName name="Super">#REF!</definedName>
    <definedName name="SUPERFICIE">[8]Plan1!$A$65:$A$69</definedName>
    <definedName name="sxrhysxdd" localSheetId="42">#REF!</definedName>
    <definedName name="sxrhysxdd" localSheetId="205">#REF!</definedName>
    <definedName name="sxrhysxdd" localSheetId="41">#REF!</definedName>
    <definedName name="sxrhysxdd">#REF!</definedName>
    <definedName name="T" localSheetId="42">#REF!</definedName>
    <definedName name="T" localSheetId="41">#REF!</definedName>
    <definedName name="T">#REF!</definedName>
    <definedName name="Tabela" localSheetId="42">#REF!</definedName>
    <definedName name="Tabela" localSheetId="41">#REF!</definedName>
    <definedName name="Tabela">#REF!</definedName>
    <definedName name="Tabela_1">#REF!</definedName>
    <definedName name="Tabela_1_6">#REF!</definedName>
    <definedName name="Tabela_10">#REF!</definedName>
    <definedName name="Tabela_2">#REF!</definedName>
    <definedName name="Tabela_3">#REF!</definedName>
    <definedName name="Tabela_4">#REF!</definedName>
    <definedName name="Tabela_5">#REF!</definedName>
    <definedName name="Tabela_5_1">#REF!</definedName>
    <definedName name="Tabela_6">#REF!</definedName>
    <definedName name="TECH">#REF!</definedName>
    <definedName name="tecn">#REF!</definedName>
    <definedName name="tecni">#REF!</definedName>
    <definedName name="tecnic">#REF!</definedName>
    <definedName name="TECNICA">#REF!</definedName>
    <definedName name="TECNICA_17">#REF!</definedName>
    <definedName name="TECNICA_8">#REF!</definedName>
    <definedName name="terdvvd">[11]MEMORIAL!#REF!</definedName>
    <definedName name="TERRA" localSheetId="42">#REF!</definedName>
    <definedName name="TERRA" localSheetId="205">#REF!</definedName>
    <definedName name="TERRA" localSheetId="41">#REF!</definedName>
    <definedName name="TERRA">#REF!</definedName>
    <definedName name="TERRA_1" localSheetId="42">#REF!</definedName>
    <definedName name="TERRA_1" localSheetId="41">#REF!</definedName>
    <definedName name="TERRA_1">#REF!</definedName>
    <definedName name="TERRAPL" localSheetId="42">#REF!</definedName>
    <definedName name="TERRAPL" localSheetId="41">#REF!</definedName>
    <definedName name="TERRAPL">#REF!</definedName>
    <definedName name="TERRAPL_17">#REF!</definedName>
    <definedName name="TERRAPL_8">#REF!</definedName>
    <definedName name="terraple">#REF!</definedName>
    <definedName name="terraplen">#REF!</definedName>
    <definedName name="terraplenagem">#REF!</definedName>
    <definedName name="teste" localSheetId="205">#REF!</definedName>
    <definedName name="teste" localSheetId="41">#REF!</definedName>
    <definedName name="teste">[11]MEMORIAL!#REF!</definedName>
    <definedName name="teste1" localSheetId="205">#REF!</definedName>
    <definedName name="teste1">#REF!</definedName>
    <definedName name="teste2">'[12]CAPA -1'!#REF!</definedName>
    <definedName name="teste3" localSheetId="205">#REF!</definedName>
    <definedName name="teste3">#REF!</definedName>
    <definedName name="TESTE4" localSheetId="205">#REF!</definedName>
    <definedName name="TESTE4">#REF!</definedName>
    <definedName name="TESTE5" localSheetId="205">#REF!</definedName>
    <definedName name="TESTE5">#REF!</definedName>
    <definedName name="TETOS">[8]Plan1!$A$106:$A$110</definedName>
    <definedName name="thdfa" localSheetId="42">#REF!</definedName>
    <definedName name="thdfa" localSheetId="205">#REF!</definedName>
    <definedName name="thdfa" localSheetId="41">#REF!</definedName>
    <definedName name="thdfa">#REF!</definedName>
    <definedName name="TIPO">[8]Plan1!$A$73:$A$79</definedName>
    <definedName name="_xlnm.Print_Titles" localSheetId="0">'1.1.1.1'!$5:$11</definedName>
    <definedName name="_xlnm.Print_Titles" localSheetId="1">'1.1.2.1'!$1:$11</definedName>
    <definedName name="_xlnm.Print_Titles" localSheetId="7">'1.1.2.10'!$1:$11</definedName>
    <definedName name="_xlnm.Print_Titles" localSheetId="8">'1.1.2.11'!$1:$11</definedName>
    <definedName name="_xlnm.Print_Titles" localSheetId="9">'1.1.2.12'!$1:$11</definedName>
    <definedName name="_xlnm.Print_Titles" localSheetId="28">'1.1.2.2'!$1:$11</definedName>
    <definedName name="_xlnm.Print_Titles" localSheetId="29">'1.1.2.3'!$1:$11</definedName>
    <definedName name="_xlnm.Print_Titles" localSheetId="30">'1.1.2.4'!$1:$11</definedName>
    <definedName name="_xlnm.Print_Titles" localSheetId="2">'1.1.2.5'!$1:$11</definedName>
    <definedName name="_xlnm.Print_Titles" localSheetId="3">'1.1.2.6'!$1:$11</definedName>
    <definedName name="_xlnm.Print_Titles" localSheetId="35">'1.1.2.7'!$1:$11</definedName>
    <definedName name="_xlnm.Print_Titles" localSheetId="4">'1.1.2.8'!$1:$11</definedName>
    <definedName name="_xlnm.Print_Titles" localSheetId="5">'1.1.2.9'!$1:$11</definedName>
    <definedName name="_xlnm.Print_Titles" localSheetId="10">'1.1.3.1'!$1:$11</definedName>
    <definedName name="_xlnm.Print_Titles" localSheetId="11">'1.1.3.2'!$1:$11</definedName>
    <definedName name="_xlnm.Print_Titles" localSheetId="12">'1.1.3.3'!$1:$11</definedName>
    <definedName name="_xlnm.Print_Titles" localSheetId="13">'1.1.3.4'!$1:$11</definedName>
    <definedName name="_xlnm.Print_Titles" localSheetId="14">'1.1.3.5'!$1:$11</definedName>
    <definedName name="_xlnm.Print_Titles" localSheetId="17">'1.1.3.6'!$1:$11</definedName>
    <definedName name="_xlnm.Print_Titles" localSheetId="91">'1.1.3.7'!$1:$11</definedName>
    <definedName name="_xlnm.Print_Titles" localSheetId="15">'1.1.3.8'!$1:$11</definedName>
    <definedName name="_xlnm.Print_Titles" localSheetId="16">'1.1.3.9'!$1:$11</definedName>
    <definedName name="_xlnm.Print_Titles" localSheetId="36">'1.2.1.1'!$1:$11</definedName>
    <definedName name="_xlnm.Print_Titles" localSheetId="27">'2.3.1.1'!$1:$11</definedName>
    <definedName name="_xlnm.Print_Titles" localSheetId="113">'2.3.2.2'!$1:$11</definedName>
    <definedName name="_xlnm.Print_Titles" localSheetId="31">'2.3.2.3'!$1:$11</definedName>
    <definedName name="_xlnm.Print_Titles" localSheetId="32">'2.3.2.4'!$1:$11</definedName>
    <definedName name="_xlnm.Print_Titles" localSheetId="33">'2.3.2.5'!$1:$11</definedName>
    <definedName name="_xlnm.Print_Titles" localSheetId="124">'2.4.1.10'!$1:$11</definedName>
    <definedName name="_xlnm.Print_Titles" localSheetId="48">'2.4.3.1 '!$1:$11</definedName>
    <definedName name="_xlnm.Print_Titles" localSheetId="123">'2.5.1.1'!$1:$11</definedName>
    <definedName name="_xlnm.Print_Titles" localSheetId="49">'3,3.6.5'!$1:$11</definedName>
    <definedName name="_xlnm.Print_Titles" localSheetId="40">'3.3.2.1'!$1:$11</definedName>
    <definedName name="_xlnm.Print_Titles" localSheetId="125">'3.4.1.10'!$1:$11</definedName>
    <definedName name="_xlnm.Print_Titles" localSheetId="54">'3.4.3.1'!$1:$11</definedName>
    <definedName name="_xlnm.Print_Titles" localSheetId="126">'3.5.1.1'!$1:$11</definedName>
    <definedName name="_xlnm.Print_Titles" localSheetId="127">'3.5.1.2'!$1:$11</definedName>
    <definedName name="_xlnm.Print_Titles" localSheetId="128">'3.5.1.3'!$1:$11</definedName>
    <definedName name="_xlnm.Print_Titles" localSheetId="131">'3.5.1.4'!$1:$11</definedName>
    <definedName name="_xlnm.Print_Titles" localSheetId="103">'4.3.10.1'!$1:$11</definedName>
    <definedName name="_xlnm.Print_Titles" localSheetId="106">'4.3.10.6'!$1:$11</definedName>
    <definedName name="_xlnm.Print_Titles" localSheetId="107">'4.3.10.7'!$1:$11</definedName>
    <definedName name="_xlnm.Print_Titles" localSheetId="93">'4.3.10.8'!$1:$11</definedName>
    <definedName name="_xlnm.Print_Titles" localSheetId="94">'4.3.10.9'!$1:$11</definedName>
    <definedName name="_xlnm.Print_Titles" localSheetId="100">'4.3.2.11'!$1:$11</definedName>
    <definedName name="_xlnm.Print_Titles" localSheetId="101">'4.3.3.1 '!$1:$11</definedName>
    <definedName name="_xlnm.Print_Titles" localSheetId="102">'4.3.6.5'!$1:$11</definedName>
    <definedName name="_xlnm.Print_Titles" localSheetId="130">'4.5.1.1'!$1:$11</definedName>
    <definedName name="_xlnm.Print_Titles" localSheetId="108">'4.6.1.13'!$1:$11</definedName>
    <definedName name="_xlnm.Print_Titles" localSheetId="109">'4.6.1.14'!$1:$11</definedName>
    <definedName name="_xlnm.Print_Titles" localSheetId="110">'4.6.1.17'!$1:$11</definedName>
    <definedName name="_xlnm.Print_Titles" localSheetId="111">'4.6.2.1'!$1:$11</definedName>
    <definedName name="_xlnm.Print_Titles" localSheetId="112">'4.6.2.3'!$1:$11</definedName>
    <definedName name="_xlnm.Print_Titles" localSheetId="143">'5.3.10.6 '!$1:$11</definedName>
    <definedName name="_xlnm.Print_Titles" localSheetId="144">'5.3.10.7'!$1:$11</definedName>
    <definedName name="_xlnm.Print_Titles" localSheetId="145">'5.3.10.8'!$1:$11</definedName>
    <definedName name="_xlnm.Print_Titles" localSheetId="217">'5.3.2.1'!$1:$11</definedName>
    <definedName name="_xlnm.Print_Titles" localSheetId="132">'5.3.7.1'!$1:$11</definedName>
    <definedName name="_xlnm.Print_Titles" localSheetId="133">'5.3.7.2'!$1:$11</definedName>
    <definedName name="_xlnm.Print_Titles" localSheetId="134">'5.3.7.3'!$1:$11</definedName>
    <definedName name="_xlnm.Print_Titles" localSheetId="135">'5.3.8.3'!$1:$11</definedName>
    <definedName name="_xlnm.Print_Titles" localSheetId="136">'5.3.8.4'!$1:$11</definedName>
    <definedName name="_xlnm.Print_Titles" localSheetId="137">'5.3.8.5'!$1:$11</definedName>
    <definedName name="_xlnm.Print_Titles" localSheetId="138">'5.3.8.6'!$1:$11</definedName>
    <definedName name="_xlnm.Print_Titles" localSheetId="139">'5.3.9.1'!$1:$11</definedName>
    <definedName name="_xlnm.Print_Titles" localSheetId="140">'5.3.9.2'!$1:$11</definedName>
    <definedName name="_xlnm.Print_Titles" localSheetId="141">'5.3.9.3'!$1:$11</definedName>
    <definedName name="_xlnm.Print_Titles" localSheetId="142">'5.3.9.4'!$1:$11</definedName>
    <definedName name="_xlnm.Print_Titles" localSheetId="183">'5.4.1.10 '!$1:$11</definedName>
    <definedName name="_xlnm.Print_Titles" localSheetId="51">'5.4.3.1'!$1:$11</definedName>
    <definedName name="_xlnm.Print_Titles" localSheetId="221">'5.5.1.1'!$1:$11</definedName>
    <definedName name="_xlnm.Print_Titles" localSheetId="220">'5.5.1.4'!$1:$11</definedName>
    <definedName name="_xlnm.Print_Titles" localSheetId="42">'7 medicao'!$2:$14</definedName>
    <definedName name="_xlnm.Print_Titles" localSheetId="205">#REF!</definedName>
    <definedName name="_xlnm.Print_Titles" localSheetId="90">DEZ!$2:$14</definedName>
    <definedName name="_xlnm.Print_Titles" localSheetId="89">FEV!$2:$14</definedName>
    <definedName name="_xlnm.Print_Titles" localSheetId="92">FINANCEIRO!$2:$14</definedName>
    <definedName name="_xlnm.Print_Titles" localSheetId="41">REPLANILHAMENTO!$1:$6</definedName>
    <definedName name="_xlnm.Print_Titles">#REF!</definedName>
    <definedName name="tot" localSheetId="42">#REF!</definedName>
    <definedName name="tot" localSheetId="41">#REF!</definedName>
    <definedName name="tot">#REF!</definedName>
    <definedName name="TOTAL" localSheetId="42">#REF!</definedName>
    <definedName name="TOTAL" localSheetId="41">#REF!</definedName>
    <definedName name="TOTAL">#REF!</definedName>
    <definedName name="TOTAL_17">#REF!</definedName>
    <definedName name="TOTAL_8">#REF!</definedName>
    <definedName name="totalg">#REF!</definedName>
    <definedName name="totalissimo">#REF!</definedName>
    <definedName name="TOTALMATERIAL">#REF!</definedName>
    <definedName name="TOTALMATERIAL_1">#REF!</definedName>
    <definedName name="TOTALSERVIÇO">'[31]Serviços Água'!#REF!</definedName>
    <definedName name="TOTALSERVIÇO_1" localSheetId="42">#REF!</definedName>
    <definedName name="TOTALSERVIÇO_1" localSheetId="205">#REF!</definedName>
    <definedName name="TOTALSERVIÇO_1" localSheetId="41">#REF!</definedName>
    <definedName name="TOTALSERVIÇO_1">#REF!</definedName>
    <definedName name="totaltotal" localSheetId="42">#REF!</definedName>
    <definedName name="totaltotal" localSheetId="41">#REF!</definedName>
    <definedName name="totaltotal">#REF!</definedName>
    <definedName name="TOTFASE" localSheetId="42">'[31]Serviços Água'!#REF!</definedName>
    <definedName name="TOTFASE" localSheetId="41">'[31]Serviços Água'!#REF!</definedName>
    <definedName name="TOTFASE">'[31]Serviços Água'!#REF!</definedName>
    <definedName name="TOTFASE_1" localSheetId="42">'[13]Rede de Distribuição de Água'!#REF!</definedName>
    <definedName name="TOTFASE_1" localSheetId="41">'[13]Rede de Distribuição de Água'!#REF!</definedName>
    <definedName name="TOTFASE_1">'[13]Rede de Distribuição de Água'!#REF!</definedName>
    <definedName name="TOTFASE_5">'[13]Rede de Distribuição de Água'!#REF!</definedName>
    <definedName name="TOTFASE_6">'[13]Rede de Distribuição de Água'!#REF!</definedName>
    <definedName name="trdjgfxj" localSheetId="42">#REF!</definedName>
    <definedName name="trdjgfxj" localSheetId="205">#REF!</definedName>
    <definedName name="trdjgfxj" localSheetId="41">#REF!</definedName>
    <definedName name="trdjgfxj">#REF!</definedName>
    <definedName name="TxCresc">'[18]TodasTraf-2000-NoPrint'!$C$7:$L$17</definedName>
    <definedName name="um" localSheetId="42">'[6]BAIXO GUANDU ITAIMBE'!#REF!</definedName>
    <definedName name="um" localSheetId="205">'[6]BAIXO GUANDU ITAIMBE'!#REF!</definedName>
    <definedName name="um" localSheetId="41">'[6]BAIXO GUANDU ITAIMBE'!#REF!</definedName>
    <definedName name="um">'[6]BAIXO GUANDU ITAIMBE'!#REF!</definedName>
    <definedName name="Unit." localSheetId="42">#REF!</definedName>
    <definedName name="Unit." localSheetId="205">#REF!</definedName>
    <definedName name="Unit." localSheetId="41">#REF!</definedName>
    <definedName name="Unit.">#REF!</definedName>
    <definedName name="USO">[8]Plan1!$A$80:$A$86</definedName>
    <definedName name="VAA" localSheetId="42">#REF!</definedName>
    <definedName name="VAA" localSheetId="205">#REF!</definedName>
    <definedName name="VAA" localSheetId="41">#REF!</definedName>
    <definedName name="VAA">#REF!</definedName>
    <definedName name="VAA_1" localSheetId="42">#REF!</definedName>
    <definedName name="VAA_1" localSheetId="41">#REF!</definedName>
    <definedName name="VAA_1">#REF!</definedName>
    <definedName name="VALOR_ADITIVO" localSheetId="42">#REF!</definedName>
    <definedName name="VALOR_ADITIVO" localSheetId="41">#REF!</definedName>
    <definedName name="VALOR_ADITIVO">#REF!</definedName>
    <definedName name="valor_adtidivo">#REF!</definedName>
    <definedName name="valor_cont">#REF!</definedName>
    <definedName name="valor_contr">#REF!</definedName>
    <definedName name="VALOR_CONTRATO">#REF!</definedName>
    <definedName name="VALOR_UNIT_ADOTADO">[8]Plan1!$A$214:$A$219</definedName>
    <definedName name="valoraditi" localSheetId="42">#REF!</definedName>
    <definedName name="valoraditi" localSheetId="205">#REF!</definedName>
    <definedName name="valoraditi" localSheetId="41">#REF!</definedName>
    <definedName name="valoraditi">#REF!</definedName>
    <definedName name="valoraditivo" localSheetId="42">#REF!</definedName>
    <definedName name="valoraditivo" localSheetId="41">#REF!</definedName>
    <definedName name="valoraditivo">#REF!</definedName>
    <definedName name="valorcon" localSheetId="42">#REF!</definedName>
    <definedName name="valorcon" localSheetId="41">#REF!</definedName>
    <definedName name="valorcon">#REF!</definedName>
    <definedName name="valorcontrato">#REF!</definedName>
    <definedName name="VAT">[10]MEMORIAL!#REF!</definedName>
    <definedName name="VAT_1">[11]MEMORIAL!#REF!</definedName>
    <definedName name="VBF" localSheetId="42">#REF!</definedName>
    <definedName name="VBF" localSheetId="205">#REF!</definedName>
    <definedName name="VBF" localSheetId="41">#REF!</definedName>
    <definedName name="VBF">#REF!</definedName>
    <definedName name="VBF_1" localSheetId="42">#REF!</definedName>
    <definedName name="VBF_1" localSheetId="41">#REF!</definedName>
    <definedName name="VBF_1">#REF!</definedName>
    <definedName name="ve" localSheetId="42">#REF!</definedName>
    <definedName name="ve" localSheetId="41">#REF!</definedName>
    <definedName name="ve">#REF!</definedName>
    <definedName name="ve_1">#REF!</definedName>
    <definedName name="VE1_1">#REF!</definedName>
    <definedName name="VEC">#REF!</definedName>
    <definedName name="VELOCIDADE">[8]Plan1!$A$188:$A$192</definedName>
    <definedName name="VENT_ILUM.NATURAL">[8]Plan1!$A$141:$A$144</definedName>
    <definedName name="VICIOS">[8]Plan1!$A$166:$A$168</definedName>
    <definedName name="VO" localSheetId="42">#REF!</definedName>
    <definedName name="VO" localSheetId="205">#REF!</definedName>
    <definedName name="VO" localSheetId="41">#REF!</definedName>
    <definedName name="VO">#REF!</definedName>
    <definedName name="VO_1" localSheetId="42">#REF!</definedName>
    <definedName name="VO_1" localSheetId="41">#REF!</definedName>
    <definedName name="VO_1">#REF!</definedName>
    <definedName name="VO1_1" localSheetId="42">[3]MEMORIAL!#REF!</definedName>
    <definedName name="VO1_1" localSheetId="41">[3]MEMORIAL!#REF!</definedName>
    <definedName name="VO1_1">[3]MEMORIAL!#REF!</definedName>
    <definedName name="VOC" localSheetId="42">#REF!</definedName>
    <definedName name="VOC" localSheetId="205">#REF!</definedName>
    <definedName name="VOC" localSheetId="41">#REF!</definedName>
    <definedName name="VOC">#REF!</definedName>
    <definedName name="Vol_Estrutural" localSheetId="42">[10]MEMORIAL!#REF!</definedName>
    <definedName name="Vol_Estrutural" localSheetId="205">[10]MEMORIAL!#REF!</definedName>
    <definedName name="Vol_Estrutural" localSheetId="41">[10]MEMORIAL!#REF!</definedName>
    <definedName name="Vol_Estrutural">[10]MEMORIAL!#REF!</definedName>
    <definedName name="Vol_Estrutural_1" localSheetId="42">[24]MEMORIAL!#REF!</definedName>
    <definedName name="Vol_Estrutural_1" localSheetId="41">[24]MEMORIAL!#REF!</definedName>
    <definedName name="Vol_Estrutural_1">[24]MEMORIAL!#REF!</definedName>
    <definedName name="VOLCON" localSheetId="42">[10]MEMORIAL!#REF!</definedName>
    <definedName name="VOLCON" localSheetId="41">[10]MEMORIAL!#REF!</definedName>
    <definedName name="VOLCON">[10]MEMORIAL!#REF!</definedName>
    <definedName name="VOLCON_1" localSheetId="42">[10]MEMORIAL!#REF!</definedName>
    <definedName name="VOLCON_1" localSheetId="41">[10]MEMORIAL!#REF!</definedName>
    <definedName name="VOLCON_1">[10]MEMORIAL!#REF!</definedName>
    <definedName name="VOLCONC" localSheetId="42">[23]MEMORIAL!#REF!</definedName>
    <definedName name="VOLCONC" localSheetId="41">[23]MEMORIAL!#REF!</definedName>
    <definedName name="VOLCONC">[23]MEMORIAL!#REF!</definedName>
    <definedName name="VOLCONC_1">[24]MEMORIAL!#REF!</definedName>
    <definedName name="vr" localSheetId="42">#REF!</definedName>
    <definedName name="vr" localSheetId="205">#REF!</definedName>
    <definedName name="vr" localSheetId="41">#REF!</definedName>
    <definedName name="vr">#REF!</definedName>
    <definedName name="VR_1" localSheetId="42">#REF!</definedName>
    <definedName name="VR_1" localSheetId="41">#REF!</definedName>
    <definedName name="VR_1">#REF!</definedName>
    <definedName name="VRC" localSheetId="42">#REF!</definedName>
    <definedName name="VRC" localSheetId="41">#REF!</definedName>
    <definedName name="VRC">#REF!</definedName>
    <definedName name="VTE" localSheetId="42">[10]MEMORIAL!#REF!</definedName>
    <definedName name="VTE" localSheetId="41">[10]MEMORIAL!#REF!</definedName>
    <definedName name="VTE">[10]MEMORIAL!#REF!</definedName>
    <definedName name="VTE_1" localSheetId="42">[11]MEMORIAL!#REF!</definedName>
    <definedName name="VTE_1" localSheetId="41">[11]MEMORIAL!#REF!</definedName>
    <definedName name="VTE_1">[11]MEMORIAL!#REF!</definedName>
    <definedName name="wrn.GERAL." localSheetId="205" hidden="1">{#N/A,#N/A,FALSE,"ET-CAPA";#N/A,#N/A,FALSE,"ET-PAG1";#N/A,#N/A,FALSE,"ET-PAG2";#N/A,#N/A,FALSE,"ET-PAG3";#N/A,#N/A,FALSE,"ET-PAG4";#N/A,#N/A,FALSE,"ET-PAG5"}</definedName>
    <definedName name="wrn.GERAL." localSheetId="41" hidden="1">{#N/A,#N/A,FALSE,"ET-CAPA";#N/A,#N/A,FALSE,"ET-PAG1";#N/A,#N/A,FALSE,"ET-PAG2";#N/A,#N/A,FALSE,"ET-PAG3";#N/A,#N/A,FALSE,"ET-PAG4";#N/A,#N/A,FALSE,"ET-PAG5"}</definedName>
    <definedName name="wrn.GERAL." hidden="1">{#N/A,#N/A,FALSE,"ET-CAPA";#N/A,#N/A,FALSE,"ET-PAG1";#N/A,#N/A,FALSE,"ET-PAG2";#N/A,#N/A,FALSE,"ET-PAG3";#N/A,#N/A,FALSE,"ET-PAG4";#N/A,#N/A,FALSE,"ET-PAG5"}</definedName>
    <definedName name="wrn.GERAL2" localSheetId="205" hidden="1">{#N/A,#N/A,FALSE,"ET-CAPA";#N/A,#N/A,FALSE,"ET-PAG1";#N/A,#N/A,FALSE,"ET-PAG2";#N/A,#N/A,FALSE,"ET-PAG3";#N/A,#N/A,FALSE,"ET-PAG4";#N/A,#N/A,FALSE,"ET-PAG5"}</definedName>
    <definedName name="wrn.GERAL2" localSheetId="41" hidden="1">{#N/A,#N/A,FALSE,"ET-CAPA";#N/A,#N/A,FALSE,"ET-PAG1";#N/A,#N/A,FALSE,"ET-PAG2";#N/A,#N/A,FALSE,"ET-PAG3";#N/A,#N/A,FALSE,"ET-PAG4";#N/A,#N/A,FALSE,"ET-PAG5"}</definedName>
    <definedName name="wrn.GERAL2" hidden="1">{#N/A,#N/A,FALSE,"ET-CAPA";#N/A,#N/A,FALSE,"ET-PAG1";#N/A,#N/A,FALSE,"ET-PAG2";#N/A,#N/A,FALSE,"ET-PAG3";#N/A,#N/A,FALSE,"ET-PAG4";#N/A,#N/A,FALSE,"ET-PAG5"}</definedName>
    <definedName name="wrn.mo2." localSheetId="42" hidden="1">{#N/A,#N/A,FALSE,"MO (2)"}</definedName>
    <definedName name="wrn.mo2." localSheetId="205" hidden="1">{#N/A,#N/A,FALSE,"MO (2)"}</definedName>
    <definedName name="wrn.mo2." localSheetId="41" hidden="1">{#N/A,#N/A,FALSE,"MO (2)"}</definedName>
    <definedName name="wrn.mo2." hidden="1">{#N/A,#N/A,FALSE,"MO (2)"}</definedName>
    <definedName name="ww" localSheetId="42">#REF!</definedName>
    <definedName name="ww" localSheetId="205">#REF!</definedName>
    <definedName name="ww" localSheetId="41">#REF!</definedName>
    <definedName name="ww">#REF!</definedName>
    <definedName name="X" localSheetId="205">#REF!</definedName>
    <definedName name="X" localSheetId="41">#REF!</definedName>
    <definedName name="X">("$#REF!.$A$1:$H$65204~$#REF!.$A$1:$AMJ$14)))))))")</definedName>
    <definedName name="xcvbn" localSheetId="42">#REF!</definedName>
    <definedName name="xcvbn" localSheetId="205">#REF!</definedName>
    <definedName name="xcvbn" localSheetId="41">#REF!</definedName>
    <definedName name="xcvbn">#REF!</definedName>
    <definedName name="xdhsd" localSheetId="42">#REF!</definedName>
    <definedName name="xdhsd" localSheetId="41">#REF!</definedName>
    <definedName name="xdhsd">#REF!</definedName>
    <definedName name="XS">("$#REF!.$A$1:$H$65207~$#REF!.$A$1:$AMJ$14)))))))")</definedName>
    <definedName name="XSS">("$#REF!.$A$1:$H$65204~$#REF!.$A$1:$AMJ$14)))))))")</definedName>
    <definedName name="xzdhd" localSheetId="42">#REF!</definedName>
    <definedName name="xzdhd" localSheetId="205">#REF!</definedName>
    <definedName name="xzdhd" localSheetId="41">#REF!</definedName>
    <definedName name="xzdhd">#REF!</definedName>
    <definedName name="Z" localSheetId="42">#REF!</definedName>
    <definedName name="Z" localSheetId="41">#REF!</definedName>
    <definedName name="Z">#REF!</definedName>
    <definedName name="ZA" localSheetId="42">#REF!</definedName>
    <definedName name="ZA" localSheetId="41">#REF!</definedName>
    <definedName name="ZA">#REF!</definedName>
  </definedNames>
  <calcPr calcId="191029" iterate="1"/>
  <fileRecoveryPr autoRecover="0"/>
</workbook>
</file>

<file path=xl/calcChain.xml><?xml version="1.0" encoding="utf-8"?>
<calcChain xmlns="http://schemas.openxmlformats.org/spreadsheetml/2006/main">
  <c r="F750" i="567" l="1"/>
  <c r="U653" i="567" l="1"/>
  <c r="S653" i="567" s="1"/>
  <c r="P653" i="567"/>
  <c r="S677" i="567"/>
  <c r="S636" i="567"/>
  <c r="U636" i="567"/>
  <c r="R522" i="567"/>
  <c r="N12" i="588"/>
  <c r="R482" i="567"/>
  <c r="R12" i="591"/>
  <c r="S290" i="567"/>
  <c r="U290" i="567"/>
  <c r="S118" i="567"/>
  <c r="U118" i="567"/>
  <c r="S46" i="567"/>
  <c r="S36" i="567"/>
  <c r="S17" i="567"/>
  <c r="S658" i="567"/>
  <c r="S227" i="567"/>
  <c r="R21" i="575"/>
  <c r="R19" i="591" l="1"/>
  <c r="R13" i="575"/>
  <c r="R12" i="575"/>
  <c r="K12" i="575"/>
  <c r="R20" i="591"/>
  <c r="J17" i="591"/>
  <c r="C10" i="591"/>
  <c r="B10" i="591"/>
  <c r="S19" i="591"/>
  <c r="S18" i="591"/>
  <c r="L9" i="591"/>
  <c r="J9" i="591"/>
  <c r="C9" i="591"/>
  <c r="L8" i="591"/>
  <c r="J8" i="591"/>
  <c r="C8" i="591"/>
  <c r="L7" i="591"/>
  <c r="J7" i="591"/>
  <c r="L6" i="591"/>
  <c r="J6" i="591"/>
  <c r="C6" i="591"/>
  <c r="O14" i="575"/>
  <c r="K14" i="575"/>
  <c r="N14" i="575" s="1"/>
  <c r="N18" i="589"/>
  <c r="N19" i="589"/>
  <c r="J16" i="589"/>
  <c r="N16" i="589" s="1"/>
  <c r="C10" i="589"/>
  <c r="B10" i="589"/>
  <c r="C23" i="589"/>
  <c r="C24" i="589" s="1"/>
  <c r="L16" i="589"/>
  <c r="O18" i="589" s="1"/>
  <c r="L9" i="589"/>
  <c r="J9" i="589"/>
  <c r="C9" i="589"/>
  <c r="L8" i="589"/>
  <c r="J8" i="589"/>
  <c r="C8" i="589"/>
  <c r="L7" i="589"/>
  <c r="J7" i="589"/>
  <c r="L6" i="589"/>
  <c r="J6" i="589"/>
  <c r="C6" i="589"/>
  <c r="J16" i="588"/>
  <c r="N19" i="588"/>
  <c r="L16" i="588"/>
  <c r="O18" i="588" s="1"/>
  <c r="C10" i="588"/>
  <c r="B10" i="588"/>
  <c r="C23" i="588"/>
  <c r="C24" i="588" s="1"/>
  <c r="L9" i="588"/>
  <c r="J9" i="588"/>
  <c r="C9" i="588"/>
  <c r="L8" i="588"/>
  <c r="J8" i="588"/>
  <c r="C8" i="588"/>
  <c r="L7" i="588"/>
  <c r="J7" i="588"/>
  <c r="L6" i="588"/>
  <c r="J6" i="588"/>
  <c r="C6" i="588"/>
  <c r="C9" i="587"/>
  <c r="C8" i="587"/>
  <c r="J16" i="587"/>
  <c r="N19" i="587"/>
  <c r="L16" i="587"/>
  <c r="O17" i="587" s="1"/>
  <c r="C10" i="587"/>
  <c r="B10" i="587"/>
  <c r="C23" i="587"/>
  <c r="L9" i="587"/>
  <c r="J9" i="587"/>
  <c r="L8" i="587"/>
  <c r="J8" i="587"/>
  <c r="L7" i="587"/>
  <c r="J7" i="587"/>
  <c r="L6" i="587"/>
  <c r="J6" i="587"/>
  <c r="C6" i="587"/>
  <c r="R17" i="591" l="1"/>
  <c r="R14" i="575"/>
  <c r="O16" i="589"/>
  <c r="O17" i="589"/>
  <c r="J17" i="589"/>
  <c r="O12" i="589"/>
  <c r="O12" i="588"/>
  <c r="O17" i="588"/>
  <c r="O16" i="588"/>
  <c r="O12" i="587"/>
  <c r="O16" i="587"/>
  <c r="O18" i="587"/>
  <c r="N16" i="587"/>
  <c r="N20" i="589" l="1"/>
  <c r="R549" i="567"/>
  <c r="J17" i="587"/>
  <c r="N18" i="587"/>
  <c r="R21" i="591" l="1"/>
  <c r="N20" i="587"/>
  <c r="T707" i="567" l="1"/>
  <c r="U707" i="567" s="1"/>
  <c r="S707" i="567"/>
  <c r="M707" i="567"/>
  <c r="J707" i="567"/>
  <c r="S696" i="567"/>
  <c r="T696" i="567"/>
  <c r="U696" i="567" s="1"/>
  <c r="M696" i="567"/>
  <c r="J696" i="567"/>
  <c r="O696" i="567" s="1"/>
  <c r="T695" i="567"/>
  <c r="U695" i="567" s="1"/>
  <c r="S695" i="567"/>
  <c r="M695" i="567"/>
  <c r="J695" i="567"/>
  <c r="T672" i="567"/>
  <c r="U672" i="567" s="1"/>
  <c r="S672" i="567"/>
  <c r="M672" i="567"/>
  <c r="J672" i="567"/>
  <c r="K672" i="567" s="1"/>
  <c r="T636" i="567"/>
  <c r="M636" i="567"/>
  <c r="J636" i="567"/>
  <c r="K636" i="567" s="1"/>
  <c r="T361" i="567"/>
  <c r="U361" i="567" s="1"/>
  <c r="S361" i="567"/>
  <c r="M361" i="567"/>
  <c r="M350" i="567"/>
  <c r="J361" i="567"/>
  <c r="T350" i="567"/>
  <c r="U350" i="567" s="1"/>
  <c r="S350" i="567"/>
  <c r="J350" i="567"/>
  <c r="T326" i="567"/>
  <c r="S326" i="567"/>
  <c r="M326" i="567"/>
  <c r="J326" i="567"/>
  <c r="T290" i="567"/>
  <c r="J290" i="567"/>
  <c r="E290" i="567"/>
  <c r="T183" i="567"/>
  <c r="U183" i="567" s="1"/>
  <c r="S183" i="567"/>
  <c r="Q183" i="567"/>
  <c r="M183" i="567"/>
  <c r="K183" i="567"/>
  <c r="J183" i="567"/>
  <c r="O183" i="567" s="1"/>
  <c r="T173" i="567"/>
  <c r="S173" i="567"/>
  <c r="Q173" i="567"/>
  <c r="M173" i="567"/>
  <c r="K173" i="567"/>
  <c r="J173" i="567"/>
  <c r="S155" i="567"/>
  <c r="U155" i="567" s="1"/>
  <c r="M154" i="567"/>
  <c r="T155" i="567"/>
  <c r="T154" i="567"/>
  <c r="S154" i="567"/>
  <c r="U154" i="567" s="1"/>
  <c r="J155" i="567"/>
  <c r="J154" i="567"/>
  <c r="T118" i="567"/>
  <c r="J118" i="567"/>
  <c r="E118" i="567"/>
  <c r="J49" i="567"/>
  <c r="K49" i="567" s="1"/>
  <c r="Q49" i="567"/>
  <c r="S49" i="567"/>
  <c r="T46" i="567"/>
  <c r="J46" i="567"/>
  <c r="E46" i="567"/>
  <c r="Q46" i="567" s="1"/>
  <c r="M41" i="567"/>
  <c r="M40" i="567"/>
  <c r="J41" i="567"/>
  <c r="J40" i="567"/>
  <c r="J38" i="567"/>
  <c r="M38" i="567"/>
  <c r="S21" i="567"/>
  <c r="S20" i="567"/>
  <c r="M21" i="567"/>
  <c r="M20" i="567"/>
  <c r="T20" i="567"/>
  <c r="U20" i="567" s="1"/>
  <c r="T21" i="567"/>
  <c r="U21" i="567" s="1"/>
  <c r="K20" i="567"/>
  <c r="Q20" i="567"/>
  <c r="K21" i="567"/>
  <c r="Q21" i="567"/>
  <c r="J20" i="567"/>
  <c r="J21" i="567"/>
  <c r="O21" i="567" s="1"/>
  <c r="V707" i="567" l="1"/>
  <c r="W707" i="567" s="1"/>
  <c r="K707" i="567"/>
  <c r="O707" i="567"/>
  <c r="K696" i="567"/>
  <c r="V696" i="567"/>
  <c r="W696" i="567" s="1"/>
  <c r="V695" i="567"/>
  <c r="W695" i="567" s="1"/>
  <c r="K695" i="567"/>
  <c r="O695" i="567"/>
  <c r="V672" i="567"/>
  <c r="W672" i="567" s="1"/>
  <c r="O672" i="567"/>
  <c r="V361" i="567"/>
  <c r="W361" i="567" s="1"/>
  <c r="V636" i="567"/>
  <c r="W636" i="567" s="1"/>
  <c r="O636" i="567"/>
  <c r="O361" i="567"/>
  <c r="V326" i="567"/>
  <c r="W326" i="567" s="1"/>
  <c r="V350" i="567"/>
  <c r="W350" i="567" s="1"/>
  <c r="O350" i="567"/>
  <c r="V290" i="567"/>
  <c r="W290" i="567" s="1"/>
  <c r="U326" i="567"/>
  <c r="M290" i="567"/>
  <c r="O290" i="567"/>
  <c r="V154" i="567"/>
  <c r="W154" i="567" s="1"/>
  <c r="M46" i="567"/>
  <c r="V155" i="567"/>
  <c r="W155" i="567" s="1"/>
  <c r="V183" i="567"/>
  <c r="W183" i="567" s="1"/>
  <c r="O46" i="567"/>
  <c r="V173" i="567"/>
  <c r="W173" i="567" s="1"/>
  <c r="K46" i="567"/>
  <c r="O155" i="567"/>
  <c r="U173" i="567"/>
  <c r="O173" i="567"/>
  <c r="O154" i="567"/>
  <c r="M155" i="567"/>
  <c r="V118" i="567"/>
  <c r="M118" i="567"/>
  <c r="O118" i="567"/>
  <c r="U46" i="567"/>
  <c r="Q118" i="567"/>
  <c r="O49" i="567"/>
  <c r="V46" i="567"/>
  <c r="W46" i="567" s="1"/>
  <c r="V20" i="567"/>
  <c r="W20" i="567" s="1"/>
  <c r="O20" i="567"/>
  <c r="V21" i="567"/>
  <c r="W21" i="567" s="1"/>
  <c r="S482" i="567" l="1"/>
  <c r="S480" i="567"/>
  <c r="S465" i="567"/>
  <c r="S402" i="567"/>
  <c r="S469" i="567"/>
  <c r="S468" i="567"/>
  <c r="S475" i="567"/>
  <c r="S476" i="567"/>
  <c r="T694" i="567"/>
  <c r="S694" i="567"/>
  <c r="U694" i="567" l="1"/>
  <c r="T699" i="567" l="1"/>
  <c r="V699" i="567" s="1"/>
  <c r="N24" i="572" l="1"/>
  <c r="N23" i="572"/>
  <c r="C9" i="585"/>
  <c r="N12" i="585"/>
  <c r="N16" i="585" s="1"/>
  <c r="N18" i="585"/>
  <c r="C10" i="585"/>
  <c r="B10" i="585"/>
  <c r="O17" i="585"/>
  <c r="O16" i="585"/>
  <c r="O15" i="585"/>
  <c r="N13" i="585"/>
  <c r="J9" i="585"/>
  <c r="H9" i="585"/>
  <c r="J8" i="585"/>
  <c r="H8" i="585"/>
  <c r="C8" i="585"/>
  <c r="J7" i="585"/>
  <c r="H7" i="585"/>
  <c r="J6" i="585"/>
  <c r="H6" i="585"/>
  <c r="C6" i="585"/>
  <c r="C9" i="572"/>
  <c r="C8" i="572"/>
  <c r="N15" i="585" l="1"/>
  <c r="N17" i="585" l="1"/>
  <c r="N19" i="585" l="1"/>
  <c r="C9" i="584" l="1"/>
  <c r="C8" i="584"/>
  <c r="N13" i="584"/>
  <c r="N14" i="584"/>
  <c r="N15" i="584"/>
  <c r="N18" i="584"/>
  <c r="N19" i="584"/>
  <c r="N20" i="584"/>
  <c r="N21" i="584"/>
  <c r="N22" i="584"/>
  <c r="N23" i="584"/>
  <c r="N24" i="584"/>
  <c r="N12" i="584"/>
  <c r="C10" i="584"/>
  <c r="B10" i="584"/>
  <c r="O29" i="584"/>
  <c r="O28" i="584"/>
  <c r="O27" i="584"/>
  <c r="N25" i="584"/>
  <c r="J9" i="584"/>
  <c r="H9" i="584"/>
  <c r="J8" i="584"/>
  <c r="H8" i="584"/>
  <c r="J7" i="584"/>
  <c r="H7" i="584"/>
  <c r="J6" i="584"/>
  <c r="H6" i="584"/>
  <c r="C6" i="584"/>
  <c r="K12" i="583"/>
  <c r="L12" i="583" s="1"/>
  <c r="N12" i="583" s="1"/>
  <c r="N21" i="583" s="1"/>
  <c r="N23" i="583"/>
  <c r="B10" i="583"/>
  <c r="L20" i="583"/>
  <c r="O22" i="583" s="1"/>
  <c r="C10" i="583"/>
  <c r="L9" i="583"/>
  <c r="J9" i="583"/>
  <c r="C9" i="583"/>
  <c r="L8" i="583"/>
  <c r="J8" i="583"/>
  <c r="C8" i="583"/>
  <c r="L7" i="583"/>
  <c r="J7" i="583"/>
  <c r="L6" i="583"/>
  <c r="J6" i="583"/>
  <c r="C6" i="583"/>
  <c r="C9" i="582"/>
  <c r="C8" i="582"/>
  <c r="N23" i="582"/>
  <c r="C10" i="582"/>
  <c r="B10" i="582"/>
  <c r="O22" i="582"/>
  <c r="O21" i="582"/>
  <c r="O20" i="582"/>
  <c r="K12" i="582"/>
  <c r="N12" i="582" s="1"/>
  <c r="N21" i="582" s="1"/>
  <c r="L9" i="582"/>
  <c r="J9" i="582"/>
  <c r="L8" i="582"/>
  <c r="J8" i="582"/>
  <c r="L7" i="582"/>
  <c r="J7" i="582"/>
  <c r="L6" i="582"/>
  <c r="J6" i="582"/>
  <c r="C6" i="582"/>
  <c r="N28" i="584" l="1"/>
  <c r="P693" i="567" s="1"/>
  <c r="N27" i="584"/>
  <c r="N20" i="583"/>
  <c r="N22" i="583" s="1"/>
  <c r="N24" i="583" s="1"/>
  <c r="O20" i="583"/>
  <c r="O21" i="583"/>
  <c r="N20" i="582"/>
  <c r="N22" i="582" s="1"/>
  <c r="N29" i="584" l="1"/>
  <c r="N24" i="582"/>
  <c r="R171" i="567"/>
  <c r="R170" i="567"/>
  <c r="R169" i="567"/>
  <c r="R168" i="567"/>
  <c r="R167" i="567"/>
  <c r="R166" i="567"/>
  <c r="R165" i="567"/>
  <c r="R164" i="567"/>
  <c r="R163" i="567"/>
  <c r="R162" i="567"/>
  <c r="R20" i="576"/>
  <c r="P556" i="567" s="1"/>
  <c r="P474" i="567"/>
  <c r="R20" i="580"/>
  <c r="R12" i="566"/>
  <c r="R21" i="566" s="1"/>
  <c r="P432" i="567" s="1"/>
  <c r="D13" i="577"/>
  <c r="R13" i="577" s="1"/>
  <c r="R12" i="581"/>
  <c r="R20" i="581" s="1"/>
  <c r="P535" i="567" s="1"/>
  <c r="R22" i="581"/>
  <c r="S12" i="581"/>
  <c r="S19" i="581" s="1"/>
  <c r="S21" i="581" s="1"/>
  <c r="L19" i="581"/>
  <c r="C10" i="581"/>
  <c r="B10" i="581"/>
  <c r="R14" i="581"/>
  <c r="L9" i="581"/>
  <c r="J9" i="581"/>
  <c r="C9" i="581"/>
  <c r="L8" i="581"/>
  <c r="J8" i="581"/>
  <c r="C8" i="581"/>
  <c r="L7" i="581"/>
  <c r="J7" i="581"/>
  <c r="L6" i="581"/>
  <c r="J6" i="581"/>
  <c r="C6" i="581"/>
  <c r="N13" i="574"/>
  <c r="O13" i="573"/>
  <c r="S12" i="580"/>
  <c r="L19" i="580"/>
  <c r="R22" i="580"/>
  <c r="C10" i="580"/>
  <c r="B10" i="580"/>
  <c r="R14" i="580"/>
  <c r="L9" i="580"/>
  <c r="J9" i="580"/>
  <c r="C9" i="580"/>
  <c r="L8" i="580"/>
  <c r="J8" i="580"/>
  <c r="C8" i="580"/>
  <c r="L7" i="580"/>
  <c r="J7" i="580"/>
  <c r="L6" i="580"/>
  <c r="J6" i="580"/>
  <c r="C6" i="580"/>
  <c r="R22" i="579"/>
  <c r="C10" i="579"/>
  <c r="B10" i="579"/>
  <c r="R14" i="579"/>
  <c r="S12" i="579"/>
  <c r="L19" i="579" s="1"/>
  <c r="R12" i="579"/>
  <c r="R20" i="579" s="1"/>
  <c r="P554" i="567" s="1"/>
  <c r="L9" i="579"/>
  <c r="J9" i="579"/>
  <c r="C9" i="579"/>
  <c r="L8" i="579"/>
  <c r="J8" i="579"/>
  <c r="C8" i="579"/>
  <c r="L7" i="579"/>
  <c r="J7" i="579"/>
  <c r="L6" i="579"/>
  <c r="J6" i="579"/>
  <c r="C6" i="579"/>
  <c r="R12" i="578"/>
  <c r="R20" i="578" s="1"/>
  <c r="P549" i="567" s="1"/>
  <c r="R22" i="578"/>
  <c r="S12" i="578"/>
  <c r="S19" i="578" s="1"/>
  <c r="C10" i="578"/>
  <c r="B10" i="578"/>
  <c r="R14" i="578"/>
  <c r="L9" i="578"/>
  <c r="J9" i="578"/>
  <c r="C9" i="578"/>
  <c r="L8" i="578"/>
  <c r="J8" i="578"/>
  <c r="C8" i="578"/>
  <c r="L7" i="578"/>
  <c r="J7" i="578"/>
  <c r="L6" i="578"/>
  <c r="J6" i="578"/>
  <c r="C6" i="578"/>
  <c r="R12" i="577"/>
  <c r="R22" i="577"/>
  <c r="C10" i="577"/>
  <c r="B10" i="577"/>
  <c r="S21" i="577"/>
  <c r="S20" i="577"/>
  <c r="R14" i="577"/>
  <c r="L9" i="577"/>
  <c r="J9" i="577"/>
  <c r="C9" i="577"/>
  <c r="L8" i="577"/>
  <c r="J8" i="577"/>
  <c r="C8" i="577"/>
  <c r="L7" i="577"/>
  <c r="J7" i="577"/>
  <c r="L6" i="577"/>
  <c r="J6" i="577"/>
  <c r="C6" i="577"/>
  <c r="R22" i="576"/>
  <c r="C10" i="576"/>
  <c r="B10" i="576"/>
  <c r="S21" i="576"/>
  <c r="S20" i="576"/>
  <c r="R14" i="576"/>
  <c r="R19" i="576" s="1"/>
  <c r="L9" i="576"/>
  <c r="J9" i="576"/>
  <c r="C9" i="576"/>
  <c r="L8" i="576"/>
  <c r="J8" i="576"/>
  <c r="C8" i="576"/>
  <c r="L7" i="576"/>
  <c r="J7" i="576"/>
  <c r="L6" i="576"/>
  <c r="J6" i="576"/>
  <c r="C6" i="576"/>
  <c r="R22" i="575"/>
  <c r="C10" i="575"/>
  <c r="B10" i="575"/>
  <c r="S21" i="575"/>
  <c r="S20" i="575"/>
  <c r="L9" i="575"/>
  <c r="J9" i="575"/>
  <c r="C9" i="575"/>
  <c r="L8" i="575"/>
  <c r="J8" i="575"/>
  <c r="C8" i="575"/>
  <c r="L7" i="575"/>
  <c r="J7" i="575"/>
  <c r="L6" i="575"/>
  <c r="J6" i="575"/>
  <c r="C6" i="575"/>
  <c r="K12" i="574"/>
  <c r="N12" i="574" s="1"/>
  <c r="N22" i="574"/>
  <c r="C10" i="574"/>
  <c r="B10" i="574"/>
  <c r="O21" i="574"/>
  <c r="O20" i="574"/>
  <c r="N14" i="574"/>
  <c r="L9" i="574"/>
  <c r="J9" i="574"/>
  <c r="C9" i="574"/>
  <c r="L8" i="574"/>
  <c r="J8" i="574"/>
  <c r="C8" i="574"/>
  <c r="L7" i="574"/>
  <c r="J7" i="574"/>
  <c r="L6" i="574"/>
  <c r="J6" i="574"/>
  <c r="C6" i="574"/>
  <c r="O12" i="573"/>
  <c r="O22" i="573"/>
  <c r="C10" i="573"/>
  <c r="B10" i="573"/>
  <c r="P21" i="573"/>
  <c r="P20" i="573"/>
  <c r="O14" i="573"/>
  <c r="L9" i="573"/>
  <c r="J9" i="573"/>
  <c r="C9" i="573"/>
  <c r="L8" i="573"/>
  <c r="J8" i="573"/>
  <c r="C8" i="573"/>
  <c r="L7" i="573"/>
  <c r="J7" i="573"/>
  <c r="L6" i="573"/>
  <c r="J6" i="573"/>
  <c r="C6" i="573"/>
  <c r="N26" i="572"/>
  <c r="J23" i="572"/>
  <c r="C10" i="572"/>
  <c r="B10" i="572"/>
  <c r="O25" i="572"/>
  <c r="O24" i="572"/>
  <c r="J9" i="572"/>
  <c r="H9" i="572"/>
  <c r="J8" i="572"/>
  <c r="H8" i="572"/>
  <c r="J7" i="572"/>
  <c r="H7" i="572"/>
  <c r="J6" i="572"/>
  <c r="H6" i="572"/>
  <c r="C6" i="572"/>
  <c r="R12" i="571"/>
  <c r="R21" i="571" s="1"/>
  <c r="P451" i="567" s="1"/>
  <c r="R23" i="571"/>
  <c r="L20" i="571"/>
  <c r="C10" i="571"/>
  <c r="B10" i="571"/>
  <c r="R15" i="571"/>
  <c r="K12" i="571"/>
  <c r="L9" i="571"/>
  <c r="J9" i="571"/>
  <c r="C9" i="571"/>
  <c r="L8" i="571"/>
  <c r="J8" i="571"/>
  <c r="C8" i="571"/>
  <c r="L7" i="571"/>
  <c r="J7" i="571"/>
  <c r="L6" i="571"/>
  <c r="J6" i="571"/>
  <c r="C6" i="571"/>
  <c r="T206" i="567"/>
  <c r="Q22" i="568"/>
  <c r="Q88" i="568"/>
  <c r="Q87" i="568"/>
  <c r="Q86" i="568"/>
  <c r="Q111" i="568"/>
  <c r="Q112" i="568"/>
  <c r="Q122" i="568"/>
  <c r="Q121" i="568"/>
  <c r="Q120" i="568"/>
  <c r="Q119" i="568"/>
  <c r="Q135" i="568"/>
  <c r="Q134" i="568"/>
  <c r="Q133" i="568"/>
  <c r="Q132" i="568"/>
  <c r="Q131" i="568"/>
  <c r="Q130" i="568"/>
  <c r="Q129" i="568"/>
  <c r="Q128" i="568"/>
  <c r="Q127" i="568"/>
  <c r="Q126" i="568"/>
  <c r="Q125" i="568"/>
  <c r="Q145" i="568"/>
  <c r="Q147" i="568"/>
  <c r="Q171" i="568"/>
  <c r="Q175" i="568"/>
  <c r="Q177" i="568"/>
  <c r="Q199" i="568"/>
  <c r="Q198" i="568"/>
  <c r="Q197" i="568"/>
  <c r="Q196" i="568"/>
  <c r="Q195" i="568"/>
  <c r="Q194" i="568"/>
  <c r="Q193" i="568"/>
  <c r="Q192" i="568"/>
  <c r="Q191" i="568"/>
  <c r="Q190" i="568"/>
  <c r="Q189" i="568"/>
  <c r="Q188" i="568"/>
  <c r="Q187" i="568"/>
  <c r="Q186" i="568"/>
  <c r="Q185" i="568"/>
  <c r="Q184" i="568"/>
  <c r="Q183" i="568"/>
  <c r="Q182" i="568"/>
  <c r="Q181" i="568"/>
  <c r="Q205" i="568"/>
  <c r="Q204" i="568"/>
  <c r="Q203" i="568"/>
  <c r="Q202" i="568"/>
  <c r="Q213" i="568"/>
  <c r="Q212" i="568"/>
  <c r="Q211" i="568"/>
  <c r="Q210" i="568"/>
  <c r="Q209" i="568"/>
  <c r="Q262" i="568"/>
  <c r="Q261" i="568"/>
  <c r="Q260" i="568"/>
  <c r="Q259" i="568"/>
  <c r="Q258" i="568"/>
  <c r="Q273" i="568"/>
  <c r="Q278" i="568"/>
  <c r="Q317" i="568"/>
  <c r="Q372" i="568"/>
  <c r="Q386" i="568"/>
  <c r="Q422" i="568"/>
  <c r="Q588" i="568"/>
  <c r="Q660" i="568"/>
  <c r="Q659" i="568"/>
  <c r="Q657" i="568"/>
  <c r="Q649" i="568"/>
  <c r="Q650" i="568"/>
  <c r="Q651" i="568"/>
  <c r="Q652" i="568"/>
  <c r="Q653" i="568"/>
  <c r="Q654" i="568"/>
  <c r="Q655" i="568"/>
  <c r="Q656" i="568"/>
  <c r="Q685" i="568"/>
  <c r="Q692" i="568"/>
  <c r="Q718" i="568"/>
  <c r="Q719" i="568"/>
  <c r="Q720" i="568"/>
  <c r="Q717" i="568"/>
  <c r="Q725" i="568"/>
  <c r="Q726" i="568"/>
  <c r="Q727" i="568"/>
  <c r="Q728" i="568"/>
  <c r="Q724" i="568"/>
  <c r="R690" i="568"/>
  <c r="F749" i="568"/>
  <c r="E749" i="568"/>
  <c r="D749" i="568"/>
  <c r="G748" i="568"/>
  <c r="G747" i="568"/>
  <c r="G746" i="568"/>
  <c r="G745" i="568"/>
  <c r="T728" i="568"/>
  <c r="U728" i="568" s="1"/>
  <c r="S728" i="568"/>
  <c r="O728" i="568"/>
  <c r="I728" i="568"/>
  <c r="J728" i="568" s="1"/>
  <c r="T727" i="568"/>
  <c r="U727" i="568" s="1"/>
  <c r="S727" i="568"/>
  <c r="O727" i="568"/>
  <c r="I727" i="568"/>
  <c r="O726" i="568"/>
  <c r="I726" i="568"/>
  <c r="J726" i="568" s="1"/>
  <c r="T725" i="568"/>
  <c r="U725" i="568" s="1"/>
  <c r="O725" i="568"/>
  <c r="I725" i="568"/>
  <c r="J725" i="568" s="1"/>
  <c r="T724" i="568"/>
  <c r="U724" i="568" s="1"/>
  <c r="S724" i="568"/>
  <c r="O724" i="568"/>
  <c r="I724" i="568"/>
  <c r="J724" i="568" s="1"/>
  <c r="T723" i="568"/>
  <c r="T722" i="568"/>
  <c r="T720" i="568"/>
  <c r="U720" i="568" s="1"/>
  <c r="S720" i="568"/>
  <c r="O720" i="568"/>
  <c r="I720" i="568"/>
  <c r="O719" i="568"/>
  <c r="I719" i="568"/>
  <c r="M719" i="568" s="1"/>
  <c r="T718" i="568"/>
  <c r="U718" i="568" s="1"/>
  <c r="O718" i="568"/>
  <c r="I718" i="568"/>
  <c r="M718" i="568" s="1"/>
  <c r="T717" i="568"/>
  <c r="U717" i="568" s="1"/>
  <c r="S717" i="568"/>
  <c r="O717" i="568"/>
  <c r="I717" i="568"/>
  <c r="J717" i="568" s="1"/>
  <c r="T716" i="568"/>
  <c r="R714" i="568"/>
  <c r="T714" i="568" s="1"/>
  <c r="U714" i="568" s="1"/>
  <c r="O714" i="568"/>
  <c r="I714" i="568"/>
  <c r="M714" i="568" s="1"/>
  <c r="R713" i="568"/>
  <c r="S713" i="568" s="1"/>
  <c r="O713" i="568"/>
  <c r="I713" i="568"/>
  <c r="M713" i="568" s="1"/>
  <c r="R712" i="568"/>
  <c r="S712" i="568" s="1"/>
  <c r="O712" i="568"/>
  <c r="I712" i="568"/>
  <c r="R711" i="568"/>
  <c r="O711" i="568"/>
  <c r="I711" i="568"/>
  <c r="M711" i="568" s="1"/>
  <c r="R710" i="568"/>
  <c r="T710" i="568" s="1"/>
  <c r="U710" i="568" s="1"/>
  <c r="O710" i="568"/>
  <c r="I710" i="568"/>
  <c r="M710" i="568" s="1"/>
  <c r="R709" i="568"/>
  <c r="O709" i="568"/>
  <c r="I709" i="568"/>
  <c r="J709" i="568" s="1"/>
  <c r="R708" i="568"/>
  <c r="T708" i="568" s="1"/>
  <c r="U708" i="568" s="1"/>
  <c r="O708" i="568"/>
  <c r="I708" i="568"/>
  <c r="R707" i="568"/>
  <c r="O707" i="568"/>
  <c r="I707" i="568"/>
  <c r="M707" i="568" s="1"/>
  <c r="R706" i="568"/>
  <c r="T706" i="568" s="1"/>
  <c r="U706" i="568" s="1"/>
  <c r="O706" i="568"/>
  <c r="I706" i="568"/>
  <c r="J706" i="568" s="1"/>
  <c r="R705" i="568"/>
  <c r="S705" i="568" s="1"/>
  <c r="O705" i="568"/>
  <c r="I705" i="568"/>
  <c r="J705" i="568" s="1"/>
  <c r="R704" i="568"/>
  <c r="S704" i="568" s="1"/>
  <c r="O704" i="568"/>
  <c r="I704" i="568"/>
  <c r="R703" i="568"/>
  <c r="O703" i="568"/>
  <c r="I703" i="568"/>
  <c r="M703" i="568" s="1"/>
  <c r="R702" i="568"/>
  <c r="S702" i="568" s="1"/>
  <c r="O702" i="568"/>
  <c r="I702" i="568"/>
  <c r="M702" i="568" s="1"/>
  <c r="R701" i="568"/>
  <c r="T701" i="568" s="1"/>
  <c r="U701" i="568" s="1"/>
  <c r="O701" i="568"/>
  <c r="I701" i="568"/>
  <c r="J701" i="568" s="1"/>
  <c r="R700" i="568"/>
  <c r="S700" i="568" s="1"/>
  <c r="O700" i="568"/>
  <c r="I700" i="568"/>
  <c r="R699" i="568"/>
  <c r="O699" i="568"/>
  <c r="I699" i="568"/>
  <c r="J699" i="568" s="1"/>
  <c r="R698" i="568"/>
  <c r="T698" i="568" s="1"/>
  <c r="U698" i="568" s="1"/>
  <c r="O698" i="568"/>
  <c r="I698" i="568"/>
  <c r="M698" i="568" s="1"/>
  <c r="R697" i="568"/>
  <c r="S697" i="568" s="1"/>
  <c r="O697" i="568"/>
  <c r="I697" i="568"/>
  <c r="J697" i="568" s="1"/>
  <c r="R696" i="568"/>
  <c r="S696" i="568" s="1"/>
  <c r="O696" i="568"/>
  <c r="I696" i="568"/>
  <c r="T695" i="568"/>
  <c r="T694" i="568"/>
  <c r="I692" i="568"/>
  <c r="M692" i="568" s="1"/>
  <c r="R691" i="568"/>
  <c r="T691" i="568" s="1"/>
  <c r="U691" i="568" s="1"/>
  <c r="O691" i="568"/>
  <c r="I691" i="568"/>
  <c r="O690" i="568"/>
  <c r="I690" i="568"/>
  <c r="J690" i="568" s="1"/>
  <c r="I689" i="568"/>
  <c r="J689" i="568" s="1"/>
  <c r="T688" i="568"/>
  <c r="T687" i="568"/>
  <c r="T685" i="568"/>
  <c r="U685" i="568" s="1"/>
  <c r="U684" i="568" s="1"/>
  <c r="S685" i="568"/>
  <c r="O685" i="568"/>
  <c r="O684" i="568" s="1"/>
  <c r="I685" i="568"/>
  <c r="M685" i="568" s="1"/>
  <c r="T684" i="568"/>
  <c r="K682" i="568"/>
  <c r="I682" i="568"/>
  <c r="M682" i="568" s="1"/>
  <c r="R681" i="568"/>
  <c r="S681" i="568" s="1"/>
  <c r="Q681" i="568"/>
  <c r="K681" i="568"/>
  <c r="I681" i="568"/>
  <c r="K680" i="568"/>
  <c r="I680" i="568"/>
  <c r="M680" i="568" s="1"/>
  <c r="R679" i="568"/>
  <c r="S679" i="568" s="1"/>
  <c r="O679" i="568"/>
  <c r="J679" i="568"/>
  <c r="P678" i="568"/>
  <c r="R678" i="568" s="1"/>
  <c r="S678" i="568" s="1"/>
  <c r="O678" i="568"/>
  <c r="L678" i="568"/>
  <c r="J678" i="568"/>
  <c r="I678" i="568"/>
  <c r="R677" i="568"/>
  <c r="O677" i="568"/>
  <c r="I677" i="568"/>
  <c r="M677" i="568" s="1"/>
  <c r="P676" i="568"/>
  <c r="R676" i="568" s="1"/>
  <c r="S676" i="568" s="1"/>
  <c r="O676" i="568"/>
  <c r="J676" i="568"/>
  <c r="H676" i="568"/>
  <c r="L676" i="568" s="1"/>
  <c r="P675" i="568"/>
  <c r="R675" i="568" s="1"/>
  <c r="S675" i="568" s="1"/>
  <c r="O675" i="568"/>
  <c r="J675" i="568"/>
  <c r="H675" i="568"/>
  <c r="L675" i="568" s="1"/>
  <c r="P674" i="568"/>
  <c r="R674" i="568" s="1"/>
  <c r="S674" i="568" s="1"/>
  <c r="O674" i="568"/>
  <c r="J674" i="568"/>
  <c r="H674" i="568"/>
  <c r="L674" i="568" s="1"/>
  <c r="P673" i="568"/>
  <c r="R673" i="568" s="1"/>
  <c r="S673" i="568" s="1"/>
  <c r="O673" i="568"/>
  <c r="J673" i="568"/>
  <c r="H673" i="568"/>
  <c r="L673" i="568" s="1"/>
  <c r="P672" i="568"/>
  <c r="R672" i="568" s="1"/>
  <c r="S672" i="568" s="1"/>
  <c r="O672" i="568"/>
  <c r="J672" i="568"/>
  <c r="H672" i="568"/>
  <c r="L672" i="568" s="1"/>
  <c r="P671" i="568"/>
  <c r="R671" i="568" s="1"/>
  <c r="S671" i="568" s="1"/>
  <c r="O671" i="568"/>
  <c r="J671" i="568"/>
  <c r="H671" i="568"/>
  <c r="I671" i="568" s="1"/>
  <c r="M671" i="568" s="1"/>
  <c r="R670" i="568"/>
  <c r="S670" i="568" s="1"/>
  <c r="O670" i="568"/>
  <c r="J670" i="568"/>
  <c r="P669" i="568"/>
  <c r="R669" i="568" s="1"/>
  <c r="S669" i="568" s="1"/>
  <c r="O669" i="568"/>
  <c r="J669" i="568"/>
  <c r="H669" i="568"/>
  <c r="L669" i="568" s="1"/>
  <c r="R668" i="568"/>
  <c r="S668" i="568" s="1"/>
  <c r="O668" i="568"/>
  <c r="J668" i="568"/>
  <c r="P667" i="568"/>
  <c r="R667" i="568" s="1"/>
  <c r="S667" i="568" s="1"/>
  <c r="O667" i="568"/>
  <c r="J667" i="568"/>
  <c r="H667" i="568"/>
  <c r="I667" i="568" s="1"/>
  <c r="R666" i="568"/>
  <c r="O666" i="568"/>
  <c r="I666" i="568"/>
  <c r="M666" i="568" s="1"/>
  <c r="T665" i="568"/>
  <c r="R663" i="568"/>
  <c r="O663" i="568"/>
  <c r="O662" i="568" s="1"/>
  <c r="I663" i="568"/>
  <c r="M663" i="568" s="1"/>
  <c r="T662" i="568"/>
  <c r="R660" i="568"/>
  <c r="T660" i="568" s="1"/>
  <c r="U660" i="568" s="1"/>
  <c r="O660" i="568"/>
  <c r="M660" i="568"/>
  <c r="K660" i="568"/>
  <c r="R659" i="568"/>
  <c r="T659" i="568" s="1"/>
  <c r="U659" i="568" s="1"/>
  <c r="O659" i="568"/>
  <c r="I659" i="568"/>
  <c r="M659" i="568" s="1"/>
  <c r="R658" i="568"/>
  <c r="O658" i="568"/>
  <c r="I658" i="568"/>
  <c r="M658" i="568" s="1"/>
  <c r="R657" i="568"/>
  <c r="T657" i="568" s="1"/>
  <c r="U657" i="568" s="1"/>
  <c r="O657" i="568"/>
  <c r="I657" i="568"/>
  <c r="J657" i="568" s="1"/>
  <c r="T656" i="568"/>
  <c r="U656" i="568" s="1"/>
  <c r="S656" i="568"/>
  <c r="O656" i="568"/>
  <c r="I656" i="568"/>
  <c r="J656" i="568" s="1"/>
  <c r="R655" i="568"/>
  <c r="S655" i="568" s="1"/>
  <c r="O655" i="568"/>
  <c r="I655" i="568"/>
  <c r="S654" i="568"/>
  <c r="T654" i="568"/>
  <c r="U654" i="568" s="1"/>
  <c r="O654" i="568"/>
  <c r="I654" i="568"/>
  <c r="M654" i="568" s="1"/>
  <c r="R653" i="568"/>
  <c r="S653" i="568" s="1"/>
  <c r="O653" i="568"/>
  <c r="I653" i="568"/>
  <c r="M653" i="568" s="1"/>
  <c r="R652" i="568"/>
  <c r="S652" i="568" s="1"/>
  <c r="O652" i="568"/>
  <c r="I652" i="568"/>
  <c r="R651" i="568"/>
  <c r="S651" i="568" s="1"/>
  <c r="O651" i="568"/>
  <c r="I651" i="568"/>
  <c r="R650" i="568"/>
  <c r="O650" i="568"/>
  <c r="I650" i="568"/>
  <c r="J650" i="568" s="1"/>
  <c r="N649" i="568"/>
  <c r="O649" i="568" s="1"/>
  <c r="I649" i="568"/>
  <c r="M649" i="568" s="1"/>
  <c r="J648" i="568"/>
  <c r="G648" i="568"/>
  <c r="K648" i="568" s="1"/>
  <c r="T647" i="568"/>
  <c r="T646" i="568"/>
  <c r="R644" i="568"/>
  <c r="T644" i="568" s="1"/>
  <c r="U644" i="568" s="1"/>
  <c r="O644" i="568"/>
  <c r="I644" i="568"/>
  <c r="J644" i="568" s="1"/>
  <c r="I643" i="568"/>
  <c r="M643" i="568" s="1"/>
  <c r="I642" i="568"/>
  <c r="M642" i="568" s="1"/>
  <c r="I641" i="568"/>
  <c r="I640" i="568"/>
  <c r="J640" i="568" s="1"/>
  <c r="I639" i="568"/>
  <c r="M639" i="568" s="1"/>
  <c r="R638" i="568"/>
  <c r="T638" i="568" s="1"/>
  <c r="U638" i="568" s="1"/>
  <c r="O638" i="568"/>
  <c r="I638" i="568"/>
  <c r="M638" i="568" s="1"/>
  <c r="R637" i="568"/>
  <c r="S637" i="568" s="1"/>
  <c r="O637" i="568"/>
  <c r="I637" i="568"/>
  <c r="R636" i="568"/>
  <c r="T636" i="568" s="1"/>
  <c r="U636" i="568" s="1"/>
  <c r="O636" i="568"/>
  <c r="I636" i="568"/>
  <c r="M636" i="568" s="1"/>
  <c r="R635" i="568"/>
  <c r="T635" i="568" s="1"/>
  <c r="U635" i="568" s="1"/>
  <c r="O635" i="568"/>
  <c r="I635" i="568"/>
  <c r="J635" i="568" s="1"/>
  <c r="R634" i="568"/>
  <c r="S634" i="568" s="1"/>
  <c r="O634" i="568"/>
  <c r="I634" i="568"/>
  <c r="T633" i="568"/>
  <c r="R631" i="568"/>
  <c r="S631" i="568" s="1"/>
  <c r="O631" i="568"/>
  <c r="I631" i="568"/>
  <c r="J631" i="568" s="1"/>
  <c r="R630" i="568"/>
  <c r="T630" i="568" s="1"/>
  <c r="U630" i="568" s="1"/>
  <c r="O630" i="568"/>
  <c r="I630" i="568"/>
  <c r="M630" i="568" s="1"/>
  <c r="R629" i="568"/>
  <c r="O629" i="568"/>
  <c r="I629" i="568"/>
  <c r="M629" i="568" s="1"/>
  <c r="R628" i="568"/>
  <c r="T628" i="568" s="1"/>
  <c r="U628" i="568" s="1"/>
  <c r="O628" i="568"/>
  <c r="I628" i="568"/>
  <c r="J628" i="568" s="1"/>
  <c r="T627" i="568"/>
  <c r="I625" i="568"/>
  <c r="M625" i="568" s="1"/>
  <c r="I624" i="568"/>
  <c r="M624" i="568" s="1"/>
  <c r="I623" i="568"/>
  <c r="J623" i="568" s="1"/>
  <c r="I622" i="568"/>
  <c r="R621" i="568"/>
  <c r="O621" i="568"/>
  <c r="I621" i="568"/>
  <c r="M621" i="568" s="1"/>
  <c r="R620" i="568"/>
  <c r="T620" i="568" s="1"/>
  <c r="U620" i="568" s="1"/>
  <c r="O620" i="568"/>
  <c r="I620" i="568"/>
  <c r="M620" i="568" s="1"/>
  <c r="T619" i="568"/>
  <c r="I617" i="568"/>
  <c r="J617" i="568" s="1"/>
  <c r="I616" i="568"/>
  <c r="J616" i="568" s="1"/>
  <c r="I615" i="568"/>
  <c r="J615" i="568" s="1"/>
  <c r="I614" i="568"/>
  <c r="M614" i="568" s="1"/>
  <c r="T613" i="568"/>
  <c r="I611" i="568"/>
  <c r="M611" i="568" s="1"/>
  <c r="I610" i="568"/>
  <c r="M610" i="568" s="1"/>
  <c r="I609" i="568"/>
  <c r="J609" i="568" s="1"/>
  <c r="I608" i="568"/>
  <c r="M608" i="568" s="1"/>
  <c r="I607" i="568"/>
  <c r="J607" i="568" s="1"/>
  <c r="T606" i="568"/>
  <c r="I604" i="568"/>
  <c r="M604" i="568" s="1"/>
  <c r="I603" i="568"/>
  <c r="J603" i="568" s="1"/>
  <c r="I602" i="568"/>
  <c r="M602" i="568" s="1"/>
  <c r="I601" i="568"/>
  <c r="J601" i="568" s="1"/>
  <c r="I600" i="568"/>
  <c r="J600" i="568" s="1"/>
  <c r="T599" i="568"/>
  <c r="T597" i="568"/>
  <c r="U597" i="568" s="1"/>
  <c r="S597" i="568"/>
  <c r="O597" i="568"/>
  <c r="I597" i="568"/>
  <c r="R596" i="568"/>
  <c r="T596" i="568" s="1"/>
  <c r="U596" i="568" s="1"/>
  <c r="O596" i="568"/>
  <c r="I596" i="568"/>
  <c r="R595" i="568"/>
  <c r="S595" i="568" s="1"/>
  <c r="O595" i="568"/>
  <c r="I595" i="568"/>
  <c r="M595" i="568" s="1"/>
  <c r="T594" i="568"/>
  <c r="R592" i="568"/>
  <c r="T592" i="568" s="1"/>
  <c r="U592" i="568" s="1"/>
  <c r="U591" i="568" s="1"/>
  <c r="O592" i="568"/>
  <c r="I592" i="568"/>
  <c r="J592" i="568" s="1"/>
  <c r="J591" i="568" s="1"/>
  <c r="T591" i="568"/>
  <c r="I589" i="568"/>
  <c r="C589" i="568"/>
  <c r="S588" i="568"/>
  <c r="T588" i="568"/>
  <c r="U588" i="568" s="1"/>
  <c r="O588" i="568"/>
  <c r="I588" i="568"/>
  <c r="J587" i="568"/>
  <c r="R586" i="568"/>
  <c r="S586" i="568" s="1"/>
  <c r="O586" i="568"/>
  <c r="J586" i="568"/>
  <c r="H586" i="568"/>
  <c r="L586" i="568" s="1"/>
  <c r="R585" i="568"/>
  <c r="S585" i="568" s="1"/>
  <c r="O585" i="568"/>
  <c r="J585" i="568"/>
  <c r="H585" i="568"/>
  <c r="I585" i="568" s="1"/>
  <c r="J584" i="568"/>
  <c r="J583" i="568"/>
  <c r="P582" i="568"/>
  <c r="R582" i="568" s="1"/>
  <c r="S582" i="568" s="1"/>
  <c r="O582" i="568"/>
  <c r="J582" i="568"/>
  <c r="H582" i="568"/>
  <c r="R581" i="568"/>
  <c r="S581" i="568" s="1"/>
  <c r="O581" i="568"/>
  <c r="J581" i="568"/>
  <c r="H581" i="568"/>
  <c r="L581" i="568" s="1"/>
  <c r="P580" i="568"/>
  <c r="R580" i="568" s="1"/>
  <c r="S580" i="568" s="1"/>
  <c r="O580" i="568"/>
  <c r="J580" i="568"/>
  <c r="H580" i="568"/>
  <c r="I580" i="568" s="1"/>
  <c r="P579" i="568"/>
  <c r="R579" i="568" s="1"/>
  <c r="S579" i="568" s="1"/>
  <c r="O579" i="568"/>
  <c r="J579" i="568"/>
  <c r="H579" i="568"/>
  <c r="I579" i="568" s="1"/>
  <c r="R578" i="568"/>
  <c r="S578" i="568" s="1"/>
  <c r="O578" i="568"/>
  <c r="I578" i="568"/>
  <c r="M578" i="568" s="1"/>
  <c r="T577" i="568"/>
  <c r="R575" i="568"/>
  <c r="S575" i="568" s="1"/>
  <c r="Q575" i="568"/>
  <c r="M575" i="568"/>
  <c r="K575" i="568"/>
  <c r="R574" i="568"/>
  <c r="T574" i="568" s="1"/>
  <c r="U574" i="568" s="1"/>
  <c r="U573" i="568" s="1"/>
  <c r="O574" i="568"/>
  <c r="O573" i="568" s="1"/>
  <c r="I574" i="568"/>
  <c r="J574" i="568" s="1"/>
  <c r="J573" i="568" s="1"/>
  <c r="T573" i="568"/>
  <c r="T572" i="568"/>
  <c r="R571" i="568"/>
  <c r="S571" i="568" s="1"/>
  <c r="O571" i="568"/>
  <c r="I571" i="568"/>
  <c r="R570" i="568"/>
  <c r="S570" i="568" s="1"/>
  <c r="O570" i="568"/>
  <c r="I570" i="568"/>
  <c r="M570" i="568" s="1"/>
  <c r="J569" i="568"/>
  <c r="T568" i="568"/>
  <c r="T567" i="568"/>
  <c r="I565" i="568"/>
  <c r="M565" i="568" s="1"/>
  <c r="I564" i="568"/>
  <c r="M564" i="568" s="1"/>
  <c r="I563" i="568"/>
  <c r="M563" i="568" s="1"/>
  <c r="T562" i="568"/>
  <c r="R560" i="568"/>
  <c r="S560" i="568" s="1"/>
  <c r="S559" i="568" s="1"/>
  <c r="O560" i="568"/>
  <c r="O559" i="568" s="1"/>
  <c r="I560" i="568"/>
  <c r="J560" i="568" s="1"/>
  <c r="J559" i="568" s="1"/>
  <c r="T559" i="568"/>
  <c r="T558" i="568"/>
  <c r="T557" i="568"/>
  <c r="R555" i="568"/>
  <c r="T555" i="568" s="1"/>
  <c r="U555" i="568" s="1"/>
  <c r="O555" i="568"/>
  <c r="I555" i="568"/>
  <c r="M555" i="568" s="1"/>
  <c r="R554" i="568"/>
  <c r="T554" i="568" s="1"/>
  <c r="U554" i="568" s="1"/>
  <c r="O554" i="568"/>
  <c r="I554" i="568"/>
  <c r="J554" i="568" s="1"/>
  <c r="R553" i="568"/>
  <c r="S553" i="568" s="1"/>
  <c r="O553" i="568"/>
  <c r="I553" i="568"/>
  <c r="M553" i="568" s="1"/>
  <c r="R552" i="568"/>
  <c r="T552" i="568" s="1"/>
  <c r="U552" i="568" s="1"/>
  <c r="O552" i="568"/>
  <c r="I552" i="568"/>
  <c r="M552" i="568" s="1"/>
  <c r="R551" i="568"/>
  <c r="T551" i="568" s="1"/>
  <c r="U551" i="568" s="1"/>
  <c r="O551" i="568"/>
  <c r="I551" i="568"/>
  <c r="M551" i="568" s="1"/>
  <c r="T550" i="568"/>
  <c r="T549" i="568"/>
  <c r="P547" i="568"/>
  <c r="R547" i="568" s="1"/>
  <c r="S547" i="568" s="1"/>
  <c r="O547" i="568"/>
  <c r="I547" i="568"/>
  <c r="M547" i="568" s="1"/>
  <c r="P546" i="568"/>
  <c r="R546" i="568" s="1"/>
  <c r="T546" i="568" s="1"/>
  <c r="U546" i="568" s="1"/>
  <c r="O546" i="568"/>
  <c r="I546" i="568"/>
  <c r="J546" i="568" s="1"/>
  <c r="P545" i="568"/>
  <c r="R545" i="568" s="1"/>
  <c r="S545" i="568" s="1"/>
  <c r="O545" i="568"/>
  <c r="I545" i="568"/>
  <c r="P544" i="568"/>
  <c r="R544" i="568" s="1"/>
  <c r="O544" i="568"/>
  <c r="I544" i="568"/>
  <c r="M544" i="568" s="1"/>
  <c r="T543" i="568"/>
  <c r="P541" i="568"/>
  <c r="R541" i="568" s="1"/>
  <c r="T541" i="568" s="1"/>
  <c r="U541" i="568" s="1"/>
  <c r="O541" i="568"/>
  <c r="I541" i="568"/>
  <c r="M541" i="568" s="1"/>
  <c r="P540" i="568"/>
  <c r="R540" i="568" s="1"/>
  <c r="S540" i="568" s="1"/>
  <c r="O540" i="568"/>
  <c r="I540" i="568"/>
  <c r="M540" i="568" s="1"/>
  <c r="P539" i="568"/>
  <c r="R539" i="568" s="1"/>
  <c r="O539" i="568"/>
  <c r="I539" i="568"/>
  <c r="P538" i="568"/>
  <c r="R538" i="568" s="1"/>
  <c r="S538" i="568" s="1"/>
  <c r="O538" i="568"/>
  <c r="I538" i="568"/>
  <c r="J538" i="568" s="1"/>
  <c r="P537" i="568"/>
  <c r="R537" i="568" s="1"/>
  <c r="O537" i="568"/>
  <c r="I537" i="568"/>
  <c r="J537" i="568" s="1"/>
  <c r="P536" i="568"/>
  <c r="R536" i="568" s="1"/>
  <c r="O536" i="568"/>
  <c r="I536" i="568"/>
  <c r="M536" i="568" s="1"/>
  <c r="P535" i="568"/>
  <c r="R535" i="568" s="1"/>
  <c r="T535" i="568" s="1"/>
  <c r="U535" i="568" s="1"/>
  <c r="O535" i="568"/>
  <c r="I535" i="568"/>
  <c r="P534" i="568"/>
  <c r="R534" i="568" s="1"/>
  <c r="S534" i="568" s="1"/>
  <c r="O534" i="568"/>
  <c r="I534" i="568"/>
  <c r="M534" i="568" s="1"/>
  <c r="P533" i="568"/>
  <c r="R533" i="568" s="1"/>
  <c r="O533" i="568"/>
  <c r="I533" i="568"/>
  <c r="J533" i="568" s="1"/>
  <c r="P532" i="568"/>
  <c r="R532" i="568" s="1"/>
  <c r="O532" i="568"/>
  <c r="I532" i="568"/>
  <c r="M532" i="568" s="1"/>
  <c r="P531" i="568"/>
  <c r="R531" i="568" s="1"/>
  <c r="O531" i="568"/>
  <c r="I531" i="568"/>
  <c r="P530" i="568"/>
  <c r="R530" i="568" s="1"/>
  <c r="S530" i="568" s="1"/>
  <c r="O530" i="568"/>
  <c r="I530" i="568"/>
  <c r="M530" i="568" s="1"/>
  <c r="P529" i="568"/>
  <c r="R529" i="568" s="1"/>
  <c r="O529" i="568"/>
  <c r="I529" i="568"/>
  <c r="J529" i="568" s="1"/>
  <c r="P528" i="568"/>
  <c r="R528" i="568" s="1"/>
  <c r="O528" i="568"/>
  <c r="I528" i="568"/>
  <c r="M528" i="568" s="1"/>
  <c r="P527" i="568"/>
  <c r="R527" i="568" s="1"/>
  <c r="T527" i="568" s="1"/>
  <c r="U527" i="568" s="1"/>
  <c r="O527" i="568"/>
  <c r="I527" i="568"/>
  <c r="P526" i="568"/>
  <c r="R526" i="568" s="1"/>
  <c r="S526" i="568" s="1"/>
  <c r="O526" i="568"/>
  <c r="I526" i="568"/>
  <c r="J526" i="568" s="1"/>
  <c r="P525" i="568"/>
  <c r="R525" i="568" s="1"/>
  <c r="O525" i="568"/>
  <c r="I525" i="568"/>
  <c r="J525" i="568" s="1"/>
  <c r="P524" i="568"/>
  <c r="R524" i="568" s="1"/>
  <c r="O524" i="568"/>
  <c r="I524" i="568"/>
  <c r="M524" i="568" s="1"/>
  <c r="P523" i="568"/>
  <c r="R523" i="568" s="1"/>
  <c r="T523" i="568" s="1"/>
  <c r="U523" i="568" s="1"/>
  <c r="O523" i="568"/>
  <c r="I523" i="568"/>
  <c r="T522" i="568"/>
  <c r="T521" i="568"/>
  <c r="R519" i="568"/>
  <c r="O519" i="568"/>
  <c r="I519" i="568"/>
  <c r="M519" i="568" s="1"/>
  <c r="P518" i="568"/>
  <c r="R518" i="568" s="1"/>
  <c r="O518" i="568"/>
  <c r="I518" i="568"/>
  <c r="J518" i="568" s="1"/>
  <c r="P517" i="568"/>
  <c r="R517" i="568" s="1"/>
  <c r="S517" i="568" s="1"/>
  <c r="O517" i="568"/>
  <c r="I517" i="568"/>
  <c r="M517" i="568" s="1"/>
  <c r="O516" i="568"/>
  <c r="I516" i="568"/>
  <c r="J516" i="568" s="1"/>
  <c r="T515" i="568"/>
  <c r="T514" i="568"/>
  <c r="P512" i="568"/>
  <c r="R512" i="568" s="1"/>
  <c r="O512" i="568"/>
  <c r="O511" i="568" s="1"/>
  <c r="I512" i="568"/>
  <c r="M512" i="568" s="1"/>
  <c r="T511" i="568"/>
  <c r="P509" i="568"/>
  <c r="R509" i="568" s="1"/>
  <c r="S509" i="568" s="1"/>
  <c r="O509" i="568"/>
  <c r="I509" i="568"/>
  <c r="M509" i="568" s="1"/>
  <c r="P508" i="568"/>
  <c r="R508" i="568" s="1"/>
  <c r="T508" i="568" s="1"/>
  <c r="U508" i="568" s="1"/>
  <c r="O508" i="568"/>
  <c r="I508" i="568"/>
  <c r="M508" i="568" s="1"/>
  <c r="P507" i="568"/>
  <c r="R507" i="568" s="1"/>
  <c r="O507" i="568"/>
  <c r="I507" i="568"/>
  <c r="M507" i="568" s="1"/>
  <c r="R506" i="568"/>
  <c r="T506" i="568" s="1"/>
  <c r="U506" i="568" s="1"/>
  <c r="O506" i="568"/>
  <c r="I506" i="568"/>
  <c r="M506" i="568" s="1"/>
  <c r="R505" i="568"/>
  <c r="T505" i="568" s="1"/>
  <c r="U505" i="568" s="1"/>
  <c r="O505" i="568"/>
  <c r="I505" i="568"/>
  <c r="M505" i="568" s="1"/>
  <c r="R504" i="568"/>
  <c r="T504" i="568" s="1"/>
  <c r="U504" i="568" s="1"/>
  <c r="O504" i="568"/>
  <c r="I504" i="568"/>
  <c r="R503" i="568"/>
  <c r="O503" i="568"/>
  <c r="I503" i="568"/>
  <c r="M503" i="568" s="1"/>
  <c r="R502" i="568"/>
  <c r="T502" i="568" s="1"/>
  <c r="U502" i="568" s="1"/>
  <c r="O502" i="568"/>
  <c r="I502" i="568"/>
  <c r="M502" i="568" s="1"/>
  <c r="R501" i="568"/>
  <c r="S501" i="568" s="1"/>
  <c r="O501" i="568"/>
  <c r="I501" i="568"/>
  <c r="M501" i="568" s="1"/>
  <c r="R500" i="568"/>
  <c r="S500" i="568" s="1"/>
  <c r="O500" i="568"/>
  <c r="I500" i="568"/>
  <c r="R499" i="568"/>
  <c r="O499" i="568"/>
  <c r="I499" i="568"/>
  <c r="M499" i="568" s="1"/>
  <c r="R498" i="568"/>
  <c r="T498" i="568" s="1"/>
  <c r="U498" i="568" s="1"/>
  <c r="O498" i="568"/>
  <c r="I498" i="568"/>
  <c r="M498" i="568" s="1"/>
  <c r="R497" i="568"/>
  <c r="T497" i="568" s="1"/>
  <c r="U497" i="568" s="1"/>
  <c r="O497" i="568"/>
  <c r="I497" i="568"/>
  <c r="M497" i="568" s="1"/>
  <c r="R496" i="568"/>
  <c r="T496" i="568" s="1"/>
  <c r="U496" i="568" s="1"/>
  <c r="O496" i="568"/>
  <c r="I496" i="568"/>
  <c r="T495" i="568"/>
  <c r="P493" i="568"/>
  <c r="R493" i="568" s="1"/>
  <c r="O493" i="568"/>
  <c r="O492" i="568" s="1"/>
  <c r="I493" i="568"/>
  <c r="T492" i="568"/>
  <c r="R490" i="568"/>
  <c r="I490" i="568"/>
  <c r="R489" i="568"/>
  <c r="S489" i="568" s="1"/>
  <c r="O489" i="568"/>
  <c r="I489" i="568"/>
  <c r="P488" i="568"/>
  <c r="R488" i="568" s="1"/>
  <c r="O488" i="568"/>
  <c r="I488" i="568"/>
  <c r="M488" i="568" s="1"/>
  <c r="P487" i="568"/>
  <c r="R487" i="568" s="1"/>
  <c r="O487" i="568"/>
  <c r="I487" i="568"/>
  <c r="J487" i="568" s="1"/>
  <c r="P486" i="568"/>
  <c r="R486" i="568" s="1"/>
  <c r="O486" i="568"/>
  <c r="I486" i="568"/>
  <c r="M486" i="568" s="1"/>
  <c r="I485" i="568"/>
  <c r="P484" i="568"/>
  <c r="R484" i="568" s="1"/>
  <c r="O484" i="568"/>
  <c r="I484" i="568"/>
  <c r="M484" i="568" s="1"/>
  <c r="I483" i="568"/>
  <c r="M483" i="568" s="1"/>
  <c r="I482" i="568"/>
  <c r="R481" i="568"/>
  <c r="T481" i="568" s="1"/>
  <c r="U481" i="568" s="1"/>
  <c r="O481" i="568"/>
  <c r="I481" i="568"/>
  <c r="M481" i="568" s="1"/>
  <c r="I480" i="568"/>
  <c r="M480" i="568" s="1"/>
  <c r="I479" i="568"/>
  <c r="M479" i="568" s="1"/>
  <c r="J478" i="568"/>
  <c r="G478" i="568"/>
  <c r="I478" i="568" s="1"/>
  <c r="M478" i="568" s="1"/>
  <c r="T477" i="568"/>
  <c r="T476" i="568"/>
  <c r="P474" i="568"/>
  <c r="R474" i="568" s="1"/>
  <c r="O474" i="568"/>
  <c r="I474" i="568"/>
  <c r="M474" i="568" s="1"/>
  <c r="P473" i="568"/>
  <c r="R473" i="568" s="1"/>
  <c r="O473" i="568"/>
  <c r="I473" i="568"/>
  <c r="J473" i="568" s="1"/>
  <c r="P472" i="568"/>
  <c r="R472" i="568" s="1"/>
  <c r="O472" i="568"/>
  <c r="I472" i="568"/>
  <c r="M472" i="568" s="1"/>
  <c r="P471" i="568"/>
  <c r="R471" i="568" s="1"/>
  <c r="T471" i="568" s="1"/>
  <c r="U471" i="568" s="1"/>
  <c r="O471" i="568"/>
  <c r="I471" i="568"/>
  <c r="M471" i="568" s="1"/>
  <c r="P470" i="568"/>
  <c r="R470" i="568" s="1"/>
  <c r="O470" i="568"/>
  <c r="I470" i="568"/>
  <c r="M470" i="568" s="1"/>
  <c r="P469" i="568"/>
  <c r="R469" i="568" s="1"/>
  <c r="O469" i="568"/>
  <c r="I469" i="568"/>
  <c r="J469" i="568" s="1"/>
  <c r="P468" i="568"/>
  <c r="R468" i="568" s="1"/>
  <c r="O468" i="568"/>
  <c r="I468" i="568"/>
  <c r="M468" i="568" s="1"/>
  <c r="P467" i="568"/>
  <c r="R467" i="568" s="1"/>
  <c r="O467" i="568"/>
  <c r="I467" i="568"/>
  <c r="M467" i="568" s="1"/>
  <c r="P466" i="568"/>
  <c r="R466" i="568" s="1"/>
  <c r="O466" i="568"/>
  <c r="I466" i="568"/>
  <c r="M466" i="568" s="1"/>
  <c r="P465" i="568"/>
  <c r="R465" i="568" s="1"/>
  <c r="T465" i="568" s="1"/>
  <c r="U465" i="568" s="1"/>
  <c r="O465" i="568"/>
  <c r="I465" i="568"/>
  <c r="J465" i="568" s="1"/>
  <c r="P464" i="568"/>
  <c r="R464" i="568" s="1"/>
  <c r="O464" i="568"/>
  <c r="I464" i="568"/>
  <c r="M464" i="568" s="1"/>
  <c r="T463" i="568"/>
  <c r="P461" i="568"/>
  <c r="R461" i="568" s="1"/>
  <c r="O461" i="568"/>
  <c r="I461" i="568"/>
  <c r="M461" i="568" s="1"/>
  <c r="P460" i="568"/>
  <c r="R460" i="568" s="1"/>
  <c r="T460" i="568" s="1"/>
  <c r="U460" i="568" s="1"/>
  <c r="O460" i="568"/>
  <c r="I460" i="568"/>
  <c r="J460" i="568" s="1"/>
  <c r="P459" i="568"/>
  <c r="R459" i="568" s="1"/>
  <c r="O459" i="568"/>
  <c r="I459" i="568"/>
  <c r="M459" i="568" s="1"/>
  <c r="P458" i="568"/>
  <c r="R458" i="568" s="1"/>
  <c r="T458" i="568" s="1"/>
  <c r="U458" i="568" s="1"/>
  <c r="O458" i="568"/>
  <c r="I458" i="568"/>
  <c r="J458" i="568" s="1"/>
  <c r="T457" i="568"/>
  <c r="P455" i="568"/>
  <c r="R455" i="568" s="1"/>
  <c r="T455" i="568" s="1"/>
  <c r="U455" i="568" s="1"/>
  <c r="O455" i="568"/>
  <c r="I455" i="568"/>
  <c r="J455" i="568" s="1"/>
  <c r="P454" i="568"/>
  <c r="R454" i="568" s="1"/>
  <c r="O454" i="568"/>
  <c r="I454" i="568"/>
  <c r="M454" i="568" s="1"/>
  <c r="P453" i="568"/>
  <c r="R453" i="568" s="1"/>
  <c r="T453" i="568" s="1"/>
  <c r="U453" i="568" s="1"/>
  <c r="O453" i="568"/>
  <c r="I453" i="568"/>
  <c r="M453" i="568" s="1"/>
  <c r="P452" i="568"/>
  <c r="R452" i="568" s="1"/>
  <c r="O452" i="568"/>
  <c r="I452" i="568"/>
  <c r="M452" i="568" s="1"/>
  <c r="P451" i="568"/>
  <c r="R451" i="568" s="1"/>
  <c r="O451" i="568"/>
  <c r="I451" i="568"/>
  <c r="J451" i="568" s="1"/>
  <c r="P450" i="568"/>
  <c r="R450" i="568" s="1"/>
  <c r="O450" i="568"/>
  <c r="I450" i="568"/>
  <c r="T449" i="568"/>
  <c r="P447" i="568"/>
  <c r="R447" i="568" s="1"/>
  <c r="O447" i="568"/>
  <c r="I447" i="568"/>
  <c r="M447" i="568" s="1"/>
  <c r="P446" i="568"/>
  <c r="R446" i="568" s="1"/>
  <c r="O446" i="568"/>
  <c r="I446" i="568"/>
  <c r="M446" i="568" s="1"/>
  <c r="P445" i="568"/>
  <c r="R445" i="568" s="1"/>
  <c r="O445" i="568"/>
  <c r="I445" i="568"/>
  <c r="P444" i="568"/>
  <c r="R444" i="568" s="1"/>
  <c r="O444" i="568"/>
  <c r="I444" i="568"/>
  <c r="J444" i="568" s="1"/>
  <c r="T443" i="568"/>
  <c r="P441" i="568"/>
  <c r="R441" i="568" s="1"/>
  <c r="O441" i="568"/>
  <c r="I441" i="568"/>
  <c r="J441" i="568" s="1"/>
  <c r="P440" i="568"/>
  <c r="R440" i="568" s="1"/>
  <c r="O440" i="568"/>
  <c r="I440" i="568"/>
  <c r="M440" i="568" s="1"/>
  <c r="P439" i="568"/>
  <c r="R439" i="568" s="1"/>
  <c r="O439" i="568"/>
  <c r="I439" i="568"/>
  <c r="J439" i="568" s="1"/>
  <c r="P438" i="568"/>
  <c r="R438" i="568" s="1"/>
  <c r="S438" i="568" s="1"/>
  <c r="O438" i="568"/>
  <c r="I438" i="568"/>
  <c r="M438" i="568" s="1"/>
  <c r="P437" i="568"/>
  <c r="R437" i="568" s="1"/>
  <c r="O437" i="568"/>
  <c r="I437" i="568"/>
  <c r="T436" i="568"/>
  <c r="P434" i="568"/>
  <c r="R434" i="568" s="1"/>
  <c r="O434" i="568"/>
  <c r="I434" i="568"/>
  <c r="P433" i="568"/>
  <c r="R433" i="568" s="1"/>
  <c r="O433" i="568"/>
  <c r="I433" i="568"/>
  <c r="M433" i="568" s="1"/>
  <c r="P432" i="568"/>
  <c r="R432" i="568" s="1"/>
  <c r="T432" i="568" s="1"/>
  <c r="U432" i="568" s="1"/>
  <c r="O432" i="568"/>
  <c r="I432" i="568"/>
  <c r="M432" i="568" s="1"/>
  <c r="P431" i="568"/>
  <c r="R431" i="568" s="1"/>
  <c r="S431" i="568" s="1"/>
  <c r="O431" i="568"/>
  <c r="I431" i="568"/>
  <c r="M431" i="568" s="1"/>
  <c r="P430" i="568"/>
  <c r="R430" i="568" s="1"/>
  <c r="O430" i="568"/>
  <c r="I430" i="568"/>
  <c r="J430" i="568" s="1"/>
  <c r="T429" i="568"/>
  <c r="P427" i="568"/>
  <c r="R427" i="568" s="1"/>
  <c r="O427" i="568"/>
  <c r="I427" i="568"/>
  <c r="P426" i="568"/>
  <c r="R426" i="568" s="1"/>
  <c r="O426" i="568"/>
  <c r="I426" i="568"/>
  <c r="M426" i="568" s="1"/>
  <c r="P425" i="568"/>
  <c r="R425" i="568" s="1"/>
  <c r="T425" i="568" s="1"/>
  <c r="U425" i="568" s="1"/>
  <c r="O425" i="568"/>
  <c r="I425" i="568"/>
  <c r="M425" i="568" s="1"/>
  <c r="T424" i="568"/>
  <c r="T422" i="568"/>
  <c r="U422" i="568" s="1"/>
  <c r="U421" i="568" s="1"/>
  <c r="O422" i="568"/>
  <c r="O421" i="568" s="1"/>
  <c r="I422" i="568"/>
  <c r="M422" i="568" s="1"/>
  <c r="T421" i="568"/>
  <c r="P419" i="568"/>
  <c r="R419" i="568" s="1"/>
  <c r="O419" i="568"/>
  <c r="I419" i="568"/>
  <c r="M419" i="568" s="1"/>
  <c r="P418" i="568"/>
  <c r="R418" i="568" s="1"/>
  <c r="O418" i="568"/>
  <c r="I418" i="568"/>
  <c r="M418" i="568" s="1"/>
  <c r="P417" i="568"/>
  <c r="R417" i="568" s="1"/>
  <c r="O417" i="568"/>
  <c r="I417" i="568"/>
  <c r="P416" i="568"/>
  <c r="R416" i="568" s="1"/>
  <c r="O416" i="568"/>
  <c r="I416" i="568"/>
  <c r="J416" i="568" s="1"/>
  <c r="P415" i="568"/>
  <c r="R415" i="568" s="1"/>
  <c r="T415" i="568" s="1"/>
  <c r="U415" i="568" s="1"/>
  <c r="O415" i="568"/>
  <c r="I415" i="568"/>
  <c r="M415" i="568" s="1"/>
  <c r="P414" i="568"/>
  <c r="R414" i="568" s="1"/>
  <c r="S414" i="568" s="1"/>
  <c r="O414" i="568"/>
  <c r="I414" i="568"/>
  <c r="M414" i="568" s="1"/>
  <c r="P413" i="568"/>
  <c r="R413" i="568" s="1"/>
  <c r="T413" i="568" s="1"/>
  <c r="U413" i="568" s="1"/>
  <c r="O413" i="568"/>
  <c r="I413" i="568"/>
  <c r="P412" i="568"/>
  <c r="R412" i="568" s="1"/>
  <c r="O412" i="568"/>
  <c r="I412" i="568"/>
  <c r="P411" i="568"/>
  <c r="R411" i="568" s="1"/>
  <c r="T411" i="568" s="1"/>
  <c r="U411" i="568" s="1"/>
  <c r="O411" i="568"/>
  <c r="I411" i="568"/>
  <c r="M411" i="568" s="1"/>
  <c r="P410" i="568"/>
  <c r="R410" i="568" s="1"/>
  <c r="O410" i="568"/>
  <c r="I410" i="568"/>
  <c r="M410" i="568" s="1"/>
  <c r="R409" i="568"/>
  <c r="O409" i="568"/>
  <c r="I409" i="568"/>
  <c r="M409" i="568" s="1"/>
  <c r="T408" i="568"/>
  <c r="U407" i="568"/>
  <c r="T407" i="568"/>
  <c r="G406" i="568"/>
  <c r="E406" i="568"/>
  <c r="C406" i="568"/>
  <c r="P405" i="568"/>
  <c r="R405" i="568" s="1"/>
  <c r="T405" i="568" s="1"/>
  <c r="U405" i="568" s="1"/>
  <c r="U404" i="568" s="1"/>
  <c r="O405" i="568"/>
  <c r="O404" i="568" s="1"/>
  <c r="I405" i="568"/>
  <c r="J405" i="568" s="1"/>
  <c r="T404" i="568"/>
  <c r="T403" i="568"/>
  <c r="P402" i="568"/>
  <c r="R402" i="568" s="1"/>
  <c r="O402" i="568"/>
  <c r="I402" i="568"/>
  <c r="P401" i="568"/>
  <c r="R401" i="568" s="1"/>
  <c r="O401" i="568"/>
  <c r="I401" i="568"/>
  <c r="J401" i="568" s="1"/>
  <c r="T400" i="568"/>
  <c r="T399" i="568"/>
  <c r="P397" i="568"/>
  <c r="R397" i="568" s="1"/>
  <c r="O397" i="568"/>
  <c r="I397" i="568"/>
  <c r="M397" i="568" s="1"/>
  <c r="P396" i="568"/>
  <c r="R396" i="568" s="1"/>
  <c r="O396" i="568"/>
  <c r="I396" i="568"/>
  <c r="M396" i="568" s="1"/>
  <c r="P395" i="568"/>
  <c r="R395" i="568" s="1"/>
  <c r="T395" i="568" s="1"/>
  <c r="U395" i="568" s="1"/>
  <c r="O395" i="568"/>
  <c r="I395" i="568"/>
  <c r="M395" i="568" s="1"/>
  <c r="T394" i="568"/>
  <c r="R392" i="568"/>
  <c r="T392" i="568" s="1"/>
  <c r="U392" i="568" s="1"/>
  <c r="U391" i="568" s="1"/>
  <c r="O392" i="568"/>
  <c r="O391" i="568" s="1"/>
  <c r="I392" i="568"/>
  <c r="J392" i="568" s="1"/>
  <c r="J391" i="568" s="1"/>
  <c r="T391" i="568"/>
  <c r="T390" i="568"/>
  <c r="T389" i="568"/>
  <c r="R387" i="568"/>
  <c r="T387" i="568" s="1"/>
  <c r="U387" i="568" s="1"/>
  <c r="O387" i="568"/>
  <c r="I387" i="568"/>
  <c r="M387" i="568" s="1"/>
  <c r="T386" i="568"/>
  <c r="U386" i="568" s="1"/>
  <c r="S386" i="568"/>
  <c r="O386" i="568"/>
  <c r="I386" i="568"/>
  <c r="R385" i="568"/>
  <c r="S385" i="568" s="1"/>
  <c r="O385" i="568"/>
  <c r="I385" i="568"/>
  <c r="J385" i="568" s="1"/>
  <c r="R384" i="568"/>
  <c r="T384" i="568" s="1"/>
  <c r="U384" i="568" s="1"/>
  <c r="O384" i="568"/>
  <c r="I384" i="568"/>
  <c r="J384" i="568" s="1"/>
  <c r="R383" i="568"/>
  <c r="T383" i="568" s="1"/>
  <c r="U383" i="568" s="1"/>
  <c r="O383" i="568"/>
  <c r="I383" i="568"/>
  <c r="M383" i="568" s="1"/>
  <c r="T382" i="568"/>
  <c r="T381" i="568"/>
  <c r="R379" i="568"/>
  <c r="T379" i="568" s="1"/>
  <c r="O379" i="568"/>
  <c r="I379" i="568"/>
  <c r="M379" i="568" s="1"/>
  <c r="R378" i="568"/>
  <c r="S378" i="568" s="1"/>
  <c r="O378" i="568"/>
  <c r="I378" i="568"/>
  <c r="M378" i="568" s="1"/>
  <c r="R377" i="568"/>
  <c r="T377" i="568" s="1"/>
  <c r="O377" i="568"/>
  <c r="I377" i="568"/>
  <c r="M377" i="568" s="1"/>
  <c r="R376" i="568"/>
  <c r="S376" i="568" s="1"/>
  <c r="O376" i="568"/>
  <c r="I376" i="568"/>
  <c r="M376" i="568" s="1"/>
  <c r="U375" i="568"/>
  <c r="T375" i="568"/>
  <c r="R373" i="568"/>
  <c r="S373" i="568" s="1"/>
  <c r="O373" i="568"/>
  <c r="I373" i="568"/>
  <c r="M373" i="568" s="1"/>
  <c r="T372" i="568"/>
  <c r="U372" i="568" s="1"/>
  <c r="S372" i="568"/>
  <c r="O372" i="568"/>
  <c r="I372" i="568"/>
  <c r="M372" i="568" s="1"/>
  <c r="R371" i="568"/>
  <c r="S371" i="568" s="1"/>
  <c r="O371" i="568"/>
  <c r="I371" i="568"/>
  <c r="M371" i="568" s="1"/>
  <c r="R370" i="568"/>
  <c r="S370" i="568" s="1"/>
  <c r="O370" i="568"/>
  <c r="I370" i="568"/>
  <c r="M370" i="568" s="1"/>
  <c r="P369" i="568"/>
  <c r="R369" i="568" s="1"/>
  <c r="O369" i="568"/>
  <c r="I369" i="568"/>
  <c r="M369" i="568" s="1"/>
  <c r="P368" i="568"/>
  <c r="R368" i="568" s="1"/>
  <c r="O368" i="568"/>
  <c r="I368" i="568"/>
  <c r="P367" i="568"/>
  <c r="R367" i="568" s="1"/>
  <c r="O367" i="568"/>
  <c r="I367" i="568"/>
  <c r="J367" i="568" s="1"/>
  <c r="R366" i="568"/>
  <c r="T366" i="568" s="1"/>
  <c r="O366" i="568"/>
  <c r="I366" i="568"/>
  <c r="M366" i="568" s="1"/>
  <c r="R365" i="568"/>
  <c r="T365" i="568" s="1"/>
  <c r="O365" i="568"/>
  <c r="I365" i="568"/>
  <c r="J365" i="568" s="1"/>
  <c r="R364" i="568"/>
  <c r="T364" i="568" s="1"/>
  <c r="O364" i="568"/>
  <c r="I364" i="568"/>
  <c r="M364" i="568" s="1"/>
  <c r="R363" i="568"/>
  <c r="T363" i="568" s="1"/>
  <c r="O363" i="568"/>
  <c r="I363" i="568"/>
  <c r="J363" i="568" s="1"/>
  <c r="R362" i="568"/>
  <c r="T362" i="568" s="1"/>
  <c r="O362" i="568"/>
  <c r="I362" i="568"/>
  <c r="R361" i="568"/>
  <c r="T361" i="568" s="1"/>
  <c r="O361" i="568"/>
  <c r="I361" i="568"/>
  <c r="J361" i="568" s="1"/>
  <c r="R360" i="568"/>
  <c r="T360" i="568" s="1"/>
  <c r="O360" i="568"/>
  <c r="I360" i="568"/>
  <c r="J360" i="568" s="1"/>
  <c r="R359" i="568"/>
  <c r="T359" i="568" s="1"/>
  <c r="O359" i="568"/>
  <c r="I359" i="568"/>
  <c r="M359" i="568" s="1"/>
  <c r="R358" i="568"/>
  <c r="T358" i="568" s="1"/>
  <c r="O358" i="568"/>
  <c r="I358" i="568"/>
  <c r="M358" i="568" s="1"/>
  <c r="R357" i="568"/>
  <c r="T357" i="568" s="1"/>
  <c r="O357" i="568"/>
  <c r="I357" i="568"/>
  <c r="M357" i="568" s="1"/>
  <c r="R356" i="568"/>
  <c r="T356" i="568" s="1"/>
  <c r="O356" i="568"/>
  <c r="I356" i="568"/>
  <c r="M356" i="568" s="1"/>
  <c r="R355" i="568"/>
  <c r="T355" i="568" s="1"/>
  <c r="U355" i="568" s="1"/>
  <c r="O355" i="568"/>
  <c r="I355" i="568"/>
  <c r="J355" i="568" s="1"/>
  <c r="T354" i="568"/>
  <c r="T353" i="568"/>
  <c r="I351" i="568"/>
  <c r="J351" i="568" s="1"/>
  <c r="I350" i="568"/>
  <c r="M350" i="568" s="1"/>
  <c r="I349" i="568"/>
  <c r="M349" i="568" s="1"/>
  <c r="I348" i="568"/>
  <c r="J348" i="568" s="1"/>
  <c r="T347" i="568"/>
  <c r="T346" i="568"/>
  <c r="R344" i="568"/>
  <c r="T344" i="568" s="1"/>
  <c r="U344" i="568" s="1"/>
  <c r="U343" i="568" s="1"/>
  <c r="O344" i="568"/>
  <c r="O343" i="568" s="1"/>
  <c r="I344" i="568"/>
  <c r="M344" i="568" s="1"/>
  <c r="T343" i="568"/>
  <c r="R341" i="568"/>
  <c r="I341" i="568"/>
  <c r="D341" i="568"/>
  <c r="C341" i="568"/>
  <c r="I340" i="568"/>
  <c r="E340" i="568"/>
  <c r="L340" i="568" s="1"/>
  <c r="C340" i="568"/>
  <c r="E339" i="568"/>
  <c r="C339" i="568"/>
  <c r="I338" i="568"/>
  <c r="C338" i="568"/>
  <c r="B338" i="568"/>
  <c r="R337" i="568"/>
  <c r="S337" i="568" s="1"/>
  <c r="O337" i="568"/>
  <c r="L337" i="568"/>
  <c r="J337" i="568"/>
  <c r="P336" i="568"/>
  <c r="R336" i="568" s="1"/>
  <c r="S336" i="568" s="1"/>
  <c r="O336" i="568"/>
  <c r="K336" i="568"/>
  <c r="J336" i="568"/>
  <c r="H336" i="568"/>
  <c r="L336" i="568" s="1"/>
  <c r="I335" i="568"/>
  <c r="M335" i="568" s="1"/>
  <c r="P334" i="568"/>
  <c r="R334" i="568" s="1"/>
  <c r="S334" i="568" s="1"/>
  <c r="O334" i="568"/>
  <c r="K334" i="568"/>
  <c r="J334" i="568"/>
  <c r="H334" i="568"/>
  <c r="L334" i="568" s="1"/>
  <c r="P333" i="568"/>
  <c r="R333" i="568" s="1"/>
  <c r="S333" i="568" s="1"/>
  <c r="O333" i="568"/>
  <c r="K333" i="568"/>
  <c r="J333" i="568"/>
  <c r="H333" i="568"/>
  <c r="I333" i="568" s="1"/>
  <c r="M333" i="568" s="1"/>
  <c r="P332" i="568"/>
  <c r="R332" i="568" s="1"/>
  <c r="S332" i="568" s="1"/>
  <c r="O332" i="568"/>
  <c r="K332" i="568"/>
  <c r="J332" i="568"/>
  <c r="H332" i="568"/>
  <c r="I332" i="568" s="1"/>
  <c r="M332" i="568" s="1"/>
  <c r="P331" i="568"/>
  <c r="R331" i="568" s="1"/>
  <c r="S331" i="568" s="1"/>
  <c r="O331" i="568"/>
  <c r="K331" i="568"/>
  <c r="J331" i="568"/>
  <c r="H331" i="568"/>
  <c r="I331" i="568" s="1"/>
  <c r="M331" i="568" s="1"/>
  <c r="L330" i="568"/>
  <c r="J330" i="568"/>
  <c r="P329" i="568"/>
  <c r="R329" i="568" s="1"/>
  <c r="S329" i="568" s="1"/>
  <c r="O329" i="568"/>
  <c r="K329" i="568"/>
  <c r="J329" i="568"/>
  <c r="H329" i="568"/>
  <c r="L328" i="568"/>
  <c r="K328" i="568"/>
  <c r="J328" i="568"/>
  <c r="I328" i="568"/>
  <c r="M328" i="568" s="1"/>
  <c r="P327" i="568"/>
  <c r="R327" i="568" s="1"/>
  <c r="S327" i="568" s="1"/>
  <c r="O327" i="568"/>
  <c r="K327" i="568"/>
  <c r="J327" i="568"/>
  <c r="H327" i="568"/>
  <c r="L327" i="568" s="1"/>
  <c r="L326" i="568"/>
  <c r="J326" i="568"/>
  <c r="P325" i="568"/>
  <c r="R325" i="568" s="1"/>
  <c r="S325" i="568" s="1"/>
  <c r="O325" i="568"/>
  <c r="K325" i="568"/>
  <c r="J325" i="568"/>
  <c r="H325" i="568"/>
  <c r="L325" i="568" s="1"/>
  <c r="R324" i="568"/>
  <c r="S324" i="568" s="1"/>
  <c r="O324" i="568"/>
  <c r="I324" i="568"/>
  <c r="J324" i="568" s="1"/>
  <c r="T323" i="568"/>
  <c r="R321" i="568"/>
  <c r="T321" i="568" s="1"/>
  <c r="U321" i="568" s="1"/>
  <c r="U320" i="568" s="1"/>
  <c r="O321" i="568"/>
  <c r="O320" i="568" s="1"/>
  <c r="I321" i="568"/>
  <c r="M321" i="568" s="1"/>
  <c r="T320" i="568"/>
  <c r="Q318" i="568"/>
  <c r="O318" i="568"/>
  <c r="K318" i="568"/>
  <c r="J318" i="568"/>
  <c r="I318" i="568"/>
  <c r="T318" i="568" s="1"/>
  <c r="R317" i="568"/>
  <c r="T317" i="568" s="1"/>
  <c r="O317" i="568"/>
  <c r="I317" i="568"/>
  <c r="M317" i="568" s="1"/>
  <c r="R316" i="568"/>
  <c r="T316" i="568" s="1"/>
  <c r="U316" i="568" s="1"/>
  <c r="O316" i="568"/>
  <c r="I316" i="568"/>
  <c r="R315" i="568"/>
  <c r="S315" i="568" s="1"/>
  <c r="O315" i="568"/>
  <c r="I315" i="568"/>
  <c r="M315" i="568" s="1"/>
  <c r="R314" i="568"/>
  <c r="T314" i="568" s="1"/>
  <c r="U314" i="568" s="1"/>
  <c r="O314" i="568"/>
  <c r="I314" i="568"/>
  <c r="M314" i="568" s="1"/>
  <c r="R313" i="568"/>
  <c r="T313" i="568" s="1"/>
  <c r="O313" i="568"/>
  <c r="I313" i="568"/>
  <c r="M313" i="568" s="1"/>
  <c r="R312" i="568"/>
  <c r="O312" i="568"/>
  <c r="I312" i="568"/>
  <c r="R311" i="568"/>
  <c r="T311" i="568" s="1"/>
  <c r="O311" i="568"/>
  <c r="I311" i="568"/>
  <c r="M311" i="568" s="1"/>
  <c r="R310" i="568"/>
  <c r="T310" i="568" s="1"/>
  <c r="O310" i="568"/>
  <c r="I310" i="568"/>
  <c r="J310" i="568" s="1"/>
  <c r="R309" i="568"/>
  <c r="O309" i="568"/>
  <c r="I309" i="568"/>
  <c r="M309" i="568" s="1"/>
  <c r="R308" i="568"/>
  <c r="T308" i="568" s="1"/>
  <c r="O308" i="568"/>
  <c r="I308" i="568"/>
  <c r="M308" i="568" s="1"/>
  <c r="R307" i="568"/>
  <c r="T307" i="568" s="1"/>
  <c r="U307" i="568" s="1"/>
  <c r="O307" i="568"/>
  <c r="I307" i="568"/>
  <c r="Q306" i="568"/>
  <c r="K306" i="568"/>
  <c r="J306" i="568"/>
  <c r="I306" i="568"/>
  <c r="M306" i="568" s="1"/>
  <c r="T305" i="568"/>
  <c r="T304" i="568"/>
  <c r="R302" i="568"/>
  <c r="T302" i="568" s="1"/>
  <c r="U302" i="568" s="1"/>
  <c r="O302" i="568"/>
  <c r="I302" i="568"/>
  <c r="J302" i="568" s="1"/>
  <c r="I301" i="568"/>
  <c r="M301" i="568" s="1"/>
  <c r="I300" i="568"/>
  <c r="J300" i="568" s="1"/>
  <c r="I299" i="568"/>
  <c r="J299" i="568" s="1"/>
  <c r="I298" i="568"/>
  <c r="M298" i="568" s="1"/>
  <c r="I297" i="568"/>
  <c r="M297" i="568" s="1"/>
  <c r="I296" i="568"/>
  <c r="J296" i="568" s="1"/>
  <c r="I295" i="568"/>
  <c r="M295" i="568" s="1"/>
  <c r="I294" i="568"/>
  <c r="M294" i="568" s="1"/>
  <c r="I293" i="568"/>
  <c r="M293" i="568" s="1"/>
  <c r="I292" i="568"/>
  <c r="M292" i="568" s="1"/>
  <c r="T291" i="568"/>
  <c r="I289" i="568"/>
  <c r="J289" i="568" s="1"/>
  <c r="I288" i="568"/>
  <c r="J288" i="568" s="1"/>
  <c r="I287" i="568"/>
  <c r="M287" i="568" s="1"/>
  <c r="I286" i="568"/>
  <c r="M286" i="568" s="1"/>
  <c r="T285" i="568"/>
  <c r="I283" i="568"/>
  <c r="M283" i="568" s="1"/>
  <c r="I282" i="568"/>
  <c r="J282" i="568" s="1"/>
  <c r="I281" i="568"/>
  <c r="J281" i="568" s="1"/>
  <c r="I280" i="568"/>
  <c r="J280" i="568" s="1"/>
  <c r="I279" i="568"/>
  <c r="M279" i="568" s="1"/>
  <c r="R278" i="568"/>
  <c r="T278" i="568" s="1"/>
  <c r="U278" i="568" s="1"/>
  <c r="O278" i="568"/>
  <c r="I278" i="568"/>
  <c r="M278" i="568" s="1"/>
  <c r="T277" i="568"/>
  <c r="I275" i="568"/>
  <c r="J275" i="568" s="1"/>
  <c r="I274" i="568"/>
  <c r="J274" i="568" s="1"/>
  <c r="R273" i="568"/>
  <c r="S273" i="568" s="1"/>
  <c r="O273" i="568"/>
  <c r="I273" i="568"/>
  <c r="J273" i="568" s="1"/>
  <c r="I272" i="568"/>
  <c r="M272" i="568" s="1"/>
  <c r="T271" i="568"/>
  <c r="I269" i="568"/>
  <c r="J269" i="568" s="1"/>
  <c r="R268" i="568"/>
  <c r="S268" i="568" s="1"/>
  <c r="O268" i="568"/>
  <c r="I268" i="568"/>
  <c r="M268" i="568" s="1"/>
  <c r="R267" i="568"/>
  <c r="S267" i="568" s="1"/>
  <c r="O267" i="568"/>
  <c r="I267" i="568"/>
  <c r="M267" i="568" s="1"/>
  <c r="R266" i="568"/>
  <c r="T266" i="568" s="1"/>
  <c r="U266" i="568" s="1"/>
  <c r="O266" i="568"/>
  <c r="I266" i="568"/>
  <c r="J266" i="568" s="1"/>
  <c r="R265" i="568"/>
  <c r="S265" i="568" s="1"/>
  <c r="O265" i="568"/>
  <c r="I265" i="568"/>
  <c r="J265" i="568" s="1"/>
  <c r="T264" i="568"/>
  <c r="R262" i="568"/>
  <c r="T262" i="568" s="1"/>
  <c r="U262" i="568" s="1"/>
  <c r="O262" i="568"/>
  <c r="I262" i="568"/>
  <c r="J262" i="568" s="1"/>
  <c r="R261" i="568"/>
  <c r="T261" i="568" s="1"/>
  <c r="U261" i="568" s="1"/>
  <c r="O261" i="568"/>
  <c r="I261" i="568"/>
  <c r="R260" i="568"/>
  <c r="S260" i="568" s="1"/>
  <c r="O260" i="568"/>
  <c r="I260" i="568"/>
  <c r="J260" i="568" s="1"/>
  <c r="R259" i="568"/>
  <c r="T259" i="568" s="1"/>
  <c r="U259" i="568" s="1"/>
  <c r="O259" i="568"/>
  <c r="I259" i="568"/>
  <c r="R258" i="568"/>
  <c r="T258" i="568" s="1"/>
  <c r="U258" i="568" s="1"/>
  <c r="O258" i="568"/>
  <c r="I258" i="568"/>
  <c r="J258" i="568" s="1"/>
  <c r="T257" i="568"/>
  <c r="I255" i="568"/>
  <c r="J255" i="568" s="1"/>
  <c r="I254" i="568"/>
  <c r="J254" i="568" s="1"/>
  <c r="I253" i="568"/>
  <c r="T252" i="568"/>
  <c r="I250" i="568"/>
  <c r="J250" i="568" s="1"/>
  <c r="J249" i="568" s="1"/>
  <c r="T249" i="568"/>
  <c r="I247" i="568"/>
  <c r="C247" i="568"/>
  <c r="I246" i="568"/>
  <c r="C246" i="568"/>
  <c r="B246" i="568"/>
  <c r="R245" i="568"/>
  <c r="O245" i="568"/>
  <c r="I245" i="568"/>
  <c r="M245" i="568" s="1"/>
  <c r="J244" i="568"/>
  <c r="P243" i="568"/>
  <c r="R243" i="568" s="1"/>
  <c r="S243" i="568" s="1"/>
  <c r="O243" i="568"/>
  <c r="J243" i="568"/>
  <c r="H243" i="568"/>
  <c r="I243" i="568" s="1"/>
  <c r="J242" i="568"/>
  <c r="G242" i="568"/>
  <c r="J241" i="568"/>
  <c r="G241" i="568"/>
  <c r="I241" i="568" s="1"/>
  <c r="M241" i="568" s="1"/>
  <c r="J240" i="568"/>
  <c r="G240" i="568"/>
  <c r="I240" i="568" s="1"/>
  <c r="M240" i="568" s="1"/>
  <c r="J239" i="568"/>
  <c r="G239" i="568"/>
  <c r="P238" i="568"/>
  <c r="R238" i="568" s="1"/>
  <c r="S238" i="568" s="1"/>
  <c r="O238" i="568"/>
  <c r="J238" i="568"/>
  <c r="H238" i="568"/>
  <c r="I238" i="568" s="1"/>
  <c r="P237" i="568"/>
  <c r="R237" i="568" s="1"/>
  <c r="S237" i="568" s="1"/>
  <c r="O237" i="568"/>
  <c r="J237" i="568"/>
  <c r="H237" i="568"/>
  <c r="I237" i="568" s="1"/>
  <c r="P236" i="568"/>
  <c r="R236" i="568" s="1"/>
  <c r="S236" i="568" s="1"/>
  <c r="O236" i="568"/>
  <c r="J236" i="568"/>
  <c r="H236" i="568"/>
  <c r="I236" i="568" s="1"/>
  <c r="M236" i="568" s="1"/>
  <c r="I235" i="568"/>
  <c r="M235" i="568" s="1"/>
  <c r="T234" i="568"/>
  <c r="J232" i="568"/>
  <c r="G232" i="568"/>
  <c r="I232" i="568" s="1"/>
  <c r="M232" i="568" s="1"/>
  <c r="C232" i="568"/>
  <c r="B232" i="568"/>
  <c r="R231" i="568"/>
  <c r="T231" i="568" s="1"/>
  <c r="U231" i="568" s="1"/>
  <c r="U230" i="568" s="1"/>
  <c r="O231" i="568"/>
  <c r="O230" i="568" s="1"/>
  <c r="I231" i="568"/>
  <c r="T230" i="568"/>
  <c r="T229" i="568"/>
  <c r="N228" i="568"/>
  <c r="R228" i="568" s="1"/>
  <c r="I228" i="568"/>
  <c r="J228" i="568" s="1"/>
  <c r="N227" i="568"/>
  <c r="R227" i="568" s="1"/>
  <c r="I227" i="568"/>
  <c r="T226" i="568"/>
  <c r="T225" i="568"/>
  <c r="G223" i="568"/>
  <c r="D223" i="568"/>
  <c r="C223" i="568"/>
  <c r="B223" i="568"/>
  <c r="J222" i="568"/>
  <c r="G222" i="568"/>
  <c r="I222" i="568" s="1"/>
  <c r="M222" i="568" s="1"/>
  <c r="S221" i="568"/>
  <c r="O221" i="568"/>
  <c r="J221" i="568"/>
  <c r="H221" i="568"/>
  <c r="U220" i="568"/>
  <c r="T220" i="568"/>
  <c r="R218" i="568"/>
  <c r="S218" i="568" s="1"/>
  <c r="O218" i="568"/>
  <c r="O217" i="568" s="1"/>
  <c r="I218" i="568"/>
  <c r="M218" i="568" s="1"/>
  <c r="T217" i="568"/>
  <c r="T216" i="568"/>
  <c r="T215" i="568"/>
  <c r="S213" i="568"/>
  <c r="T213" i="568"/>
  <c r="U213" i="568" s="1"/>
  <c r="O213" i="568"/>
  <c r="I213" i="568"/>
  <c r="T212" i="568"/>
  <c r="U212" i="568" s="1"/>
  <c r="S212" i="568"/>
  <c r="O212" i="568"/>
  <c r="I212" i="568"/>
  <c r="M212" i="568" s="1"/>
  <c r="T211" i="568"/>
  <c r="U211" i="568" s="1"/>
  <c r="S211" i="568"/>
  <c r="O211" i="568"/>
  <c r="I211" i="568"/>
  <c r="O210" i="568"/>
  <c r="I210" i="568"/>
  <c r="M210" i="568" s="1"/>
  <c r="S209" i="568"/>
  <c r="T209" i="568"/>
  <c r="U209" i="568" s="1"/>
  <c r="O209" i="568"/>
  <c r="I209" i="568"/>
  <c r="J209" i="568" s="1"/>
  <c r="T208" i="568"/>
  <c r="T207" i="568"/>
  <c r="T205" i="568"/>
  <c r="U205" i="568" s="1"/>
  <c r="S205" i="568"/>
  <c r="O205" i="568"/>
  <c r="I205" i="568"/>
  <c r="S204" i="568"/>
  <c r="T204" i="568"/>
  <c r="U204" i="568" s="1"/>
  <c r="O204" i="568"/>
  <c r="I204" i="568"/>
  <c r="O203" i="568"/>
  <c r="I203" i="568"/>
  <c r="J203" i="568" s="1"/>
  <c r="S202" i="568"/>
  <c r="T202" i="568"/>
  <c r="U202" i="568" s="1"/>
  <c r="O202" i="568"/>
  <c r="I202" i="568"/>
  <c r="J202" i="568" s="1"/>
  <c r="T201" i="568"/>
  <c r="O199" i="568"/>
  <c r="I199" i="568"/>
  <c r="M199" i="568" s="1"/>
  <c r="S198" i="568"/>
  <c r="T198" i="568"/>
  <c r="U198" i="568" s="1"/>
  <c r="O198" i="568"/>
  <c r="I198" i="568"/>
  <c r="J198" i="568" s="1"/>
  <c r="T197" i="568"/>
  <c r="U197" i="568" s="1"/>
  <c r="S197" i="568"/>
  <c r="O197" i="568"/>
  <c r="I197" i="568"/>
  <c r="M197" i="568" s="1"/>
  <c r="S196" i="568"/>
  <c r="T196" i="568"/>
  <c r="U196" i="568" s="1"/>
  <c r="O196" i="568"/>
  <c r="I196" i="568"/>
  <c r="O195" i="568"/>
  <c r="I195" i="568"/>
  <c r="M195" i="568" s="1"/>
  <c r="T194" i="568"/>
  <c r="U194" i="568" s="1"/>
  <c r="S194" i="568"/>
  <c r="O194" i="568"/>
  <c r="I194" i="568"/>
  <c r="T193" i="568"/>
  <c r="U193" i="568" s="1"/>
  <c r="S193" i="568"/>
  <c r="O193" i="568"/>
  <c r="I193" i="568"/>
  <c r="M193" i="568" s="1"/>
  <c r="S192" i="568"/>
  <c r="T192" i="568"/>
  <c r="U192" i="568" s="1"/>
  <c r="O192" i="568"/>
  <c r="I192" i="568"/>
  <c r="O191" i="568"/>
  <c r="I191" i="568"/>
  <c r="M191" i="568" s="1"/>
  <c r="T190" i="568"/>
  <c r="U190" i="568" s="1"/>
  <c r="S190" i="568"/>
  <c r="O190" i="568"/>
  <c r="I190" i="568"/>
  <c r="J190" i="568" s="1"/>
  <c r="T189" i="568"/>
  <c r="U189" i="568" s="1"/>
  <c r="S189" i="568"/>
  <c r="O189" i="568"/>
  <c r="I189" i="568"/>
  <c r="M189" i="568" s="1"/>
  <c r="S188" i="568"/>
  <c r="T188" i="568"/>
  <c r="U188" i="568" s="1"/>
  <c r="O188" i="568"/>
  <c r="I188" i="568"/>
  <c r="O187" i="568"/>
  <c r="I187" i="568"/>
  <c r="M187" i="568" s="1"/>
  <c r="T186" i="568"/>
  <c r="U186" i="568" s="1"/>
  <c r="S186" i="568"/>
  <c r="O186" i="568"/>
  <c r="I186" i="568"/>
  <c r="J186" i="568" s="1"/>
  <c r="T185" i="568"/>
  <c r="U185" i="568" s="1"/>
  <c r="S185" i="568"/>
  <c r="O185" i="568"/>
  <c r="I185" i="568"/>
  <c r="M185" i="568" s="1"/>
  <c r="S184" i="568"/>
  <c r="T184" i="568"/>
  <c r="U184" i="568" s="1"/>
  <c r="O184" i="568"/>
  <c r="I184" i="568"/>
  <c r="O183" i="568"/>
  <c r="I183" i="568"/>
  <c r="M183" i="568" s="1"/>
  <c r="T182" i="568"/>
  <c r="U182" i="568" s="1"/>
  <c r="S182" i="568"/>
  <c r="O182" i="568"/>
  <c r="I182" i="568"/>
  <c r="T181" i="568"/>
  <c r="U181" i="568" s="1"/>
  <c r="S181" i="568"/>
  <c r="O181" i="568"/>
  <c r="I181" i="568"/>
  <c r="M181" i="568" s="1"/>
  <c r="T180" i="568"/>
  <c r="T179" i="568"/>
  <c r="R177" i="568"/>
  <c r="T177" i="568" s="1"/>
  <c r="U177" i="568" s="1"/>
  <c r="O177" i="568"/>
  <c r="I177" i="568"/>
  <c r="J177" i="568" s="1"/>
  <c r="R176" i="568"/>
  <c r="S176" i="568" s="1"/>
  <c r="O176" i="568"/>
  <c r="I176" i="568"/>
  <c r="J176" i="568" s="1"/>
  <c r="S175" i="568"/>
  <c r="I175" i="568"/>
  <c r="T174" i="568"/>
  <c r="T173" i="568"/>
  <c r="U172" i="568"/>
  <c r="T172" i="568"/>
  <c r="T171" i="568"/>
  <c r="U171" i="568" s="1"/>
  <c r="U170" i="568" s="1"/>
  <c r="S171" i="568"/>
  <c r="O171" i="568"/>
  <c r="O170" i="568" s="1"/>
  <c r="I171" i="568"/>
  <c r="T170" i="568"/>
  <c r="R168" i="568"/>
  <c r="T168" i="568" s="1"/>
  <c r="U168" i="568" s="1"/>
  <c r="O168" i="568"/>
  <c r="I168" i="568"/>
  <c r="R167" i="568"/>
  <c r="S167" i="568" s="1"/>
  <c r="O167" i="568"/>
  <c r="I167" i="568"/>
  <c r="J167" i="568" s="1"/>
  <c r="R166" i="568"/>
  <c r="O166" i="568"/>
  <c r="I166" i="568"/>
  <c r="J166" i="568" s="1"/>
  <c r="R165" i="568"/>
  <c r="S165" i="568" s="1"/>
  <c r="O165" i="568"/>
  <c r="I165" i="568"/>
  <c r="J165" i="568" s="1"/>
  <c r="R164" i="568"/>
  <c r="S164" i="568" s="1"/>
  <c r="O164" i="568"/>
  <c r="I164" i="568"/>
  <c r="M164" i="568" s="1"/>
  <c r="R163" i="568"/>
  <c r="S163" i="568" s="1"/>
  <c r="O163" i="568"/>
  <c r="I163" i="568"/>
  <c r="R162" i="568"/>
  <c r="S162" i="568" s="1"/>
  <c r="O162" i="568"/>
  <c r="I162" i="568"/>
  <c r="M162" i="568" s="1"/>
  <c r="R161" i="568"/>
  <c r="S161" i="568" s="1"/>
  <c r="O161" i="568"/>
  <c r="I161" i="568"/>
  <c r="J161" i="568" s="1"/>
  <c r="R160" i="568"/>
  <c r="S160" i="568" s="1"/>
  <c r="O160" i="568"/>
  <c r="I160" i="568"/>
  <c r="R159" i="568"/>
  <c r="S159" i="568" s="1"/>
  <c r="O159" i="568"/>
  <c r="I159" i="568"/>
  <c r="R158" i="568"/>
  <c r="O158" i="568"/>
  <c r="I158" i="568"/>
  <c r="M158" i="568" s="1"/>
  <c r="I157" i="568"/>
  <c r="I155" i="568"/>
  <c r="R154" i="568"/>
  <c r="T154" i="568" s="1"/>
  <c r="U154" i="568" s="1"/>
  <c r="U153" i="568" s="1"/>
  <c r="O154" i="568"/>
  <c r="O153" i="568" s="1"/>
  <c r="I154" i="568"/>
  <c r="T153" i="568"/>
  <c r="I152" i="568"/>
  <c r="M152" i="568" s="1"/>
  <c r="G151" i="568"/>
  <c r="I151" i="568" s="1"/>
  <c r="D151" i="568"/>
  <c r="C151" i="568"/>
  <c r="R150" i="568"/>
  <c r="T150" i="568" s="1"/>
  <c r="U150" i="568" s="1"/>
  <c r="O150" i="568"/>
  <c r="I150" i="568"/>
  <c r="R149" i="568"/>
  <c r="S149" i="568" s="1"/>
  <c r="O149" i="568"/>
  <c r="I149" i="568"/>
  <c r="J149" i="568" s="1"/>
  <c r="R148" i="568"/>
  <c r="O148" i="568"/>
  <c r="I148" i="568"/>
  <c r="T147" i="568"/>
  <c r="U147" i="568" s="1"/>
  <c r="O147" i="568"/>
  <c r="I147" i="568"/>
  <c r="M147" i="568" s="1"/>
  <c r="R146" i="568"/>
  <c r="T146" i="568" s="1"/>
  <c r="U146" i="568" s="1"/>
  <c r="O146" i="568"/>
  <c r="I146" i="568"/>
  <c r="T145" i="568"/>
  <c r="U145" i="568" s="1"/>
  <c r="S145" i="568"/>
  <c r="O145" i="568"/>
  <c r="I145" i="568"/>
  <c r="I144" i="568"/>
  <c r="I143" i="568"/>
  <c r="M143" i="568" s="1"/>
  <c r="I142" i="568"/>
  <c r="M142" i="568" s="1"/>
  <c r="I141" i="568"/>
  <c r="I140" i="568"/>
  <c r="M140" i="568" s="1"/>
  <c r="J139" i="568"/>
  <c r="G139" i="568"/>
  <c r="I139" i="568" s="1"/>
  <c r="M139" i="568" s="1"/>
  <c r="T138" i="568"/>
  <c r="T137" i="568"/>
  <c r="T135" i="568"/>
  <c r="U135" i="568" s="1"/>
  <c r="S135" i="568"/>
  <c r="O135" i="568"/>
  <c r="I135" i="568"/>
  <c r="J135" i="568" s="1"/>
  <c r="T134" i="568"/>
  <c r="U134" i="568" s="1"/>
  <c r="S134" i="568"/>
  <c r="O134" i="568"/>
  <c r="I134" i="568"/>
  <c r="S133" i="568"/>
  <c r="T133" i="568"/>
  <c r="U133" i="568" s="1"/>
  <c r="O133" i="568"/>
  <c r="I133" i="568"/>
  <c r="M133" i="568" s="1"/>
  <c r="O132" i="568"/>
  <c r="I132" i="568"/>
  <c r="O131" i="568"/>
  <c r="I131" i="568"/>
  <c r="R130" i="568"/>
  <c r="T130" i="568" s="1"/>
  <c r="U130" i="568" s="1"/>
  <c r="O130" i="568"/>
  <c r="I130" i="568"/>
  <c r="M130" i="568" s="1"/>
  <c r="T129" i="568"/>
  <c r="U129" i="568" s="1"/>
  <c r="S129" i="568"/>
  <c r="O129" i="568"/>
  <c r="I129" i="568"/>
  <c r="M129" i="568" s="1"/>
  <c r="T128" i="568"/>
  <c r="U128" i="568" s="1"/>
  <c r="S128" i="568"/>
  <c r="O128" i="568"/>
  <c r="I128" i="568"/>
  <c r="S127" i="568"/>
  <c r="T127" i="568"/>
  <c r="U127" i="568" s="1"/>
  <c r="O127" i="568"/>
  <c r="I127" i="568"/>
  <c r="M127" i="568" s="1"/>
  <c r="O126" i="568"/>
  <c r="I126" i="568"/>
  <c r="M126" i="568" s="1"/>
  <c r="S125" i="568"/>
  <c r="T125" i="568"/>
  <c r="U125" i="568" s="1"/>
  <c r="O125" i="568"/>
  <c r="I125" i="568"/>
  <c r="T124" i="568"/>
  <c r="O122" i="568"/>
  <c r="I122" i="568"/>
  <c r="M122" i="568" s="1"/>
  <c r="S121" i="568"/>
  <c r="T121" i="568"/>
  <c r="U121" i="568" s="1"/>
  <c r="O121" i="568"/>
  <c r="I121" i="568"/>
  <c r="T120" i="568"/>
  <c r="U120" i="568" s="1"/>
  <c r="S120" i="568"/>
  <c r="O120" i="568"/>
  <c r="I120" i="568"/>
  <c r="M120" i="568" s="1"/>
  <c r="O119" i="568"/>
  <c r="I119" i="568"/>
  <c r="T118" i="568"/>
  <c r="R116" i="568"/>
  <c r="S116" i="568" s="1"/>
  <c r="O116" i="568"/>
  <c r="I116" i="568"/>
  <c r="M116" i="568" s="1"/>
  <c r="R115" i="568"/>
  <c r="O115" i="568"/>
  <c r="I115" i="568"/>
  <c r="R114" i="568"/>
  <c r="T114" i="568" s="1"/>
  <c r="U114" i="568" s="1"/>
  <c r="O114" i="568"/>
  <c r="I114" i="568"/>
  <c r="M114" i="568" s="1"/>
  <c r="R113" i="568"/>
  <c r="S113" i="568" s="1"/>
  <c r="O113" i="568"/>
  <c r="I113" i="568"/>
  <c r="T112" i="568"/>
  <c r="U112" i="568" s="1"/>
  <c r="S112" i="568"/>
  <c r="O112" i="568"/>
  <c r="I112" i="568"/>
  <c r="T111" i="568"/>
  <c r="U111" i="568" s="1"/>
  <c r="S111" i="568"/>
  <c r="O111" i="568"/>
  <c r="I111" i="568"/>
  <c r="M111" i="568" s="1"/>
  <c r="T110" i="568"/>
  <c r="R108" i="568"/>
  <c r="S108" i="568" s="1"/>
  <c r="O108" i="568"/>
  <c r="I108" i="568"/>
  <c r="R107" i="568"/>
  <c r="T107" i="568" s="1"/>
  <c r="U107" i="568" s="1"/>
  <c r="O107" i="568"/>
  <c r="I107" i="568"/>
  <c r="M107" i="568" s="1"/>
  <c r="R106" i="568"/>
  <c r="O106" i="568"/>
  <c r="I106" i="568"/>
  <c r="J106" i="568" s="1"/>
  <c r="R105" i="568"/>
  <c r="T105" i="568" s="1"/>
  <c r="U105" i="568" s="1"/>
  <c r="O105" i="568"/>
  <c r="I105" i="568"/>
  <c r="J105" i="568" s="1"/>
  <c r="T104" i="568"/>
  <c r="R102" i="568"/>
  <c r="O102" i="568"/>
  <c r="I102" i="568"/>
  <c r="M102" i="568" s="1"/>
  <c r="R101" i="568"/>
  <c r="T101" i="568" s="1"/>
  <c r="U101" i="568" s="1"/>
  <c r="O101" i="568"/>
  <c r="I101" i="568"/>
  <c r="R100" i="568"/>
  <c r="T100" i="568" s="1"/>
  <c r="U100" i="568" s="1"/>
  <c r="O100" i="568"/>
  <c r="I100" i="568"/>
  <c r="R99" i="568"/>
  <c r="O99" i="568"/>
  <c r="I99" i="568"/>
  <c r="R98" i="568"/>
  <c r="T98" i="568" s="1"/>
  <c r="U98" i="568" s="1"/>
  <c r="O98" i="568"/>
  <c r="I98" i="568"/>
  <c r="M98" i="568" s="1"/>
  <c r="T97" i="568"/>
  <c r="R95" i="568"/>
  <c r="O95" i="568"/>
  <c r="I95" i="568"/>
  <c r="R94" i="568"/>
  <c r="T94" i="568" s="1"/>
  <c r="U94" i="568" s="1"/>
  <c r="O94" i="568"/>
  <c r="I94" i="568"/>
  <c r="M94" i="568" s="1"/>
  <c r="R93" i="568"/>
  <c r="S93" i="568" s="1"/>
  <c r="O93" i="568"/>
  <c r="I93" i="568"/>
  <c r="J93" i="568" s="1"/>
  <c r="R92" i="568"/>
  <c r="O92" i="568"/>
  <c r="I92" i="568"/>
  <c r="R91" i="568"/>
  <c r="T91" i="568" s="1"/>
  <c r="U91" i="568" s="1"/>
  <c r="O91" i="568"/>
  <c r="I91" i="568"/>
  <c r="M91" i="568" s="1"/>
  <c r="T90" i="568"/>
  <c r="S88" i="568"/>
  <c r="O88" i="568"/>
  <c r="I88" i="568"/>
  <c r="J88" i="568" s="1"/>
  <c r="T87" i="568"/>
  <c r="U87" i="568" s="1"/>
  <c r="O87" i="568"/>
  <c r="I87" i="568"/>
  <c r="S86" i="568"/>
  <c r="O86" i="568"/>
  <c r="I86" i="568"/>
  <c r="M86" i="568" s="1"/>
  <c r="T85" i="568"/>
  <c r="R83" i="568"/>
  <c r="T83" i="568" s="1"/>
  <c r="U83" i="568" s="1"/>
  <c r="U82" i="568" s="1"/>
  <c r="O83" i="568"/>
  <c r="O82" i="568" s="1"/>
  <c r="I83" i="568"/>
  <c r="M83" i="568" s="1"/>
  <c r="T82" i="568"/>
  <c r="R80" i="568"/>
  <c r="S80" i="568" s="1"/>
  <c r="O80" i="568"/>
  <c r="I80" i="568"/>
  <c r="J80" i="568" s="1"/>
  <c r="R79" i="568"/>
  <c r="S79" i="568" s="1"/>
  <c r="O79" i="568"/>
  <c r="I79" i="568"/>
  <c r="J79" i="568" s="1"/>
  <c r="R78" i="568"/>
  <c r="S78" i="568" s="1"/>
  <c r="O78" i="568"/>
  <c r="I78" i="568"/>
  <c r="J78" i="568" s="1"/>
  <c r="R77" i="568"/>
  <c r="S77" i="568" s="1"/>
  <c r="O77" i="568"/>
  <c r="I77" i="568"/>
  <c r="M77" i="568" s="1"/>
  <c r="R76" i="568"/>
  <c r="S76" i="568" s="1"/>
  <c r="O76" i="568"/>
  <c r="I76" i="568"/>
  <c r="R75" i="568"/>
  <c r="S75" i="568" s="1"/>
  <c r="O75" i="568"/>
  <c r="I75" i="568"/>
  <c r="J75" i="568" s="1"/>
  <c r="I74" i="568"/>
  <c r="I73" i="568"/>
  <c r="I72" i="568"/>
  <c r="M72" i="568" s="1"/>
  <c r="U71" i="568"/>
  <c r="I71" i="568"/>
  <c r="J71" i="568" s="1"/>
  <c r="I70" i="568"/>
  <c r="M70" i="568" s="1"/>
  <c r="T69" i="568"/>
  <c r="R67" i="568"/>
  <c r="G67" i="568"/>
  <c r="I67" i="568" s="1"/>
  <c r="E67" i="568"/>
  <c r="Q67" i="568" s="1"/>
  <c r="D67" i="568"/>
  <c r="C67" i="568"/>
  <c r="B67" i="568"/>
  <c r="I66" i="568"/>
  <c r="J66" i="568" s="1"/>
  <c r="T65" i="568"/>
  <c r="T64" i="568"/>
  <c r="R63" i="568"/>
  <c r="O63" i="568"/>
  <c r="I63" i="568"/>
  <c r="M63" i="568" s="1"/>
  <c r="R62" i="568"/>
  <c r="T62" i="568" s="1"/>
  <c r="U62" i="568" s="1"/>
  <c r="O62" i="568"/>
  <c r="I62" i="568"/>
  <c r="M62" i="568" s="1"/>
  <c r="R61" i="568"/>
  <c r="T61" i="568" s="1"/>
  <c r="U61" i="568" s="1"/>
  <c r="O61" i="568"/>
  <c r="I61" i="568"/>
  <c r="M61" i="568" s="1"/>
  <c r="R60" i="568"/>
  <c r="T60" i="568" s="1"/>
  <c r="U60" i="568" s="1"/>
  <c r="O60" i="568"/>
  <c r="I60" i="568"/>
  <c r="T59" i="568"/>
  <c r="T58" i="568"/>
  <c r="R56" i="568"/>
  <c r="S56" i="568" s="1"/>
  <c r="O56" i="568"/>
  <c r="I56" i="568"/>
  <c r="M56" i="568" s="1"/>
  <c r="R55" i="568"/>
  <c r="T55" i="568" s="1"/>
  <c r="U55" i="568" s="1"/>
  <c r="O55" i="568"/>
  <c r="I55" i="568"/>
  <c r="M55" i="568" s="1"/>
  <c r="T54" i="568"/>
  <c r="I52" i="568"/>
  <c r="J52" i="568" s="1"/>
  <c r="J51" i="568" s="1"/>
  <c r="T51" i="568"/>
  <c r="T50" i="568"/>
  <c r="T49" i="568"/>
  <c r="R48" i="568"/>
  <c r="S48" i="568" s="1"/>
  <c r="O48" i="568"/>
  <c r="O47" i="568" s="1"/>
  <c r="O46" i="568" s="1"/>
  <c r="I48" i="568"/>
  <c r="T47" i="568"/>
  <c r="T46" i="568"/>
  <c r="E44" i="568"/>
  <c r="J44" i="568" s="1"/>
  <c r="D44" i="568"/>
  <c r="C44" i="568"/>
  <c r="B44" i="568"/>
  <c r="E43" i="568"/>
  <c r="J43" i="568" s="1"/>
  <c r="D43" i="568"/>
  <c r="C43" i="568"/>
  <c r="B43" i="568"/>
  <c r="G42" i="568"/>
  <c r="E42" i="568"/>
  <c r="J42" i="568" s="1"/>
  <c r="D42" i="568"/>
  <c r="C42" i="568"/>
  <c r="B42" i="568"/>
  <c r="K41" i="568"/>
  <c r="J41" i="568"/>
  <c r="I41" i="568"/>
  <c r="M41" i="568" s="1"/>
  <c r="K40" i="568"/>
  <c r="J40" i="568"/>
  <c r="I40" i="568"/>
  <c r="M40" i="568" s="1"/>
  <c r="Q39" i="568"/>
  <c r="K39" i="568"/>
  <c r="J39" i="568"/>
  <c r="I39" i="568"/>
  <c r="K38" i="568"/>
  <c r="J38" i="568"/>
  <c r="I38" i="568"/>
  <c r="M38" i="568" s="1"/>
  <c r="K37" i="568"/>
  <c r="J37" i="568"/>
  <c r="I37" i="568"/>
  <c r="M37" i="568" s="1"/>
  <c r="K36" i="568"/>
  <c r="J36" i="568"/>
  <c r="I36" i="568"/>
  <c r="M36" i="568" s="1"/>
  <c r="T35" i="568"/>
  <c r="G33" i="568"/>
  <c r="I33" i="568" s="1"/>
  <c r="E33" i="568"/>
  <c r="D33" i="568"/>
  <c r="C33" i="568"/>
  <c r="G32" i="568"/>
  <c r="E32" i="568"/>
  <c r="J32" i="568" s="1"/>
  <c r="D32" i="568"/>
  <c r="C32" i="568"/>
  <c r="G31" i="568"/>
  <c r="I31" i="568" s="1"/>
  <c r="E31" i="568"/>
  <c r="J31" i="568" s="1"/>
  <c r="D31" i="568"/>
  <c r="C31" i="568"/>
  <c r="R30" i="568"/>
  <c r="O30" i="568"/>
  <c r="J30" i="568"/>
  <c r="I30" i="568"/>
  <c r="M30" i="568" s="1"/>
  <c r="R29" i="568"/>
  <c r="T29" i="568" s="1"/>
  <c r="U29" i="568" s="1"/>
  <c r="O29" i="568"/>
  <c r="J29" i="568"/>
  <c r="I29" i="568"/>
  <c r="M29" i="568" s="1"/>
  <c r="R28" i="568"/>
  <c r="T28" i="568" s="1"/>
  <c r="U28" i="568" s="1"/>
  <c r="Q28" i="568"/>
  <c r="O28" i="568"/>
  <c r="J28" i="568"/>
  <c r="I28" i="568"/>
  <c r="M28" i="568" s="1"/>
  <c r="J27" i="568"/>
  <c r="I27" i="568"/>
  <c r="M27" i="568" s="1"/>
  <c r="J26" i="568"/>
  <c r="I26" i="568"/>
  <c r="M26" i="568" s="1"/>
  <c r="J25" i="568"/>
  <c r="I25" i="568"/>
  <c r="M25" i="568" s="1"/>
  <c r="J24" i="568"/>
  <c r="I24" i="568"/>
  <c r="M24" i="568" s="1"/>
  <c r="J23" i="568"/>
  <c r="I23" i="568"/>
  <c r="M23" i="568" s="1"/>
  <c r="R22" i="568"/>
  <c r="T22" i="568" s="1"/>
  <c r="U22" i="568" s="1"/>
  <c r="O22" i="568"/>
  <c r="J22" i="568"/>
  <c r="I22" i="568"/>
  <c r="M22" i="568" s="1"/>
  <c r="T21" i="568"/>
  <c r="R19" i="568"/>
  <c r="S19" i="568" s="1"/>
  <c r="O19" i="568"/>
  <c r="J19" i="568"/>
  <c r="I19" i="568"/>
  <c r="R18" i="568"/>
  <c r="T18" i="568" s="1"/>
  <c r="O18" i="568"/>
  <c r="J18" i="568"/>
  <c r="I18" i="568"/>
  <c r="M18" i="568" s="1"/>
  <c r="T17" i="568"/>
  <c r="T16" i="568"/>
  <c r="T15" i="568"/>
  <c r="N20" i="574" l="1"/>
  <c r="R20" i="577"/>
  <c r="P546" i="567" s="1"/>
  <c r="O20" i="573"/>
  <c r="P479" i="567" s="1"/>
  <c r="R19" i="581"/>
  <c r="R21" i="581" s="1"/>
  <c r="S20" i="581"/>
  <c r="O19" i="573"/>
  <c r="O21" i="573" s="1"/>
  <c r="R479" i="567" s="1"/>
  <c r="S19" i="580"/>
  <c r="S21" i="580" s="1"/>
  <c r="L19" i="578"/>
  <c r="R19" i="579"/>
  <c r="R21" i="579" s="1"/>
  <c r="R554" i="567" s="1"/>
  <c r="T554" i="567" s="1"/>
  <c r="S19" i="579"/>
  <c r="S21" i="578"/>
  <c r="S20" i="578"/>
  <c r="R19" i="578"/>
  <c r="R21" i="578" s="1"/>
  <c r="T549" i="567" s="1"/>
  <c r="R19" i="577"/>
  <c r="R21" i="576"/>
  <c r="N19" i="574"/>
  <c r="R19" i="575"/>
  <c r="R481" i="567" s="1"/>
  <c r="S481" i="567" s="1"/>
  <c r="N25" i="572"/>
  <c r="R474" i="567" s="1"/>
  <c r="T474" i="567" s="1"/>
  <c r="V474" i="567" s="1"/>
  <c r="W474" i="567" s="1"/>
  <c r="R20" i="571"/>
  <c r="R22" i="571" s="1"/>
  <c r="J528" i="568"/>
  <c r="Q530" i="568"/>
  <c r="J666" i="568"/>
  <c r="S21" i="571"/>
  <c r="S22" i="571"/>
  <c r="T575" i="568"/>
  <c r="U575" i="568" s="1"/>
  <c r="S660" i="568"/>
  <c r="M725" i="568"/>
  <c r="K42" i="568"/>
  <c r="Q79" i="568"/>
  <c r="M161" i="568"/>
  <c r="M209" i="568"/>
  <c r="L238" i="568"/>
  <c r="J340" i="568"/>
  <c r="M650" i="568"/>
  <c r="Q526" i="568"/>
  <c r="J220" i="568"/>
  <c r="K232" i="568"/>
  <c r="M538" i="568"/>
  <c r="S644" i="568"/>
  <c r="Q644" i="568" s="1"/>
  <c r="Q700" i="568"/>
  <c r="K33" i="568"/>
  <c r="M33" i="568" s="1"/>
  <c r="T414" i="568"/>
  <c r="U414" i="568" s="1"/>
  <c r="S638" i="568"/>
  <c r="Q638" i="568" s="1"/>
  <c r="M465" i="568"/>
  <c r="Q167" i="568"/>
  <c r="M640" i="568"/>
  <c r="Q78" i="568"/>
  <c r="O104" i="568"/>
  <c r="J479" i="568"/>
  <c r="Q509" i="568"/>
  <c r="Q712" i="568"/>
  <c r="J719" i="568"/>
  <c r="T378" i="568"/>
  <c r="M416" i="568"/>
  <c r="M516" i="568"/>
  <c r="T545" i="568"/>
  <c r="U545" i="568" s="1"/>
  <c r="J505" i="568"/>
  <c r="T93" i="568"/>
  <c r="U93" i="568" s="1"/>
  <c r="Q324" i="568"/>
  <c r="J409" i="568"/>
  <c r="Q438" i="568"/>
  <c r="M441" i="568"/>
  <c r="J508" i="568"/>
  <c r="J642" i="568"/>
  <c r="T696" i="568"/>
  <c r="U696" i="568" s="1"/>
  <c r="Q19" i="568"/>
  <c r="K67" i="568"/>
  <c r="S100" i="568"/>
  <c r="Q100" i="568" s="1"/>
  <c r="Q165" i="568"/>
  <c r="N250" i="568"/>
  <c r="O250" i="568" s="1"/>
  <c r="O249" i="568" s="1"/>
  <c r="T273" i="568"/>
  <c r="U273" i="568" s="1"/>
  <c r="M296" i="568"/>
  <c r="Q332" i="568"/>
  <c r="T489" i="568"/>
  <c r="U489" i="568" s="1"/>
  <c r="J534" i="568"/>
  <c r="S317" i="568"/>
  <c r="Q517" i="568"/>
  <c r="Q534" i="568"/>
  <c r="S592" i="568"/>
  <c r="S591" i="568" s="1"/>
  <c r="J620" i="568"/>
  <c r="T702" i="568"/>
  <c r="U702" i="568" s="1"/>
  <c r="Q159" i="568"/>
  <c r="Q161" i="568"/>
  <c r="J164" i="568"/>
  <c r="M275" i="568"/>
  <c r="S310" i="568"/>
  <c r="Q310" i="568" s="1"/>
  <c r="J313" i="568"/>
  <c r="Q378" i="568"/>
  <c r="J551" i="568"/>
  <c r="Q578" i="568"/>
  <c r="I586" i="568"/>
  <c r="M586" i="568" s="1"/>
  <c r="M603" i="568"/>
  <c r="M726" i="568"/>
  <c r="J114" i="568"/>
  <c r="J70" i="568"/>
  <c r="S101" i="568"/>
  <c r="Q101" i="568" s="1"/>
  <c r="J130" i="568"/>
  <c r="M135" i="568"/>
  <c r="J189" i="568"/>
  <c r="J195" i="568"/>
  <c r="J497" i="568"/>
  <c r="M518" i="568"/>
  <c r="T655" i="568"/>
  <c r="U655" i="568" s="1"/>
  <c r="T705" i="568"/>
  <c r="U705" i="568" s="1"/>
  <c r="J187" i="568"/>
  <c r="J191" i="568"/>
  <c r="Q637" i="568"/>
  <c r="O457" i="568"/>
  <c r="J658" i="568"/>
  <c r="J484" i="568"/>
  <c r="M487" i="568"/>
  <c r="M560" i="568"/>
  <c r="J565" i="568"/>
  <c r="M601" i="568"/>
  <c r="J639" i="568"/>
  <c r="J649" i="568"/>
  <c r="S302" i="568"/>
  <c r="J309" i="568"/>
  <c r="J364" i="568"/>
  <c r="O375" i="568"/>
  <c r="J33" i="568"/>
  <c r="J21" i="568" s="1"/>
  <c r="S60" i="568"/>
  <c r="Q60" i="568" s="1"/>
  <c r="T108" i="568"/>
  <c r="U108" i="568" s="1"/>
  <c r="Q149" i="568"/>
  <c r="J158" i="568"/>
  <c r="S177" i="568"/>
  <c r="S174" i="568" s="1"/>
  <c r="S173" i="568" s="1"/>
  <c r="T218" i="568"/>
  <c r="U218" i="568" s="1"/>
  <c r="U217" i="568" s="1"/>
  <c r="U216" i="568" s="1"/>
  <c r="Q237" i="568"/>
  <c r="T265" i="568"/>
  <c r="U265" i="568" s="1"/>
  <c r="T267" i="568"/>
  <c r="U267" i="568" s="1"/>
  <c r="M273" i="568"/>
  <c r="J357" i="568"/>
  <c r="Q371" i="568"/>
  <c r="T116" i="568"/>
  <c r="U116" i="568" s="1"/>
  <c r="J143" i="568"/>
  <c r="M71" i="568"/>
  <c r="O90" i="568"/>
  <c r="T149" i="568"/>
  <c r="U149" i="568" s="1"/>
  <c r="J199" i="568"/>
  <c r="J212" i="568"/>
  <c r="K222" i="568"/>
  <c r="Q325" i="568"/>
  <c r="Q331" i="568"/>
  <c r="Q336" i="568"/>
  <c r="S377" i="568"/>
  <c r="Q377" i="568" s="1"/>
  <c r="J422" i="568"/>
  <c r="J421" i="568" s="1"/>
  <c r="M430" i="568"/>
  <c r="J459" i="568"/>
  <c r="J470" i="568"/>
  <c r="J501" i="568"/>
  <c r="O515" i="568"/>
  <c r="O514" i="568" s="1"/>
  <c r="M526" i="568"/>
  <c r="T571" i="568"/>
  <c r="U571" i="568" s="1"/>
  <c r="M106" i="568"/>
  <c r="K139" i="568"/>
  <c r="T161" i="568"/>
  <c r="U161" i="568" s="1"/>
  <c r="M266" i="568"/>
  <c r="Q329" i="568"/>
  <c r="L333" i="568"/>
  <c r="M348" i="568"/>
  <c r="M360" i="568"/>
  <c r="S379" i="568"/>
  <c r="Q379" i="568" s="1"/>
  <c r="M405" i="568"/>
  <c r="O429" i="568"/>
  <c r="J453" i="568"/>
  <c r="J540" i="568"/>
  <c r="M546" i="568"/>
  <c r="J610" i="568"/>
  <c r="J629" i="568"/>
  <c r="Q704" i="568"/>
  <c r="J102" i="568"/>
  <c r="Q113" i="568"/>
  <c r="J122" i="568"/>
  <c r="J183" i="568"/>
  <c r="O228" i="568"/>
  <c r="T324" i="568"/>
  <c r="J356" i="568"/>
  <c r="Q370" i="568"/>
  <c r="J397" i="568"/>
  <c r="J94" i="568"/>
  <c r="J98" i="568"/>
  <c r="S105" i="568"/>
  <c r="Q105" i="568" s="1"/>
  <c r="J218" i="568"/>
  <c r="J217" i="568" s="1"/>
  <c r="M250" i="568"/>
  <c r="M258" i="568"/>
  <c r="M280" i="568"/>
  <c r="M288" i="568"/>
  <c r="S308" i="568"/>
  <c r="Q308" i="568" s="1"/>
  <c r="J315" i="568"/>
  <c r="Q337" i="568"/>
  <c r="M340" i="568"/>
  <c r="T370" i="568"/>
  <c r="T376" i="568"/>
  <c r="Q414" i="568"/>
  <c r="J483" i="568"/>
  <c r="J532" i="568"/>
  <c r="Q538" i="568"/>
  <c r="T540" i="568"/>
  <c r="U540" i="568" s="1"/>
  <c r="J564" i="568"/>
  <c r="Q570" i="568"/>
  <c r="M592" i="568"/>
  <c r="T518" i="568"/>
  <c r="U518" i="568" s="1"/>
  <c r="S518" i="568"/>
  <c r="Q518" i="568" s="1"/>
  <c r="T539" i="568"/>
  <c r="U539" i="568" s="1"/>
  <c r="S539" i="568"/>
  <c r="Q539" i="568" s="1"/>
  <c r="S418" i="568"/>
  <c r="Q418" i="568" s="1"/>
  <c r="T418" i="568"/>
  <c r="U418" i="568" s="1"/>
  <c r="M439" i="568"/>
  <c r="M623" i="568"/>
  <c r="T631" i="568"/>
  <c r="U631" i="568" s="1"/>
  <c r="M635" i="568"/>
  <c r="T651" i="568"/>
  <c r="U651" i="568" s="1"/>
  <c r="M656" i="568"/>
  <c r="T709" i="568"/>
  <c r="U709" i="568" s="1"/>
  <c r="M717" i="568"/>
  <c r="J72" i="568"/>
  <c r="Q108" i="568"/>
  <c r="O110" i="568"/>
  <c r="J116" i="568"/>
  <c r="S146" i="568"/>
  <c r="Q146" i="568" s="1"/>
  <c r="Q162" i="568"/>
  <c r="T164" i="568"/>
  <c r="U164" i="568" s="1"/>
  <c r="J193" i="568"/>
  <c r="M228" i="568"/>
  <c r="L237" i="568"/>
  <c r="M260" i="568"/>
  <c r="M274" i="568"/>
  <c r="J293" i="568"/>
  <c r="S316" i="568"/>
  <c r="Q316" i="568" s="1"/>
  <c r="L332" i="568"/>
  <c r="O400" i="568"/>
  <c r="O399" i="568" s="1"/>
  <c r="J433" i="568"/>
  <c r="J464" i="568"/>
  <c r="S465" i="568"/>
  <c r="Q465" i="568" s="1"/>
  <c r="J468" i="568"/>
  <c r="S471" i="568"/>
  <c r="Q471" i="568" s="1"/>
  <c r="S496" i="568"/>
  <c r="Q496" i="568" s="1"/>
  <c r="T500" i="568"/>
  <c r="U500" i="568" s="1"/>
  <c r="J502" i="568"/>
  <c r="J553" i="568"/>
  <c r="J555" i="568"/>
  <c r="Q586" i="568"/>
  <c r="J608" i="568"/>
  <c r="S620" i="568"/>
  <c r="Q620" i="568" s="1"/>
  <c r="J643" i="568"/>
  <c r="I669" i="568"/>
  <c r="U669" i="568" s="1"/>
  <c r="I673" i="568"/>
  <c r="M673" i="568" s="1"/>
  <c r="T673" i="568" s="1"/>
  <c r="Q676" i="568"/>
  <c r="J698" i="568"/>
  <c r="J714" i="568"/>
  <c r="T113" i="568"/>
  <c r="U113" i="568" s="1"/>
  <c r="Q76" i="568"/>
  <c r="Q302" i="568"/>
  <c r="Q333" i="568"/>
  <c r="J507" i="568"/>
  <c r="S535" i="568"/>
  <c r="Q535" i="568" s="1"/>
  <c r="J544" i="568"/>
  <c r="J547" i="568"/>
  <c r="O550" i="568"/>
  <c r="O549" i="568" s="1"/>
  <c r="L580" i="568"/>
  <c r="Q597" i="568"/>
  <c r="J624" i="568"/>
  <c r="S630" i="568"/>
  <c r="Q630" i="568" s="1"/>
  <c r="J638" i="568"/>
  <c r="L667" i="568"/>
  <c r="Q696" i="568"/>
  <c r="M365" i="568"/>
  <c r="O382" i="568"/>
  <c r="O381" i="568" s="1"/>
  <c r="J17" i="568"/>
  <c r="Q56" i="568"/>
  <c r="J61" i="568"/>
  <c r="J91" i="568"/>
  <c r="S107" i="568"/>
  <c r="Q107" i="568" s="1"/>
  <c r="J126" i="568"/>
  <c r="J147" i="568"/>
  <c r="U238" i="568"/>
  <c r="M281" i="568"/>
  <c r="M300" i="568"/>
  <c r="J311" i="568"/>
  <c r="M324" i="568"/>
  <c r="K340" i="568"/>
  <c r="M351" i="568"/>
  <c r="M392" i="568"/>
  <c r="J396" i="568"/>
  <c r="J419" i="568"/>
  <c r="J426" i="568"/>
  <c r="J432" i="568"/>
  <c r="J440" i="568"/>
  <c r="J446" i="568"/>
  <c r="J452" i="568"/>
  <c r="J461" i="568"/>
  <c r="J471" i="568"/>
  <c r="S504" i="568"/>
  <c r="Q504" i="568" s="1"/>
  <c r="S505" i="568"/>
  <c r="Q505" i="568" s="1"/>
  <c r="J524" i="568"/>
  <c r="J536" i="568"/>
  <c r="Q547" i="568"/>
  <c r="U579" i="568"/>
  <c r="T595" i="568"/>
  <c r="U595" i="568" s="1"/>
  <c r="U594" i="568" s="1"/>
  <c r="J625" i="568"/>
  <c r="M631" i="568"/>
  <c r="Q667" i="568"/>
  <c r="Q679" i="568"/>
  <c r="J692" i="568"/>
  <c r="M701" i="568"/>
  <c r="J707" i="568"/>
  <c r="S708" i="568"/>
  <c r="Q708" i="568" s="1"/>
  <c r="S710" i="568"/>
  <c r="Q710" i="568" s="1"/>
  <c r="K241" i="568"/>
  <c r="Q334" i="568"/>
  <c r="M361" i="568"/>
  <c r="O543" i="568"/>
  <c r="O17" i="568"/>
  <c r="O85" i="568"/>
  <c r="M93" i="568"/>
  <c r="M190" i="568"/>
  <c r="M198" i="568"/>
  <c r="Q236" i="568"/>
  <c r="K240" i="568"/>
  <c r="M265" i="568"/>
  <c r="T268" i="568"/>
  <c r="U268" i="568" s="1"/>
  <c r="M289" i="568"/>
  <c r="Q327" i="568"/>
  <c r="M444" i="568"/>
  <c r="S502" i="568"/>
  <c r="Q502" i="568" s="1"/>
  <c r="J541" i="568"/>
  <c r="M554" i="568"/>
  <c r="M697" i="568"/>
  <c r="G749" i="568"/>
  <c r="M78" i="568"/>
  <c r="S83" i="568"/>
  <c r="S82" i="568" s="1"/>
  <c r="S91" i="568"/>
  <c r="Q91" i="568" s="1"/>
  <c r="Q93" i="568"/>
  <c r="J162" i="568"/>
  <c r="J181" i="568"/>
  <c r="J185" i="568"/>
  <c r="M202" i="568"/>
  <c r="O227" i="568"/>
  <c r="S261" i="568"/>
  <c r="M269" i="568"/>
  <c r="M302" i="568"/>
  <c r="M310" i="568"/>
  <c r="J321" i="568"/>
  <c r="J320" i="568" s="1"/>
  <c r="T341" i="568"/>
  <c r="M367" i="568"/>
  <c r="T371" i="568"/>
  <c r="T373" i="568"/>
  <c r="U373" i="568" s="1"/>
  <c r="U354" i="568" s="1"/>
  <c r="U353" i="568" s="1"/>
  <c r="Q385" i="568"/>
  <c r="J425" i="568"/>
  <c r="M451" i="568"/>
  <c r="M460" i="568"/>
  <c r="S497" i="568"/>
  <c r="Q497" i="568" s="1"/>
  <c r="T501" i="568"/>
  <c r="U501" i="568" s="1"/>
  <c r="S546" i="568"/>
  <c r="Q546" i="568" s="1"/>
  <c r="S552" i="568"/>
  <c r="Q552" i="568" s="1"/>
  <c r="J630" i="568"/>
  <c r="Q668" i="568"/>
  <c r="Q672" i="568"/>
  <c r="Q697" i="568"/>
  <c r="T713" i="568"/>
  <c r="U713" i="568" s="1"/>
  <c r="J125" i="568"/>
  <c r="M125" i="568"/>
  <c r="J144" i="568"/>
  <c r="M144" i="568"/>
  <c r="S63" i="568"/>
  <c r="Q63" i="568" s="1"/>
  <c r="T63" i="568"/>
  <c r="U63" i="568" s="1"/>
  <c r="U59" i="568" s="1"/>
  <c r="U58" i="568" s="1"/>
  <c r="J132" i="568"/>
  <c r="M132" i="568"/>
  <c r="M154" i="568"/>
  <c r="J154" i="568"/>
  <c r="J153" i="568" s="1"/>
  <c r="I242" i="568"/>
  <c r="M242" i="568" s="1"/>
  <c r="K242" i="568"/>
  <c r="S30" i="568"/>
  <c r="Q30" i="568" s="1"/>
  <c r="T30" i="568"/>
  <c r="U30" i="568" s="1"/>
  <c r="J60" i="568"/>
  <c r="M60" i="568"/>
  <c r="S92" i="568"/>
  <c r="Q92" i="568" s="1"/>
  <c r="T92" i="568"/>
  <c r="U92" i="568" s="1"/>
  <c r="J194" i="568"/>
  <c r="M194" i="568"/>
  <c r="Q267" i="568"/>
  <c r="M312" i="568"/>
  <c r="J312" i="568"/>
  <c r="J339" i="568"/>
  <c r="T446" i="568"/>
  <c r="U446" i="568" s="1"/>
  <c r="S446" i="568"/>
  <c r="Q446" i="568" s="1"/>
  <c r="T469" i="568"/>
  <c r="U469" i="568" s="1"/>
  <c r="S469" i="568"/>
  <c r="Q469" i="568" s="1"/>
  <c r="M39" i="568"/>
  <c r="M113" i="568"/>
  <c r="J113" i="568"/>
  <c r="M146" i="568"/>
  <c r="J146" i="568"/>
  <c r="S227" i="568"/>
  <c r="T227" i="568"/>
  <c r="U227" i="568" s="1"/>
  <c r="J307" i="568"/>
  <c r="M307" i="568"/>
  <c r="S369" i="568"/>
  <c r="Q369" i="568" s="1"/>
  <c r="T369" i="568"/>
  <c r="J427" i="568"/>
  <c r="M427" i="568"/>
  <c r="J101" i="568"/>
  <c r="M101" i="568"/>
  <c r="J213" i="568"/>
  <c r="M213" i="568"/>
  <c r="Q243" i="568"/>
  <c r="M87" i="568"/>
  <c r="J87" i="568"/>
  <c r="M76" i="568"/>
  <c r="T76" i="568"/>
  <c r="U76" i="568" s="1"/>
  <c r="J76" i="568"/>
  <c r="J121" i="568"/>
  <c r="M121" i="568"/>
  <c r="J150" i="568"/>
  <c r="M150" i="568"/>
  <c r="L329" i="568"/>
  <c r="I329" i="568"/>
  <c r="M329" i="568" s="1"/>
  <c r="M205" i="568"/>
  <c r="J205" i="568"/>
  <c r="J261" i="568"/>
  <c r="M261" i="568"/>
  <c r="M100" i="568"/>
  <c r="J100" i="568"/>
  <c r="M52" i="568"/>
  <c r="M141" i="568"/>
  <c r="J141" i="568"/>
  <c r="J182" i="568"/>
  <c r="M182" i="568"/>
  <c r="K239" i="568"/>
  <c r="I239" i="568"/>
  <c r="M239" i="568" s="1"/>
  <c r="T309" i="568"/>
  <c r="S309" i="568"/>
  <c r="Q309" i="568" s="1"/>
  <c r="M362" i="568"/>
  <c r="J362" i="568"/>
  <c r="M149" i="568"/>
  <c r="M166" i="568"/>
  <c r="M203" i="568"/>
  <c r="M316" i="568"/>
  <c r="J316" i="568"/>
  <c r="Q75" i="568"/>
  <c r="S231" i="568"/>
  <c r="Q231" i="568" s="1"/>
  <c r="Q230" i="568" s="1"/>
  <c r="Q238" i="568"/>
  <c r="L243" i="568"/>
  <c r="M254" i="568"/>
  <c r="T260" i="568"/>
  <c r="U260" i="568" s="1"/>
  <c r="U257" i="568" s="1"/>
  <c r="M262" i="568"/>
  <c r="J268" i="568"/>
  <c r="M282" i="568"/>
  <c r="J292" i="568"/>
  <c r="S311" i="568"/>
  <c r="Q311" i="568" s="1"/>
  <c r="J344" i="568"/>
  <c r="J343" i="568" s="1"/>
  <c r="M355" i="568"/>
  <c r="M363" i="568"/>
  <c r="Q373" i="568"/>
  <c r="M384" i="568"/>
  <c r="M386" i="568"/>
  <c r="J386" i="568"/>
  <c r="T419" i="568"/>
  <c r="S419" i="568"/>
  <c r="Q419" i="568" s="1"/>
  <c r="T487" i="568"/>
  <c r="U487" i="568" s="1"/>
  <c r="S487" i="568"/>
  <c r="Q487" i="568" s="1"/>
  <c r="T19" i="568"/>
  <c r="U19" i="568" s="1"/>
  <c r="U17" i="568" s="1"/>
  <c r="O54" i="568"/>
  <c r="Q77" i="568"/>
  <c r="O180" i="568"/>
  <c r="O201" i="568"/>
  <c r="Q268" i="568"/>
  <c r="M402" i="568"/>
  <c r="J402" i="568"/>
  <c r="J400" i="568" s="1"/>
  <c r="J399" i="568" s="1"/>
  <c r="J437" i="568"/>
  <c r="M437" i="568"/>
  <c r="T444" i="568"/>
  <c r="U444" i="568" s="1"/>
  <c r="S444" i="568"/>
  <c r="Q444" i="568" s="1"/>
  <c r="T467" i="568"/>
  <c r="U467" i="568" s="1"/>
  <c r="S467" i="568"/>
  <c r="Q467" i="568" s="1"/>
  <c r="T473" i="568"/>
  <c r="U473" i="568" s="1"/>
  <c r="S473" i="568"/>
  <c r="Q473" i="568" s="1"/>
  <c r="J86" i="568"/>
  <c r="Q116" i="568"/>
  <c r="J120" i="568"/>
  <c r="O124" i="568"/>
  <c r="J129" i="568"/>
  <c r="J133" i="568"/>
  <c r="J140" i="568"/>
  <c r="S150" i="568"/>
  <c r="Q150" i="568" s="1"/>
  <c r="J152" i="568"/>
  <c r="Q163" i="568"/>
  <c r="M165" i="568"/>
  <c r="S344" i="568"/>
  <c r="S343" i="568" s="1"/>
  <c r="J359" i="568"/>
  <c r="J369" i="568"/>
  <c r="J383" i="568"/>
  <c r="M445" i="568"/>
  <c r="J445" i="568"/>
  <c r="K32" i="568"/>
  <c r="M32" i="568" s="1"/>
  <c r="T56" i="568"/>
  <c r="U56" i="568" s="1"/>
  <c r="M66" i="568"/>
  <c r="J83" i="568"/>
  <c r="J82" i="568" s="1"/>
  <c r="M105" i="568"/>
  <c r="S114" i="568"/>
  <c r="Q114" i="568" s="1"/>
  <c r="O118" i="568"/>
  <c r="S130" i="568"/>
  <c r="M186" i="568"/>
  <c r="J197" i="568"/>
  <c r="J210" i="568"/>
  <c r="J235" i="568"/>
  <c r="J245" i="568"/>
  <c r="M255" i="568"/>
  <c r="J272" i="568"/>
  <c r="J271" i="568" s="1"/>
  <c r="J278" i="568"/>
  <c r="I325" i="568"/>
  <c r="M325" i="568" s="1"/>
  <c r="I327" i="568"/>
  <c r="M327" i="568" s="1"/>
  <c r="I334" i="568"/>
  <c r="M334" i="568" s="1"/>
  <c r="M412" i="568"/>
  <c r="J412" i="568"/>
  <c r="T437" i="568"/>
  <c r="U437" i="568" s="1"/>
  <c r="S437" i="568"/>
  <c r="Q437" i="568" s="1"/>
  <c r="T439" i="568"/>
  <c r="U439" i="568" s="1"/>
  <c r="S439" i="568"/>
  <c r="Q439" i="568" s="1"/>
  <c r="T441" i="568"/>
  <c r="U441" i="568" s="1"/>
  <c r="S441" i="568"/>
  <c r="Q441" i="568" s="1"/>
  <c r="O208" i="568"/>
  <c r="O207" i="568" s="1"/>
  <c r="U237" i="568"/>
  <c r="I406" i="568"/>
  <c r="M406" i="568" s="1"/>
  <c r="K406" i="568"/>
  <c r="J417" i="568"/>
  <c r="M417" i="568"/>
  <c r="T451" i="568"/>
  <c r="U451" i="568" s="1"/>
  <c r="S451" i="568"/>
  <c r="Q451" i="568" s="1"/>
  <c r="O59" i="568"/>
  <c r="O58" i="568" s="1"/>
  <c r="Q164" i="568"/>
  <c r="O257" i="568"/>
  <c r="J301" i="568"/>
  <c r="J308" i="568"/>
  <c r="T312" i="568"/>
  <c r="U312" i="568" s="1"/>
  <c r="J314" i="568"/>
  <c r="Q315" i="568"/>
  <c r="J349" i="568"/>
  <c r="O354" i="568"/>
  <c r="J358" i="568"/>
  <c r="J366" i="568"/>
  <c r="T385" i="568"/>
  <c r="U385" i="568" s="1"/>
  <c r="U382" i="568" s="1"/>
  <c r="U381" i="568" s="1"/>
  <c r="J434" i="568"/>
  <c r="M434" i="568"/>
  <c r="M450" i="568"/>
  <c r="J450" i="568"/>
  <c r="S312" i="568"/>
  <c r="Q312" i="568" s="1"/>
  <c r="T315" i="568"/>
  <c r="U315" i="568" s="1"/>
  <c r="I336" i="568"/>
  <c r="M336" i="568" s="1"/>
  <c r="J368" i="568"/>
  <c r="M368" i="568"/>
  <c r="S387" i="568"/>
  <c r="Q387" i="568" s="1"/>
  <c r="M401" i="568"/>
  <c r="S410" i="568"/>
  <c r="Q410" i="568" s="1"/>
  <c r="T410" i="568"/>
  <c r="U410" i="568" s="1"/>
  <c r="J413" i="568"/>
  <c r="M413" i="568"/>
  <c r="T544" i="568"/>
  <c r="U544" i="568" s="1"/>
  <c r="S544" i="568"/>
  <c r="Q544" i="568" s="1"/>
  <c r="M385" i="568"/>
  <c r="K478" i="568"/>
  <c r="Q489" i="568"/>
  <c r="T560" i="568"/>
  <c r="U560" i="568" s="1"/>
  <c r="U559" i="568" s="1"/>
  <c r="Q571" i="568"/>
  <c r="M574" i="568"/>
  <c r="Q581" i="568"/>
  <c r="O594" i="568"/>
  <c r="M600" i="568"/>
  <c r="M615" i="568"/>
  <c r="M628" i="568"/>
  <c r="S635" i="568"/>
  <c r="Q635" i="568" s="1"/>
  <c r="R649" i="568"/>
  <c r="T649" i="568" s="1"/>
  <c r="U649" i="568" s="1"/>
  <c r="T652" i="568"/>
  <c r="U652" i="568" s="1"/>
  <c r="T653" i="568"/>
  <c r="U653" i="568" s="1"/>
  <c r="M657" i="568"/>
  <c r="J663" i="568"/>
  <c r="J662" i="568" s="1"/>
  <c r="I674" i="568"/>
  <c r="M674" i="568" s="1"/>
  <c r="T674" i="568" s="1"/>
  <c r="T697" i="568"/>
  <c r="U697" i="568" s="1"/>
  <c r="M699" i="568"/>
  <c r="J702" i="568"/>
  <c r="M706" i="568"/>
  <c r="M709" i="568"/>
  <c r="J718" i="568"/>
  <c r="O723" i="568"/>
  <c r="O722" i="568" s="1"/>
  <c r="J431" i="568"/>
  <c r="O443" i="568"/>
  <c r="J447" i="568"/>
  <c r="S453" i="568"/>
  <c r="Q453" i="568" s="1"/>
  <c r="J474" i="568"/>
  <c r="S508" i="568"/>
  <c r="Q508" i="568" s="1"/>
  <c r="L585" i="568"/>
  <c r="O591" i="568"/>
  <c r="O627" i="568"/>
  <c r="L671" i="568"/>
  <c r="M705" i="568"/>
  <c r="M728" i="568"/>
  <c r="O463" i="568"/>
  <c r="O495" i="568"/>
  <c r="U678" i="568"/>
  <c r="Q431" i="568"/>
  <c r="T438" i="568"/>
  <c r="U438" i="568" s="1"/>
  <c r="O449" i="568"/>
  <c r="J454" i="568"/>
  <c r="S455" i="568"/>
  <c r="Q455" i="568" s="1"/>
  <c r="S458" i="568"/>
  <c r="Q458" i="568" s="1"/>
  <c r="J467" i="568"/>
  <c r="M473" i="568"/>
  <c r="T490" i="568"/>
  <c r="J499" i="568"/>
  <c r="J506" i="568"/>
  <c r="J509" i="568"/>
  <c r="J530" i="568"/>
  <c r="T547" i="568"/>
  <c r="U547" i="568" s="1"/>
  <c r="J563" i="568"/>
  <c r="S574" i="568"/>
  <c r="S573" i="568" s="1"/>
  <c r="Q585" i="568"/>
  <c r="J602" i="568"/>
  <c r="J614" i="568"/>
  <c r="J613" i="568" s="1"/>
  <c r="J621" i="568"/>
  <c r="S628" i="568"/>
  <c r="Q628" i="568" s="1"/>
  <c r="J636" i="568"/>
  <c r="T637" i="568"/>
  <c r="U637" i="568" s="1"/>
  <c r="J653" i="568"/>
  <c r="S659" i="568"/>
  <c r="Q674" i="568"/>
  <c r="I676" i="568"/>
  <c r="M676" i="568" s="1"/>
  <c r="T676" i="568" s="1"/>
  <c r="M690" i="568"/>
  <c r="S709" i="568"/>
  <c r="Q709" i="568" s="1"/>
  <c r="T712" i="568"/>
  <c r="U712" i="568" s="1"/>
  <c r="O436" i="568"/>
  <c r="M579" i="568"/>
  <c r="Q580" i="568"/>
  <c r="Q702" i="568"/>
  <c r="Q705" i="568"/>
  <c r="O716" i="568"/>
  <c r="O694" i="568" s="1"/>
  <c r="Q670" i="568"/>
  <c r="I672" i="568"/>
  <c r="M672" i="568" s="1"/>
  <c r="T672" i="568" s="1"/>
  <c r="I675" i="568"/>
  <c r="M675" i="568" s="1"/>
  <c r="T675" i="568" s="1"/>
  <c r="S701" i="568"/>
  <c r="Q701" i="568" s="1"/>
  <c r="J711" i="568"/>
  <c r="J713" i="568"/>
  <c r="S460" i="568"/>
  <c r="M469" i="568"/>
  <c r="J481" i="568"/>
  <c r="J498" i="568"/>
  <c r="T517" i="568"/>
  <c r="U517" i="568" s="1"/>
  <c r="O522" i="568"/>
  <c r="J552" i="568"/>
  <c r="Q553" i="568"/>
  <c r="S554" i="568"/>
  <c r="Q554" i="568" s="1"/>
  <c r="S555" i="568"/>
  <c r="Q555" i="568" s="1"/>
  <c r="Q579" i="568"/>
  <c r="I581" i="568"/>
  <c r="M581" i="568" s="1"/>
  <c r="Q582" i="568"/>
  <c r="J595" i="568"/>
  <c r="S596" i="568"/>
  <c r="J604" i="568"/>
  <c r="S636" i="568"/>
  <c r="Q636" i="568" s="1"/>
  <c r="J685" i="568"/>
  <c r="J684" i="568" s="1"/>
  <c r="M689" i="568"/>
  <c r="T704" i="568"/>
  <c r="U704" i="568" s="1"/>
  <c r="J710" i="568"/>
  <c r="O394" i="568"/>
  <c r="O390" i="568" s="1"/>
  <c r="O424" i="568"/>
  <c r="M455" i="568"/>
  <c r="M458" i="568"/>
  <c r="J466" i="568"/>
  <c r="J472" i="568"/>
  <c r="Q500" i="568"/>
  <c r="T509" i="568"/>
  <c r="U509" i="568" s="1"/>
  <c r="J519" i="568"/>
  <c r="Q540" i="568"/>
  <c r="T553" i="568"/>
  <c r="U553" i="568" s="1"/>
  <c r="U550" i="568" s="1"/>
  <c r="U549" i="568" s="1"/>
  <c r="M617" i="568"/>
  <c r="M644" i="568"/>
  <c r="I648" i="568"/>
  <c r="M648" i="568" s="1"/>
  <c r="T700" i="568"/>
  <c r="U700" i="568" s="1"/>
  <c r="J703" i="568"/>
  <c r="M724" i="568"/>
  <c r="S691" i="568"/>
  <c r="Q691" i="568" s="1"/>
  <c r="T681" i="568"/>
  <c r="U681" i="568" s="1"/>
  <c r="M681" i="568"/>
  <c r="J677" i="568"/>
  <c r="Q176" i="568"/>
  <c r="Q174" i="568" s="1"/>
  <c r="Q173" i="568" s="1"/>
  <c r="M176" i="568"/>
  <c r="S87" i="568"/>
  <c r="S85" i="568" s="1"/>
  <c r="T88" i="568"/>
  <c r="U88" i="568" s="1"/>
  <c r="T48" i="568"/>
  <c r="U48" i="568" s="1"/>
  <c r="U47" i="568" s="1"/>
  <c r="U46" i="568" s="1"/>
  <c r="J48" i="568"/>
  <c r="J47" i="568" s="1"/>
  <c r="J46" i="568" s="1"/>
  <c r="M48" i="568"/>
  <c r="J67" i="568"/>
  <c r="T67" i="568"/>
  <c r="U67" i="568" s="1"/>
  <c r="Q48" i="568"/>
  <c r="Q47" i="568" s="1"/>
  <c r="Q46" i="568" s="1"/>
  <c r="S47" i="568"/>
  <c r="S46" i="568" s="1"/>
  <c r="J35" i="568"/>
  <c r="K31" i="568"/>
  <c r="S67" i="568"/>
  <c r="T115" i="568"/>
  <c r="U115" i="568" s="1"/>
  <c r="S115" i="568"/>
  <c r="Q115" i="568" s="1"/>
  <c r="T119" i="568"/>
  <c r="U119" i="568" s="1"/>
  <c r="S119" i="568"/>
  <c r="M131" i="568"/>
  <c r="J131" i="568"/>
  <c r="M134" i="568"/>
  <c r="J134" i="568"/>
  <c r="T158" i="568"/>
  <c r="U158" i="568" s="1"/>
  <c r="S158" i="568"/>
  <c r="Q158" i="568" s="1"/>
  <c r="M160" i="568"/>
  <c r="J160" i="568"/>
  <c r="S170" i="568"/>
  <c r="Q170" i="568"/>
  <c r="T195" i="568"/>
  <c r="U195" i="568" s="1"/>
  <c r="S195" i="568"/>
  <c r="M231" i="568"/>
  <c r="J231" i="568"/>
  <c r="J230" i="568" s="1"/>
  <c r="M253" i="568"/>
  <c r="J253" i="568"/>
  <c r="J252" i="568" s="1"/>
  <c r="I42" i="568"/>
  <c r="S61" i="568"/>
  <c r="Q61" i="568" s="1"/>
  <c r="J74" i="568"/>
  <c r="M75" i="568"/>
  <c r="T95" i="568"/>
  <c r="U95" i="568" s="1"/>
  <c r="S95" i="568"/>
  <c r="Q95" i="568" s="1"/>
  <c r="S98" i="568"/>
  <c r="O97" i="568"/>
  <c r="J127" i="568"/>
  <c r="T148" i="568"/>
  <c r="U148" i="568" s="1"/>
  <c r="S148" i="568"/>
  <c r="Q148" i="568" s="1"/>
  <c r="T159" i="568"/>
  <c r="U159" i="568" s="1"/>
  <c r="M159" i="568"/>
  <c r="M163" i="568"/>
  <c r="J163" i="568"/>
  <c r="T163" i="568"/>
  <c r="U163" i="568" s="1"/>
  <c r="S168" i="568"/>
  <c r="Q168" i="568" s="1"/>
  <c r="M196" i="568"/>
  <c r="J196" i="568"/>
  <c r="M19" i="568"/>
  <c r="S55" i="568"/>
  <c r="S62" i="568"/>
  <c r="Q62" i="568" s="1"/>
  <c r="J73" i="568"/>
  <c r="M74" i="568"/>
  <c r="T78" i="568"/>
  <c r="U78" i="568" s="1"/>
  <c r="M99" i="568"/>
  <c r="J99" i="568"/>
  <c r="T122" i="568"/>
  <c r="U122" i="568" s="1"/>
  <c r="S122" i="568"/>
  <c r="J159" i="568"/>
  <c r="Q160" i="568"/>
  <c r="J175" i="568"/>
  <c r="J174" i="568" s="1"/>
  <c r="J173" i="568" s="1"/>
  <c r="M175" i="568"/>
  <c r="M73" i="568"/>
  <c r="T79" i="568"/>
  <c r="U79" i="568" s="1"/>
  <c r="M79" i="568"/>
  <c r="M80" i="568"/>
  <c r="J142" i="568"/>
  <c r="S154" i="568"/>
  <c r="T160" i="568"/>
  <c r="U160" i="568" s="1"/>
  <c r="T106" i="568"/>
  <c r="U106" i="568" s="1"/>
  <c r="S106" i="568"/>
  <c r="M112" i="568"/>
  <c r="J112" i="568"/>
  <c r="M155" i="568"/>
  <c r="J155" i="568"/>
  <c r="M188" i="568"/>
  <c r="J188" i="568"/>
  <c r="S22" i="568"/>
  <c r="S28" i="568"/>
  <c r="I32" i="568"/>
  <c r="J55" i="568"/>
  <c r="J62" i="568"/>
  <c r="T75" i="568"/>
  <c r="U75" i="568" s="1"/>
  <c r="Q80" i="568"/>
  <c r="T86" i="568"/>
  <c r="U86" i="568" s="1"/>
  <c r="M92" i="568"/>
  <c r="J92" i="568"/>
  <c r="S94" i="568"/>
  <c r="Q94" i="568" s="1"/>
  <c r="T99" i="568"/>
  <c r="U99" i="568" s="1"/>
  <c r="S99" i="568"/>
  <c r="Q99" i="568" s="1"/>
  <c r="M108" i="568"/>
  <c r="J108" i="568"/>
  <c r="J111" i="568"/>
  <c r="M115" i="568"/>
  <c r="J115" i="568"/>
  <c r="M119" i="568"/>
  <c r="J119" i="568"/>
  <c r="M145" i="568"/>
  <c r="J145" i="568"/>
  <c r="S147" i="568"/>
  <c r="M177" i="568"/>
  <c r="T183" i="568"/>
  <c r="U183" i="568" s="1"/>
  <c r="S183" i="568"/>
  <c r="T210" i="568"/>
  <c r="U210" i="568" s="1"/>
  <c r="U208" i="568" s="1"/>
  <c r="U207" i="568" s="1"/>
  <c r="S210" i="568"/>
  <c r="S208" i="568" s="1"/>
  <c r="S207" i="568" s="1"/>
  <c r="S18" i="568"/>
  <c r="S29" i="568"/>
  <c r="Q29" i="568" s="1"/>
  <c r="J56" i="568"/>
  <c r="J63" i="568"/>
  <c r="J77" i="568"/>
  <c r="T77" i="568"/>
  <c r="U77" i="568" s="1"/>
  <c r="T80" i="568"/>
  <c r="U80" i="568" s="1"/>
  <c r="M88" i="568"/>
  <c r="M95" i="568"/>
  <c r="J95" i="568"/>
  <c r="J107" i="568"/>
  <c r="M148" i="568"/>
  <c r="J148" i="568"/>
  <c r="T166" i="568"/>
  <c r="U166" i="568" s="1"/>
  <c r="S166" i="568"/>
  <c r="Q166" i="568" s="1"/>
  <c r="M168" i="568"/>
  <c r="J168" i="568"/>
  <c r="M171" i="568"/>
  <c r="J171" i="568"/>
  <c r="J170" i="568" s="1"/>
  <c r="T175" i="568"/>
  <c r="U175" i="568" s="1"/>
  <c r="T245" i="568"/>
  <c r="U245" i="568" s="1"/>
  <c r="S245" i="568"/>
  <c r="Q245" i="568" s="1"/>
  <c r="T102" i="568"/>
  <c r="U102" i="568" s="1"/>
  <c r="S102" i="568"/>
  <c r="Q102" i="568" s="1"/>
  <c r="T126" i="568"/>
  <c r="U126" i="568" s="1"/>
  <c r="S126" i="568"/>
  <c r="M128" i="568"/>
  <c r="J128" i="568"/>
  <c r="M157" i="568"/>
  <c r="J157" i="568"/>
  <c r="T167" i="568"/>
  <c r="U167" i="568" s="1"/>
  <c r="M167" i="568"/>
  <c r="T203" i="568"/>
  <c r="U203" i="568" s="1"/>
  <c r="U201" i="568" s="1"/>
  <c r="S203" i="568"/>
  <c r="T162" i="568"/>
  <c r="U162" i="568" s="1"/>
  <c r="T191" i="568"/>
  <c r="U191" i="568" s="1"/>
  <c r="S191" i="568"/>
  <c r="M204" i="568"/>
  <c r="J204" i="568"/>
  <c r="M211" i="568"/>
  <c r="J211" i="568"/>
  <c r="T187" i="568"/>
  <c r="U187" i="568" s="1"/>
  <c r="S187" i="568"/>
  <c r="M192" i="568"/>
  <c r="J192" i="568"/>
  <c r="T165" i="568"/>
  <c r="U165" i="568" s="1"/>
  <c r="M184" i="568"/>
  <c r="J184" i="568"/>
  <c r="T199" i="568"/>
  <c r="U199" i="568" s="1"/>
  <c r="S199" i="568"/>
  <c r="Q208" i="568"/>
  <c r="Q207" i="568" s="1"/>
  <c r="L221" i="568"/>
  <c r="I221" i="568"/>
  <c r="M221" i="568" s="1"/>
  <c r="M227" i="568"/>
  <c r="J227" i="568"/>
  <c r="J226" i="568" s="1"/>
  <c r="J225" i="568" s="1"/>
  <c r="T228" i="568"/>
  <c r="U228" i="568" s="1"/>
  <c r="S228" i="568"/>
  <c r="T176" i="568"/>
  <c r="U176" i="568" s="1"/>
  <c r="S217" i="568"/>
  <c r="Q218" i="568"/>
  <c r="Q217" i="568" s="1"/>
  <c r="U236" i="568"/>
  <c r="U243" i="568"/>
  <c r="M243" i="568"/>
  <c r="M259" i="568"/>
  <c r="J259" i="568"/>
  <c r="L236" i="568"/>
  <c r="S258" i="568"/>
  <c r="J267" i="568"/>
  <c r="S278" i="568"/>
  <c r="J283" i="568"/>
  <c r="M299" i="568"/>
  <c r="T397" i="568"/>
  <c r="U397" i="568" s="1"/>
  <c r="S397" i="568"/>
  <c r="Q397" i="568" s="1"/>
  <c r="S259" i="568"/>
  <c r="Q265" i="568"/>
  <c r="J286" i="568"/>
  <c r="J294" i="568"/>
  <c r="J297" i="568"/>
  <c r="J298" i="568"/>
  <c r="I223" i="568"/>
  <c r="T367" i="568"/>
  <c r="S367" i="568"/>
  <c r="Q367" i="568" s="1"/>
  <c r="T396" i="568"/>
  <c r="U396" i="568" s="1"/>
  <c r="S396" i="568"/>
  <c r="Q396" i="568" s="1"/>
  <c r="S262" i="568"/>
  <c r="S266" i="568"/>
  <c r="Q266" i="568" s="1"/>
  <c r="J279" i="568"/>
  <c r="J287" i="568"/>
  <c r="J295" i="568"/>
  <c r="S402" i="568"/>
  <c r="Q402" i="568" s="1"/>
  <c r="T402" i="568"/>
  <c r="U402" i="568" s="1"/>
  <c r="T368" i="568"/>
  <c r="S368" i="568"/>
  <c r="Q368" i="568" s="1"/>
  <c r="T401" i="568"/>
  <c r="U401" i="568" s="1"/>
  <c r="S401" i="568"/>
  <c r="T417" i="568"/>
  <c r="U417" i="568" s="1"/>
  <c r="S417" i="568"/>
  <c r="Q417" i="568" s="1"/>
  <c r="T468" i="568"/>
  <c r="U468" i="568" s="1"/>
  <c r="S468" i="568"/>
  <c r="Q468" i="568" s="1"/>
  <c r="M496" i="568"/>
  <c r="J496" i="568"/>
  <c r="S307" i="568"/>
  <c r="Q307" i="568" s="1"/>
  <c r="J317" i="568"/>
  <c r="J370" i="568"/>
  <c r="J371" i="568"/>
  <c r="J372" i="568"/>
  <c r="J376" i="568"/>
  <c r="J377" i="568"/>
  <c r="J378" i="568"/>
  <c r="J379" i="568"/>
  <c r="J387" i="568"/>
  <c r="S392" i="568"/>
  <c r="S395" i="568"/>
  <c r="T409" i="568"/>
  <c r="S409" i="568"/>
  <c r="S445" i="568"/>
  <c r="Q445" i="568" s="1"/>
  <c r="T445" i="568"/>
  <c r="U445" i="568" s="1"/>
  <c r="T464" i="568"/>
  <c r="U464" i="568" s="1"/>
  <c r="S464" i="568"/>
  <c r="T531" i="568"/>
  <c r="U531" i="568" s="1"/>
  <c r="S531" i="568"/>
  <c r="Q531" i="568" s="1"/>
  <c r="L331" i="568"/>
  <c r="L339" i="568"/>
  <c r="S355" i="568"/>
  <c r="J373" i="568"/>
  <c r="S383" i="568"/>
  <c r="S413" i="568"/>
  <c r="Q413" i="568" s="1"/>
  <c r="J418" i="568"/>
  <c r="T426" i="568"/>
  <c r="U426" i="568" s="1"/>
  <c r="S426" i="568"/>
  <c r="Q426" i="568" s="1"/>
  <c r="S432" i="568"/>
  <c r="Q432" i="568" s="1"/>
  <c r="T461" i="568"/>
  <c r="U461" i="568" s="1"/>
  <c r="S461" i="568"/>
  <c r="Q461" i="568" s="1"/>
  <c r="S474" i="568"/>
  <c r="Q474" i="568" s="1"/>
  <c r="T474" i="568"/>
  <c r="U474" i="568" s="1"/>
  <c r="T484" i="568"/>
  <c r="U484" i="568" s="1"/>
  <c r="S484" i="568"/>
  <c r="Q484" i="568" s="1"/>
  <c r="S503" i="568"/>
  <c r="Q503" i="568" s="1"/>
  <c r="T503" i="568"/>
  <c r="U503" i="568" s="1"/>
  <c r="M545" i="568"/>
  <c r="J545" i="568"/>
  <c r="S313" i="568"/>
  <c r="Q313" i="568" s="1"/>
  <c r="S314" i="568"/>
  <c r="Q314" i="568" s="1"/>
  <c r="M318" i="568"/>
  <c r="S321" i="568"/>
  <c r="J335" i="568"/>
  <c r="J323" i="568" s="1"/>
  <c r="J350" i="568"/>
  <c r="S356" i="568"/>
  <c r="Q356" i="568" s="1"/>
  <c r="S357" i="568"/>
  <c r="Q357" i="568" s="1"/>
  <c r="S358" i="568"/>
  <c r="Q358" i="568" s="1"/>
  <c r="S359" i="568"/>
  <c r="Q359" i="568" s="1"/>
  <c r="S360" i="568"/>
  <c r="Q360" i="568" s="1"/>
  <c r="S361" i="568"/>
  <c r="Q361" i="568" s="1"/>
  <c r="S362" i="568"/>
  <c r="Q362" i="568" s="1"/>
  <c r="S363" i="568"/>
  <c r="Q363" i="568" s="1"/>
  <c r="S364" i="568"/>
  <c r="Q364" i="568" s="1"/>
  <c r="S365" i="568"/>
  <c r="Q365" i="568" s="1"/>
  <c r="S366" i="568"/>
  <c r="Q366" i="568" s="1"/>
  <c r="S384" i="568"/>
  <c r="Q384" i="568" s="1"/>
  <c r="J395" i="568"/>
  <c r="J410" i="568"/>
  <c r="O408" i="568"/>
  <c r="T412" i="568"/>
  <c r="U412" i="568" s="1"/>
  <c r="S412" i="568"/>
  <c r="Q412" i="568" s="1"/>
  <c r="T416" i="568"/>
  <c r="U416" i="568" s="1"/>
  <c r="S416" i="568"/>
  <c r="Q416" i="568" s="1"/>
  <c r="T431" i="568"/>
  <c r="U431" i="568" s="1"/>
  <c r="T434" i="568"/>
  <c r="U434" i="568" s="1"/>
  <c r="S434" i="568"/>
  <c r="Q434" i="568" s="1"/>
  <c r="T454" i="568"/>
  <c r="U454" i="568" s="1"/>
  <c r="S454" i="568"/>
  <c r="Q454" i="568" s="1"/>
  <c r="S470" i="568"/>
  <c r="Q470" i="568" s="1"/>
  <c r="T470" i="568"/>
  <c r="U470" i="568" s="1"/>
  <c r="M482" i="568"/>
  <c r="J482" i="568"/>
  <c r="M485" i="568"/>
  <c r="J485" i="568"/>
  <c r="S512" i="568"/>
  <c r="T512" i="568"/>
  <c r="U512" i="568" s="1"/>
  <c r="U511" i="568" s="1"/>
  <c r="Q376" i="568"/>
  <c r="S405" i="568"/>
  <c r="J414" i="568"/>
  <c r="T450" i="568"/>
  <c r="U450" i="568" s="1"/>
  <c r="S450" i="568"/>
  <c r="S466" i="568"/>
  <c r="Q466" i="568" s="1"/>
  <c r="T466" i="568"/>
  <c r="U466" i="568" s="1"/>
  <c r="S486" i="568"/>
  <c r="Q486" i="568" s="1"/>
  <c r="T486" i="568"/>
  <c r="U486" i="568" s="1"/>
  <c r="T499" i="568"/>
  <c r="U499" i="568" s="1"/>
  <c r="S499" i="568"/>
  <c r="Q499" i="568" s="1"/>
  <c r="T440" i="568"/>
  <c r="U440" i="568" s="1"/>
  <c r="S440" i="568"/>
  <c r="Q440" i="568" s="1"/>
  <c r="T447" i="568"/>
  <c r="U447" i="568" s="1"/>
  <c r="S447" i="568"/>
  <c r="Q447" i="568" s="1"/>
  <c r="M527" i="568"/>
  <c r="J527" i="568"/>
  <c r="S411" i="568"/>
  <c r="Q411" i="568" s="1"/>
  <c r="S415" i="568"/>
  <c r="Q415" i="568" s="1"/>
  <c r="S422" i="568"/>
  <c r="S425" i="568"/>
  <c r="T430" i="568"/>
  <c r="U430" i="568" s="1"/>
  <c r="S430" i="568"/>
  <c r="T433" i="568"/>
  <c r="U433" i="568" s="1"/>
  <c r="S433" i="568"/>
  <c r="Q433" i="568" s="1"/>
  <c r="J438" i="568"/>
  <c r="S459" i="568"/>
  <c r="Q459" i="568" s="1"/>
  <c r="T459" i="568"/>
  <c r="U459" i="568" s="1"/>
  <c r="S488" i="568"/>
  <c r="Q488" i="568" s="1"/>
  <c r="T488" i="568"/>
  <c r="U488" i="568" s="1"/>
  <c r="T493" i="568"/>
  <c r="U493" i="568" s="1"/>
  <c r="U492" i="568" s="1"/>
  <c r="S493" i="568"/>
  <c r="T525" i="568"/>
  <c r="U525" i="568" s="1"/>
  <c r="S525" i="568"/>
  <c r="Q525" i="568" s="1"/>
  <c r="L406" i="568"/>
  <c r="J406" i="568"/>
  <c r="J404" i="568" s="1"/>
  <c r="T427" i="568"/>
  <c r="U427" i="568" s="1"/>
  <c r="S427" i="568"/>
  <c r="Q427" i="568" s="1"/>
  <c r="S452" i="568"/>
  <c r="Q452" i="568" s="1"/>
  <c r="T452" i="568"/>
  <c r="U452" i="568" s="1"/>
  <c r="T472" i="568"/>
  <c r="U472" i="568" s="1"/>
  <c r="S472" i="568"/>
  <c r="Q472" i="568" s="1"/>
  <c r="T536" i="568"/>
  <c r="U536" i="568" s="1"/>
  <c r="S536" i="568"/>
  <c r="Q536" i="568" s="1"/>
  <c r="M585" i="568"/>
  <c r="U585" i="568"/>
  <c r="T629" i="568"/>
  <c r="U629" i="568" s="1"/>
  <c r="S629" i="568"/>
  <c r="Q629" i="568" s="1"/>
  <c r="J500" i="568"/>
  <c r="M500" i="568"/>
  <c r="T507" i="568"/>
  <c r="U507" i="568" s="1"/>
  <c r="S507" i="568"/>
  <c r="Q507" i="568" s="1"/>
  <c r="T532" i="568"/>
  <c r="U532" i="568" s="1"/>
  <c r="S532" i="568"/>
  <c r="Q532" i="568" s="1"/>
  <c r="J588" i="568"/>
  <c r="M588" i="568"/>
  <c r="J411" i="568"/>
  <c r="J415" i="568"/>
  <c r="M504" i="568"/>
  <c r="J504" i="568"/>
  <c r="M523" i="568"/>
  <c r="J523" i="568"/>
  <c r="T537" i="568"/>
  <c r="U537" i="568" s="1"/>
  <c r="S537" i="568"/>
  <c r="Q537" i="568" s="1"/>
  <c r="M539" i="568"/>
  <c r="J539" i="568"/>
  <c r="Q545" i="568"/>
  <c r="I582" i="568"/>
  <c r="L582" i="568"/>
  <c r="M597" i="568"/>
  <c r="J597" i="568"/>
  <c r="J486" i="568"/>
  <c r="J488" i="568"/>
  <c r="M489" i="568"/>
  <c r="J489" i="568"/>
  <c r="S498" i="568"/>
  <c r="Q498" i="568" s="1"/>
  <c r="S527" i="568"/>
  <c r="Q527" i="568" s="1"/>
  <c r="T528" i="568"/>
  <c r="U528" i="568" s="1"/>
  <c r="S528" i="568"/>
  <c r="Q528" i="568" s="1"/>
  <c r="J571" i="568"/>
  <c r="M571" i="568"/>
  <c r="T533" i="568"/>
  <c r="U533" i="568" s="1"/>
  <c r="S533" i="568"/>
  <c r="Q533" i="568" s="1"/>
  <c r="M535" i="568"/>
  <c r="J535" i="568"/>
  <c r="S541" i="568"/>
  <c r="Q541" i="568" s="1"/>
  <c r="S551" i="568"/>
  <c r="J480" i="568"/>
  <c r="S481" i="568"/>
  <c r="Q481" i="568" s="1"/>
  <c r="Q501" i="568"/>
  <c r="S506" i="568"/>
  <c r="Q506" i="568" s="1"/>
  <c r="J517" i="568"/>
  <c r="T519" i="568"/>
  <c r="U519" i="568" s="1"/>
  <c r="S519" i="568"/>
  <c r="Q519" i="568" s="1"/>
  <c r="S523" i="568"/>
  <c r="T524" i="568"/>
  <c r="U524" i="568" s="1"/>
  <c r="S524" i="568"/>
  <c r="Q524" i="568" s="1"/>
  <c r="M596" i="568"/>
  <c r="J596" i="568"/>
  <c r="M493" i="568"/>
  <c r="J493" i="568"/>
  <c r="J492" i="568" s="1"/>
  <c r="J503" i="568"/>
  <c r="J512" i="568"/>
  <c r="J511" i="568" s="1"/>
  <c r="T529" i="568"/>
  <c r="U529" i="568" s="1"/>
  <c r="S529" i="568"/>
  <c r="Q529" i="568" s="1"/>
  <c r="M531" i="568"/>
  <c r="J531" i="568"/>
  <c r="U580" i="568"/>
  <c r="M580" i="568"/>
  <c r="M525" i="568"/>
  <c r="T526" i="568"/>
  <c r="U526" i="568" s="1"/>
  <c r="M529" i="568"/>
  <c r="T530" i="568"/>
  <c r="U530" i="568" s="1"/>
  <c r="M533" i="568"/>
  <c r="T534" i="568"/>
  <c r="U534" i="568" s="1"/>
  <c r="M537" i="568"/>
  <c r="T538" i="568"/>
  <c r="U538" i="568" s="1"/>
  <c r="T621" i="568"/>
  <c r="U621" i="568" s="1"/>
  <c r="S621" i="568"/>
  <c r="M651" i="568"/>
  <c r="J651" i="568"/>
  <c r="Q671" i="568"/>
  <c r="U671" i="568"/>
  <c r="Q560" i="568"/>
  <c r="Q559" i="568" s="1"/>
  <c r="J570" i="568"/>
  <c r="T578" i="568"/>
  <c r="U578" i="568" s="1"/>
  <c r="M607" i="568"/>
  <c r="M609" i="568"/>
  <c r="J611" i="568"/>
  <c r="J634" i="568"/>
  <c r="M634" i="568"/>
  <c r="T634" i="568"/>
  <c r="U634" i="568" s="1"/>
  <c r="M667" i="568"/>
  <c r="T667" i="568" s="1"/>
  <c r="U667" i="568"/>
  <c r="T671" i="568"/>
  <c r="M637" i="568"/>
  <c r="J637" i="568"/>
  <c r="J652" i="568"/>
  <c r="M652" i="568"/>
  <c r="T570" i="568"/>
  <c r="U570" i="568" s="1"/>
  <c r="J578" i="568"/>
  <c r="L579" i="568"/>
  <c r="Q595" i="568"/>
  <c r="M616" i="568"/>
  <c r="M641" i="568"/>
  <c r="J641" i="568"/>
  <c r="M655" i="568"/>
  <c r="J655" i="568"/>
  <c r="T666" i="568"/>
  <c r="U666" i="568" s="1"/>
  <c r="S666" i="568"/>
  <c r="T692" i="568"/>
  <c r="U692" i="568" s="1"/>
  <c r="S692" i="568"/>
  <c r="S698" i="568"/>
  <c r="Q698" i="568" s="1"/>
  <c r="S706" i="568"/>
  <c r="Q706" i="568" s="1"/>
  <c r="M712" i="568"/>
  <c r="J712" i="568"/>
  <c r="T719" i="568"/>
  <c r="U719" i="568" s="1"/>
  <c r="U716" i="568" s="1"/>
  <c r="S719" i="568"/>
  <c r="S725" i="568"/>
  <c r="Q673" i="568"/>
  <c r="M720" i="568"/>
  <c r="J720" i="568"/>
  <c r="M622" i="568"/>
  <c r="J622" i="568"/>
  <c r="M678" i="568"/>
  <c r="T678" i="568" s="1"/>
  <c r="S714" i="568"/>
  <c r="Q714" i="568" s="1"/>
  <c r="S718" i="568"/>
  <c r="Q713" i="568"/>
  <c r="T658" i="568"/>
  <c r="U658" i="568" s="1"/>
  <c r="S658" i="568"/>
  <c r="Q658" i="568" s="1"/>
  <c r="O665" i="568"/>
  <c r="T690" i="568"/>
  <c r="U690" i="568" s="1"/>
  <c r="S690" i="568"/>
  <c r="Q690" i="568" s="1"/>
  <c r="T663" i="568"/>
  <c r="U663" i="568" s="1"/>
  <c r="U662" i="568" s="1"/>
  <c r="S663" i="568"/>
  <c r="T703" i="568"/>
  <c r="U703" i="568" s="1"/>
  <c r="S703" i="568"/>
  <c r="Q703" i="568" s="1"/>
  <c r="Q631" i="568"/>
  <c r="T650" i="568"/>
  <c r="U650" i="568" s="1"/>
  <c r="S650" i="568"/>
  <c r="J654" i="568"/>
  <c r="S657" i="568"/>
  <c r="J659" i="568"/>
  <c r="Q669" i="568"/>
  <c r="T677" i="568"/>
  <c r="U677" i="568" s="1"/>
  <c r="S677" i="568"/>
  <c r="Q677" i="568" s="1"/>
  <c r="Q678" i="568"/>
  <c r="M691" i="568"/>
  <c r="J691" i="568"/>
  <c r="T699" i="568"/>
  <c r="U699" i="568" s="1"/>
  <c r="S699" i="568"/>
  <c r="Q699" i="568" s="1"/>
  <c r="T707" i="568"/>
  <c r="U707" i="568" s="1"/>
  <c r="S707" i="568"/>
  <c r="Q707" i="568" s="1"/>
  <c r="T711" i="568"/>
  <c r="U711" i="568" s="1"/>
  <c r="S711" i="568"/>
  <c r="Q711" i="568" s="1"/>
  <c r="T726" i="568"/>
  <c r="U726" i="568" s="1"/>
  <c r="U723" i="568" s="1"/>
  <c r="U722" i="568" s="1"/>
  <c r="S726" i="568"/>
  <c r="Q675" i="568"/>
  <c r="S684" i="568"/>
  <c r="Q684" i="568"/>
  <c r="M696" i="568"/>
  <c r="J696" i="568"/>
  <c r="O695" i="568"/>
  <c r="M700" i="568"/>
  <c r="J700" i="568"/>
  <c r="M704" i="568"/>
  <c r="J704" i="568"/>
  <c r="M708" i="568"/>
  <c r="J708" i="568"/>
  <c r="M727" i="568"/>
  <c r="J727" i="568"/>
  <c r="J723" i="568" s="1"/>
  <c r="J722" i="568" s="1"/>
  <c r="Q634" i="568"/>
  <c r="T191" i="567"/>
  <c r="V191" i="567" s="1"/>
  <c r="W191" i="567" s="1"/>
  <c r="T193" i="567"/>
  <c r="T194" i="567"/>
  <c r="U194" i="567" s="1"/>
  <c r="T199" i="567"/>
  <c r="T201" i="567"/>
  <c r="T198" i="567"/>
  <c r="U198" i="567" s="1"/>
  <c r="T190" i="567"/>
  <c r="U190" i="567" s="1"/>
  <c r="T565" i="567"/>
  <c r="U565" i="567" s="1"/>
  <c r="W699" i="567"/>
  <c r="W698" i="567" s="1"/>
  <c r="T741" i="567"/>
  <c r="F763" i="567"/>
  <c r="E763" i="567"/>
  <c r="D763" i="567"/>
  <c r="H762" i="567"/>
  <c r="H761" i="567"/>
  <c r="H760" i="567"/>
  <c r="H759" i="567"/>
  <c r="T743" i="567"/>
  <c r="U743" i="567" s="1"/>
  <c r="Q743" i="567"/>
  <c r="J743" i="567"/>
  <c r="O743" i="567" s="1"/>
  <c r="T742" i="567"/>
  <c r="U742" i="567" s="1"/>
  <c r="Q742" i="567"/>
  <c r="J742" i="567"/>
  <c r="Q741" i="567"/>
  <c r="J741" i="567"/>
  <c r="O741" i="567" s="1"/>
  <c r="T740" i="567"/>
  <c r="U740" i="567" s="1"/>
  <c r="Q740" i="567"/>
  <c r="J740" i="567"/>
  <c r="K740" i="567" s="1"/>
  <c r="T739" i="567"/>
  <c r="V739" i="567" s="1"/>
  <c r="W739" i="567" s="1"/>
  <c r="Q739" i="567"/>
  <c r="J739" i="567"/>
  <c r="K739" i="567" s="1"/>
  <c r="V738" i="567"/>
  <c r="V737" i="567"/>
  <c r="T735" i="567"/>
  <c r="U735" i="567" s="1"/>
  <c r="Q735" i="567"/>
  <c r="J735" i="567"/>
  <c r="T734" i="567"/>
  <c r="V734" i="567" s="1"/>
  <c r="W734" i="567" s="1"/>
  <c r="Q734" i="567"/>
  <c r="J734" i="567"/>
  <c r="O734" i="567" s="1"/>
  <c r="T733" i="567"/>
  <c r="U733" i="567" s="1"/>
  <c r="Q733" i="567"/>
  <c r="J733" i="567"/>
  <c r="K733" i="567" s="1"/>
  <c r="T732" i="567"/>
  <c r="V732" i="567" s="1"/>
  <c r="W732" i="567" s="1"/>
  <c r="Q732" i="567"/>
  <c r="J732" i="567"/>
  <c r="K732" i="567" s="1"/>
  <c r="V731" i="567"/>
  <c r="T729" i="567"/>
  <c r="U729" i="567" s="1"/>
  <c r="Q729" i="567"/>
  <c r="J729" i="567"/>
  <c r="K729" i="567" s="1"/>
  <c r="T728" i="567"/>
  <c r="Q728" i="567"/>
  <c r="J728" i="567"/>
  <c r="K728" i="567" s="1"/>
  <c r="T727" i="567"/>
  <c r="U727" i="567" s="1"/>
  <c r="Q727" i="567"/>
  <c r="J727" i="567"/>
  <c r="T726" i="567"/>
  <c r="Q726" i="567"/>
  <c r="J726" i="567"/>
  <c r="K726" i="567" s="1"/>
  <c r="T725" i="567"/>
  <c r="Q725" i="567"/>
  <c r="J725" i="567"/>
  <c r="O725" i="567" s="1"/>
  <c r="T724" i="567"/>
  <c r="U724" i="567" s="1"/>
  <c r="Q724" i="567"/>
  <c r="J724" i="567"/>
  <c r="T723" i="567"/>
  <c r="U723" i="567" s="1"/>
  <c r="Q723" i="567"/>
  <c r="J723" i="567"/>
  <c r="T722" i="567"/>
  <c r="V722" i="567" s="1"/>
  <c r="W722" i="567" s="1"/>
  <c r="Q722" i="567"/>
  <c r="J722" i="567"/>
  <c r="O722" i="567" s="1"/>
  <c r="T721" i="567"/>
  <c r="U721" i="567" s="1"/>
  <c r="Q721" i="567"/>
  <c r="J721" i="567"/>
  <c r="K721" i="567" s="1"/>
  <c r="T720" i="567"/>
  <c r="V720" i="567" s="1"/>
  <c r="W720" i="567" s="1"/>
  <c r="Q720" i="567"/>
  <c r="J720" i="567"/>
  <c r="K720" i="567" s="1"/>
  <c r="T719" i="567"/>
  <c r="V719" i="567" s="1"/>
  <c r="W719" i="567" s="1"/>
  <c r="Q719" i="567"/>
  <c r="J719" i="567"/>
  <c r="K719" i="567" s="1"/>
  <c r="T718" i="567"/>
  <c r="Q718" i="567"/>
  <c r="J718" i="567"/>
  <c r="K718" i="567" s="1"/>
  <c r="T717" i="567"/>
  <c r="V717" i="567" s="1"/>
  <c r="W717" i="567" s="1"/>
  <c r="Q717" i="567"/>
  <c r="J717" i="567"/>
  <c r="O717" i="567" s="1"/>
  <c r="T716" i="567"/>
  <c r="U716" i="567" s="1"/>
  <c r="Q716" i="567"/>
  <c r="J716" i="567"/>
  <c r="K716" i="567" s="1"/>
  <c r="T715" i="567"/>
  <c r="U715" i="567" s="1"/>
  <c r="Q715" i="567"/>
  <c r="J715" i="567"/>
  <c r="T714" i="567"/>
  <c r="Q714" i="567"/>
  <c r="J714" i="567"/>
  <c r="O714" i="567" s="1"/>
  <c r="T713" i="567"/>
  <c r="U713" i="567" s="1"/>
  <c r="Q713" i="567"/>
  <c r="J713" i="567"/>
  <c r="T712" i="567"/>
  <c r="V712" i="567" s="1"/>
  <c r="W712" i="567" s="1"/>
  <c r="Q712" i="567"/>
  <c r="J712" i="567"/>
  <c r="K712" i="567" s="1"/>
  <c r="T711" i="567"/>
  <c r="U711" i="567" s="1"/>
  <c r="Q711" i="567"/>
  <c r="J711" i="567"/>
  <c r="O711" i="567" s="1"/>
  <c r="V710" i="567"/>
  <c r="V709" i="567"/>
  <c r="J706" i="567"/>
  <c r="T705" i="567"/>
  <c r="Q705" i="567"/>
  <c r="J705" i="567"/>
  <c r="T704" i="567"/>
  <c r="Q704" i="567"/>
  <c r="J704" i="567"/>
  <c r="O704" i="567" s="1"/>
  <c r="J703" i="567"/>
  <c r="K703" i="567" s="1"/>
  <c r="V702" i="567"/>
  <c r="V701" i="567"/>
  <c r="Q699" i="567"/>
  <c r="Q698" i="567" s="1"/>
  <c r="J699" i="567"/>
  <c r="V698" i="567"/>
  <c r="L694" i="567"/>
  <c r="J694" i="567"/>
  <c r="T693" i="567"/>
  <c r="U693" i="567" s="1"/>
  <c r="S693" i="567"/>
  <c r="L693" i="567"/>
  <c r="J693" i="567"/>
  <c r="H27" i="584" s="1"/>
  <c r="H28" i="584" s="1"/>
  <c r="L692" i="567"/>
  <c r="J692" i="567"/>
  <c r="O692" i="567" s="1"/>
  <c r="T691" i="567"/>
  <c r="U691" i="567" s="1"/>
  <c r="Q691" i="567"/>
  <c r="K691" i="567"/>
  <c r="R690" i="567"/>
  <c r="T690" i="567" s="1"/>
  <c r="U690" i="567" s="1"/>
  <c r="Q690" i="567"/>
  <c r="N690" i="567"/>
  <c r="K690" i="567"/>
  <c r="J690" i="567"/>
  <c r="O690" i="567" s="1"/>
  <c r="T689" i="567"/>
  <c r="Q689" i="567"/>
  <c r="J689" i="567"/>
  <c r="K689" i="567" s="1"/>
  <c r="R688" i="567"/>
  <c r="T688" i="567" s="1"/>
  <c r="U688" i="567" s="1"/>
  <c r="Q688" i="567"/>
  <c r="K688" i="567"/>
  <c r="I688" i="567"/>
  <c r="N688" i="567" s="1"/>
  <c r="R687" i="567"/>
  <c r="T687" i="567" s="1"/>
  <c r="U687" i="567" s="1"/>
  <c r="Q687" i="567"/>
  <c r="K687" i="567"/>
  <c r="I687" i="567"/>
  <c r="J687" i="567" s="1"/>
  <c r="O687" i="567" s="1"/>
  <c r="R686" i="567"/>
  <c r="T686" i="567" s="1"/>
  <c r="U686" i="567" s="1"/>
  <c r="Q686" i="567"/>
  <c r="K686" i="567"/>
  <c r="I686" i="567"/>
  <c r="N686" i="567" s="1"/>
  <c r="R685" i="567"/>
  <c r="T685" i="567" s="1"/>
  <c r="U685" i="567" s="1"/>
  <c r="Q685" i="567"/>
  <c r="K685" i="567"/>
  <c r="I685" i="567"/>
  <c r="J685" i="567" s="1"/>
  <c r="O685" i="567" s="1"/>
  <c r="R684" i="567"/>
  <c r="T684" i="567" s="1"/>
  <c r="U684" i="567" s="1"/>
  <c r="Q684" i="567"/>
  <c r="K684" i="567"/>
  <c r="I684" i="567"/>
  <c r="N684" i="567" s="1"/>
  <c r="R683" i="567"/>
  <c r="T683" i="567" s="1"/>
  <c r="U683" i="567" s="1"/>
  <c r="Q683" i="567"/>
  <c r="K683" i="567"/>
  <c r="I683" i="567"/>
  <c r="J683" i="567" s="1"/>
  <c r="O683" i="567" s="1"/>
  <c r="T682" i="567"/>
  <c r="U682" i="567" s="1"/>
  <c r="Q682" i="567"/>
  <c r="K682" i="567"/>
  <c r="R681" i="567"/>
  <c r="T681" i="567" s="1"/>
  <c r="U681" i="567" s="1"/>
  <c r="Q681" i="567"/>
  <c r="K681" i="567"/>
  <c r="I681" i="567"/>
  <c r="N681" i="567" s="1"/>
  <c r="T680" i="567"/>
  <c r="U680" i="567" s="1"/>
  <c r="Q680" i="567"/>
  <c r="K680" i="567"/>
  <c r="R679" i="567"/>
  <c r="T679" i="567" s="1"/>
  <c r="U679" i="567" s="1"/>
  <c r="Q679" i="567"/>
  <c r="K679" i="567"/>
  <c r="I679" i="567"/>
  <c r="T678" i="567"/>
  <c r="U678" i="567" s="1"/>
  <c r="Q678" i="567"/>
  <c r="J678" i="567"/>
  <c r="K678" i="567" s="1"/>
  <c r="V677" i="567"/>
  <c r="T675" i="567"/>
  <c r="V675" i="567" s="1"/>
  <c r="W675" i="567" s="1"/>
  <c r="W674" i="567" s="1"/>
  <c r="Q675" i="567"/>
  <c r="Q674" i="567" s="1"/>
  <c r="J675" i="567"/>
  <c r="K675" i="567" s="1"/>
  <c r="K674" i="567" s="1"/>
  <c r="V674" i="567"/>
  <c r="T671" i="567"/>
  <c r="Q671" i="567"/>
  <c r="O671" i="567"/>
  <c r="L671" i="567"/>
  <c r="T670" i="567"/>
  <c r="U670" i="567" s="1"/>
  <c r="Q670" i="567"/>
  <c r="J670" i="567"/>
  <c r="K670" i="567" s="1"/>
  <c r="T669" i="567"/>
  <c r="U669" i="567" s="1"/>
  <c r="Q669" i="567"/>
  <c r="J669" i="567"/>
  <c r="K669" i="567" s="1"/>
  <c r="T668" i="567"/>
  <c r="V668" i="567" s="1"/>
  <c r="W668" i="567" s="1"/>
  <c r="Q668" i="567"/>
  <c r="J668" i="567"/>
  <c r="T667" i="567"/>
  <c r="Q667" i="567"/>
  <c r="J667" i="567"/>
  <c r="T666" i="567"/>
  <c r="U666" i="567" s="1"/>
  <c r="Q666" i="567"/>
  <c r="J666" i="567"/>
  <c r="O666" i="567" s="1"/>
  <c r="T665" i="567"/>
  <c r="Q665" i="567"/>
  <c r="J665" i="567"/>
  <c r="K665" i="567" s="1"/>
  <c r="T664" i="567"/>
  <c r="V664" i="567" s="1"/>
  <c r="W664" i="567" s="1"/>
  <c r="Q664" i="567"/>
  <c r="J664" i="567"/>
  <c r="T663" i="567"/>
  <c r="U663" i="567" s="1"/>
  <c r="Q663" i="567"/>
  <c r="J663" i="567"/>
  <c r="T662" i="567"/>
  <c r="Q662" i="567"/>
  <c r="J662" i="567"/>
  <c r="K662" i="567" s="1"/>
  <c r="T661" i="567"/>
  <c r="V661" i="567" s="1"/>
  <c r="W661" i="567" s="1"/>
  <c r="Q661" i="567"/>
  <c r="J661" i="567"/>
  <c r="O661" i="567" s="1"/>
  <c r="P660" i="567"/>
  <c r="J660" i="567"/>
  <c r="K660" i="567" s="1"/>
  <c r="K659" i="567"/>
  <c r="H659" i="567"/>
  <c r="V658" i="567"/>
  <c r="V657" i="567"/>
  <c r="T655" i="567"/>
  <c r="Q655" i="567"/>
  <c r="J655" i="567"/>
  <c r="K655" i="567" s="1"/>
  <c r="J654" i="567"/>
  <c r="J653" i="567"/>
  <c r="O653" i="567" s="1"/>
  <c r="J652" i="567"/>
  <c r="O652" i="567" s="1"/>
  <c r="J651" i="567"/>
  <c r="J650" i="567"/>
  <c r="K650" i="567" s="1"/>
  <c r="T649" i="567"/>
  <c r="Q649" i="567"/>
  <c r="J649" i="567"/>
  <c r="K649" i="567" s="1"/>
  <c r="T648" i="567"/>
  <c r="Q648" i="567"/>
  <c r="J648" i="567"/>
  <c r="O648" i="567" s="1"/>
  <c r="T647" i="567"/>
  <c r="U647" i="567" s="1"/>
  <c r="Q647" i="567"/>
  <c r="J647" i="567"/>
  <c r="O647" i="567" s="1"/>
  <c r="T646" i="567"/>
  <c r="V646" i="567" s="1"/>
  <c r="W646" i="567" s="1"/>
  <c r="Q646" i="567"/>
  <c r="J646" i="567"/>
  <c r="T645" i="567"/>
  <c r="U645" i="567" s="1"/>
  <c r="Q645" i="567"/>
  <c r="J645" i="567"/>
  <c r="O645" i="567" s="1"/>
  <c r="V644" i="567"/>
  <c r="T642" i="567"/>
  <c r="V642" i="567" s="1"/>
  <c r="W642" i="567" s="1"/>
  <c r="Q642" i="567"/>
  <c r="J642" i="567"/>
  <c r="O642" i="567" s="1"/>
  <c r="T641" i="567"/>
  <c r="Q641" i="567"/>
  <c r="J641" i="567"/>
  <c r="K641" i="567" s="1"/>
  <c r="T640" i="567"/>
  <c r="V640" i="567" s="1"/>
  <c r="W640" i="567" s="1"/>
  <c r="Q640" i="567"/>
  <c r="J640" i="567"/>
  <c r="O640" i="567" s="1"/>
  <c r="T639" i="567"/>
  <c r="V639" i="567" s="1"/>
  <c r="W639" i="567" s="1"/>
  <c r="Q639" i="567"/>
  <c r="J639" i="567"/>
  <c r="O639" i="567" s="1"/>
  <c r="V638" i="567"/>
  <c r="J635" i="567"/>
  <c r="K635" i="567" s="1"/>
  <c r="J634" i="567"/>
  <c r="J633" i="567"/>
  <c r="O633" i="567" s="1"/>
  <c r="J632" i="567"/>
  <c r="O632" i="567" s="1"/>
  <c r="T631" i="567"/>
  <c r="U631" i="567" s="1"/>
  <c r="Q631" i="567"/>
  <c r="J631" i="567"/>
  <c r="K631" i="567" s="1"/>
  <c r="T630" i="567"/>
  <c r="V630" i="567" s="1"/>
  <c r="W630" i="567" s="1"/>
  <c r="Q630" i="567"/>
  <c r="J630" i="567"/>
  <c r="V629" i="567"/>
  <c r="J627" i="567"/>
  <c r="J626" i="567"/>
  <c r="O626" i="567" s="1"/>
  <c r="J625" i="567"/>
  <c r="J624" i="567"/>
  <c r="K624" i="567" s="1"/>
  <c r="V623" i="567"/>
  <c r="J621" i="567"/>
  <c r="K621" i="567" s="1"/>
  <c r="J620" i="567"/>
  <c r="O620" i="567" s="1"/>
  <c r="J619" i="567"/>
  <c r="J618" i="567"/>
  <c r="O618" i="567" s="1"/>
  <c r="J617" i="567"/>
  <c r="O617" i="567" s="1"/>
  <c r="V616" i="567"/>
  <c r="J614" i="567"/>
  <c r="J613" i="567"/>
  <c r="J612" i="567"/>
  <c r="O612" i="567" s="1"/>
  <c r="J611" i="567"/>
  <c r="J610" i="567"/>
  <c r="O610" i="567" s="1"/>
  <c r="V609" i="567"/>
  <c r="V607" i="567"/>
  <c r="W607" i="567" s="1"/>
  <c r="U607" i="567"/>
  <c r="Q607" i="567"/>
  <c r="J607" i="567"/>
  <c r="O607" i="567" s="1"/>
  <c r="T606" i="567"/>
  <c r="V606" i="567" s="1"/>
  <c r="W606" i="567" s="1"/>
  <c r="Q606" i="567"/>
  <c r="J606" i="567"/>
  <c r="T605" i="567"/>
  <c r="V605" i="567" s="1"/>
  <c r="W605" i="567" s="1"/>
  <c r="Q605" i="567"/>
  <c r="J605" i="567"/>
  <c r="V604" i="567"/>
  <c r="T602" i="567"/>
  <c r="V602" i="567" s="1"/>
  <c r="W602" i="567" s="1"/>
  <c r="W601" i="567" s="1"/>
  <c r="Q602" i="567"/>
  <c r="Q601" i="567" s="1"/>
  <c r="J602" i="567"/>
  <c r="K602" i="567" s="1"/>
  <c r="K601" i="567" s="1"/>
  <c r="V601" i="567"/>
  <c r="J599" i="567"/>
  <c r="C599" i="567"/>
  <c r="T598" i="567"/>
  <c r="Q598" i="567"/>
  <c r="J598" i="567"/>
  <c r="K598" i="567" s="1"/>
  <c r="K597" i="567"/>
  <c r="T596" i="567"/>
  <c r="U596" i="567" s="1"/>
  <c r="Q596" i="567"/>
  <c r="K596" i="567"/>
  <c r="I596" i="567"/>
  <c r="T595" i="567"/>
  <c r="U595" i="567" s="1"/>
  <c r="Q595" i="567"/>
  <c r="K595" i="567"/>
  <c r="I595" i="567"/>
  <c r="K594" i="567"/>
  <c r="K593" i="567"/>
  <c r="R592" i="567"/>
  <c r="T592" i="567" s="1"/>
  <c r="U592" i="567" s="1"/>
  <c r="Q592" i="567"/>
  <c r="K592" i="567"/>
  <c r="I592" i="567"/>
  <c r="J592" i="567" s="1"/>
  <c r="T591" i="567"/>
  <c r="U591" i="567" s="1"/>
  <c r="Q591" i="567"/>
  <c r="K591" i="567"/>
  <c r="I591" i="567"/>
  <c r="N591" i="567" s="1"/>
  <c r="R590" i="567"/>
  <c r="T590" i="567" s="1"/>
  <c r="U590" i="567" s="1"/>
  <c r="Q590" i="567"/>
  <c r="K590" i="567"/>
  <c r="I590" i="567"/>
  <c r="R589" i="567"/>
  <c r="T589" i="567" s="1"/>
  <c r="U589" i="567" s="1"/>
  <c r="Q589" i="567"/>
  <c r="K589" i="567"/>
  <c r="I589" i="567"/>
  <c r="J589" i="567" s="1"/>
  <c r="T588" i="567"/>
  <c r="Q588" i="567"/>
  <c r="J588" i="567"/>
  <c r="O588" i="567" s="1"/>
  <c r="V587" i="567"/>
  <c r="T585" i="567"/>
  <c r="S585" i="567"/>
  <c r="O585" i="567"/>
  <c r="L585" i="567"/>
  <c r="T584" i="567"/>
  <c r="U584" i="567" s="1"/>
  <c r="Q584" i="567"/>
  <c r="Q583" i="567" s="1"/>
  <c r="J584" i="567"/>
  <c r="V583" i="567"/>
  <c r="V582" i="567"/>
  <c r="T581" i="567"/>
  <c r="U581" i="567" s="1"/>
  <c r="Q581" i="567"/>
  <c r="J581" i="567"/>
  <c r="O581" i="567" s="1"/>
  <c r="T580" i="567"/>
  <c r="V580" i="567" s="1"/>
  <c r="W580" i="567" s="1"/>
  <c r="Q580" i="567"/>
  <c r="J580" i="567"/>
  <c r="K579" i="567"/>
  <c r="V578" i="567"/>
  <c r="V577" i="567"/>
  <c r="J575" i="567"/>
  <c r="O575" i="567" s="1"/>
  <c r="J574" i="567"/>
  <c r="K574" i="567" s="1"/>
  <c r="J573" i="567"/>
  <c r="K573" i="567" s="1"/>
  <c r="V572" i="567"/>
  <c r="T570" i="567"/>
  <c r="V570" i="567" s="1"/>
  <c r="W570" i="567" s="1"/>
  <c r="W569" i="567" s="1"/>
  <c r="Q570" i="567"/>
  <c r="Q569" i="567" s="1"/>
  <c r="J570" i="567"/>
  <c r="O570" i="567" s="1"/>
  <c r="V569" i="567"/>
  <c r="V568" i="567"/>
  <c r="V567" i="567"/>
  <c r="Q565" i="567"/>
  <c r="J565" i="567"/>
  <c r="K565" i="567" s="1"/>
  <c r="T564" i="567"/>
  <c r="V564" i="567" s="1"/>
  <c r="W564" i="567" s="1"/>
  <c r="Q564" i="567"/>
  <c r="J564" i="567"/>
  <c r="K564" i="567" s="1"/>
  <c r="T563" i="567"/>
  <c r="Q563" i="567"/>
  <c r="J563" i="567"/>
  <c r="O563" i="567" s="1"/>
  <c r="T562" i="567"/>
  <c r="V562" i="567" s="1"/>
  <c r="W562" i="567" s="1"/>
  <c r="Q562" i="567"/>
  <c r="J562" i="567"/>
  <c r="O562" i="567" s="1"/>
  <c r="T561" i="567"/>
  <c r="Q561" i="567"/>
  <c r="J561" i="567"/>
  <c r="K561" i="567" s="1"/>
  <c r="V560" i="567"/>
  <c r="V559" i="567"/>
  <c r="R557" i="567"/>
  <c r="T557" i="567" s="1"/>
  <c r="Q557" i="567"/>
  <c r="J557" i="567"/>
  <c r="Q556" i="567"/>
  <c r="J556" i="567"/>
  <c r="R555" i="567"/>
  <c r="T555" i="567" s="1"/>
  <c r="U555" i="567" s="1"/>
  <c r="Q555" i="567"/>
  <c r="J555" i="567"/>
  <c r="Q554" i="567"/>
  <c r="J554" i="567"/>
  <c r="V553" i="567"/>
  <c r="R551" i="567"/>
  <c r="T551" i="567" s="1"/>
  <c r="V551" i="567" s="1"/>
  <c r="W551" i="567" s="1"/>
  <c r="Q551" i="567"/>
  <c r="J551" i="567"/>
  <c r="R550" i="567"/>
  <c r="T550" i="567" s="1"/>
  <c r="U550" i="567" s="1"/>
  <c r="Q550" i="567"/>
  <c r="J550" i="567"/>
  <c r="Q549" i="567"/>
  <c r="J549" i="567"/>
  <c r="R548" i="567"/>
  <c r="T548" i="567" s="1"/>
  <c r="Q548" i="567"/>
  <c r="J548" i="567"/>
  <c r="O548" i="567" s="1"/>
  <c r="R547" i="567"/>
  <c r="T547" i="567" s="1"/>
  <c r="U547" i="567" s="1"/>
  <c r="Q547" i="567"/>
  <c r="J547" i="567"/>
  <c r="O547" i="567" s="1"/>
  <c r="Q546" i="567"/>
  <c r="J546" i="567"/>
  <c r="R545" i="567"/>
  <c r="T545" i="567" s="1"/>
  <c r="Q545" i="567"/>
  <c r="J545" i="567"/>
  <c r="O545" i="567" s="1"/>
  <c r="R544" i="567"/>
  <c r="T544" i="567" s="1"/>
  <c r="Q544" i="567"/>
  <c r="J544" i="567"/>
  <c r="R543" i="567"/>
  <c r="T543" i="567" s="1"/>
  <c r="Q543" i="567"/>
  <c r="J543" i="567"/>
  <c r="K543" i="567" s="1"/>
  <c r="R542" i="567"/>
  <c r="T542" i="567" s="1"/>
  <c r="V542" i="567" s="1"/>
  <c r="W542" i="567" s="1"/>
  <c r="Q542" i="567"/>
  <c r="J542" i="567"/>
  <c r="R541" i="567"/>
  <c r="T541" i="567" s="1"/>
  <c r="Q541" i="567"/>
  <c r="J541" i="567"/>
  <c r="O541" i="567" s="1"/>
  <c r="R540" i="567"/>
  <c r="T540" i="567" s="1"/>
  <c r="Q540" i="567"/>
  <c r="J540" i="567"/>
  <c r="R539" i="567"/>
  <c r="T539" i="567" s="1"/>
  <c r="V539" i="567" s="1"/>
  <c r="W539" i="567" s="1"/>
  <c r="Q539" i="567"/>
  <c r="J539" i="567"/>
  <c r="K539" i="567" s="1"/>
  <c r="R538" i="567"/>
  <c r="T538" i="567" s="1"/>
  <c r="V538" i="567" s="1"/>
  <c r="W538" i="567" s="1"/>
  <c r="Q538" i="567"/>
  <c r="J538" i="567"/>
  <c r="R537" i="567"/>
  <c r="T537" i="567" s="1"/>
  <c r="Q537" i="567"/>
  <c r="J537" i="567"/>
  <c r="O537" i="567" s="1"/>
  <c r="R536" i="567"/>
  <c r="T536" i="567" s="1"/>
  <c r="Q536" i="567"/>
  <c r="J536" i="567"/>
  <c r="Q535" i="567"/>
  <c r="J535" i="567"/>
  <c r="R534" i="567"/>
  <c r="T534" i="567" s="1"/>
  <c r="V534" i="567" s="1"/>
  <c r="W534" i="567" s="1"/>
  <c r="Q534" i="567"/>
  <c r="J534" i="567"/>
  <c r="R533" i="567"/>
  <c r="T533" i="567" s="1"/>
  <c r="Q533" i="567"/>
  <c r="J533" i="567"/>
  <c r="O533" i="567" s="1"/>
  <c r="V532" i="567"/>
  <c r="V531" i="567"/>
  <c r="T529" i="567"/>
  <c r="Q529" i="567"/>
  <c r="J529" i="567"/>
  <c r="O529" i="567" s="1"/>
  <c r="R528" i="567"/>
  <c r="T528" i="567" s="1"/>
  <c r="Q528" i="567"/>
  <c r="J528" i="567"/>
  <c r="O528" i="567" s="1"/>
  <c r="R527" i="567"/>
  <c r="T527" i="567" s="1"/>
  <c r="Q527" i="567"/>
  <c r="J527" i="567"/>
  <c r="O527" i="567" s="1"/>
  <c r="Q526" i="567"/>
  <c r="J526" i="567"/>
  <c r="V525" i="567"/>
  <c r="V524" i="567"/>
  <c r="Q522" i="567"/>
  <c r="Q521" i="567" s="1"/>
  <c r="J522" i="567"/>
  <c r="V521" i="567"/>
  <c r="T519" i="567"/>
  <c r="Q519" i="567"/>
  <c r="J519" i="567"/>
  <c r="K519" i="567" s="1"/>
  <c r="T518" i="567"/>
  <c r="V518" i="567" s="1"/>
  <c r="W518" i="567" s="1"/>
  <c r="Q518" i="567"/>
  <c r="J518" i="567"/>
  <c r="O518" i="567" s="1"/>
  <c r="T517" i="567"/>
  <c r="Q517" i="567"/>
  <c r="J517" i="567"/>
  <c r="O517" i="567" s="1"/>
  <c r="T516" i="567"/>
  <c r="V516" i="567" s="1"/>
  <c r="W516" i="567" s="1"/>
  <c r="Q516" i="567"/>
  <c r="J516" i="567"/>
  <c r="T515" i="567"/>
  <c r="U515" i="567" s="1"/>
  <c r="Q515" i="567"/>
  <c r="J515" i="567"/>
  <c r="K515" i="567" s="1"/>
  <c r="T514" i="567"/>
  <c r="Q514" i="567"/>
  <c r="J514" i="567"/>
  <c r="K514" i="567" s="1"/>
  <c r="T513" i="567"/>
  <c r="Q513" i="567"/>
  <c r="J513" i="567"/>
  <c r="K513" i="567" s="1"/>
  <c r="T512" i="567"/>
  <c r="Q512" i="567"/>
  <c r="J512" i="567"/>
  <c r="K512" i="567" s="1"/>
  <c r="T511" i="567"/>
  <c r="V511" i="567" s="1"/>
  <c r="W511" i="567" s="1"/>
  <c r="Q511" i="567"/>
  <c r="J511" i="567"/>
  <c r="T510" i="567"/>
  <c r="U510" i="567" s="1"/>
  <c r="Q510" i="567"/>
  <c r="J510" i="567"/>
  <c r="K510" i="567" s="1"/>
  <c r="T509" i="567"/>
  <c r="U509" i="567" s="1"/>
  <c r="Q509" i="567"/>
  <c r="J509" i="567"/>
  <c r="O509" i="567" s="1"/>
  <c r="T508" i="567"/>
  <c r="Q508" i="567"/>
  <c r="J508" i="567"/>
  <c r="T507" i="567"/>
  <c r="Q507" i="567"/>
  <c r="J507" i="567"/>
  <c r="T506" i="567"/>
  <c r="V506" i="567" s="1"/>
  <c r="W506" i="567" s="1"/>
  <c r="Q506" i="567"/>
  <c r="J506" i="567"/>
  <c r="O506" i="567" s="1"/>
  <c r="V505" i="567"/>
  <c r="T503" i="567"/>
  <c r="U503" i="567" s="1"/>
  <c r="Q503" i="567"/>
  <c r="Q502" i="567" s="1"/>
  <c r="J503" i="567"/>
  <c r="V502" i="567"/>
  <c r="T500" i="567"/>
  <c r="J500" i="567"/>
  <c r="T499" i="567"/>
  <c r="U499" i="567" s="1"/>
  <c r="Q499" i="567"/>
  <c r="J499" i="567"/>
  <c r="O499" i="567" s="1"/>
  <c r="T498" i="567"/>
  <c r="Q498" i="567"/>
  <c r="J498" i="567"/>
  <c r="O498" i="567" s="1"/>
  <c r="R497" i="567"/>
  <c r="T497" i="567" s="1"/>
  <c r="V497" i="567" s="1"/>
  <c r="W497" i="567" s="1"/>
  <c r="Q497" i="567"/>
  <c r="J497" i="567"/>
  <c r="K497" i="567" s="1"/>
  <c r="R496" i="567"/>
  <c r="T496" i="567" s="1"/>
  <c r="V496" i="567" s="1"/>
  <c r="W496" i="567" s="1"/>
  <c r="Q496" i="567"/>
  <c r="J496" i="567"/>
  <c r="J495" i="567"/>
  <c r="K495" i="567" s="1"/>
  <c r="T494" i="567"/>
  <c r="V494" i="567" s="1"/>
  <c r="W494" i="567" s="1"/>
  <c r="Q494" i="567"/>
  <c r="J494" i="567"/>
  <c r="K494" i="567" s="1"/>
  <c r="J493" i="567"/>
  <c r="O493" i="567" s="1"/>
  <c r="J492" i="567"/>
  <c r="T491" i="567"/>
  <c r="V491" i="567" s="1"/>
  <c r="W491" i="567" s="1"/>
  <c r="Q491" i="567"/>
  <c r="J491" i="567"/>
  <c r="J490" i="567"/>
  <c r="O490" i="567" s="1"/>
  <c r="J489" i="567"/>
  <c r="K488" i="567"/>
  <c r="H488" i="567"/>
  <c r="V487" i="567"/>
  <c r="V486" i="567"/>
  <c r="R484" i="567"/>
  <c r="T484" i="567" s="1"/>
  <c r="Q484" i="567"/>
  <c r="J484" i="567"/>
  <c r="R483" i="567"/>
  <c r="T483" i="567" s="1"/>
  <c r="Q483" i="567"/>
  <c r="J483" i="567"/>
  <c r="K483" i="567" s="1"/>
  <c r="T482" i="567"/>
  <c r="V482" i="567" s="1"/>
  <c r="W482" i="567" s="1"/>
  <c r="Q482" i="567"/>
  <c r="J482" i="567"/>
  <c r="Q481" i="567"/>
  <c r="J481" i="567"/>
  <c r="J18" i="591" s="1"/>
  <c r="Q480" i="567"/>
  <c r="J480" i="567"/>
  <c r="Q479" i="567"/>
  <c r="J479" i="567"/>
  <c r="R478" i="567"/>
  <c r="T478" i="567" s="1"/>
  <c r="V478" i="567" s="1"/>
  <c r="W478" i="567" s="1"/>
  <c r="Q478" i="567"/>
  <c r="J478" i="567"/>
  <c r="R477" i="567"/>
  <c r="T477" i="567" s="1"/>
  <c r="Q477" i="567"/>
  <c r="J477" i="567"/>
  <c r="O477" i="567" s="1"/>
  <c r="T476" i="567"/>
  <c r="Q476" i="567"/>
  <c r="J476" i="567"/>
  <c r="O476" i="567" s="1"/>
  <c r="T475" i="567"/>
  <c r="Q475" i="567"/>
  <c r="J475" i="567"/>
  <c r="K475" i="567" s="1"/>
  <c r="Q474" i="567"/>
  <c r="J474" i="567"/>
  <c r="H23" i="572" s="1"/>
  <c r="V473" i="567"/>
  <c r="R471" i="567"/>
  <c r="T471" i="567" s="1"/>
  <c r="V471" i="567" s="1"/>
  <c r="W471" i="567" s="1"/>
  <c r="Q471" i="567"/>
  <c r="J471" i="567"/>
  <c r="K471" i="567" s="1"/>
  <c r="R470" i="567"/>
  <c r="T470" i="567" s="1"/>
  <c r="U470" i="567" s="1"/>
  <c r="Q470" i="567"/>
  <c r="J470" i="567"/>
  <c r="T469" i="567"/>
  <c r="Q469" i="567"/>
  <c r="J469" i="567"/>
  <c r="O469" i="567" s="1"/>
  <c r="T468" i="567"/>
  <c r="Q468" i="567"/>
  <c r="J468" i="567"/>
  <c r="V467" i="567"/>
  <c r="T465" i="567"/>
  <c r="U465" i="567" s="1"/>
  <c r="Q465" i="567"/>
  <c r="J465" i="567"/>
  <c r="R464" i="567"/>
  <c r="T464" i="567" s="1"/>
  <c r="Q464" i="567"/>
  <c r="J464" i="567"/>
  <c r="K464" i="567" s="1"/>
  <c r="R463" i="567"/>
  <c r="T463" i="567" s="1"/>
  <c r="V463" i="567" s="1"/>
  <c r="W463" i="567" s="1"/>
  <c r="Q463" i="567"/>
  <c r="J463" i="567"/>
  <c r="R462" i="567"/>
  <c r="T462" i="567" s="1"/>
  <c r="Q462" i="567"/>
  <c r="J462" i="567"/>
  <c r="O462" i="567" s="1"/>
  <c r="R461" i="567"/>
  <c r="T461" i="567" s="1"/>
  <c r="Q461" i="567"/>
  <c r="J461" i="567"/>
  <c r="R460" i="567"/>
  <c r="T460" i="567" s="1"/>
  <c r="Q460" i="567"/>
  <c r="J460" i="567"/>
  <c r="V459" i="567"/>
  <c r="R457" i="567"/>
  <c r="T457" i="567" s="1"/>
  <c r="Q457" i="567"/>
  <c r="J457" i="567"/>
  <c r="O457" i="567" s="1"/>
  <c r="T456" i="567"/>
  <c r="V456" i="567" s="1"/>
  <c r="W456" i="567" s="1"/>
  <c r="Q456" i="567"/>
  <c r="J456" i="567"/>
  <c r="J20" i="583" s="1"/>
  <c r="R455" i="567"/>
  <c r="T455" i="567" s="1"/>
  <c r="Q455" i="567"/>
  <c r="J455" i="567"/>
  <c r="O455" i="567" s="1"/>
  <c r="R454" i="567"/>
  <c r="T454" i="567" s="1"/>
  <c r="V454" i="567" s="1"/>
  <c r="W454" i="567" s="1"/>
  <c r="Q454" i="567"/>
  <c r="J454" i="567"/>
  <c r="V453" i="567"/>
  <c r="Q451" i="567"/>
  <c r="J451" i="567"/>
  <c r="J20" i="571" s="1"/>
  <c r="R450" i="567"/>
  <c r="T450" i="567" s="1"/>
  <c r="Q450" i="567"/>
  <c r="J450" i="567"/>
  <c r="R449" i="567"/>
  <c r="T449" i="567" s="1"/>
  <c r="V449" i="567" s="1"/>
  <c r="W449" i="567" s="1"/>
  <c r="Q449" i="567"/>
  <c r="J449" i="567"/>
  <c r="O449" i="567" s="1"/>
  <c r="R448" i="567"/>
  <c r="T448" i="567" s="1"/>
  <c r="V448" i="567" s="1"/>
  <c r="W448" i="567" s="1"/>
  <c r="Q448" i="567"/>
  <c r="J448" i="567"/>
  <c r="K448" i="567" s="1"/>
  <c r="R447" i="567"/>
  <c r="T447" i="567" s="1"/>
  <c r="V447" i="567" s="1"/>
  <c r="W447" i="567" s="1"/>
  <c r="Q447" i="567"/>
  <c r="J447" i="567"/>
  <c r="V446" i="567"/>
  <c r="R444" i="567"/>
  <c r="T444" i="567" s="1"/>
  <c r="V444" i="567" s="1"/>
  <c r="W444" i="567" s="1"/>
  <c r="Q444" i="567"/>
  <c r="J444" i="567"/>
  <c r="R443" i="567"/>
  <c r="T443" i="567" s="1"/>
  <c r="U443" i="567" s="1"/>
  <c r="Q443" i="567"/>
  <c r="J443" i="567"/>
  <c r="O443" i="567" s="1"/>
  <c r="R442" i="567"/>
  <c r="T442" i="567" s="1"/>
  <c r="Q442" i="567"/>
  <c r="J442" i="567"/>
  <c r="R441" i="567"/>
  <c r="T441" i="567" s="1"/>
  <c r="U441" i="567" s="1"/>
  <c r="Q441" i="567"/>
  <c r="J441" i="567"/>
  <c r="O441" i="567" s="1"/>
  <c r="R440" i="567"/>
  <c r="T440" i="567" s="1"/>
  <c r="Q440" i="567"/>
  <c r="J440" i="567"/>
  <c r="O440" i="567" s="1"/>
  <c r="V439" i="567"/>
  <c r="R437" i="567"/>
  <c r="T437" i="567" s="1"/>
  <c r="V437" i="567" s="1"/>
  <c r="W437" i="567" s="1"/>
  <c r="Q437" i="567"/>
  <c r="J437" i="567"/>
  <c r="R436" i="567"/>
  <c r="T436" i="567" s="1"/>
  <c r="V436" i="567" s="1"/>
  <c r="W436" i="567" s="1"/>
  <c r="Q436" i="567"/>
  <c r="J436" i="567"/>
  <c r="R435" i="567"/>
  <c r="T435" i="567" s="1"/>
  <c r="Q435" i="567"/>
  <c r="J435" i="567"/>
  <c r="V434" i="567"/>
  <c r="Q432" i="567"/>
  <c r="Q431" i="567" s="1"/>
  <c r="J432" i="567"/>
  <c r="K432" i="567" s="1"/>
  <c r="K431" i="567" s="1"/>
  <c r="V431" i="567"/>
  <c r="Q429" i="567"/>
  <c r="J429" i="567"/>
  <c r="R428" i="567"/>
  <c r="T428" i="567" s="1"/>
  <c r="U428" i="567" s="1"/>
  <c r="Q428" i="567"/>
  <c r="J428" i="567"/>
  <c r="R427" i="567"/>
  <c r="T427" i="567" s="1"/>
  <c r="Q427" i="567"/>
  <c r="J427" i="567"/>
  <c r="R426" i="567"/>
  <c r="T426" i="567" s="1"/>
  <c r="U426" i="567" s="1"/>
  <c r="Q426" i="567"/>
  <c r="J426" i="567"/>
  <c r="R425" i="567"/>
  <c r="T425" i="567" s="1"/>
  <c r="Q425" i="567"/>
  <c r="J425" i="567"/>
  <c r="R424" i="567"/>
  <c r="T424" i="567" s="1"/>
  <c r="U424" i="567" s="1"/>
  <c r="Q424" i="567"/>
  <c r="J424" i="567"/>
  <c r="R423" i="567"/>
  <c r="T423" i="567" s="1"/>
  <c r="Q423" i="567"/>
  <c r="J423" i="567"/>
  <c r="R422" i="567"/>
  <c r="T422" i="567" s="1"/>
  <c r="U422" i="567" s="1"/>
  <c r="Q422" i="567"/>
  <c r="J422" i="567"/>
  <c r="R421" i="567"/>
  <c r="T421" i="567" s="1"/>
  <c r="Q421" i="567"/>
  <c r="J421" i="567"/>
  <c r="R420" i="567"/>
  <c r="T420" i="567" s="1"/>
  <c r="U420" i="567" s="1"/>
  <c r="Q420" i="567"/>
  <c r="J420" i="567"/>
  <c r="T419" i="567"/>
  <c r="U419" i="567" s="1"/>
  <c r="Q419" i="567"/>
  <c r="J419" i="567"/>
  <c r="V418" i="567"/>
  <c r="W417" i="567"/>
  <c r="V417" i="567"/>
  <c r="H416" i="567"/>
  <c r="J416" i="567" s="1"/>
  <c r="E416" i="567"/>
  <c r="S416" i="567" s="1"/>
  <c r="C416" i="567"/>
  <c r="R415" i="567"/>
  <c r="T415" i="567" s="1"/>
  <c r="Q415" i="567"/>
  <c r="Q414" i="567" s="1"/>
  <c r="J415" i="567"/>
  <c r="V414" i="567"/>
  <c r="V413" i="567"/>
  <c r="R412" i="567"/>
  <c r="T412" i="567" s="1"/>
  <c r="U412" i="567" s="1"/>
  <c r="Q412" i="567"/>
  <c r="J412" i="567"/>
  <c r="R411" i="567"/>
  <c r="T411" i="567" s="1"/>
  <c r="Q411" i="567"/>
  <c r="J411" i="567"/>
  <c r="K411" i="567" s="1"/>
  <c r="V410" i="567"/>
  <c r="V409" i="567"/>
  <c r="R407" i="567"/>
  <c r="T407" i="567" s="1"/>
  <c r="U407" i="567" s="1"/>
  <c r="Q407" i="567"/>
  <c r="J407" i="567"/>
  <c r="R406" i="567"/>
  <c r="T406" i="567" s="1"/>
  <c r="Q406" i="567"/>
  <c r="J406" i="567"/>
  <c r="T405" i="567"/>
  <c r="U405" i="567" s="1"/>
  <c r="Q405" i="567"/>
  <c r="J405" i="567"/>
  <c r="J20" i="582" s="1"/>
  <c r="J21" i="582" s="1"/>
  <c r="V404" i="567"/>
  <c r="T402" i="567"/>
  <c r="V402" i="567" s="1"/>
  <c r="W402" i="567" s="1"/>
  <c r="W401" i="567" s="1"/>
  <c r="Q402" i="567"/>
  <c r="Q401" i="567" s="1"/>
  <c r="J402" i="567"/>
  <c r="K402" i="567" s="1"/>
  <c r="K401" i="567" s="1"/>
  <c r="V401" i="567"/>
  <c r="V400" i="567"/>
  <c r="V399" i="567"/>
  <c r="T397" i="567"/>
  <c r="Q397" i="567"/>
  <c r="J397" i="567"/>
  <c r="K397" i="567" s="1"/>
  <c r="T396" i="567"/>
  <c r="V396" i="567" s="1"/>
  <c r="W396" i="567" s="1"/>
  <c r="Q396" i="567"/>
  <c r="J396" i="567"/>
  <c r="O396" i="567" s="1"/>
  <c r="T395" i="567"/>
  <c r="Q395" i="567"/>
  <c r="J395" i="567"/>
  <c r="T394" i="567"/>
  <c r="Q394" i="567"/>
  <c r="J394" i="567"/>
  <c r="O394" i="567" s="1"/>
  <c r="T393" i="567"/>
  <c r="V393" i="567" s="1"/>
  <c r="W393" i="567" s="1"/>
  <c r="Q393" i="567"/>
  <c r="J393" i="567"/>
  <c r="O393" i="567" s="1"/>
  <c r="V392" i="567"/>
  <c r="V391" i="567"/>
  <c r="T389" i="567"/>
  <c r="V389" i="567" s="1"/>
  <c r="Q389" i="567"/>
  <c r="J389" i="567"/>
  <c r="O389" i="567" s="1"/>
  <c r="T388" i="567"/>
  <c r="V388" i="567" s="1"/>
  <c r="Q388" i="567"/>
  <c r="J388" i="567"/>
  <c r="K388" i="567" s="1"/>
  <c r="T387" i="567"/>
  <c r="V387" i="567" s="1"/>
  <c r="Q387" i="567"/>
  <c r="J387" i="567"/>
  <c r="O387" i="567" s="1"/>
  <c r="T386" i="567"/>
  <c r="Q386" i="567"/>
  <c r="J386" i="567"/>
  <c r="K386" i="567" s="1"/>
  <c r="W385" i="567"/>
  <c r="V385" i="567"/>
  <c r="T383" i="567"/>
  <c r="Q383" i="567"/>
  <c r="J383" i="567"/>
  <c r="O383" i="567" s="1"/>
  <c r="T382" i="567"/>
  <c r="V382" i="567" s="1"/>
  <c r="W382" i="567" s="1"/>
  <c r="Q382" i="567"/>
  <c r="J382" i="567"/>
  <c r="T381" i="567"/>
  <c r="V381" i="567" s="1"/>
  <c r="Q381" i="567"/>
  <c r="J381" i="567"/>
  <c r="O381" i="567" s="1"/>
  <c r="T380" i="567"/>
  <c r="Q380" i="567"/>
  <c r="J380" i="567"/>
  <c r="K380" i="567" s="1"/>
  <c r="R379" i="567"/>
  <c r="T379" i="567" s="1"/>
  <c r="Q379" i="567"/>
  <c r="J379" i="567"/>
  <c r="K379" i="567" s="1"/>
  <c r="R378" i="567"/>
  <c r="T378" i="567" s="1"/>
  <c r="U378" i="567" s="1"/>
  <c r="Q378" i="567"/>
  <c r="J378" i="567"/>
  <c r="R377" i="567"/>
  <c r="T377" i="567" s="1"/>
  <c r="Q377" i="567"/>
  <c r="J377" i="567"/>
  <c r="O377" i="567" s="1"/>
  <c r="T376" i="567"/>
  <c r="Q376" i="567"/>
  <c r="J376" i="567"/>
  <c r="O376" i="567" s="1"/>
  <c r="T375" i="567"/>
  <c r="Q375" i="567"/>
  <c r="J375" i="567"/>
  <c r="O375" i="567" s="1"/>
  <c r="T374" i="567"/>
  <c r="Q374" i="567"/>
  <c r="J374" i="567"/>
  <c r="O374" i="567" s="1"/>
  <c r="T373" i="567"/>
  <c r="Q373" i="567"/>
  <c r="J373" i="567"/>
  <c r="O373" i="567" s="1"/>
  <c r="T372" i="567"/>
  <c r="Q372" i="567"/>
  <c r="J372" i="567"/>
  <c r="O372" i="567" s="1"/>
  <c r="T371" i="567"/>
  <c r="Q371" i="567"/>
  <c r="J371" i="567"/>
  <c r="O371" i="567" s="1"/>
  <c r="T370" i="567"/>
  <c r="Q370" i="567"/>
  <c r="J370" i="567"/>
  <c r="O370" i="567" s="1"/>
  <c r="T369" i="567"/>
  <c r="Q369" i="567"/>
  <c r="J369" i="567"/>
  <c r="O369" i="567" s="1"/>
  <c r="T368" i="567"/>
  <c r="Q368" i="567"/>
  <c r="J368" i="567"/>
  <c r="O368" i="567" s="1"/>
  <c r="T367" i="567"/>
  <c r="Q367" i="567"/>
  <c r="J367" i="567"/>
  <c r="O367" i="567" s="1"/>
  <c r="T366" i="567"/>
  <c r="Q366" i="567"/>
  <c r="J366" i="567"/>
  <c r="O366" i="567" s="1"/>
  <c r="T365" i="567"/>
  <c r="V365" i="567" s="1"/>
  <c r="W365" i="567" s="1"/>
  <c r="Q365" i="567"/>
  <c r="J365" i="567"/>
  <c r="V364" i="567"/>
  <c r="V363" i="567"/>
  <c r="J360" i="567"/>
  <c r="J359" i="567"/>
  <c r="J358" i="567"/>
  <c r="O358" i="567" s="1"/>
  <c r="J357" i="567"/>
  <c r="V356" i="567"/>
  <c r="V355" i="567"/>
  <c r="T353" i="567"/>
  <c r="V353" i="567" s="1"/>
  <c r="W353" i="567" s="1"/>
  <c r="W352" i="567" s="1"/>
  <c r="Q353" i="567"/>
  <c r="Q352" i="567" s="1"/>
  <c r="J353" i="567"/>
  <c r="O353" i="567" s="1"/>
  <c r="V352" i="567"/>
  <c r="T349" i="567"/>
  <c r="J349" i="567"/>
  <c r="D349" i="567"/>
  <c r="C349" i="567"/>
  <c r="J348" i="567"/>
  <c r="E348" i="567"/>
  <c r="N348" i="567" s="1"/>
  <c r="C348" i="567"/>
  <c r="E347" i="567"/>
  <c r="C347" i="567"/>
  <c r="J346" i="567"/>
  <c r="C346" i="567"/>
  <c r="B346" i="567"/>
  <c r="T345" i="567"/>
  <c r="U345" i="567" s="1"/>
  <c r="Q345" i="567"/>
  <c r="N345" i="567"/>
  <c r="K345" i="567"/>
  <c r="R344" i="567"/>
  <c r="T344" i="567" s="1"/>
  <c r="U344" i="567" s="1"/>
  <c r="Q344" i="567"/>
  <c r="L344" i="567"/>
  <c r="K344" i="567"/>
  <c r="I344" i="567"/>
  <c r="N344" i="567" s="1"/>
  <c r="J343" i="567"/>
  <c r="R342" i="567"/>
  <c r="T342" i="567" s="1"/>
  <c r="U342" i="567" s="1"/>
  <c r="Q342" i="567"/>
  <c r="L342" i="567"/>
  <c r="K342" i="567"/>
  <c r="I342" i="567"/>
  <c r="N342" i="567" s="1"/>
  <c r="R341" i="567"/>
  <c r="T341" i="567" s="1"/>
  <c r="U341" i="567" s="1"/>
  <c r="Q341" i="567"/>
  <c r="L341" i="567"/>
  <c r="K341" i="567"/>
  <c r="I341" i="567"/>
  <c r="J341" i="567" s="1"/>
  <c r="O341" i="567" s="1"/>
  <c r="R340" i="567"/>
  <c r="T340" i="567" s="1"/>
  <c r="U340" i="567" s="1"/>
  <c r="Q340" i="567"/>
  <c r="L340" i="567"/>
  <c r="K340" i="567"/>
  <c r="I340" i="567"/>
  <c r="J340" i="567" s="1"/>
  <c r="O340" i="567" s="1"/>
  <c r="R339" i="567"/>
  <c r="T339" i="567" s="1"/>
  <c r="U339" i="567" s="1"/>
  <c r="Q339" i="567"/>
  <c r="L339" i="567"/>
  <c r="K339" i="567"/>
  <c r="I339" i="567"/>
  <c r="J339" i="567" s="1"/>
  <c r="O339" i="567" s="1"/>
  <c r="N338" i="567"/>
  <c r="K338" i="567"/>
  <c r="R337" i="567"/>
  <c r="T337" i="567" s="1"/>
  <c r="U337" i="567" s="1"/>
  <c r="Q337" i="567"/>
  <c r="L337" i="567"/>
  <c r="K337" i="567"/>
  <c r="I337" i="567"/>
  <c r="J337" i="567" s="1"/>
  <c r="O337" i="567" s="1"/>
  <c r="N336" i="567"/>
  <c r="L336" i="567"/>
  <c r="K336" i="567"/>
  <c r="J336" i="567"/>
  <c r="O336" i="567" s="1"/>
  <c r="R335" i="567"/>
  <c r="T335" i="567" s="1"/>
  <c r="U335" i="567" s="1"/>
  <c r="Q335" i="567"/>
  <c r="L335" i="567"/>
  <c r="K335" i="567"/>
  <c r="I335" i="567"/>
  <c r="N335" i="567" s="1"/>
  <c r="N334" i="567"/>
  <c r="K334" i="567"/>
  <c r="R333" i="567"/>
  <c r="T333" i="567" s="1"/>
  <c r="U333" i="567" s="1"/>
  <c r="Q333" i="567"/>
  <c r="L333" i="567"/>
  <c r="K333" i="567"/>
  <c r="I333" i="567"/>
  <c r="J333" i="567" s="1"/>
  <c r="O333" i="567" s="1"/>
  <c r="T332" i="567"/>
  <c r="V332" i="567" s="1"/>
  <c r="Q332" i="567"/>
  <c r="J332" i="567"/>
  <c r="K332" i="567" s="1"/>
  <c r="V331" i="567"/>
  <c r="T329" i="567"/>
  <c r="Q329" i="567"/>
  <c r="Q328" i="567" s="1"/>
  <c r="J329" i="567"/>
  <c r="V328" i="567"/>
  <c r="S325" i="567"/>
  <c r="Q325" i="567"/>
  <c r="L325" i="567"/>
  <c r="K325" i="567"/>
  <c r="J325" i="567"/>
  <c r="O325" i="567" s="1"/>
  <c r="T324" i="567"/>
  <c r="V324" i="567" s="1"/>
  <c r="Q324" i="567"/>
  <c r="J324" i="567"/>
  <c r="O324" i="567" s="1"/>
  <c r="T323" i="567"/>
  <c r="V323" i="567" s="1"/>
  <c r="W323" i="567" s="1"/>
  <c r="Q323" i="567"/>
  <c r="J323" i="567"/>
  <c r="K323" i="567" s="1"/>
  <c r="T322" i="567"/>
  <c r="V322" i="567" s="1"/>
  <c r="W322" i="567" s="1"/>
  <c r="Q322" i="567"/>
  <c r="J322" i="567"/>
  <c r="T321" i="567"/>
  <c r="Q321" i="567"/>
  <c r="J321" i="567"/>
  <c r="O321" i="567" s="1"/>
  <c r="T320" i="567"/>
  <c r="Q320" i="567"/>
  <c r="J320" i="567"/>
  <c r="O320" i="567" s="1"/>
  <c r="T319" i="567"/>
  <c r="U319" i="567" s="1"/>
  <c r="Q319" i="567"/>
  <c r="J319" i="567"/>
  <c r="O319" i="567" s="1"/>
  <c r="T318" i="567"/>
  <c r="V318" i="567" s="1"/>
  <c r="Q318" i="567"/>
  <c r="J318" i="567"/>
  <c r="O318" i="567" s="1"/>
  <c r="T317" i="567"/>
  <c r="V317" i="567" s="1"/>
  <c r="Q317" i="567"/>
  <c r="J317" i="567"/>
  <c r="O317" i="567" s="1"/>
  <c r="T316" i="567"/>
  <c r="V316" i="567" s="1"/>
  <c r="Q316" i="567"/>
  <c r="J316" i="567"/>
  <c r="O316" i="567" s="1"/>
  <c r="T315" i="567"/>
  <c r="V315" i="567" s="1"/>
  <c r="Q315" i="567"/>
  <c r="J315" i="567"/>
  <c r="O315" i="567" s="1"/>
  <c r="T314" i="567"/>
  <c r="V314" i="567" s="1"/>
  <c r="W314" i="567" s="1"/>
  <c r="Q314" i="567"/>
  <c r="J314" i="567"/>
  <c r="O314" i="567" s="1"/>
  <c r="S313" i="567"/>
  <c r="L313" i="567"/>
  <c r="K313" i="567"/>
  <c r="J313" i="567"/>
  <c r="O313" i="567" s="1"/>
  <c r="V312" i="567"/>
  <c r="V311" i="567"/>
  <c r="T309" i="567"/>
  <c r="V309" i="567" s="1"/>
  <c r="W309" i="567" s="1"/>
  <c r="Q309" i="567"/>
  <c r="J309" i="567"/>
  <c r="K309" i="567" s="1"/>
  <c r="J308" i="567"/>
  <c r="O308" i="567" s="1"/>
  <c r="J307" i="567"/>
  <c r="J306" i="567"/>
  <c r="O306" i="567" s="1"/>
  <c r="J305" i="567"/>
  <c r="J304" i="567"/>
  <c r="O304" i="567" s="1"/>
  <c r="J303" i="567"/>
  <c r="J302" i="567"/>
  <c r="K302" i="567" s="1"/>
  <c r="J301" i="567"/>
  <c r="O301" i="567" s="1"/>
  <c r="J300" i="567"/>
  <c r="O300" i="567" s="1"/>
  <c r="J299" i="567"/>
  <c r="V298" i="567"/>
  <c r="J296" i="567"/>
  <c r="O296" i="567" s="1"/>
  <c r="J295" i="567"/>
  <c r="J294" i="567"/>
  <c r="O294" i="567" s="1"/>
  <c r="J293" i="567"/>
  <c r="O293" i="567" s="1"/>
  <c r="V292" i="567"/>
  <c r="J289" i="567"/>
  <c r="K289" i="567" s="1"/>
  <c r="J288" i="567"/>
  <c r="J287" i="567"/>
  <c r="O287" i="567" s="1"/>
  <c r="J286" i="567"/>
  <c r="J285" i="567"/>
  <c r="T284" i="567"/>
  <c r="V284" i="567" s="1"/>
  <c r="W284" i="567" s="1"/>
  <c r="Q284" i="567"/>
  <c r="J284" i="567"/>
  <c r="V283" i="567"/>
  <c r="J281" i="567"/>
  <c r="O281" i="567" s="1"/>
  <c r="J280" i="567"/>
  <c r="T279" i="567"/>
  <c r="Q279" i="567"/>
  <c r="J279" i="567"/>
  <c r="O279" i="567" s="1"/>
  <c r="J278" i="567"/>
  <c r="V277" i="567"/>
  <c r="J275" i="567"/>
  <c r="O275" i="567" s="1"/>
  <c r="T274" i="567"/>
  <c r="V274" i="567" s="1"/>
  <c r="W274" i="567" s="1"/>
  <c r="Q274" i="567"/>
  <c r="J274" i="567"/>
  <c r="O274" i="567" s="1"/>
  <c r="T273" i="567"/>
  <c r="U273" i="567" s="1"/>
  <c r="Q273" i="567"/>
  <c r="J273" i="567"/>
  <c r="O273" i="567" s="1"/>
  <c r="T272" i="567"/>
  <c r="V272" i="567" s="1"/>
  <c r="W272" i="567" s="1"/>
  <c r="Q272" i="567"/>
  <c r="J272" i="567"/>
  <c r="T271" i="567"/>
  <c r="U271" i="567" s="1"/>
  <c r="Q271" i="567"/>
  <c r="J271" i="567"/>
  <c r="O271" i="567" s="1"/>
  <c r="V270" i="567"/>
  <c r="T268" i="567"/>
  <c r="V268" i="567" s="1"/>
  <c r="W268" i="567" s="1"/>
  <c r="Q268" i="567"/>
  <c r="J268" i="567"/>
  <c r="T267" i="567"/>
  <c r="U267" i="567" s="1"/>
  <c r="Q267" i="567"/>
  <c r="J267" i="567"/>
  <c r="O267" i="567" s="1"/>
  <c r="T266" i="567"/>
  <c r="V266" i="567" s="1"/>
  <c r="W266" i="567" s="1"/>
  <c r="Q266" i="567"/>
  <c r="J266" i="567"/>
  <c r="O266" i="567" s="1"/>
  <c r="T265" i="567"/>
  <c r="U265" i="567" s="1"/>
  <c r="Q265" i="567"/>
  <c r="J265" i="567"/>
  <c r="O265" i="567" s="1"/>
  <c r="T264" i="567"/>
  <c r="U264" i="567" s="1"/>
  <c r="Q264" i="567"/>
  <c r="J264" i="567"/>
  <c r="K264" i="567" s="1"/>
  <c r="V263" i="567"/>
  <c r="J261" i="567"/>
  <c r="O261" i="567" s="1"/>
  <c r="J260" i="567"/>
  <c r="K260" i="567" s="1"/>
  <c r="J259" i="567"/>
  <c r="K259" i="567" s="1"/>
  <c r="V258" i="567"/>
  <c r="J256" i="567"/>
  <c r="K256" i="567" s="1"/>
  <c r="K255" i="567" s="1"/>
  <c r="V255" i="567"/>
  <c r="J253" i="567"/>
  <c r="C253" i="567"/>
  <c r="J252" i="567"/>
  <c r="C252" i="567"/>
  <c r="B252" i="567"/>
  <c r="T251" i="567"/>
  <c r="U251" i="567" s="1"/>
  <c r="Q251" i="567"/>
  <c r="J251" i="567"/>
  <c r="K250" i="567"/>
  <c r="R249" i="567"/>
  <c r="T249" i="567" s="1"/>
  <c r="U249" i="567" s="1"/>
  <c r="Q249" i="567"/>
  <c r="K249" i="567"/>
  <c r="I249" i="567"/>
  <c r="K248" i="567"/>
  <c r="H248" i="567"/>
  <c r="K247" i="567"/>
  <c r="H247" i="567"/>
  <c r="K246" i="567"/>
  <c r="H246" i="567"/>
  <c r="K245" i="567"/>
  <c r="H245" i="567"/>
  <c r="R244" i="567"/>
  <c r="T244" i="567" s="1"/>
  <c r="U244" i="567" s="1"/>
  <c r="Q244" i="567"/>
  <c r="K244" i="567"/>
  <c r="I244" i="567"/>
  <c r="J244" i="567" s="1"/>
  <c r="R243" i="567"/>
  <c r="T243" i="567" s="1"/>
  <c r="U243" i="567" s="1"/>
  <c r="Q243" i="567"/>
  <c r="K243" i="567"/>
  <c r="I243" i="567"/>
  <c r="R242" i="567"/>
  <c r="T242" i="567" s="1"/>
  <c r="U242" i="567" s="1"/>
  <c r="Q242" i="567"/>
  <c r="K242" i="567"/>
  <c r="I242" i="567"/>
  <c r="J242" i="567" s="1"/>
  <c r="J241" i="567"/>
  <c r="O241" i="567" s="1"/>
  <c r="V240" i="567"/>
  <c r="K238" i="567"/>
  <c r="H238" i="567"/>
  <c r="J238" i="567" s="1"/>
  <c r="O238" i="567" s="1"/>
  <c r="C238" i="567"/>
  <c r="B238" i="567"/>
  <c r="T237" i="567"/>
  <c r="Q237" i="567"/>
  <c r="Q236" i="567" s="1"/>
  <c r="J237" i="567"/>
  <c r="O237" i="567" s="1"/>
  <c r="V236" i="567"/>
  <c r="V235" i="567"/>
  <c r="P234" i="567"/>
  <c r="J234" i="567"/>
  <c r="O234" i="567" s="1"/>
  <c r="P233" i="567"/>
  <c r="Q233" i="567" s="1"/>
  <c r="J233" i="567"/>
  <c r="K233" i="567" s="1"/>
  <c r="V232" i="567"/>
  <c r="V231" i="567"/>
  <c r="H229" i="567"/>
  <c r="J229" i="567" s="1"/>
  <c r="D229" i="567"/>
  <c r="C229" i="567"/>
  <c r="B229" i="567"/>
  <c r="K228" i="567"/>
  <c r="H228" i="567"/>
  <c r="L228" i="567" s="1"/>
  <c r="U227" i="567"/>
  <c r="Q227" i="567"/>
  <c r="K227" i="567"/>
  <c r="I227" i="567"/>
  <c r="N227" i="567" s="1"/>
  <c r="W226" i="567"/>
  <c r="V226" i="567"/>
  <c r="T224" i="567"/>
  <c r="V224" i="567" s="1"/>
  <c r="W224" i="567" s="1"/>
  <c r="W223" i="567" s="1"/>
  <c r="Q224" i="567"/>
  <c r="Q223" i="567" s="1"/>
  <c r="J224" i="567"/>
  <c r="V223" i="567"/>
  <c r="V222" i="567"/>
  <c r="V221" i="567"/>
  <c r="T219" i="567"/>
  <c r="Q219" i="567"/>
  <c r="J219" i="567"/>
  <c r="O219" i="567" s="1"/>
  <c r="T218" i="567"/>
  <c r="U218" i="567" s="1"/>
  <c r="Q218" i="567"/>
  <c r="J218" i="567"/>
  <c r="T217" i="567"/>
  <c r="Q217" i="567"/>
  <c r="J217" i="567"/>
  <c r="O217" i="567" s="1"/>
  <c r="T216" i="567"/>
  <c r="U216" i="567" s="1"/>
  <c r="Q216" i="567"/>
  <c r="J216" i="567"/>
  <c r="T215" i="567"/>
  <c r="Q215" i="567"/>
  <c r="J215" i="567"/>
  <c r="O215" i="567" s="1"/>
  <c r="V214" i="567"/>
  <c r="V213" i="567"/>
  <c r="T211" i="567"/>
  <c r="U211" i="567" s="1"/>
  <c r="Q211" i="567"/>
  <c r="J211" i="567"/>
  <c r="T210" i="567"/>
  <c r="Q210" i="567"/>
  <c r="J210" i="567"/>
  <c r="O210" i="567" s="1"/>
  <c r="T209" i="567"/>
  <c r="U209" i="567" s="1"/>
  <c r="Q209" i="567"/>
  <c r="J209" i="567"/>
  <c r="T208" i="567"/>
  <c r="Q208" i="567"/>
  <c r="J208" i="567"/>
  <c r="O208" i="567" s="1"/>
  <c r="V207" i="567"/>
  <c r="T205" i="567"/>
  <c r="Q205" i="567"/>
  <c r="J205" i="567"/>
  <c r="O205" i="567" s="1"/>
  <c r="T204" i="567"/>
  <c r="U204" i="567" s="1"/>
  <c r="Q204" i="567"/>
  <c r="J204" i="567"/>
  <c r="T203" i="567"/>
  <c r="Q203" i="567"/>
  <c r="J203" i="567"/>
  <c r="O203" i="567" s="1"/>
  <c r="T202" i="567"/>
  <c r="U202" i="567" s="1"/>
  <c r="Q202" i="567"/>
  <c r="J202" i="567"/>
  <c r="Q201" i="567"/>
  <c r="J201" i="567"/>
  <c r="O201" i="567" s="1"/>
  <c r="T200" i="567"/>
  <c r="U200" i="567" s="1"/>
  <c r="Q200" i="567"/>
  <c r="J200" i="567"/>
  <c r="O200" i="567" s="1"/>
  <c r="Q199" i="567"/>
  <c r="J199" i="567"/>
  <c r="O199" i="567" s="1"/>
  <c r="Q198" i="567"/>
  <c r="J198" i="567"/>
  <c r="T197" i="567"/>
  <c r="Q197" i="567"/>
  <c r="J197" i="567"/>
  <c r="O197" i="567" s="1"/>
  <c r="T196" i="567"/>
  <c r="U196" i="567" s="1"/>
  <c r="Q196" i="567"/>
  <c r="J196" i="567"/>
  <c r="O196" i="567" s="1"/>
  <c r="T195" i="567"/>
  <c r="Q195" i="567"/>
  <c r="J195" i="567"/>
  <c r="O195" i="567" s="1"/>
  <c r="Q194" i="567"/>
  <c r="J194" i="567"/>
  <c r="Q193" i="567"/>
  <c r="J193" i="567"/>
  <c r="O193" i="567" s="1"/>
  <c r="T192" i="567"/>
  <c r="U192" i="567" s="1"/>
  <c r="Q192" i="567"/>
  <c r="J192" i="567"/>
  <c r="O192" i="567" s="1"/>
  <c r="Q191" i="567"/>
  <c r="J191" i="567"/>
  <c r="O191" i="567" s="1"/>
  <c r="Q190" i="567"/>
  <c r="J190" i="567"/>
  <c r="O190" i="567" s="1"/>
  <c r="T189" i="567"/>
  <c r="Q189" i="567"/>
  <c r="J189" i="567"/>
  <c r="O189" i="567" s="1"/>
  <c r="T188" i="567"/>
  <c r="U188" i="567" s="1"/>
  <c r="Q188" i="567"/>
  <c r="J188" i="567"/>
  <c r="O188" i="567" s="1"/>
  <c r="T187" i="567"/>
  <c r="V187" i="567" s="1"/>
  <c r="W187" i="567" s="1"/>
  <c r="Q187" i="567"/>
  <c r="J187" i="567"/>
  <c r="O187" i="567" s="1"/>
  <c r="V186" i="567"/>
  <c r="V185" i="567"/>
  <c r="T182" i="567"/>
  <c r="V182" i="567" s="1"/>
  <c r="W182" i="567" s="1"/>
  <c r="Q182" i="567"/>
  <c r="J182" i="567"/>
  <c r="T181" i="567"/>
  <c r="Q181" i="567"/>
  <c r="J181" i="567"/>
  <c r="O181" i="567" s="1"/>
  <c r="J180" i="567"/>
  <c r="V179" i="567"/>
  <c r="V178" i="567"/>
  <c r="T176" i="567"/>
  <c r="V176" i="567" s="1"/>
  <c r="W176" i="567" s="1"/>
  <c r="W175" i="567" s="1"/>
  <c r="Q176" i="567"/>
  <c r="Q175" i="567" s="1"/>
  <c r="J176" i="567"/>
  <c r="O176" i="567" s="1"/>
  <c r="V175" i="567"/>
  <c r="T172" i="567"/>
  <c r="Q172" i="567"/>
  <c r="J172" i="567"/>
  <c r="T171" i="567"/>
  <c r="U171" i="567" s="1"/>
  <c r="Q171" i="567"/>
  <c r="J171" i="567"/>
  <c r="T170" i="567"/>
  <c r="U170" i="567" s="1"/>
  <c r="Q170" i="567"/>
  <c r="J170" i="567"/>
  <c r="T169" i="567"/>
  <c r="U169" i="567" s="1"/>
  <c r="Q169" i="567"/>
  <c r="J169" i="567"/>
  <c r="T168" i="567"/>
  <c r="U168" i="567" s="1"/>
  <c r="Q168" i="567"/>
  <c r="J168" i="567"/>
  <c r="O168" i="567" s="1"/>
  <c r="T167" i="567"/>
  <c r="U167" i="567" s="1"/>
  <c r="Q167" i="567"/>
  <c r="J167" i="567"/>
  <c r="T166" i="567"/>
  <c r="U166" i="567" s="1"/>
  <c r="Q166" i="567"/>
  <c r="J166" i="567"/>
  <c r="K166" i="567" s="1"/>
  <c r="T165" i="567"/>
  <c r="U165" i="567" s="1"/>
  <c r="Q165" i="567"/>
  <c r="J165" i="567"/>
  <c r="O165" i="567" s="1"/>
  <c r="T164" i="567"/>
  <c r="U164" i="567" s="1"/>
  <c r="Q164" i="567"/>
  <c r="J164" i="567"/>
  <c r="T163" i="567"/>
  <c r="U163" i="567" s="1"/>
  <c r="Q163" i="567"/>
  <c r="J163" i="567"/>
  <c r="K163" i="567" s="1"/>
  <c r="T162" i="567"/>
  <c r="U162" i="567" s="1"/>
  <c r="Q162" i="567"/>
  <c r="J162" i="567"/>
  <c r="K162" i="567" s="1"/>
  <c r="J161" i="567"/>
  <c r="J159" i="567"/>
  <c r="T158" i="567"/>
  <c r="U158" i="567" s="1"/>
  <c r="Q158" i="567"/>
  <c r="Q157" i="567" s="1"/>
  <c r="J158" i="567"/>
  <c r="O158" i="567" s="1"/>
  <c r="V157" i="567"/>
  <c r="J156" i="567"/>
  <c r="O156" i="567" s="1"/>
  <c r="H153" i="567"/>
  <c r="J153" i="567" s="1"/>
  <c r="D153" i="567"/>
  <c r="C153" i="567"/>
  <c r="T152" i="567"/>
  <c r="V152" i="567" s="1"/>
  <c r="W152" i="567" s="1"/>
  <c r="Q152" i="567"/>
  <c r="J152" i="567"/>
  <c r="K152" i="567" s="1"/>
  <c r="T151" i="567"/>
  <c r="U151" i="567" s="1"/>
  <c r="Q151" i="567"/>
  <c r="J151" i="567"/>
  <c r="K151" i="567" s="1"/>
  <c r="T150" i="567"/>
  <c r="V150" i="567" s="1"/>
  <c r="W150" i="567" s="1"/>
  <c r="Q150" i="567"/>
  <c r="J150" i="567"/>
  <c r="T149" i="567"/>
  <c r="U149" i="567" s="1"/>
  <c r="Q149" i="567"/>
  <c r="J149" i="567"/>
  <c r="O149" i="567" s="1"/>
  <c r="T148" i="567"/>
  <c r="V148" i="567" s="1"/>
  <c r="W148" i="567" s="1"/>
  <c r="Q148" i="567"/>
  <c r="J148" i="567"/>
  <c r="O148" i="567" s="1"/>
  <c r="T147" i="567"/>
  <c r="U147" i="567" s="1"/>
  <c r="Q147" i="567"/>
  <c r="J147" i="567"/>
  <c r="O147" i="567" s="1"/>
  <c r="J146" i="567"/>
  <c r="O146" i="567" s="1"/>
  <c r="J145" i="567"/>
  <c r="O145" i="567" s="1"/>
  <c r="J144" i="567"/>
  <c r="K144" i="567" s="1"/>
  <c r="J143" i="567"/>
  <c r="O143" i="567" s="1"/>
  <c r="J142" i="567"/>
  <c r="O142" i="567" s="1"/>
  <c r="K141" i="567"/>
  <c r="H141" i="567"/>
  <c r="J141" i="567" s="1"/>
  <c r="O141" i="567" s="1"/>
  <c r="V140" i="567"/>
  <c r="V139" i="567"/>
  <c r="T137" i="567"/>
  <c r="V137" i="567" s="1"/>
  <c r="W137" i="567" s="1"/>
  <c r="Q137" i="567"/>
  <c r="J137" i="567"/>
  <c r="O137" i="567" s="1"/>
  <c r="T136" i="567"/>
  <c r="V136" i="567" s="1"/>
  <c r="W136" i="567" s="1"/>
  <c r="Q136" i="567"/>
  <c r="J136" i="567"/>
  <c r="K136" i="567" s="1"/>
  <c r="T135" i="567"/>
  <c r="U135" i="567" s="1"/>
  <c r="Q135" i="567"/>
  <c r="J135" i="567"/>
  <c r="O135" i="567" s="1"/>
  <c r="Q134" i="567"/>
  <c r="J134" i="567"/>
  <c r="T134" i="567" s="1"/>
  <c r="Q133" i="567"/>
  <c r="J133" i="567"/>
  <c r="O133" i="567" s="1"/>
  <c r="T132" i="567"/>
  <c r="V132" i="567" s="1"/>
  <c r="W132" i="567" s="1"/>
  <c r="Q132" i="567"/>
  <c r="J132" i="567"/>
  <c r="O132" i="567" s="1"/>
  <c r="T131" i="567"/>
  <c r="V131" i="567" s="1"/>
  <c r="W131" i="567" s="1"/>
  <c r="Q131" i="567"/>
  <c r="J131" i="567"/>
  <c r="K131" i="567" s="1"/>
  <c r="T130" i="567"/>
  <c r="U130" i="567" s="1"/>
  <c r="Q130" i="567"/>
  <c r="J130" i="567"/>
  <c r="K130" i="567" s="1"/>
  <c r="Q129" i="567"/>
  <c r="J129" i="567"/>
  <c r="Q128" i="567"/>
  <c r="J128" i="567"/>
  <c r="T128" i="567" s="1"/>
  <c r="V128" i="567" s="1"/>
  <c r="W128" i="567" s="1"/>
  <c r="Q127" i="567"/>
  <c r="J127" i="567"/>
  <c r="V126" i="567"/>
  <c r="T124" i="567"/>
  <c r="U124" i="567" s="1"/>
  <c r="Q124" i="567"/>
  <c r="J124" i="567"/>
  <c r="O124" i="567" s="1"/>
  <c r="T123" i="567"/>
  <c r="V123" i="567" s="1"/>
  <c r="W123" i="567" s="1"/>
  <c r="Q123" i="567"/>
  <c r="J123" i="567"/>
  <c r="O123" i="567" s="1"/>
  <c r="T122" i="567"/>
  <c r="V122" i="567" s="1"/>
  <c r="W122" i="567" s="1"/>
  <c r="Q122" i="567"/>
  <c r="J122" i="567"/>
  <c r="O122" i="567" s="1"/>
  <c r="T121" i="567"/>
  <c r="U121" i="567" s="1"/>
  <c r="Q121" i="567"/>
  <c r="J121" i="567"/>
  <c r="K121" i="567" s="1"/>
  <c r="V120" i="567"/>
  <c r="T117" i="567"/>
  <c r="U117" i="567" s="1"/>
  <c r="Q117" i="567"/>
  <c r="J117" i="567"/>
  <c r="O117" i="567" s="1"/>
  <c r="T116" i="567"/>
  <c r="V116" i="567" s="1"/>
  <c r="W116" i="567" s="1"/>
  <c r="Q116" i="567"/>
  <c r="J116" i="567"/>
  <c r="K116" i="567" s="1"/>
  <c r="T115" i="567"/>
  <c r="Q115" i="567"/>
  <c r="J115" i="567"/>
  <c r="O115" i="567" s="1"/>
  <c r="T114" i="567"/>
  <c r="V114" i="567" s="1"/>
  <c r="W114" i="567" s="1"/>
  <c r="Q114" i="567"/>
  <c r="J114" i="567"/>
  <c r="O114" i="567" s="1"/>
  <c r="T113" i="567"/>
  <c r="V113" i="567" s="1"/>
  <c r="W113" i="567" s="1"/>
  <c r="Q113" i="567"/>
  <c r="J113" i="567"/>
  <c r="K113" i="567" s="1"/>
  <c r="T112" i="567"/>
  <c r="V112" i="567" s="1"/>
  <c r="W112" i="567" s="1"/>
  <c r="Q112" i="567"/>
  <c r="J112" i="567"/>
  <c r="V111" i="567"/>
  <c r="T109" i="567"/>
  <c r="U109" i="567" s="1"/>
  <c r="Q109" i="567"/>
  <c r="J109" i="567"/>
  <c r="K109" i="567" s="1"/>
  <c r="T108" i="567"/>
  <c r="V108" i="567" s="1"/>
  <c r="W108" i="567" s="1"/>
  <c r="Q108" i="567"/>
  <c r="J108" i="567"/>
  <c r="T107" i="567"/>
  <c r="U107" i="567" s="1"/>
  <c r="Q107" i="567"/>
  <c r="J107" i="567"/>
  <c r="O107" i="567" s="1"/>
  <c r="T106" i="567"/>
  <c r="V106" i="567" s="1"/>
  <c r="W106" i="567" s="1"/>
  <c r="Q106" i="567"/>
  <c r="J106" i="567"/>
  <c r="K106" i="567" s="1"/>
  <c r="V105" i="567"/>
  <c r="T103" i="567"/>
  <c r="U103" i="567" s="1"/>
  <c r="Q103" i="567"/>
  <c r="J103" i="567"/>
  <c r="O103" i="567" s="1"/>
  <c r="T102" i="567"/>
  <c r="V102" i="567" s="1"/>
  <c r="W102" i="567" s="1"/>
  <c r="Q102" i="567"/>
  <c r="J102" i="567"/>
  <c r="O102" i="567" s="1"/>
  <c r="T101" i="567"/>
  <c r="U101" i="567" s="1"/>
  <c r="Q101" i="567"/>
  <c r="J101" i="567"/>
  <c r="O101" i="567" s="1"/>
  <c r="T100" i="567"/>
  <c r="U100" i="567" s="1"/>
  <c r="Q100" i="567"/>
  <c r="J100" i="567"/>
  <c r="K100" i="567" s="1"/>
  <c r="T99" i="567"/>
  <c r="Q99" i="567"/>
  <c r="J99" i="567"/>
  <c r="O99" i="567" s="1"/>
  <c r="V98" i="567"/>
  <c r="T96" i="567"/>
  <c r="V96" i="567" s="1"/>
  <c r="W96" i="567" s="1"/>
  <c r="Q96" i="567"/>
  <c r="J96" i="567"/>
  <c r="K96" i="567" s="1"/>
  <c r="T95" i="567"/>
  <c r="Q95" i="567"/>
  <c r="J95" i="567"/>
  <c r="O95" i="567" s="1"/>
  <c r="T94" i="567"/>
  <c r="V94" i="567" s="1"/>
  <c r="W94" i="567" s="1"/>
  <c r="Q94" i="567"/>
  <c r="J94" i="567"/>
  <c r="O94" i="567" s="1"/>
  <c r="T93" i="567"/>
  <c r="U93" i="567" s="1"/>
  <c r="Q93" i="567"/>
  <c r="J93" i="567"/>
  <c r="O93" i="567" s="1"/>
  <c r="T92" i="567"/>
  <c r="V92" i="567" s="1"/>
  <c r="W92" i="567" s="1"/>
  <c r="Q92" i="567"/>
  <c r="J92" i="567"/>
  <c r="V91" i="567"/>
  <c r="T89" i="567"/>
  <c r="U89" i="567" s="1"/>
  <c r="Q89" i="567"/>
  <c r="J89" i="567"/>
  <c r="O89" i="567" s="1"/>
  <c r="T88" i="567"/>
  <c r="V88" i="567" s="1"/>
  <c r="W88" i="567" s="1"/>
  <c r="Q88" i="567"/>
  <c r="J88" i="567"/>
  <c r="T87" i="567"/>
  <c r="U87" i="567" s="1"/>
  <c r="Q87" i="567"/>
  <c r="J87" i="567"/>
  <c r="O87" i="567" s="1"/>
  <c r="V86" i="567"/>
  <c r="T84" i="567"/>
  <c r="U84" i="567" s="1"/>
  <c r="U83" i="567" s="1"/>
  <c r="Q84" i="567"/>
  <c r="Q83" i="567" s="1"/>
  <c r="J84" i="567"/>
  <c r="K84" i="567" s="1"/>
  <c r="K83" i="567" s="1"/>
  <c r="V83" i="567"/>
  <c r="T81" i="567"/>
  <c r="U81" i="567" s="1"/>
  <c r="Q81" i="567"/>
  <c r="J81" i="567"/>
  <c r="O81" i="567" s="1"/>
  <c r="T80" i="567"/>
  <c r="U80" i="567" s="1"/>
  <c r="Q80" i="567"/>
  <c r="J80" i="567"/>
  <c r="K80" i="567" s="1"/>
  <c r="T79" i="567"/>
  <c r="U79" i="567" s="1"/>
  <c r="Q79" i="567"/>
  <c r="J79" i="567"/>
  <c r="O79" i="567" s="1"/>
  <c r="T78" i="567"/>
  <c r="U78" i="567" s="1"/>
  <c r="Q78" i="567"/>
  <c r="J78" i="567"/>
  <c r="O78" i="567" s="1"/>
  <c r="T77" i="567"/>
  <c r="Q77" i="567"/>
  <c r="J77" i="567"/>
  <c r="K77" i="567" s="1"/>
  <c r="T76" i="567"/>
  <c r="U76" i="567" s="1"/>
  <c r="Q76" i="567"/>
  <c r="J76" i="567"/>
  <c r="K76" i="567" s="1"/>
  <c r="J75" i="567"/>
  <c r="O75" i="567" s="1"/>
  <c r="J74" i="567"/>
  <c r="K74" i="567" s="1"/>
  <c r="J73" i="567"/>
  <c r="O73" i="567" s="1"/>
  <c r="W72" i="567"/>
  <c r="J72" i="567"/>
  <c r="K72" i="567" s="1"/>
  <c r="J71" i="567"/>
  <c r="O71" i="567" s="1"/>
  <c r="V70" i="567"/>
  <c r="T68" i="567"/>
  <c r="H68" i="567"/>
  <c r="J68" i="567" s="1"/>
  <c r="E68" i="567"/>
  <c r="S68" i="567" s="1"/>
  <c r="D68" i="567"/>
  <c r="C68" i="567"/>
  <c r="B68" i="567"/>
  <c r="J67" i="567"/>
  <c r="K67" i="567" s="1"/>
  <c r="V66" i="567"/>
  <c r="V65" i="567"/>
  <c r="T64" i="567"/>
  <c r="U64" i="567" s="1"/>
  <c r="Q64" i="567"/>
  <c r="J64" i="567"/>
  <c r="O64" i="567" s="1"/>
  <c r="T63" i="567"/>
  <c r="V63" i="567" s="1"/>
  <c r="W63" i="567" s="1"/>
  <c r="Q63" i="567"/>
  <c r="J63" i="567"/>
  <c r="O63" i="567" s="1"/>
  <c r="T62" i="567"/>
  <c r="U62" i="567" s="1"/>
  <c r="Q62" i="567"/>
  <c r="J62" i="567"/>
  <c r="O62" i="567" s="1"/>
  <c r="T61" i="567"/>
  <c r="V61" i="567" s="1"/>
  <c r="W61" i="567" s="1"/>
  <c r="Q61" i="567"/>
  <c r="J61" i="567"/>
  <c r="K61" i="567" s="1"/>
  <c r="V60" i="567"/>
  <c r="V59" i="567"/>
  <c r="T57" i="567"/>
  <c r="U57" i="567" s="1"/>
  <c r="Q57" i="567"/>
  <c r="J57" i="567"/>
  <c r="K57" i="567" s="1"/>
  <c r="T56" i="567"/>
  <c r="V56" i="567" s="1"/>
  <c r="W56" i="567" s="1"/>
  <c r="Q56" i="567"/>
  <c r="J56" i="567"/>
  <c r="O56" i="567" s="1"/>
  <c r="V55" i="567"/>
  <c r="J53" i="567"/>
  <c r="K53" i="567" s="1"/>
  <c r="K52" i="567" s="1"/>
  <c r="V52" i="567"/>
  <c r="V51" i="567"/>
  <c r="V50" i="567"/>
  <c r="T49" i="567"/>
  <c r="U49" i="567" s="1"/>
  <c r="Q48" i="567"/>
  <c r="Q47" i="567" s="1"/>
  <c r="V48" i="567"/>
  <c r="V47" i="567"/>
  <c r="E45" i="567"/>
  <c r="D45" i="567"/>
  <c r="C45" i="567"/>
  <c r="B45" i="567"/>
  <c r="E44" i="567"/>
  <c r="K44" i="567" s="1"/>
  <c r="D44" i="567"/>
  <c r="C44" i="567"/>
  <c r="B44" i="567"/>
  <c r="H43" i="567"/>
  <c r="E43" i="567"/>
  <c r="K43" i="567" s="1"/>
  <c r="D43" i="567"/>
  <c r="C43" i="567"/>
  <c r="B43" i="567"/>
  <c r="L42" i="567"/>
  <c r="K42" i="567"/>
  <c r="J42" i="567"/>
  <c r="O42" i="567" s="1"/>
  <c r="L41" i="567"/>
  <c r="K41" i="567"/>
  <c r="O41" i="567"/>
  <c r="S40" i="567"/>
  <c r="L40" i="567"/>
  <c r="K40" i="567"/>
  <c r="O40" i="567"/>
  <c r="L39" i="567"/>
  <c r="K39" i="567"/>
  <c r="J39" i="567"/>
  <c r="L38" i="567"/>
  <c r="K38" i="567"/>
  <c r="O38" i="567"/>
  <c r="L37" i="567"/>
  <c r="K37" i="567"/>
  <c r="J37" i="567"/>
  <c r="V36" i="567"/>
  <c r="H34" i="567"/>
  <c r="J34" i="567" s="1"/>
  <c r="E34" i="567"/>
  <c r="K34" i="567" s="1"/>
  <c r="D34" i="567"/>
  <c r="C34" i="567"/>
  <c r="H33" i="567"/>
  <c r="E33" i="567"/>
  <c r="K33" i="567" s="1"/>
  <c r="D33" i="567"/>
  <c r="C33" i="567"/>
  <c r="H32" i="567"/>
  <c r="J32" i="567" s="1"/>
  <c r="E32" i="567"/>
  <c r="K32" i="567" s="1"/>
  <c r="D32" i="567"/>
  <c r="C32" i="567"/>
  <c r="T31" i="567"/>
  <c r="U31" i="567" s="1"/>
  <c r="Q31" i="567"/>
  <c r="K31" i="567"/>
  <c r="J31" i="567"/>
  <c r="O31" i="567" s="1"/>
  <c r="T30" i="567"/>
  <c r="V30" i="567" s="1"/>
  <c r="W30" i="567" s="1"/>
  <c r="Q30" i="567"/>
  <c r="K30" i="567"/>
  <c r="J30" i="567"/>
  <c r="O30" i="567" s="1"/>
  <c r="T29" i="567"/>
  <c r="U29" i="567" s="1"/>
  <c r="S29" i="567"/>
  <c r="Q29" i="567"/>
  <c r="K29" i="567"/>
  <c r="J29" i="567"/>
  <c r="O29" i="567" s="1"/>
  <c r="K28" i="567"/>
  <c r="J28" i="567"/>
  <c r="O28" i="567" s="1"/>
  <c r="K27" i="567"/>
  <c r="J27" i="567"/>
  <c r="O27" i="567" s="1"/>
  <c r="K26" i="567"/>
  <c r="J26" i="567"/>
  <c r="O26" i="567" s="1"/>
  <c r="K25" i="567"/>
  <c r="J25" i="567"/>
  <c r="O25" i="567" s="1"/>
  <c r="K24" i="567"/>
  <c r="J24" i="567"/>
  <c r="O24" i="567" s="1"/>
  <c r="T23" i="567"/>
  <c r="Q23" i="567"/>
  <c r="K23" i="567"/>
  <c r="J23" i="567"/>
  <c r="O23" i="567" s="1"/>
  <c r="V22" i="567"/>
  <c r="T19" i="567"/>
  <c r="U19" i="567" s="1"/>
  <c r="Q19" i="567"/>
  <c r="K19" i="567"/>
  <c r="J19" i="567"/>
  <c r="T18" i="567"/>
  <c r="V18" i="567" s="1"/>
  <c r="Q18" i="567"/>
  <c r="K18" i="567"/>
  <c r="J18" i="567"/>
  <c r="O18" i="567" s="1"/>
  <c r="V17" i="567"/>
  <c r="V16" i="567"/>
  <c r="V15" i="567"/>
  <c r="F21" i="475"/>
  <c r="R23" i="566"/>
  <c r="S20" i="566"/>
  <c r="L20" i="566" s="1"/>
  <c r="C10" i="566"/>
  <c r="B10" i="566"/>
  <c r="R14" i="566"/>
  <c r="L9" i="566"/>
  <c r="J9" i="566"/>
  <c r="C9" i="566"/>
  <c r="L8" i="566"/>
  <c r="J8" i="566"/>
  <c r="C8" i="566"/>
  <c r="L7" i="566"/>
  <c r="J7" i="566"/>
  <c r="L6" i="566"/>
  <c r="J6" i="566"/>
  <c r="C6" i="566"/>
  <c r="R19" i="75"/>
  <c r="N21" i="574" l="1"/>
  <c r="T480" i="567" s="1"/>
  <c r="R21" i="577"/>
  <c r="R546" i="567" s="1"/>
  <c r="T546" i="567" s="1"/>
  <c r="V546" i="567" s="1"/>
  <c r="W546" i="567" s="1"/>
  <c r="O172" i="567"/>
  <c r="V172" i="567"/>
  <c r="W172" i="567" s="1"/>
  <c r="T479" i="567"/>
  <c r="V479" i="567" s="1"/>
  <c r="W479" i="567" s="1"/>
  <c r="O694" i="567"/>
  <c r="V694" i="567"/>
  <c r="W694" i="567" s="1"/>
  <c r="K699" i="567"/>
  <c r="K698" i="567" s="1"/>
  <c r="H15" i="585"/>
  <c r="H16" i="585" s="1"/>
  <c r="J21" i="583"/>
  <c r="K706" i="567"/>
  <c r="K129" i="567"/>
  <c r="T129" i="567"/>
  <c r="U129" i="567" s="1"/>
  <c r="S129" i="567" s="1"/>
  <c r="O127" i="567"/>
  <c r="T127" i="567"/>
  <c r="V127" i="567" s="1"/>
  <c r="W127" i="567" s="1"/>
  <c r="K535" i="567"/>
  <c r="J19" i="581"/>
  <c r="J20" i="581" s="1"/>
  <c r="R23" i="581"/>
  <c r="R535" i="567"/>
  <c r="T535" i="567" s="1"/>
  <c r="V535" i="567" s="1"/>
  <c r="W535" i="567" s="1"/>
  <c r="T481" i="567"/>
  <c r="R23" i="579"/>
  <c r="K429" i="567"/>
  <c r="J19" i="580"/>
  <c r="R19" i="580" s="1"/>
  <c r="R21" i="580" s="1"/>
  <c r="R23" i="578"/>
  <c r="S20" i="580"/>
  <c r="K554" i="567"/>
  <c r="J19" i="579"/>
  <c r="J20" i="579" s="1"/>
  <c r="J19" i="578"/>
  <c r="J20" i="578" s="1"/>
  <c r="S21" i="579"/>
  <c r="S20" i="579"/>
  <c r="J19" i="577"/>
  <c r="J20" i="577" s="1"/>
  <c r="H24" i="572"/>
  <c r="O556" i="567"/>
  <c r="J19" i="576"/>
  <c r="J20" i="576" s="1"/>
  <c r="R23" i="576"/>
  <c r="R556" i="567"/>
  <c r="T556" i="567" s="1"/>
  <c r="U556" i="567" s="1"/>
  <c r="S556" i="567" s="1"/>
  <c r="S273" i="567"/>
  <c r="U586" i="568"/>
  <c r="R23" i="575"/>
  <c r="U627" i="568"/>
  <c r="O481" i="567"/>
  <c r="J19" i="575"/>
  <c r="J20" i="575" s="1"/>
  <c r="M67" i="568"/>
  <c r="O23" i="573"/>
  <c r="K480" i="567"/>
  <c r="J19" i="574"/>
  <c r="J20" i="574" s="1"/>
  <c r="K479" i="567"/>
  <c r="J19" i="573"/>
  <c r="J20" i="573" s="1"/>
  <c r="J665" i="568"/>
  <c r="U568" i="568"/>
  <c r="U567" i="568" s="1"/>
  <c r="N27" i="572"/>
  <c r="U393" i="567"/>
  <c r="S393" i="567" s="1"/>
  <c r="K396" i="567"/>
  <c r="J201" i="568"/>
  <c r="R24" i="571"/>
  <c r="R451" i="567"/>
  <c r="T451" i="567" s="1"/>
  <c r="U451" i="567" s="1"/>
  <c r="S451" i="567" s="1"/>
  <c r="Q592" i="568"/>
  <c r="Q591" i="568" s="1"/>
  <c r="U394" i="568"/>
  <c r="U390" i="568" s="1"/>
  <c r="O379" i="567"/>
  <c r="V581" i="567"/>
  <c r="W581" i="567" s="1"/>
  <c r="W578" i="567" s="1"/>
  <c r="W577" i="567" s="1"/>
  <c r="S80" i="567"/>
  <c r="J457" i="568"/>
  <c r="U314" i="567"/>
  <c r="S314" i="567" s="1"/>
  <c r="S688" i="567"/>
  <c r="U389" i="567"/>
  <c r="S389" i="567" s="1"/>
  <c r="Q574" i="568"/>
  <c r="Q573" i="568" s="1"/>
  <c r="U419" i="568"/>
  <c r="U408" i="568" s="1"/>
  <c r="V441" i="567"/>
  <c r="W441" i="567" s="1"/>
  <c r="J257" i="568"/>
  <c r="V164" i="567"/>
  <c r="W164" i="567" s="1"/>
  <c r="U676" i="568"/>
  <c r="U182" i="567"/>
  <c r="S182" i="567" s="1"/>
  <c r="S264" i="567"/>
  <c r="S670" i="567"/>
  <c r="O353" i="568"/>
  <c r="J216" i="568"/>
  <c r="S595" i="567"/>
  <c r="J543" i="568"/>
  <c r="J234" i="568"/>
  <c r="K661" i="567"/>
  <c r="S117" i="567"/>
  <c r="S158" i="567"/>
  <c r="S157" i="567" s="1"/>
  <c r="S168" i="567"/>
  <c r="L238" i="567"/>
  <c r="U396" i="567"/>
  <c r="S396" i="567" s="1"/>
  <c r="O497" i="567"/>
  <c r="S499" i="567"/>
  <c r="J688" i="568"/>
  <c r="J687" i="568" s="1"/>
  <c r="Q375" i="568"/>
  <c r="U104" i="568"/>
  <c r="O521" i="568"/>
  <c r="O179" i="568"/>
  <c r="S76" i="567"/>
  <c r="S169" i="567"/>
  <c r="K241" i="567"/>
  <c r="S249" i="567"/>
  <c r="K527" i="567"/>
  <c r="S711" i="567"/>
  <c r="U581" i="568"/>
  <c r="J627" i="568"/>
  <c r="S375" i="568"/>
  <c r="K165" i="567"/>
  <c r="J716" i="568"/>
  <c r="J694" i="568" s="1"/>
  <c r="J606" i="568"/>
  <c r="V670" i="567"/>
  <c r="W670" i="567" s="1"/>
  <c r="O226" i="568"/>
  <c r="O225" i="568" s="1"/>
  <c r="O131" i="567"/>
  <c r="T133" i="567"/>
  <c r="V133" i="567" s="1"/>
  <c r="W133" i="567" s="1"/>
  <c r="V265" i="567"/>
  <c r="W265" i="567" s="1"/>
  <c r="K372" i="567"/>
  <c r="S686" i="567"/>
  <c r="U734" i="567"/>
  <c r="Q738" i="567"/>
  <c r="Q737" i="567" s="1"/>
  <c r="U457" i="568"/>
  <c r="S592" i="567"/>
  <c r="O323" i="567"/>
  <c r="U353" i="567"/>
  <c r="U352" i="567" s="1"/>
  <c r="S581" i="567"/>
  <c r="U674" i="568"/>
  <c r="J305" i="568"/>
  <c r="V121" i="567"/>
  <c r="W121" i="567" s="1"/>
  <c r="S335" i="567"/>
  <c r="V117" i="567"/>
  <c r="W117" i="567" s="1"/>
  <c r="U268" i="567"/>
  <c r="S268" i="567" s="1"/>
  <c r="S647" i="567"/>
  <c r="O650" i="567"/>
  <c r="O718" i="567"/>
  <c r="U673" i="568"/>
  <c r="O109" i="567"/>
  <c r="O113" i="567"/>
  <c r="K387" i="567"/>
  <c r="S515" i="567"/>
  <c r="K518" i="567"/>
  <c r="J550" i="568"/>
  <c r="J549" i="568" s="1"/>
  <c r="O475" i="567"/>
  <c r="O631" i="567"/>
  <c r="U675" i="568"/>
  <c r="M669" i="568"/>
  <c r="T669" i="568" s="1"/>
  <c r="V19" i="567"/>
  <c r="W19" i="567" s="1"/>
  <c r="W17" i="567" s="1"/>
  <c r="S162" i="567"/>
  <c r="V267" i="567"/>
  <c r="W267" i="567" s="1"/>
  <c r="K294" i="567"/>
  <c r="O302" i="567"/>
  <c r="O309" i="567"/>
  <c r="K462" i="567"/>
  <c r="K493" i="567"/>
  <c r="O515" i="567"/>
  <c r="K575" i="567"/>
  <c r="K572" i="567" s="1"/>
  <c r="K607" i="567"/>
  <c r="S684" i="567"/>
  <c r="J594" i="568"/>
  <c r="U90" i="568"/>
  <c r="U110" i="568"/>
  <c r="J599" i="568"/>
  <c r="V29" i="567"/>
  <c r="W29" i="567" s="1"/>
  <c r="O136" i="567"/>
  <c r="K376" i="567"/>
  <c r="N592" i="567"/>
  <c r="K647" i="567"/>
  <c r="O660" i="567"/>
  <c r="Q59" i="568"/>
  <c r="Q58" i="568" s="1"/>
  <c r="J424" i="568"/>
  <c r="S124" i="567"/>
  <c r="K287" i="567"/>
  <c r="K321" i="567"/>
  <c r="O332" i="567"/>
  <c r="N341" i="567"/>
  <c r="Q604" i="567"/>
  <c r="U640" i="567"/>
  <c r="S640" i="567" s="1"/>
  <c r="N683" i="567"/>
  <c r="U717" i="567"/>
  <c r="S717" i="567" s="1"/>
  <c r="U719" i="567"/>
  <c r="S719" i="567" s="1"/>
  <c r="Q228" i="568"/>
  <c r="J90" i="568"/>
  <c r="O61" i="567"/>
  <c r="V171" i="567"/>
  <c r="W171" i="567" s="1"/>
  <c r="N244" i="567"/>
  <c r="J515" i="568"/>
  <c r="J514" i="568" s="1"/>
  <c r="J180" i="568"/>
  <c r="J562" i="568"/>
  <c r="J558" i="568" s="1"/>
  <c r="Q227" i="568"/>
  <c r="Q226" i="568" s="1"/>
  <c r="Q225" i="568" s="1"/>
  <c r="J429" i="568"/>
  <c r="O57" i="567"/>
  <c r="S251" i="567"/>
  <c r="V264" i="567"/>
  <c r="W264" i="567" s="1"/>
  <c r="U506" i="567"/>
  <c r="S506" i="567" s="1"/>
  <c r="K617" i="567"/>
  <c r="V663" i="567"/>
  <c r="W663" i="567" s="1"/>
  <c r="K666" i="567"/>
  <c r="K711" i="567"/>
  <c r="U543" i="568"/>
  <c r="V84" i="567"/>
  <c r="W84" i="567" s="1"/>
  <c r="W83" i="567" s="1"/>
  <c r="Q120" i="567"/>
  <c r="S166" i="567"/>
  <c r="K320" i="567"/>
  <c r="S412" i="567"/>
  <c r="V422" i="567"/>
  <c r="W422" i="567" s="1"/>
  <c r="K610" i="567"/>
  <c r="S543" i="568"/>
  <c r="S57" i="567"/>
  <c r="U137" i="567"/>
  <c r="S137" i="567" s="1"/>
  <c r="V165" i="567"/>
  <c r="W165" i="567" s="1"/>
  <c r="K368" i="567"/>
  <c r="K389" i="567"/>
  <c r="J118" i="568"/>
  <c r="O84" i="567"/>
  <c r="V147" i="567"/>
  <c r="W147" i="567" s="1"/>
  <c r="S163" i="567"/>
  <c r="N242" i="567"/>
  <c r="O289" i="567"/>
  <c r="V325" i="567"/>
  <c r="S337" i="567"/>
  <c r="K370" i="567"/>
  <c r="O388" i="567"/>
  <c r="U570" i="567"/>
  <c r="U569" i="567" s="1"/>
  <c r="K632" i="567"/>
  <c r="S663" i="567"/>
  <c r="N685" i="567"/>
  <c r="V711" i="567"/>
  <c r="W711" i="567" s="1"/>
  <c r="S716" i="567"/>
  <c r="S727" i="567"/>
  <c r="Q543" i="568"/>
  <c r="J208" i="568"/>
  <c r="J207" i="568" s="1"/>
  <c r="J463" i="568"/>
  <c r="U305" i="568"/>
  <c r="S19" i="567"/>
  <c r="U92" i="567"/>
  <c r="S92" i="567" s="1"/>
  <c r="U108" i="567"/>
  <c r="S108" i="567" s="1"/>
  <c r="S135" i="567"/>
  <c r="J228" i="567"/>
  <c r="O228" i="567" s="1"/>
  <c r="K237" i="567"/>
  <c r="K236" i="567" s="1"/>
  <c r="V251" i="567"/>
  <c r="W251" i="567" s="1"/>
  <c r="K306" i="567"/>
  <c r="K316" i="567"/>
  <c r="K318" i="567"/>
  <c r="U324" i="567"/>
  <c r="S324" i="567" s="1"/>
  <c r="K353" i="567"/>
  <c r="K352" i="567" s="1"/>
  <c r="K366" i="567"/>
  <c r="S419" i="567"/>
  <c r="V426" i="567"/>
  <c r="W426" i="567" s="1"/>
  <c r="S443" i="567"/>
  <c r="Q525" i="567"/>
  <c r="Q524" i="567" s="1"/>
  <c r="S685" i="567"/>
  <c r="K717" i="567"/>
  <c r="U720" i="567"/>
  <c r="S720" i="567" s="1"/>
  <c r="S443" i="568"/>
  <c r="U443" i="568" s="1"/>
  <c r="S121" i="567"/>
  <c r="S171" i="567"/>
  <c r="K176" i="567"/>
  <c r="K175" i="567" s="1"/>
  <c r="K226" i="567"/>
  <c r="O233" i="567"/>
  <c r="K274" i="567"/>
  <c r="K293" i="567"/>
  <c r="J335" i="567"/>
  <c r="O335" i="567" s="1"/>
  <c r="V419" i="567"/>
  <c r="U437" i="567"/>
  <c r="S437" i="567" s="1"/>
  <c r="K455" i="567"/>
  <c r="O479" i="567"/>
  <c r="U496" i="567"/>
  <c r="S496" i="567" s="1"/>
  <c r="U518" i="567"/>
  <c r="S518" i="567" s="1"/>
  <c r="O535" i="567"/>
  <c r="O624" i="567"/>
  <c r="U642" i="567"/>
  <c r="S642" i="567" s="1"/>
  <c r="S666" i="567"/>
  <c r="V690" i="567"/>
  <c r="S691" i="567"/>
  <c r="J619" i="568"/>
  <c r="S436" i="568"/>
  <c r="U495" i="568"/>
  <c r="J347" i="568"/>
  <c r="J346" i="568" s="1"/>
  <c r="J291" i="568"/>
  <c r="J97" i="568"/>
  <c r="O494" i="567"/>
  <c r="V509" i="567"/>
  <c r="W509" i="567" s="1"/>
  <c r="S589" i="567"/>
  <c r="J568" i="568"/>
  <c r="J567" i="568" s="1"/>
  <c r="Q344" i="568"/>
  <c r="Q343" i="568" s="1"/>
  <c r="J264" i="568"/>
  <c r="Q83" i="568"/>
  <c r="Q82" i="568" s="1"/>
  <c r="J16" i="568"/>
  <c r="J15" i="568" s="1"/>
  <c r="J382" i="568"/>
  <c r="J381" i="568" s="1"/>
  <c r="Q17" i="567"/>
  <c r="Q434" i="567"/>
  <c r="J408" i="568"/>
  <c r="O80" i="567"/>
  <c r="S93" i="567"/>
  <c r="S107" i="567"/>
  <c r="Q207" i="567"/>
  <c r="Q214" i="567"/>
  <c r="Q213" i="567" s="1"/>
  <c r="S243" i="567"/>
  <c r="O259" i="567"/>
  <c r="K267" i="567"/>
  <c r="U272" i="567"/>
  <c r="S272" i="567" s="1"/>
  <c r="K315" i="567"/>
  <c r="K374" i="567"/>
  <c r="K440" i="567"/>
  <c r="V499" i="567"/>
  <c r="W499" i="567" s="1"/>
  <c r="K581" i="567"/>
  <c r="S631" i="567"/>
  <c r="K639" i="567"/>
  <c r="O716" i="567"/>
  <c r="V721" i="567"/>
  <c r="W721" i="567" s="1"/>
  <c r="S740" i="567"/>
  <c r="S743" i="567"/>
  <c r="U672" i="568"/>
  <c r="J394" i="568"/>
  <c r="J390" i="568" s="1"/>
  <c r="Q495" i="568"/>
  <c r="O129" i="567"/>
  <c r="O427" i="567"/>
  <c r="K427" i="567"/>
  <c r="K64" i="567"/>
  <c r="O77" i="567"/>
  <c r="O106" i="567"/>
  <c r="K22" i="567"/>
  <c r="V169" i="567"/>
  <c r="W169" i="567" s="1"/>
  <c r="K393" i="567"/>
  <c r="V514" i="567"/>
  <c r="W514" i="567" s="1"/>
  <c r="U514" i="567"/>
  <c r="S514" i="567" s="1"/>
  <c r="V527" i="567"/>
  <c r="W527" i="567" s="1"/>
  <c r="U527" i="567"/>
  <c r="S527" i="567" s="1"/>
  <c r="O544" i="567"/>
  <c r="K544" i="567"/>
  <c r="O651" i="567"/>
  <c r="K651" i="567"/>
  <c r="Q106" i="568"/>
  <c r="Q104" i="568" s="1"/>
  <c r="S104" i="568"/>
  <c r="S109" i="567"/>
  <c r="S340" i="567"/>
  <c r="O425" i="567"/>
  <c r="K425" i="567"/>
  <c r="U454" i="567"/>
  <c r="S454" i="567" s="1"/>
  <c r="K476" i="567"/>
  <c r="V648" i="567"/>
  <c r="W648" i="567" s="1"/>
  <c r="U648" i="567"/>
  <c r="S648" i="567" s="1"/>
  <c r="O53" i="567"/>
  <c r="V109" i="567"/>
  <c r="W109" i="567" s="1"/>
  <c r="K124" i="567"/>
  <c r="K132" i="567"/>
  <c r="K134" i="567"/>
  <c r="O151" i="567"/>
  <c r="K164" i="567"/>
  <c r="K168" i="567"/>
  <c r="T233" i="567"/>
  <c r="V233" i="567" s="1"/>
  <c r="W233" i="567" s="1"/>
  <c r="S244" i="567"/>
  <c r="O251" i="567"/>
  <c r="K317" i="567"/>
  <c r="O442" i="567"/>
  <c r="K442" i="567"/>
  <c r="O526" i="567"/>
  <c r="K526" i="567"/>
  <c r="O669" i="567"/>
  <c r="U689" i="567"/>
  <c r="U677" i="567" s="1"/>
  <c r="V689" i="567"/>
  <c r="W689" i="567" s="1"/>
  <c r="N416" i="567"/>
  <c r="K416" i="567"/>
  <c r="S79" i="567"/>
  <c r="U172" i="567"/>
  <c r="S172" i="567" s="1"/>
  <c r="O260" i="567"/>
  <c r="V397" i="567"/>
  <c r="W397" i="567" s="1"/>
  <c r="U397" i="567"/>
  <c r="S397" i="567" s="1"/>
  <c r="O416" i="567"/>
  <c r="V512" i="567"/>
  <c r="W512" i="567" s="1"/>
  <c r="U512" i="567"/>
  <c r="S512" i="567" s="1"/>
  <c r="O540" i="567"/>
  <c r="K540" i="567"/>
  <c r="U551" i="567"/>
  <c r="S551" i="567" s="1"/>
  <c r="V716" i="567"/>
  <c r="W716" i="567" s="1"/>
  <c r="L34" i="567"/>
  <c r="O34" i="567" s="1"/>
  <c r="O74" i="567"/>
  <c r="O164" i="567"/>
  <c r="O305" i="567"/>
  <c r="K305" i="567"/>
  <c r="N337" i="567"/>
  <c r="O423" i="567"/>
  <c r="K423" i="567"/>
  <c r="V461" i="567"/>
  <c r="W461" i="567" s="1"/>
  <c r="U461" i="567"/>
  <c r="S461" i="567" s="1"/>
  <c r="V519" i="567"/>
  <c r="W519" i="567" s="1"/>
  <c r="U519" i="567"/>
  <c r="S519" i="567" s="1"/>
  <c r="O536" i="567"/>
  <c r="K536" i="567"/>
  <c r="O625" i="567"/>
  <c r="K625" i="567"/>
  <c r="U68" i="567"/>
  <c r="K103" i="567"/>
  <c r="U122" i="567"/>
  <c r="S122" i="567" s="1"/>
  <c r="L141" i="567"/>
  <c r="K172" i="567"/>
  <c r="S271" i="567"/>
  <c r="V273" i="567"/>
  <c r="W273" i="567" s="1"/>
  <c r="S339" i="567"/>
  <c r="K367" i="567"/>
  <c r="K369" i="567"/>
  <c r="K371" i="567"/>
  <c r="K373" i="567"/>
  <c r="K375" i="567"/>
  <c r="K377" i="567"/>
  <c r="O406" i="567"/>
  <c r="K406" i="567"/>
  <c r="O421" i="567"/>
  <c r="K421" i="567"/>
  <c r="U508" i="567"/>
  <c r="S508" i="567" s="1"/>
  <c r="V508" i="567"/>
  <c r="W508" i="567" s="1"/>
  <c r="S547" i="567"/>
  <c r="K618" i="567"/>
  <c r="Q460" i="568"/>
  <c r="Q457" i="568" s="1"/>
  <c r="S457" i="568"/>
  <c r="S81" i="567"/>
  <c r="J227" i="567"/>
  <c r="O227" i="567" s="1"/>
  <c r="V31" i="567"/>
  <c r="W31" i="567" s="1"/>
  <c r="Q55" i="567"/>
  <c r="Q91" i="567"/>
  <c r="K94" i="567"/>
  <c r="V124" i="567"/>
  <c r="W124" i="567" s="1"/>
  <c r="V168" i="567"/>
  <c r="W168" i="567" s="1"/>
  <c r="W222" i="567"/>
  <c r="O285" i="567"/>
  <c r="K285" i="567"/>
  <c r="V379" i="567"/>
  <c r="U379" i="567"/>
  <c r="S379" i="567" s="1"/>
  <c r="Q385" i="567"/>
  <c r="O437" i="567"/>
  <c r="K437" i="567"/>
  <c r="U529" i="567"/>
  <c r="S529" i="567" s="1"/>
  <c r="V529" i="567"/>
  <c r="W529" i="567" s="1"/>
  <c r="O663" i="567"/>
  <c r="K663" i="567"/>
  <c r="O726" i="567"/>
  <c r="V728" i="567"/>
  <c r="W728" i="567" s="1"/>
  <c r="U728" i="567"/>
  <c r="S728" i="567" s="1"/>
  <c r="S242" i="567"/>
  <c r="K288" i="567"/>
  <c r="O288" i="567"/>
  <c r="O329" i="567"/>
  <c r="K329" i="567"/>
  <c r="K328" i="567" s="1"/>
  <c r="O460" i="567"/>
  <c r="K460" i="567"/>
  <c r="S607" i="567"/>
  <c r="K613" i="567"/>
  <c r="O613" i="567"/>
  <c r="O705" i="567"/>
  <c r="K705" i="567"/>
  <c r="O724" i="567"/>
  <c r="K724" i="567"/>
  <c r="S681" i="567"/>
  <c r="S683" i="567"/>
  <c r="Q695" i="568"/>
  <c r="J477" i="568"/>
  <c r="J354" i="568"/>
  <c r="J285" i="568"/>
  <c r="Q596" i="568"/>
  <c r="Q594" i="568" s="1"/>
  <c r="S594" i="568"/>
  <c r="J344" i="567"/>
  <c r="O344" i="567" s="1"/>
  <c r="U381" i="567"/>
  <c r="S381" i="567" s="1"/>
  <c r="U387" i="567"/>
  <c r="S387" i="567" s="1"/>
  <c r="O397" i="567"/>
  <c r="S426" i="567"/>
  <c r="O432" i="567"/>
  <c r="K443" i="567"/>
  <c r="U456" i="567"/>
  <c r="S456" i="567" s="1"/>
  <c r="K498" i="567"/>
  <c r="K548" i="567"/>
  <c r="S550" i="567"/>
  <c r="V584" i="567"/>
  <c r="W584" i="567" s="1"/>
  <c r="W583" i="567" s="1"/>
  <c r="O598" i="567"/>
  <c r="O602" i="567"/>
  <c r="K640" i="567"/>
  <c r="K642" i="567"/>
  <c r="S645" i="567"/>
  <c r="U522" i="568"/>
  <c r="S495" i="568"/>
  <c r="S649" i="568"/>
  <c r="J277" i="568"/>
  <c r="U97" i="568"/>
  <c r="J59" i="568"/>
  <c r="J58" i="568" s="1"/>
  <c r="J69" i="568"/>
  <c r="Q638" i="567"/>
  <c r="U661" i="567"/>
  <c r="S661" i="567" s="1"/>
  <c r="S687" i="567"/>
  <c r="S715" i="567"/>
  <c r="U722" i="567"/>
  <c r="S722" i="567" s="1"/>
  <c r="S724" i="567"/>
  <c r="O729" i="567"/>
  <c r="U732" i="567"/>
  <c r="S732" i="567" s="1"/>
  <c r="Q90" i="568"/>
  <c r="J54" i="568"/>
  <c r="J50" i="568" s="1"/>
  <c r="J449" i="568"/>
  <c r="O483" i="567"/>
  <c r="V500" i="567"/>
  <c r="K506" i="567"/>
  <c r="U511" i="567"/>
  <c r="S511" i="567" s="1"/>
  <c r="O539" i="567"/>
  <c r="O543" i="567"/>
  <c r="K570" i="567"/>
  <c r="K569" i="567" s="1"/>
  <c r="V647" i="567"/>
  <c r="W647" i="567" s="1"/>
  <c r="O670" i="567"/>
  <c r="O721" i="567"/>
  <c r="J577" i="568"/>
  <c r="J124" i="568"/>
  <c r="Q532" i="567"/>
  <c r="J436" i="568"/>
  <c r="J104" i="568"/>
  <c r="S344" i="567"/>
  <c r="V349" i="567"/>
  <c r="O448" i="567"/>
  <c r="Q453" i="567"/>
  <c r="K499" i="567"/>
  <c r="O512" i="567"/>
  <c r="O519" i="567"/>
  <c r="K648" i="567"/>
  <c r="O706" i="567"/>
  <c r="V729" i="567"/>
  <c r="W729" i="567" s="1"/>
  <c r="U436" i="568"/>
  <c r="O403" i="568"/>
  <c r="U226" i="568"/>
  <c r="U225" i="568" s="1"/>
  <c r="J110" i="568"/>
  <c r="U85" i="568"/>
  <c r="J138" i="568"/>
  <c r="J443" i="568"/>
  <c r="J85" i="568"/>
  <c r="U116" i="567"/>
  <c r="S116" i="567" s="1"/>
  <c r="V130" i="567"/>
  <c r="W130" i="567" s="1"/>
  <c r="Q716" i="568"/>
  <c r="Q694" i="568" s="1"/>
  <c r="S716" i="568"/>
  <c r="S694" i="568" s="1"/>
  <c r="S201" i="568"/>
  <c r="U180" i="568"/>
  <c r="U179" i="568" s="1"/>
  <c r="U174" i="568"/>
  <c r="U173" i="568" s="1"/>
  <c r="Q85" i="568"/>
  <c r="U694" i="568"/>
  <c r="Q723" i="568"/>
  <c r="Q722" i="568" s="1"/>
  <c r="Q551" i="568"/>
  <c r="Q550" i="568" s="1"/>
  <c r="Q549" i="568" s="1"/>
  <c r="S550" i="568"/>
  <c r="S549" i="568" s="1"/>
  <c r="M582" i="568"/>
  <c r="U582" i="568"/>
  <c r="S354" i="568"/>
  <c r="Q355" i="568"/>
  <c r="Q354" i="568" s="1"/>
  <c r="S463" i="568"/>
  <c r="Q464" i="568"/>
  <c r="Q463" i="568" s="1"/>
  <c r="Q395" i="568"/>
  <c r="Q394" i="568" s="1"/>
  <c r="S394" i="568"/>
  <c r="Q180" i="568"/>
  <c r="Q110" i="568"/>
  <c r="S110" i="568"/>
  <c r="J65" i="568"/>
  <c r="S723" i="568"/>
  <c r="S722" i="568" s="1"/>
  <c r="S627" i="568"/>
  <c r="Q627" i="568"/>
  <c r="J522" i="568"/>
  <c r="U463" i="568"/>
  <c r="Q392" i="568"/>
  <c r="Q391" i="568" s="1"/>
  <c r="S391" i="568"/>
  <c r="Q305" i="568"/>
  <c r="S180" i="568"/>
  <c r="S226" i="568"/>
  <c r="S225" i="568" s="1"/>
  <c r="Q493" i="568"/>
  <c r="Q492" i="568" s="1"/>
  <c r="S492" i="568"/>
  <c r="Q443" i="568"/>
  <c r="S449" i="568"/>
  <c r="Q450" i="568"/>
  <c r="Q449" i="568" s="1"/>
  <c r="S511" i="568"/>
  <c r="Q512" i="568"/>
  <c r="Q511" i="568" s="1"/>
  <c r="S400" i="568"/>
  <c r="S399" i="568" s="1"/>
  <c r="Q401" i="568"/>
  <c r="Q400" i="568" s="1"/>
  <c r="Q399" i="568" s="1"/>
  <c r="J156" i="568"/>
  <c r="Q98" i="568"/>
  <c r="Q97" i="568" s="1"/>
  <c r="S97" i="568"/>
  <c r="Q118" i="568"/>
  <c r="S118" i="568"/>
  <c r="M31" i="568"/>
  <c r="S59" i="568"/>
  <c r="S58" i="568" s="1"/>
  <c r="Q663" i="568"/>
  <c r="Q662" i="568" s="1"/>
  <c r="S662" i="568"/>
  <c r="J647" i="568"/>
  <c r="U449" i="568"/>
  <c r="S320" i="568"/>
  <c r="Q321" i="568"/>
  <c r="Q320" i="568" s="1"/>
  <c r="U424" i="568"/>
  <c r="J495" i="568"/>
  <c r="U400" i="568"/>
  <c r="U399" i="568" s="1"/>
  <c r="Q154" i="568"/>
  <c r="Q153" i="568" s="1"/>
  <c r="S153" i="568"/>
  <c r="U118" i="568"/>
  <c r="M633" i="568"/>
  <c r="U647" i="568"/>
  <c r="Q430" i="568"/>
  <c r="Q429" i="568" s="1"/>
  <c r="S429" i="568"/>
  <c r="S257" i="568"/>
  <c r="Q257" i="568"/>
  <c r="S17" i="568"/>
  <c r="Q18" i="568"/>
  <c r="Q17" i="568" s="1"/>
  <c r="M42" i="568"/>
  <c r="S695" i="568"/>
  <c r="S665" i="568"/>
  <c r="Q666" i="568"/>
  <c r="U695" i="568"/>
  <c r="J633" i="568"/>
  <c r="U429" i="568"/>
  <c r="Q436" i="568"/>
  <c r="Q523" i="568"/>
  <c r="Q522" i="568" s="1"/>
  <c r="S522" i="568"/>
  <c r="Q425" i="568"/>
  <c r="Q424" i="568" s="1"/>
  <c r="S424" i="568"/>
  <c r="S382" i="568"/>
  <c r="S381" i="568" s="1"/>
  <c r="Q383" i="568"/>
  <c r="Q382" i="568" s="1"/>
  <c r="Q381" i="568" s="1"/>
  <c r="Q409" i="568"/>
  <c r="Q408" i="568" s="1"/>
  <c r="S408" i="568"/>
  <c r="J375" i="568"/>
  <c r="S90" i="568"/>
  <c r="Q201" i="568"/>
  <c r="S54" i="568"/>
  <c r="U54" i="568" s="1"/>
  <c r="Q55" i="568"/>
  <c r="Q54" i="568" s="1"/>
  <c r="J695" i="568"/>
  <c r="Q621" i="568"/>
  <c r="Q421" i="568"/>
  <c r="S421" i="568"/>
  <c r="S404" i="568"/>
  <c r="Q405" i="568"/>
  <c r="Q404" i="568" s="1"/>
  <c r="T132" i="568"/>
  <c r="U132" i="568" s="1"/>
  <c r="S132" i="568"/>
  <c r="S131" i="568"/>
  <c r="Q124" i="568" s="1"/>
  <c r="T131" i="568"/>
  <c r="U131" i="568" s="1"/>
  <c r="U23" i="567"/>
  <c r="V23" i="567"/>
  <c r="W23" i="567" s="1"/>
  <c r="V81" i="567"/>
  <c r="W81" i="567" s="1"/>
  <c r="V93" i="567"/>
  <c r="W93" i="567" s="1"/>
  <c r="V100" i="567"/>
  <c r="W100" i="567" s="1"/>
  <c r="V101" i="567"/>
  <c r="W101" i="567" s="1"/>
  <c r="O152" i="567"/>
  <c r="K192" i="567"/>
  <c r="K197" i="567"/>
  <c r="K200" i="567"/>
  <c r="S202" i="567"/>
  <c r="S209" i="567"/>
  <c r="K251" i="567"/>
  <c r="K279" i="567"/>
  <c r="K281" i="567"/>
  <c r="U318" i="567"/>
  <c r="S318" i="567" s="1"/>
  <c r="N333" i="567"/>
  <c r="K357" i="567"/>
  <c r="O357" i="567"/>
  <c r="Q364" i="567"/>
  <c r="U395" i="567"/>
  <c r="S395" i="567" s="1"/>
  <c r="V395" i="567"/>
  <c r="W395" i="567" s="1"/>
  <c r="O402" i="567"/>
  <c r="O436" i="567"/>
  <c r="K436" i="567"/>
  <c r="K614" i="567"/>
  <c r="O614" i="567"/>
  <c r="L33" i="567"/>
  <c r="O33" i="567" s="1"/>
  <c r="L43" i="567"/>
  <c r="S62" i="567"/>
  <c r="Q60" i="567"/>
  <c r="Q59" i="567" s="1"/>
  <c r="V80" i="567"/>
  <c r="W80" i="567" s="1"/>
  <c r="Q111" i="567"/>
  <c r="K115" i="567"/>
  <c r="V380" i="567"/>
  <c r="U380" i="567"/>
  <c r="S380" i="567" s="1"/>
  <c r="K468" i="567"/>
  <c r="O468" i="567"/>
  <c r="K503" i="567"/>
  <c r="K502" i="567" s="1"/>
  <c r="O503" i="567"/>
  <c r="V543" i="567"/>
  <c r="W543" i="567" s="1"/>
  <c r="U543" i="567"/>
  <c r="S543" i="567" s="1"/>
  <c r="U549" i="567"/>
  <c r="S549" i="567" s="1"/>
  <c r="V549" i="567"/>
  <c r="W549" i="567" s="1"/>
  <c r="N596" i="567"/>
  <c r="J596" i="567"/>
  <c r="N679" i="567"/>
  <c r="J679" i="567"/>
  <c r="O679" i="567" s="1"/>
  <c r="V679" i="567" s="1"/>
  <c r="K17" i="567"/>
  <c r="J33" i="567"/>
  <c r="V49" i="567"/>
  <c r="W49" i="567" s="1"/>
  <c r="W48" i="567" s="1"/>
  <c r="W47" i="567" s="1"/>
  <c r="S167" i="567"/>
  <c r="K265" i="567"/>
  <c r="K273" i="567"/>
  <c r="K319" i="567"/>
  <c r="U322" i="567"/>
  <c r="S322" i="567" s="1"/>
  <c r="U323" i="567"/>
  <c r="S323" i="567" s="1"/>
  <c r="J342" i="567"/>
  <c r="O342" i="567" s="1"/>
  <c r="K365" i="567"/>
  <c r="O365" i="567"/>
  <c r="V386" i="567"/>
  <c r="U386" i="567"/>
  <c r="S386" i="567" s="1"/>
  <c r="O415" i="567"/>
  <c r="K415" i="567"/>
  <c r="O447" i="567"/>
  <c r="K447" i="567"/>
  <c r="O516" i="567"/>
  <c r="K516" i="567"/>
  <c r="O584" i="567"/>
  <c r="K584" i="567"/>
  <c r="K583" i="567" s="1"/>
  <c r="U662" i="567"/>
  <c r="S662" i="567" s="1"/>
  <c r="V662" i="567"/>
  <c r="W662" i="567" s="1"/>
  <c r="K713" i="567"/>
  <c r="O713" i="567"/>
  <c r="O727" i="567"/>
  <c r="K727" i="567"/>
  <c r="K45" i="567"/>
  <c r="K36" i="567" s="1"/>
  <c r="K48" i="567"/>
  <c r="K47" i="567" s="1"/>
  <c r="U61" i="567"/>
  <c r="S61" i="567" s="1"/>
  <c r="K63" i="567"/>
  <c r="V64" i="567"/>
  <c r="W64" i="567" s="1"/>
  <c r="V79" i="567"/>
  <c r="W79" i="567" s="1"/>
  <c r="K81" i="567"/>
  <c r="K93" i="567"/>
  <c r="O96" i="567"/>
  <c r="K101" i="567"/>
  <c r="U112" i="567"/>
  <c r="S112" i="567" s="1"/>
  <c r="K123" i="567"/>
  <c r="O130" i="567"/>
  <c r="O134" i="567"/>
  <c r="S165" i="567"/>
  <c r="U176" i="567"/>
  <c r="U175" i="567" s="1"/>
  <c r="U284" i="567"/>
  <c r="S284" i="567" s="1"/>
  <c r="O348" i="567"/>
  <c r="K381" i="567"/>
  <c r="U402" i="567"/>
  <c r="U401" i="567" s="1"/>
  <c r="O511" i="567"/>
  <c r="K511" i="567"/>
  <c r="O605" i="567"/>
  <c r="K605" i="567"/>
  <c r="K667" i="567"/>
  <c r="O667" i="567"/>
  <c r="S31" i="567"/>
  <c r="K56" i="567"/>
  <c r="K55" i="567" s="1"/>
  <c r="K51" i="567" s="1"/>
  <c r="V77" i="567"/>
  <c r="W77" i="567" s="1"/>
  <c r="K114" i="567"/>
  <c r="K117" i="567"/>
  <c r="K122" i="567"/>
  <c r="S130" i="567"/>
  <c r="U132" i="567"/>
  <c r="S132" i="567" s="1"/>
  <c r="S151" i="567"/>
  <c r="S170" i="567"/>
  <c r="K181" i="567"/>
  <c r="K193" i="567"/>
  <c r="K196" i="567"/>
  <c r="K201" i="567"/>
  <c r="S218" i="567"/>
  <c r="Q263" i="567"/>
  <c r="O360" i="567"/>
  <c r="K360" i="567"/>
  <c r="Q98" i="567"/>
  <c r="U131" i="567"/>
  <c r="S131" i="567" s="1"/>
  <c r="K146" i="567"/>
  <c r="K147" i="567"/>
  <c r="U150" i="567"/>
  <c r="S150" i="567" s="1"/>
  <c r="V151" i="567"/>
  <c r="W151" i="567" s="1"/>
  <c r="K169" i="567"/>
  <c r="U274" i="567"/>
  <c r="S274" i="567" s="1"/>
  <c r="K301" i="567"/>
  <c r="K304" i="567"/>
  <c r="K314" i="567"/>
  <c r="U316" i="567"/>
  <c r="S316" i="567" s="1"/>
  <c r="S319" i="567"/>
  <c r="K324" i="567"/>
  <c r="N339" i="567"/>
  <c r="K347" i="567"/>
  <c r="N347" i="567"/>
  <c r="K358" i="567"/>
  <c r="U365" i="567"/>
  <c r="S365" i="567" s="1"/>
  <c r="O444" i="567"/>
  <c r="K444" i="567"/>
  <c r="O450" i="567"/>
  <c r="K450" i="567"/>
  <c r="J488" i="567"/>
  <c r="O488" i="567" s="1"/>
  <c r="L488" i="567"/>
  <c r="V588" i="567"/>
  <c r="W588" i="567" s="1"/>
  <c r="U588" i="567"/>
  <c r="S588" i="567" s="1"/>
  <c r="V725" i="567"/>
  <c r="W725" i="567" s="1"/>
  <c r="U725" i="567"/>
  <c r="S725" i="567" s="1"/>
  <c r="K62" i="567"/>
  <c r="K75" i="567"/>
  <c r="U94" i="567"/>
  <c r="S94" i="567" s="1"/>
  <c r="U96" i="567"/>
  <c r="S96" i="567" s="1"/>
  <c r="K137" i="567"/>
  <c r="K142" i="567"/>
  <c r="K143" i="567"/>
  <c r="O169" i="567"/>
  <c r="S211" i="567"/>
  <c r="S216" i="567"/>
  <c r="K219" i="567"/>
  <c r="S267" i="567"/>
  <c r="Q404" i="567"/>
  <c r="Q400" i="567" s="1"/>
  <c r="Q418" i="567"/>
  <c r="V440" i="567"/>
  <c r="W440" i="567" s="1"/>
  <c r="U440" i="567"/>
  <c r="S440" i="567" s="1"/>
  <c r="V475" i="567"/>
  <c r="W475" i="567" s="1"/>
  <c r="U475" i="567"/>
  <c r="V483" i="567"/>
  <c r="W483" i="567" s="1"/>
  <c r="U483" i="567"/>
  <c r="S483" i="567" s="1"/>
  <c r="V548" i="567"/>
  <c r="W548" i="567" s="1"/>
  <c r="U548" i="567"/>
  <c r="S548" i="567" s="1"/>
  <c r="U665" i="567"/>
  <c r="S665" i="567" s="1"/>
  <c r="V665" i="567"/>
  <c r="W665" i="567" s="1"/>
  <c r="Q677" i="567"/>
  <c r="O67" i="567"/>
  <c r="O72" i="567"/>
  <c r="S78" i="567"/>
  <c r="S103" i="567"/>
  <c r="U123" i="567"/>
  <c r="S123" i="567" s="1"/>
  <c r="K382" i="567"/>
  <c r="O382" i="567"/>
  <c r="O484" i="567"/>
  <c r="K484" i="567"/>
  <c r="U513" i="567"/>
  <c r="S513" i="567" s="1"/>
  <c r="V513" i="567"/>
  <c r="W513" i="567" s="1"/>
  <c r="U528" i="567"/>
  <c r="S528" i="567" s="1"/>
  <c r="V528" i="567"/>
  <c r="W528" i="567" s="1"/>
  <c r="V671" i="567"/>
  <c r="W671" i="567" s="1"/>
  <c r="U671" i="567"/>
  <c r="S671" i="567" s="1"/>
  <c r="V714" i="567"/>
  <c r="W714" i="567" s="1"/>
  <c r="U714" i="567"/>
  <c r="S714" i="567" s="1"/>
  <c r="O380" i="567"/>
  <c r="O386" i="567"/>
  <c r="Q392" i="567"/>
  <c r="Q391" i="567" s="1"/>
  <c r="O411" i="567"/>
  <c r="S422" i="567"/>
  <c r="O429" i="567"/>
  <c r="K441" i="567"/>
  <c r="V443" i="567"/>
  <c r="W443" i="567" s="1"/>
  <c r="O464" i="567"/>
  <c r="O480" i="567"/>
  <c r="O495" i="567"/>
  <c r="Q505" i="567"/>
  <c r="V515" i="567"/>
  <c r="W515" i="567" s="1"/>
  <c r="O554" i="567"/>
  <c r="V555" i="567"/>
  <c r="W555" i="567" s="1"/>
  <c r="K626" i="567"/>
  <c r="U668" i="567"/>
  <c r="S668" i="567" s="1"/>
  <c r="O675" i="567"/>
  <c r="V678" i="567"/>
  <c r="W678" i="567" s="1"/>
  <c r="V683" i="567"/>
  <c r="O703" i="567"/>
  <c r="U712" i="567"/>
  <c r="S712" i="567" s="1"/>
  <c r="O719" i="567"/>
  <c r="K722" i="567"/>
  <c r="V727" i="567"/>
  <c r="W727" i="567" s="1"/>
  <c r="S729" i="567"/>
  <c r="O733" i="567"/>
  <c r="S424" i="567"/>
  <c r="S509" i="567"/>
  <c r="V685" i="567"/>
  <c r="S733" i="567"/>
  <c r="S198" i="567"/>
  <c r="S407" i="567"/>
  <c r="Q439" i="567"/>
  <c r="S441" i="567"/>
  <c r="Q446" i="567"/>
  <c r="V645" i="567"/>
  <c r="W645" i="567" s="1"/>
  <c r="O655" i="567"/>
  <c r="S680" i="567"/>
  <c r="V733" i="567"/>
  <c r="W733" i="567" s="1"/>
  <c r="Q410" i="567"/>
  <c r="Q409" i="567" s="1"/>
  <c r="K677" i="567"/>
  <c r="Q731" i="567"/>
  <c r="Q709" i="567" s="1"/>
  <c r="S428" i="567"/>
  <c r="U447" i="567"/>
  <c r="S447" i="567" s="1"/>
  <c r="K457" i="567"/>
  <c r="O471" i="567"/>
  <c r="U494" i="567"/>
  <c r="S494" i="567" s="1"/>
  <c r="V503" i="567"/>
  <c r="W503" i="567" s="1"/>
  <c r="W502" i="567" s="1"/>
  <c r="S510" i="567"/>
  <c r="O514" i="567"/>
  <c r="Q553" i="567"/>
  <c r="O564" i="567"/>
  <c r="O574" i="567"/>
  <c r="K588" i="567"/>
  <c r="K587" i="567" s="1"/>
  <c r="U605" i="567"/>
  <c r="S605" i="567" s="1"/>
  <c r="K633" i="567"/>
  <c r="U639" i="567"/>
  <c r="S639" i="567" s="1"/>
  <c r="O649" i="567"/>
  <c r="S669" i="567"/>
  <c r="O678" i="567"/>
  <c r="S679" i="567"/>
  <c r="V687" i="567"/>
  <c r="V713" i="567"/>
  <c r="W713" i="567" s="1"/>
  <c r="S721" i="567"/>
  <c r="V724" i="567"/>
  <c r="W724" i="567" s="1"/>
  <c r="K734" i="567"/>
  <c r="S735" i="567"/>
  <c r="S194" i="567"/>
  <c r="S378" i="567"/>
  <c r="N589" i="567"/>
  <c r="S590" i="567"/>
  <c r="V669" i="567"/>
  <c r="W669" i="567" s="1"/>
  <c r="K383" i="567"/>
  <c r="U388" i="567"/>
  <c r="S388" i="567" s="1"/>
  <c r="K394" i="567"/>
  <c r="S420" i="567"/>
  <c r="U436" i="567"/>
  <c r="S436" i="567" s="1"/>
  <c r="V465" i="567"/>
  <c r="W465" i="567" s="1"/>
  <c r="Q473" i="567"/>
  <c r="V510" i="567"/>
  <c r="W510" i="567" s="1"/>
  <c r="O513" i="567"/>
  <c r="K517" i="567"/>
  <c r="U539" i="567"/>
  <c r="S539" i="567" s="1"/>
  <c r="V547" i="567"/>
  <c r="W547" i="567" s="1"/>
  <c r="S596" i="567"/>
  <c r="V631" i="567"/>
  <c r="W631" i="567" s="1"/>
  <c r="K645" i="567"/>
  <c r="U646" i="567"/>
  <c r="S646" i="567" s="1"/>
  <c r="K652" i="567"/>
  <c r="O662" i="567"/>
  <c r="O665" i="567"/>
  <c r="S682" i="567"/>
  <c r="N687" i="567"/>
  <c r="K704" i="567"/>
  <c r="K714" i="567"/>
  <c r="S723" i="567"/>
  <c r="K725" i="567"/>
  <c r="H763" i="567"/>
  <c r="K215" i="567"/>
  <c r="K217" i="567"/>
  <c r="V218" i="567"/>
  <c r="W218" i="567" s="1"/>
  <c r="V405" i="567"/>
  <c r="W405" i="567" s="1"/>
  <c r="V412" i="567"/>
  <c r="W412" i="567" s="1"/>
  <c r="U88" i="567"/>
  <c r="U86" i="567" s="1"/>
  <c r="V89" i="567"/>
  <c r="W89" i="567" s="1"/>
  <c r="S87" i="567"/>
  <c r="V87" i="567"/>
  <c r="W87" i="567" s="1"/>
  <c r="K89" i="567"/>
  <c r="Q86" i="567"/>
  <c r="U136" i="567"/>
  <c r="S136" i="567" s="1"/>
  <c r="V135" i="567"/>
  <c r="W135" i="567" s="1"/>
  <c r="K149" i="567"/>
  <c r="S149" i="567"/>
  <c r="V149" i="567"/>
  <c r="W149" i="567" s="1"/>
  <c r="V188" i="567"/>
  <c r="W188" i="567" s="1"/>
  <c r="S190" i="567"/>
  <c r="V201" i="567"/>
  <c r="W201" i="567" s="1"/>
  <c r="U201" i="567"/>
  <c r="S201" i="567" s="1"/>
  <c r="V197" i="567"/>
  <c r="W197" i="567" s="1"/>
  <c r="U197" i="567"/>
  <c r="S197" i="567" s="1"/>
  <c r="V193" i="567"/>
  <c r="W193" i="567" s="1"/>
  <c r="U193" i="567"/>
  <c r="S193" i="567" s="1"/>
  <c r="V189" i="567"/>
  <c r="W189" i="567" s="1"/>
  <c r="U189" i="567"/>
  <c r="S189" i="567" s="1"/>
  <c r="K189" i="567"/>
  <c r="K188" i="567"/>
  <c r="S204" i="567"/>
  <c r="K191" i="567"/>
  <c r="S192" i="567"/>
  <c r="K195" i="567"/>
  <c r="S196" i="567"/>
  <c r="K199" i="567"/>
  <c r="S200" i="567"/>
  <c r="K203" i="567"/>
  <c r="Q186" i="567"/>
  <c r="V194" i="567"/>
  <c r="W194" i="567" s="1"/>
  <c r="V198" i="567"/>
  <c r="W198" i="567" s="1"/>
  <c r="V202" i="567"/>
  <c r="W202" i="567" s="1"/>
  <c r="K187" i="567"/>
  <c r="S188" i="567"/>
  <c r="V192" i="567"/>
  <c r="W192" i="567" s="1"/>
  <c r="V196" i="567"/>
  <c r="W196" i="567" s="1"/>
  <c r="V200" i="567"/>
  <c r="W200" i="567" s="1"/>
  <c r="K205" i="567"/>
  <c r="K208" i="567"/>
  <c r="V209" i="567"/>
  <c r="W209" i="567" s="1"/>
  <c r="K210" i="567"/>
  <c r="U382" i="567"/>
  <c r="S382" i="567" s="1"/>
  <c r="K562" i="567"/>
  <c r="K563" i="567"/>
  <c r="U564" i="567"/>
  <c r="S564" i="567" s="1"/>
  <c r="U562" i="567"/>
  <c r="S562" i="567" s="1"/>
  <c r="O565" i="567"/>
  <c r="Q560" i="567"/>
  <c r="Q559" i="567" s="1"/>
  <c r="U667" i="567"/>
  <c r="S667" i="567" s="1"/>
  <c r="V667" i="567"/>
  <c r="W667" i="567" s="1"/>
  <c r="O699" i="567"/>
  <c r="O740" i="567"/>
  <c r="S742" i="567"/>
  <c r="K743" i="567"/>
  <c r="K741" i="567"/>
  <c r="U741" i="567"/>
  <c r="S741" i="567" s="1"/>
  <c r="V741" i="567"/>
  <c r="W741" i="567" s="1"/>
  <c r="V740" i="567"/>
  <c r="W740" i="567" s="1"/>
  <c r="V743" i="567"/>
  <c r="W743" i="567" s="1"/>
  <c r="U739" i="567"/>
  <c r="S739" i="567" s="1"/>
  <c r="K68" i="567"/>
  <c r="V68" i="567"/>
  <c r="W68" i="567" s="1"/>
  <c r="V134" i="567"/>
  <c r="W134" i="567" s="1"/>
  <c r="U134" i="567"/>
  <c r="S134" i="567" s="1"/>
  <c r="S48" i="567"/>
  <c r="S47" i="567" s="1"/>
  <c r="U48" i="567"/>
  <c r="U47" i="567" s="1"/>
  <c r="S89" i="567"/>
  <c r="L32" i="567"/>
  <c r="J43" i="567"/>
  <c r="U63" i="567"/>
  <c r="S63" i="567" s="1"/>
  <c r="K87" i="567"/>
  <c r="K99" i="567"/>
  <c r="O161" i="567"/>
  <c r="K161" i="567"/>
  <c r="O167" i="567"/>
  <c r="K167" i="567"/>
  <c r="O19" i="567"/>
  <c r="V62" i="567"/>
  <c r="W62" i="567" s="1"/>
  <c r="L68" i="567"/>
  <c r="O76" i="567"/>
  <c r="V95" i="567"/>
  <c r="W95" i="567" s="1"/>
  <c r="U95" i="567"/>
  <c r="S95" i="567" s="1"/>
  <c r="U102" i="567"/>
  <c r="S102" i="567" s="1"/>
  <c r="V107" i="567"/>
  <c r="W107" i="567" s="1"/>
  <c r="U113" i="567"/>
  <c r="S113" i="567" s="1"/>
  <c r="U114" i="567"/>
  <c r="S114" i="567" s="1"/>
  <c r="O116" i="567"/>
  <c r="U128" i="567"/>
  <c r="K135" i="567"/>
  <c r="O144" i="567"/>
  <c r="K145" i="567"/>
  <c r="K148" i="567"/>
  <c r="U157" i="567"/>
  <c r="V158" i="567"/>
  <c r="W158" i="567" s="1"/>
  <c r="W157" i="567" s="1"/>
  <c r="O182" i="567"/>
  <c r="K182" i="567"/>
  <c r="V190" i="567"/>
  <c r="W190" i="567" s="1"/>
  <c r="U191" i="567"/>
  <c r="S191" i="567" s="1"/>
  <c r="V216" i="567"/>
  <c r="W216" i="567" s="1"/>
  <c r="U219" i="567"/>
  <c r="S219" i="567" s="1"/>
  <c r="V219" i="567"/>
  <c r="W219" i="567" s="1"/>
  <c r="U56" i="567"/>
  <c r="V57" i="567"/>
  <c r="W57" i="567" s="1"/>
  <c r="K79" i="567"/>
  <c r="S100" i="567"/>
  <c r="K198" i="567"/>
  <c r="O198" i="567"/>
  <c r="S101" i="567"/>
  <c r="U106" i="567"/>
  <c r="K133" i="567"/>
  <c r="U152" i="567"/>
  <c r="S152" i="567" s="1"/>
  <c r="S164" i="567"/>
  <c r="O166" i="567"/>
  <c r="V166" i="567"/>
  <c r="W166" i="567" s="1"/>
  <c r="O171" i="567"/>
  <c r="K171" i="567"/>
  <c r="U195" i="567"/>
  <c r="S195" i="567" s="1"/>
  <c r="V195" i="567"/>
  <c r="W195" i="567" s="1"/>
  <c r="U199" i="567"/>
  <c r="S199" i="567" s="1"/>
  <c r="V199" i="567"/>
  <c r="W199" i="567" s="1"/>
  <c r="U203" i="567"/>
  <c r="S203" i="567" s="1"/>
  <c r="V203" i="567"/>
  <c r="W203" i="567" s="1"/>
  <c r="V211" i="567"/>
  <c r="W211" i="567" s="1"/>
  <c r="J245" i="567"/>
  <c r="L245" i="567"/>
  <c r="O37" i="567"/>
  <c r="O39" i="567"/>
  <c r="V99" i="567"/>
  <c r="W99" i="567" s="1"/>
  <c r="U99" i="567"/>
  <c r="O108" i="567"/>
  <c r="K108" i="567"/>
  <c r="O159" i="567"/>
  <c r="K159" i="567"/>
  <c r="V163" i="567"/>
  <c r="W163" i="567" s="1"/>
  <c r="O204" i="567"/>
  <c r="K204" i="567"/>
  <c r="K224" i="567"/>
  <c r="K223" i="567" s="1"/>
  <c r="O224" i="567"/>
  <c r="W244" i="567"/>
  <c r="V170" i="567"/>
  <c r="W170" i="567" s="1"/>
  <c r="O170" i="567"/>
  <c r="O180" i="567"/>
  <c r="K180" i="567"/>
  <c r="V205" i="567"/>
  <c r="W205" i="567" s="1"/>
  <c r="U205" i="567"/>
  <c r="S205" i="567" s="1"/>
  <c r="V208" i="567"/>
  <c r="W208" i="567" s="1"/>
  <c r="U208" i="567"/>
  <c r="U237" i="567"/>
  <c r="V237" i="567"/>
  <c r="W237" i="567" s="1"/>
  <c r="W236" i="567" s="1"/>
  <c r="J249" i="567"/>
  <c r="N249" i="567"/>
  <c r="U30" i="567"/>
  <c r="S30" i="567" s="1"/>
  <c r="S64" i="567"/>
  <c r="K102" i="567"/>
  <c r="K127" i="567"/>
  <c r="K156" i="567"/>
  <c r="K158" i="567"/>
  <c r="K157" i="567" s="1"/>
  <c r="K170" i="567"/>
  <c r="U187" i="567"/>
  <c r="K190" i="567"/>
  <c r="K209" i="567"/>
  <c r="O209" i="567"/>
  <c r="U215" i="567"/>
  <c r="V215" i="567"/>
  <c r="W215" i="567" s="1"/>
  <c r="N243" i="567"/>
  <c r="J243" i="567"/>
  <c r="W243" i="567" s="1"/>
  <c r="L248" i="567"/>
  <c r="J248" i="567"/>
  <c r="U18" i="567"/>
  <c r="U77" i="567"/>
  <c r="S77" i="567" s="1"/>
  <c r="S84" i="567"/>
  <c r="S83" i="567" s="1"/>
  <c r="K107" i="567"/>
  <c r="O112" i="567"/>
  <c r="K112" i="567"/>
  <c r="O121" i="567"/>
  <c r="O128" i="567"/>
  <c r="K128" i="567"/>
  <c r="U148" i="567"/>
  <c r="S148" i="567" s="1"/>
  <c r="V167" i="567"/>
  <c r="W167" i="567" s="1"/>
  <c r="K71" i="567"/>
  <c r="K73" i="567"/>
  <c r="V76" i="567"/>
  <c r="W76" i="567" s="1"/>
  <c r="O88" i="567"/>
  <c r="K88" i="567"/>
  <c r="K95" i="567"/>
  <c r="O100" i="567"/>
  <c r="Q105" i="567"/>
  <c r="V115" i="567"/>
  <c r="W115" i="567" s="1"/>
  <c r="U115" i="567"/>
  <c r="S115" i="567" s="1"/>
  <c r="Q126" i="567"/>
  <c r="S147" i="567"/>
  <c r="O150" i="567"/>
  <c r="K150" i="567"/>
  <c r="O163" i="567"/>
  <c r="V204" i="567"/>
  <c r="W204" i="567" s="1"/>
  <c r="U210" i="567"/>
  <c r="S210" i="567" s="1"/>
  <c r="V210" i="567"/>
  <c r="W210" i="567" s="1"/>
  <c r="O216" i="567"/>
  <c r="K216" i="567"/>
  <c r="O242" i="567"/>
  <c r="W242" i="567"/>
  <c r="V78" i="567"/>
  <c r="W78" i="567" s="1"/>
  <c r="V162" i="567"/>
  <c r="W162" i="567" s="1"/>
  <c r="O162" i="567"/>
  <c r="V181" i="567"/>
  <c r="W181" i="567" s="1"/>
  <c r="U181" i="567"/>
  <c r="S181" i="567" s="1"/>
  <c r="O211" i="567"/>
  <c r="K211" i="567"/>
  <c r="V217" i="567"/>
  <c r="W217" i="567" s="1"/>
  <c r="U217" i="567"/>
  <c r="S217" i="567" s="1"/>
  <c r="J247" i="567"/>
  <c r="L247" i="567"/>
  <c r="K78" i="567"/>
  <c r="O92" i="567"/>
  <c r="K92" i="567"/>
  <c r="V103" i="567"/>
  <c r="W103" i="567" s="1"/>
  <c r="K194" i="567"/>
  <c r="O194" i="567"/>
  <c r="K202" i="567"/>
  <c r="O202" i="567"/>
  <c r="K218" i="567"/>
  <c r="O218" i="567"/>
  <c r="Q234" i="567"/>
  <c r="Q232" i="567" s="1"/>
  <c r="Q231" i="567" s="1"/>
  <c r="T234" i="567"/>
  <c r="L246" i="567"/>
  <c r="J246" i="567"/>
  <c r="P256" i="567"/>
  <c r="S265" i="567"/>
  <c r="O268" i="567"/>
  <c r="K268" i="567"/>
  <c r="V271" i="567"/>
  <c r="W271" i="567" s="1"/>
  <c r="K275" i="567"/>
  <c r="O295" i="567"/>
  <c r="K295" i="567"/>
  <c r="K300" i="567"/>
  <c r="V320" i="567"/>
  <c r="U320" i="567"/>
  <c r="S320" i="567" s="1"/>
  <c r="V406" i="567"/>
  <c r="W406" i="567" s="1"/>
  <c r="U406" i="567"/>
  <c r="S406" i="567" s="1"/>
  <c r="O419" i="567"/>
  <c r="K419" i="567"/>
  <c r="V420" i="567"/>
  <c r="W420" i="567" s="1"/>
  <c r="V423" i="567"/>
  <c r="W423" i="567" s="1"/>
  <c r="U423" i="567"/>
  <c r="S423" i="567" s="1"/>
  <c r="V428" i="567"/>
  <c r="W428" i="567" s="1"/>
  <c r="O299" i="567"/>
  <c r="K299" i="567"/>
  <c r="V329" i="567"/>
  <c r="W329" i="567" s="1"/>
  <c r="W328" i="567" s="1"/>
  <c r="U329" i="567"/>
  <c r="S341" i="567"/>
  <c r="S342" i="567"/>
  <c r="S345" i="567"/>
  <c r="L348" i="567"/>
  <c r="K348" i="567"/>
  <c r="O378" i="567"/>
  <c r="K378" i="567"/>
  <c r="V383" i="567"/>
  <c r="W383" i="567" s="1"/>
  <c r="W364" i="567" s="1"/>
  <c r="W363" i="567" s="1"/>
  <c r="U383" i="567"/>
  <c r="S383" i="567" s="1"/>
  <c r="S405" i="567"/>
  <c r="O407" i="567"/>
  <c r="K407" i="567"/>
  <c r="O424" i="567"/>
  <c r="K424" i="567"/>
  <c r="S503" i="567"/>
  <c r="S502" i="567" s="1"/>
  <c r="U502" i="567"/>
  <c r="O272" i="567"/>
  <c r="K272" i="567"/>
  <c r="O278" i="567"/>
  <c r="K278" i="567"/>
  <c r="N340" i="567"/>
  <c r="O343" i="567"/>
  <c r="K343" i="567"/>
  <c r="K331" i="567" s="1"/>
  <c r="O359" i="567"/>
  <c r="K359" i="567"/>
  <c r="V425" i="567"/>
  <c r="W425" i="567" s="1"/>
  <c r="U425" i="567"/>
  <c r="S425" i="567" s="1"/>
  <c r="K266" i="567"/>
  <c r="U315" i="567"/>
  <c r="S315" i="567" s="1"/>
  <c r="U332" i="567"/>
  <c r="V366" i="567"/>
  <c r="U366" i="567"/>
  <c r="S366" i="567" s="1"/>
  <c r="V368" i="567"/>
  <c r="U368" i="567"/>
  <c r="S368" i="567" s="1"/>
  <c r="V370" i="567"/>
  <c r="U370" i="567"/>
  <c r="S370" i="567" s="1"/>
  <c r="V372" i="567"/>
  <c r="U372" i="567"/>
  <c r="S372" i="567" s="1"/>
  <c r="V374" i="567"/>
  <c r="U374" i="567"/>
  <c r="S374" i="567" s="1"/>
  <c r="V376" i="567"/>
  <c r="U376" i="567"/>
  <c r="S376" i="567" s="1"/>
  <c r="V394" i="567"/>
  <c r="W394" i="567" s="1"/>
  <c r="U394" i="567"/>
  <c r="S394" i="567" s="1"/>
  <c r="O426" i="567"/>
  <c r="K426" i="567"/>
  <c r="U224" i="567"/>
  <c r="K234" i="567"/>
  <c r="K232" i="567" s="1"/>
  <c r="K231" i="567" s="1"/>
  <c r="O264" i="567"/>
  <c r="K271" i="567"/>
  <c r="V279" i="567"/>
  <c r="W279" i="567" s="1"/>
  <c r="U279" i="567"/>
  <c r="S279" i="567" s="1"/>
  <c r="K308" i="567"/>
  <c r="V378" i="567"/>
  <c r="O395" i="567"/>
  <c r="K395" i="567"/>
  <c r="V407" i="567"/>
  <c r="W407" i="567" s="1"/>
  <c r="V424" i="567"/>
  <c r="W424" i="567" s="1"/>
  <c r="V427" i="567"/>
  <c r="W427" i="567" s="1"/>
  <c r="U427" i="567"/>
  <c r="S427" i="567" s="1"/>
  <c r="O435" i="567"/>
  <c r="K435" i="567"/>
  <c r="V442" i="567"/>
  <c r="W442" i="567" s="1"/>
  <c r="U442" i="567"/>
  <c r="S442" i="567" s="1"/>
  <c r="O307" i="567"/>
  <c r="K307" i="567"/>
  <c r="V321" i="567"/>
  <c r="W321" i="567" s="1"/>
  <c r="U321" i="567"/>
  <c r="S321" i="567" s="1"/>
  <c r="S333" i="567"/>
  <c r="V415" i="567"/>
  <c r="W415" i="567" s="1"/>
  <c r="W414" i="567" s="1"/>
  <c r="U415" i="567"/>
  <c r="O420" i="567"/>
  <c r="K420" i="567"/>
  <c r="O428" i="567"/>
  <c r="K428" i="567"/>
  <c r="O280" i="567"/>
  <c r="K280" i="567"/>
  <c r="O286" i="567"/>
  <c r="K286" i="567"/>
  <c r="V319" i="567"/>
  <c r="W319" i="567" s="1"/>
  <c r="V411" i="567"/>
  <c r="W411" i="567" s="1"/>
  <c r="U411" i="567"/>
  <c r="V421" i="567"/>
  <c r="W421" i="567" s="1"/>
  <c r="U421" i="567"/>
  <c r="S421" i="567" s="1"/>
  <c r="V435" i="567"/>
  <c r="W435" i="567" s="1"/>
  <c r="W434" i="567" s="1"/>
  <c r="U435" i="567"/>
  <c r="O256" i="567"/>
  <c r="K261" i="567"/>
  <c r="K258" i="567" s="1"/>
  <c r="U266" i="567"/>
  <c r="S266" i="567" s="1"/>
  <c r="O284" i="567"/>
  <c r="K284" i="567"/>
  <c r="K296" i="567"/>
  <c r="O303" i="567"/>
  <c r="K303" i="567"/>
  <c r="U309" i="567"/>
  <c r="S309" i="567" s="1"/>
  <c r="U317" i="567"/>
  <c r="S317" i="567" s="1"/>
  <c r="O322" i="567"/>
  <c r="K322" i="567"/>
  <c r="V367" i="567"/>
  <c r="U367" i="567"/>
  <c r="S367" i="567" s="1"/>
  <c r="V369" i="567"/>
  <c r="U369" i="567"/>
  <c r="S369" i="567" s="1"/>
  <c r="V371" i="567"/>
  <c r="U371" i="567"/>
  <c r="S371" i="567" s="1"/>
  <c r="V373" i="567"/>
  <c r="U373" i="567"/>
  <c r="S373" i="567" s="1"/>
  <c r="V375" i="567"/>
  <c r="U375" i="567"/>
  <c r="S375" i="567" s="1"/>
  <c r="V377" i="567"/>
  <c r="U377" i="567"/>
  <c r="S377" i="567" s="1"/>
  <c r="O405" i="567"/>
  <c r="K405" i="567"/>
  <c r="O412" i="567"/>
  <c r="K412" i="567"/>
  <c r="K410" i="567" s="1"/>
  <c r="K409" i="567" s="1"/>
  <c r="O422" i="567"/>
  <c r="K422" i="567"/>
  <c r="V557" i="567"/>
  <c r="W557" i="567" s="1"/>
  <c r="U557" i="567"/>
  <c r="S557" i="567" s="1"/>
  <c r="L416" i="567"/>
  <c r="U449" i="567"/>
  <c r="S449" i="567" s="1"/>
  <c r="V450" i="567"/>
  <c r="W450" i="567" s="1"/>
  <c r="U450" i="567"/>
  <c r="S450" i="567" s="1"/>
  <c r="O456" i="567"/>
  <c r="K456" i="567"/>
  <c r="O461" i="567"/>
  <c r="K461" i="567"/>
  <c r="U463" i="567"/>
  <c r="S463" i="567" s="1"/>
  <c r="V464" i="567"/>
  <c r="W464" i="567" s="1"/>
  <c r="U464" i="567"/>
  <c r="S464" i="567" s="1"/>
  <c r="S470" i="567"/>
  <c r="U471" i="567"/>
  <c r="S471" i="567" s="1"/>
  <c r="U474" i="567"/>
  <c r="K477" i="567"/>
  <c r="U478" i="567"/>
  <c r="S478" i="567" s="1"/>
  <c r="K481" i="567"/>
  <c r="U482" i="567"/>
  <c r="V507" i="567"/>
  <c r="W507" i="567" s="1"/>
  <c r="U507" i="567"/>
  <c r="S507" i="567" s="1"/>
  <c r="K533" i="567"/>
  <c r="U534" i="567"/>
  <c r="S534" i="567" s="1"/>
  <c r="K537" i="567"/>
  <c r="U538" i="567"/>
  <c r="S538" i="567" s="1"/>
  <c r="K541" i="567"/>
  <c r="U542" i="567"/>
  <c r="S542" i="567" s="1"/>
  <c r="K545" i="567"/>
  <c r="O561" i="567"/>
  <c r="K580" i="567"/>
  <c r="O580" i="567"/>
  <c r="U444" i="567"/>
  <c r="S444" i="567" s="1"/>
  <c r="U448" i="567"/>
  <c r="Q459" i="567"/>
  <c r="K469" i="567"/>
  <c r="V470" i="567"/>
  <c r="W470" i="567" s="1"/>
  <c r="O491" i="567"/>
  <c r="K491" i="567"/>
  <c r="U516" i="567"/>
  <c r="S516" i="567" s="1"/>
  <c r="V554" i="567"/>
  <c r="W554" i="567" s="1"/>
  <c r="U554" i="567"/>
  <c r="U585" i="567"/>
  <c r="U583" i="567" s="1"/>
  <c r="V585" i="567"/>
  <c r="W585" i="567" s="1"/>
  <c r="K630" i="567"/>
  <c r="O630" i="567"/>
  <c r="O451" i="567"/>
  <c r="K451" i="567"/>
  <c r="O465" i="567"/>
  <c r="K465" i="567"/>
  <c r="O508" i="567"/>
  <c r="K508" i="567"/>
  <c r="O522" i="567"/>
  <c r="K522" i="567"/>
  <c r="K521" i="567" s="1"/>
  <c r="O551" i="567"/>
  <c r="K551" i="567"/>
  <c r="K555" i="567"/>
  <c r="O555" i="567"/>
  <c r="O592" i="567"/>
  <c r="W592" i="567"/>
  <c r="O454" i="567"/>
  <c r="K454" i="567"/>
  <c r="V457" i="567"/>
  <c r="W457" i="567" s="1"/>
  <c r="U457" i="567"/>
  <c r="S457" i="567" s="1"/>
  <c r="V462" i="567"/>
  <c r="W462" i="567" s="1"/>
  <c r="U462" i="567"/>
  <c r="S462" i="567" s="1"/>
  <c r="U469" i="567"/>
  <c r="V469" i="567"/>
  <c r="W469" i="567" s="1"/>
  <c r="V477" i="567"/>
  <c r="W477" i="567" s="1"/>
  <c r="U477" i="567"/>
  <c r="S477" i="567" s="1"/>
  <c r="O496" i="567"/>
  <c r="K496" i="567"/>
  <c r="V533" i="567"/>
  <c r="W533" i="567" s="1"/>
  <c r="U533" i="567"/>
  <c r="V537" i="567"/>
  <c r="W537" i="567" s="1"/>
  <c r="U537" i="567"/>
  <c r="S537" i="567" s="1"/>
  <c r="V541" i="567"/>
  <c r="W541" i="567" s="1"/>
  <c r="U541" i="567"/>
  <c r="S541" i="567" s="1"/>
  <c r="V545" i="567"/>
  <c r="W545" i="567" s="1"/>
  <c r="U545" i="567"/>
  <c r="S545" i="567" s="1"/>
  <c r="O589" i="567"/>
  <c r="W589" i="567"/>
  <c r="K449" i="567"/>
  <c r="Q467" i="567"/>
  <c r="K490" i="567"/>
  <c r="U498" i="567"/>
  <c r="S498" i="567" s="1"/>
  <c r="V498" i="567"/>
  <c r="W498" i="567" s="1"/>
  <c r="O550" i="567"/>
  <c r="K550" i="567"/>
  <c r="U561" i="567"/>
  <c r="V561" i="567"/>
  <c r="W561" i="567" s="1"/>
  <c r="S565" i="567"/>
  <c r="S584" i="567"/>
  <c r="S583" i="567" s="1"/>
  <c r="O463" i="567"/>
  <c r="K463" i="567"/>
  <c r="O474" i="567"/>
  <c r="K474" i="567"/>
  <c r="O478" i="567"/>
  <c r="K478" i="567"/>
  <c r="O482" i="567"/>
  <c r="K482" i="567"/>
  <c r="O489" i="567"/>
  <c r="K489" i="567"/>
  <c r="U497" i="567"/>
  <c r="S497" i="567" s="1"/>
  <c r="K528" i="567"/>
  <c r="O534" i="567"/>
  <c r="K534" i="567"/>
  <c r="O538" i="567"/>
  <c r="K538" i="567"/>
  <c r="O542" i="567"/>
  <c r="K542" i="567"/>
  <c r="O546" i="567"/>
  <c r="K546" i="567"/>
  <c r="S555" i="567"/>
  <c r="V565" i="567"/>
  <c r="W565" i="567" s="1"/>
  <c r="V455" i="567"/>
  <c r="W455" i="567" s="1"/>
  <c r="U455" i="567"/>
  <c r="S455" i="567" s="1"/>
  <c r="V460" i="567"/>
  <c r="W460" i="567" s="1"/>
  <c r="U460" i="567"/>
  <c r="O470" i="567"/>
  <c r="K470" i="567"/>
  <c r="U476" i="567"/>
  <c r="V476" i="567"/>
  <c r="W476" i="567" s="1"/>
  <c r="U480" i="567"/>
  <c r="V480" i="567"/>
  <c r="W480" i="567" s="1"/>
  <c r="U484" i="567"/>
  <c r="S484" i="567" s="1"/>
  <c r="V484" i="567"/>
  <c r="W484" i="567" s="1"/>
  <c r="O492" i="567"/>
  <c r="K492" i="567"/>
  <c r="O507" i="567"/>
  <c r="K507" i="567"/>
  <c r="U536" i="567"/>
  <c r="S536" i="567" s="1"/>
  <c r="V536" i="567"/>
  <c r="W536" i="567" s="1"/>
  <c r="U540" i="567"/>
  <c r="S540" i="567" s="1"/>
  <c r="V540" i="567"/>
  <c r="W540" i="567" s="1"/>
  <c r="U544" i="567"/>
  <c r="S544" i="567" s="1"/>
  <c r="V544" i="567"/>
  <c r="W544" i="567" s="1"/>
  <c r="K606" i="567"/>
  <c r="O606" i="567"/>
  <c r="K619" i="567"/>
  <c r="O619" i="567"/>
  <c r="V468" i="567"/>
  <c r="W468" i="567" s="1"/>
  <c r="U468" i="567"/>
  <c r="V517" i="567"/>
  <c r="W517" i="567" s="1"/>
  <c r="U517" i="567"/>
  <c r="S517" i="567" s="1"/>
  <c r="V563" i="567"/>
  <c r="W563" i="567" s="1"/>
  <c r="U563" i="567"/>
  <c r="S563" i="567" s="1"/>
  <c r="V598" i="567"/>
  <c r="W598" i="567" s="1"/>
  <c r="U598" i="567"/>
  <c r="S598" i="567" s="1"/>
  <c r="O621" i="567"/>
  <c r="U491" i="567"/>
  <c r="S491" i="567" s="1"/>
  <c r="K529" i="567"/>
  <c r="K547" i="567"/>
  <c r="K549" i="567"/>
  <c r="O549" i="567"/>
  <c r="O573" i="567"/>
  <c r="J595" i="567"/>
  <c r="N595" i="567"/>
  <c r="W604" i="567"/>
  <c r="O557" i="567"/>
  <c r="K557" i="567"/>
  <c r="N590" i="567"/>
  <c r="J590" i="567"/>
  <c r="K627" i="567"/>
  <c r="O627" i="567"/>
  <c r="U641" i="567"/>
  <c r="S641" i="567" s="1"/>
  <c r="V641" i="567"/>
  <c r="W641" i="567" s="1"/>
  <c r="W638" i="567" s="1"/>
  <c r="K509" i="567"/>
  <c r="O510" i="567"/>
  <c r="V550" i="567"/>
  <c r="W550" i="567" s="1"/>
  <c r="K556" i="567"/>
  <c r="K611" i="567"/>
  <c r="O611" i="567"/>
  <c r="O634" i="567"/>
  <c r="K634" i="567"/>
  <c r="V649" i="567"/>
  <c r="W649" i="567" s="1"/>
  <c r="U649" i="567"/>
  <c r="S649" i="567" s="1"/>
  <c r="S591" i="567"/>
  <c r="J591" i="567"/>
  <c r="K653" i="567"/>
  <c r="O664" i="567"/>
  <c r="K664" i="567"/>
  <c r="K668" i="567"/>
  <c r="O668" i="567"/>
  <c r="W683" i="567"/>
  <c r="W687" i="567"/>
  <c r="O646" i="567"/>
  <c r="K646" i="567"/>
  <c r="V693" i="567"/>
  <c r="W693" i="567" s="1"/>
  <c r="O693" i="567"/>
  <c r="V726" i="567"/>
  <c r="W726" i="567" s="1"/>
  <c r="U726" i="567"/>
  <c r="S726" i="567" s="1"/>
  <c r="U580" i="567"/>
  <c r="S580" i="567" s="1"/>
  <c r="U602" i="567"/>
  <c r="U606" i="567"/>
  <c r="S606" i="567" s="1"/>
  <c r="K612" i="567"/>
  <c r="K620" i="567"/>
  <c r="U630" i="567"/>
  <c r="O635" i="567"/>
  <c r="O641" i="567"/>
  <c r="S690" i="567"/>
  <c r="W690" i="567"/>
  <c r="L659" i="567"/>
  <c r="J659" i="567"/>
  <c r="O659" i="567" s="1"/>
  <c r="T660" i="567"/>
  <c r="Q660" i="567"/>
  <c r="U664" i="567"/>
  <c r="S664" i="567" s="1"/>
  <c r="S713" i="567"/>
  <c r="O715" i="567"/>
  <c r="K715" i="567"/>
  <c r="W685" i="567"/>
  <c r="V705" i="567"/>
  <c r="W705" i="567" s="1"/>
  <c r="U705" i="567"/>
  <c r="S705" i="567" s="1"/>
  <c r="O742" i="567"/>
  <c r="K742" i="567"/>
  <c r="O654" i="567"/>
  <c r="K654" i="567"/>
  <c r="V655" i="567"/>
  <c r="W655" i="567" s="1"/>
  <c r="U655" i="567"/>
  <c r="S655" i="567" s="1"/>
  <c r="Q710" i="567"/>
  <c r="V718" i="567"/>
  <c r="W718" i="567" s="1"/>
  <c r="U718" i="567"/>
  <c r="S718" i="567" s="1"/>
  <c r="O723" i="567"/>
  <c r="K723" i="567"/>
  <c r="O735" i="567"/>
  <c r="K735" i="567"/>
  <c r="S678" i="567"/>
  <c r="U675" i="567"/>
  <c r="U699" i="567"/>
  <c r="V704" i="567"/>
  <c r="W704" i="567" s="1"/>
  <c r="U704" i="567"/>
  <c r="S704" i="567" s="1"/>
  <c r="J681" i="567"/>
  <c r="O689" i="567"/>
  <c r="O712" i="567"/>
  <c r="V715" i="567"/>
  <c r="W715" i="567" s="1"/>
  <c r="O720" i="567"/>
  <c r="V723" i="567"/>
  <c r="W723" i="567" s="1"/>
  <c r="O728" i="567"/>
  <c r="O732" i="567"/>
  <c r="V735" i="567"/>
  <c r="W735" i="567" s="1"/>
  <c r="O739" i="567"/>
  <c r="V742" i="567"/>
  <c r="W742" i="567" s="1"/>
  <c r="V666" i="567"/>
  <c r="W666" i="567" s="1"/>
  <c r="J684" i="567"/>
  <c r="J686" i="567"/>
  <c r="J688" i="567"/>
  <c r="R20" i="566"/>
  <c r="R22" i="566" s="1"/>
  <c r="R432" i="567" s="1"/>
  <c r="S22" i="566"/>
  <c r="S21" i="566"/>
  <c r="R634" i="75"/>
  <c r="R13" i="558"/>
  <c r="R12" i="558"/>
  <c r="R24" i="558" s="1"/>
  <c r="U479" i="567" l="1"/>
  <c r="S479" i="567" s="1"/>
  <c r="N23" i="574"/>
  <c r="R23" i="577"/>
  <c r="V129" i="567"/>
  <c r="W129" i="567" s="1"/>
  <c r="W126" i="567" s="1"/>
  <c r="S401" i="567"/>
  <c r="U127" i="567"/>
  <c r="S127" i="567" s="1"/>
  <c r="U535" i="567"/>
  <c r="S535" i="567" s="1"/>
  <c r="V481" i="567"/>
  <c r="W481" i="567" s="1"/>
  <c r="W473" i="567" s="1"/>
  <c r="U481" i="567"/>
  <c r="T429" i="567"/>
  <c r="R23" i="580"/>
  <c r="J20" i="580"/>
  <c r="V556" i="567"/>
  <c r="W556" i="567" s="1"/>
  <c r="W553" i="567" s="1"/>
  <c r="U546" i="567"/>
  <c r="S546" i="567" s="1"/>
  <c r="J646" i="568"/>
  <c r="U233" i="567"/>
  <c r="S233" i="567" s="1"/>
  <c r="Q185" i="567"/>
  <c r="U133" i="567"/>
  <c r="S133" i="567" s="1"/>
  <c r="J179" i="568"/>
  <c r="W111" i="567"/>
  <c r="S353" i="567"/>
  <c r="S352" i="567" s="1"/>
  <c r="U521" i="568"/>
  <c r="Q363" i="567"/>
  <c r="V451" i="567"/>
  <c r="W451" i="567" s="1"/>
  <c r="W446" i="567" s="1"/>
  <c r="S689" i="567"/>
  <c r="K240" i="567"/>
  <c r="S521" i="568"/>
  <c r="K623" i="567"/>
  <c r="W105" i="567"/>
  <c r="J476" i="568"/>
  <c r="U731" i="567"/>
  <c r="U709" i="567" s="1"/>
  <c r="T432" i="567"/>
  <c r="V432" i="567" s="1"/>
  <c r="W432" i="567" s="1"/>
  <c r="W431" i="567" s="1"/>
  <c r="Q353" i="568"/>
  <c r="K434" i="567"/>
  <c r="J521" i="568"/>
  <c r="W120" i="567"/>
  <c r="K638" i="567"/>
  <c r="Q521" i="568"/>
  <c r="K414" i="567"/>
  <c r="K604" i="567"/>
  <c r="K105" i="567"/>
  <c r="K385" i="567"/>
  <c r="S353" i="568"/>
  <c r="S734" i="567"/>
  <c r="S731" i="567" s="1"/>
  <c r="S709" i="567" s="1"/>
  <c r="K738" i="567"/>
  <c r="K737" i="567" s="1"/>
  <c r="W392" i="567"/>
  <c r="W391" i="567" s="1"/>
  <c r="K568" i="567"/>
  <c r="U385" i="567"/>
  <c r="W263" i="567"/>
  <c r="J403" i="568"/>
  <c r="S385" i="567"/>
  <c r="K111" i="567"/>
  <c r="K731" i="567"/>
  <c r="K709" i="567" s="1"/>
  <c r="S120" i="567"/>
  <c r="Q531" i="567"/>
  <c r="K120" i="567"/>
  <c r="J353" i="568"/>
  <c r="S60" i="567"/>
  <c r="S59" i="567" s="1"/>
  <c r="W738" i="567"/>
  <c r="W737" i="567" s="1"/>
  <c r="K392" i="567"/>
  <c r="K391" i="567" s="1"/>
  <c r="K356" i="567"/>
  <c r="K355" i="567" s="1"/>
  <c r="K702" i="567"/>
  <c r="K701" i="567" s="1"/>
  <c r="S390" i="568"/>
  <c r="S570" i="567"/>
  <c r="S569" i="567" s="1"/>
  <c r="Q390" i="568"/>
  <c r="U120" i="567"/>
  <c r="J137" i="568"/>
  <c r="W679" i="567"/>
  <c r="W60" i="567"/>
  <c r="W59" i="567" s="1"/>
  <c r="W410" i="567"/>
  <c r="W409" i="567" s="1"/>
  <c r="K91" i="567"/>
  <c r="K16" i="567"/>
  <c r="K15" i="567" s="1"/>
  <c r="W312" i="567"/>
  <c r="K222" i="567"/>
  <c r="W91" i="567"/>
  <c r="K439" i="567"/>
  <c r="K578" i="567"/>
  <c r="K577" i="567" s="1"/>
  <c r="O644" i="567"/>
  <c r="W731" i="567"/>
  <c r="W709" i="567" s="1"/>
  <c r="K60" i="567"/>
  <c r="K59" i="567" s="1"/>
  <c r="J64" i="568"/>
  <c r="S176" i="567"/>
  <c r="S175" i="567" s="1"/>
  <c r="U604" i="567"/>
  <c r="K453" i="567"/>
  <c r="U404" i="567"/>
  <c r="U400" i="567" s="1"/>
  <c r="W505" i="567"/>
  <c r="S404" i="567"/>
  <c r="W710" i="567"/>
  <c r="U91" i="567"/>
  <c r="W560" i="567"/>
  <c r="W559" i="567" s="1"/>
  <c r="K404" i="567"/>
  <c r="K400" i="567" s="1"/>
  <c r="K312" i="567"/>
  <c r="J572" i="568"/>
  <c r="U403" i="568"/>
  <c r="S638" i="567"/>
  <c r="K364" i="567"/>
  <c r="U124" i="568"/>
  <c r="S111" i="567"/>
  <c r="S179" i="568"/>
  <c r="W404" i="567"/>
  <c r="W400" i="567" s="1"/>
  <c r="Q403" i="568"/>
  <c r="S403" i="568"/>
  <c r="S124" i="568"/>
  <c r="Q179" i="568"/>
  <c r="K710" i="567"/>
  <c r="S710" i="567"/>
  <c r="U638" i="567"/>
  <c r="K505" i="567"/>
  <c r="S392" i="567"/>
  <c r="S391" i="567" s="1"/>
  <c r="S263" i="567"/>
  <c r="K658" i="567"/>
  <c r="K657" i="567" s="1"/>
  <c r="K616" i="567"/>
  <c r="U505" i="567"/>
  <c r="Q413" i="567"/>
  <c r="K446" i="567"/>
  <c r="U392" i="567"/>
  <c r="U391" i="567" s="1"/>
  <c r="K179" i="567"/>
  <c r="K178" i="567" s="1"/>
  <c r="W596" i="567"/>
  <c r="O596" i="567"/>
  <c r="S439" i="567"/>
  <c r="K140" i="567"/>
  <c r="K609" i="567"/>
  <c r="W467" i="567"/>
  <c r="K467" i="567"/>
  <c r="K186" i="567"/>
  <c r="W532" i="567"/>
  <c r="S91" i="567"/>
  <c r="K553" i="567"/>
  <c r="K459" i="567"/>
  <c r="K263" i="567"/>
  <c r="K560" i="567"/>
  <c r="K559" i="567" s="1"/>
  <c r="W439" i="567"/>
  <c r="W214" i="567"/>
  <c r="W213" i="567" s="1"/>
  <c r="K214" i="567"/>
  <c r="K213" i="567" s="1"/>
  <c r="S88" i="567"/>
  <c r="S86" i="567" s="1"/>
  <c r="W86" i="567"/>
  <c r="W186" i="567"/>
  <c r="S738" i="567"/>
  <c r="S737" i="567" s="1"/>
  <c r="U738" i="567"/>
  <c r="U737" i="567" s="1"/>
  <c r="K277" i="567"/>
  <c r="K418" i="567"/>
  <c r="U710" i="567"/>
  <c r="U459" i="567"/>
  <c r="S460" i="567"/>
  <c r="S459" i="567" s="1"/>
  <c r="U364" i="567"/>
  <c r="U328" i="567"/>
  <c r="S329" i="567"/>
  <c r="S328" i="567" s="1"/>
  <c r="S187" i="567"/>
  <c r="S186" i="567" s="1"/>
  <c r="U186" i="567"/>
  <c r="S56" i="567"/>
  <c r="S55" i="567" s="1"/>
  <c r="U55" i="567"/>
  <c r="W55" i="567" s="1"/>
  <c r="U60" i="567"/>
  <c r="U59" i="567" s="1"/>
  <c r="K525" i="567"/>
  <c r="K524" i="567" s="1"/>
  <c r="S364" i="567"/>
  <c r="S630" i="567"/>
  <c r="K644" i="567"/>
  <c r="S604" i="567"/>
  <c r="W459" i="567"/>
  <c r="K629" i="567"/>
  <c r="S411" i="567"/>
  <c r="S410" i="567" s="1"/>
  <c r="S409" i="567" s="1"/>
  <c r="U410" i="567"/>
  <c r="U409" i="567" s="1"/>
  <c r="U439" i="567"/>
  <c r="K160" i="567"/>
  <c r="O43" i="567"/>
  <c r="O247" i="567"/>
  <c r="S237" i="567"/>
  <c r="S236" i="567" s="1"/>
  <c r="K66" i="567"/>
  <c r="O68" i="567"/>
  <c r="U553" i="567"/>
  <c r="S554" i="567"/>
  <c r="S553" i="567" s="1"/>
  <c r="S415" i="567"/>
  <c r="S414" i="567" s="1"/>
  <c r="U414" i="567"/>
  <c r="O688" i="567"/>
  <c r="V688" i="567" s="1"/>
  <c r="W688" i="567"/>
  <c r="O681" i="567"/>
  <c r="V681" i="567" s="1"/>
  <c r="W681" i="567"/>
  <c r="S699" i="567"/>
  <c r="S698" i="567" s="1"/>
  <c r="U698" i="567"/>
  <c r="O591" i="567"/>
  <c r="W591" i="567"/>
  <c r="K473" i="567"/>
  <c r="K532" i="567"/>
  <c r="S474" i="567"/>
  <c r="K283" i="567"/>
  <c r="S435" i="567"/>
  <c r="S434" i="567" s="1"/>
  <c r="U434" i="567"/>
  <c r="U263" i="567"/>
  <c r="S208" i="567"/>
  <c r="S207" i="567" s="1"/>
  <c r="U207" i="567"/>
  <c r="K98" i="567"/>
  <c r="O32" i="567"/>
  <c r="S505" i="567"/>
  <c r="K298" i="567"/>
  <c r="K292" i="567"/>
  <c r="Q256" i="567"/>
  <c r="Q255" i="567" s="1"/>
  <c r="S215" i="567"/>
  <c r="S214" i="567" s="1"/>
  <c r="S213" i="567" s="1"/>
  <c r="U214" i="567"/>
  <c r="U213" i="567" s="1"/>
  <c r="K126" i="567"/>
  <c r="W207" i="567"/>
  <c r="U98" i="567"/>
  <c r="S99" i="567"/>
  <c r="S98" i="567" s="1"/>
  <c r="O245" i="567"/>
  <c r="U111" i="567"/>
  <c r="O686" i="567"/>
  <c r="V686" i="567" s="1"/>
  <c r="W686" i="567"/>
  <c r="S675" i="567"/>
  <c r="S674" i="567" s="1"/>
  <c r="U674" i="567"/>
  <c r="V660" i="567"/>
  <c r="W660" i="567" s="1"/>
  <c r="W658" i="567" s="1"/>
  <c r="U660" i="567"/>
  <c r="W595" i="567"/>
  <c r="O595" i="567"/>
  <c r="U453" i="567"/>
  <c r="W453" i="567" s="1"/>
  <c r="S448" i="567"/>
  <c r="S446" i="567" s="1"/>
  <c r="U446" i="567"/>
  <c r="O684" i="567"/>
  <c r="V684" i="567" s="1"/>
  <c r="W684" i="567"/>
  <c r="U601" i="567"/>
  <c r="S602" i="567"/>
  <c r="S601" i="567" s="1"/>
  <c r="O590" i="567"/>
  <c r="W590" i="567"/>
  <c r="S453" i="567"/>
  <c r="K487" i="567"/>
  <c r="S312" i="567"/>
  <c r="K270" i="567"/>
  <c r="U223" i="567"/>
  <c r="S224" i="567"/>
  <c r="S223" i="567" s="1"/>
  <c r="S332" i="567"/>
  <c r="O246" i="567"/>
  <c r="U17" i="567"/>
  <c r="S18" i="567"/>
  <c r="W98" i="567"/>
  <c r="S106" i="567"/>
  <c r="S105" i="567" s="1"/>
  <c r="U105" i="567"/>
  <c r="S128" i="567"/>
  <c r="K86" i="567"/>
  <c r="U560" i="567"/>
  <c r="U559" i="567" s="1"/>
  <c r="S561" i="567"/>
  <c r="S560" i="567" s="1"/>
  <c r="S559" i="567" s="1"/>
  <c r="S533" i="567"/>
  <c r="K70" i="567"/>
  <c r="K207" i="567"/>
  <c r="W249" i="567"/>
  <c r="O249" i="567"/>
  <c r="S467" i="567"/>
  <c r="U467" i="567"/>
  <c r="V234" i="567"/>
  <c r="W234" i="567" s="1"/>
  <c r="W232" i="567" s="1"/>
  <c r="W231" i="567" s="1"/>
  <c r="U234" i="567"/>
  <c r="S234" i="567" s="1"/>
  <c r="O248" i="567"/>
  <c r="R24" i="566"/>
  <c r="P422" i="75"/>
  <c r="R710" i="75"/>
  <c r="R711" i="75"/>
  <c r="R712" i="75"/>
  <c r="R713" i="75"/>
  <c r="R714" i="75"/>
  <c r="R15" i="363"/>
  <c r="R14" i="363"/>
  <c r="O13" i="561"/>
  <c r="N13" i="561"/>
  <c r="O13" i="565"/>
  <c r="N13" i="565"/>
  <c r="R14" i="517"/>
  <c r="R148" i="75"/>
  <c r="P48" i="75"/>
  <c r="S400" i="567" l="1"/>
  <c r="U473" i="567"/>
  <c r="S473" i="567"/>
  <c r="J557" i="568"/>
  <c r="U532" i="567"/>
  <c r="U531" i="567" s="1"/>
  <c r="S532" i="567"/>
  <c r="S531" i="567" s="1"/>
  <c r="U429" i="567"/>
  <c r="V429" i="567"/>
  <c r="K363" i="567"/>
  <c r="K531" i="567"/>
  <c r="U126" i="567"/>
  <c r="S126" i="567"/>
  <c r="K486" i="567"/>
  <c r="U363" i="567"/>
  <c r="J389" i="568"/>
  <c r="U432" i="567"/>
  <c r="U431" i="567" s="1"/>
  <c r="J49" i="568"/>
  <c r="S363" i="567"/>
  <c r="K185" i="567"/>
  <c r="W531" i="567"/>
  <c r="K139" i="567"/>
  <c r="K582" i="567"/>
  <c r="K567" i="567" s="1"/>
  <c r="U232" i="567"/>
  <c r="U231" i="567" s="1"/>
  <c r="K413" i="567"/>
  <c r="W185" i="567"/>
  <c r="K65" i="567"/>
  <c r="U185" i="567"/>
  <c r="S660" i="567"/>
  <c r="S232" i="567"/>
  <c r="S231" i="567" s="1"/>
  <c r="S185" i="567"/>
  <c r="R312" i="75"/>
  <c r="W429" i="567" l="1"/>
  <c r="W418" i="567" s="1"/>
  <c r="W413" i="567" s="1"/>
  <c r="S429" i="567"/>
  <c r="S418" i="567" s="1"/>
  <c r="U418" i="567"/>
  <c r="U413" i="567" s="1"/>
  <c r="K399" i="567"/>
  <c r="S432" i="567"/>
  <c r="S431" i="567" s="1"/>
  <c r="K50" i="567"/>
  <c r="M12" i="565"/>
  <c r="N12" i="565" s="1"/>
  <c r="N26" i="565"/>
  <c r="L23" i="565"/>
  <c r="O23" i="565" s="1"/>
  <c r="C10" i="565"/>
  <c r="B10" i="565"/>
  <c r="C30" i="565"/>
  <c r="C31" i="565" s="1"/>
  <c r="L9" i="565"/>
  <c r="J9" i="565"/>
  <c r="C9" i="565"/>
  <c r="L8" i="565"/>
  <c r="J8" i="565"/>
  <c r="C8" i="565"/>
  <c r="L7" i="565"/>
  <c r="J7" i="565"/>
  <c r="L6" i="565"/>
  <c r="J6" i="565"/>
  <c r="C6" i="565"/>
  <c r="N26" i="564"/>
  <c r="C10" i="564"/>
  <c r="B10" i="564"/>
  <c r="C30" i="564"/>
  <c r="C31" i="564" s="1"/>
  <c r="O25" i="564"/>
  <c r="O24" i="564"/>
  <c r="O23" i="564"/>
  <c r="N12" i="564"/>
  <c r="L9" i="564"/>
  <c r="J9" i="564"/>
  <c r="C9" i="564"/>
  <c r="L8" i="564"/>
  <c r="J8" i="564"/>
  <c r="C8" i="564"/>
  <c r="L7" i="564"/>
  <c r="J7" i="564"/>
  <c r="L6" i="564"/>
  <c r="J6" i="564"/>
  <c r="C6" i="564"/>
  <c r="N26" i="563"/>
  <c r="C10" i="563"/>
  <c r="B10" i="563"/>
  <c r="C30" i="563"/>
  <c r="C31" i="563" s="1"/>
  <c r="O25" i="563"/>
  <c r="O24" i="563"/>
  <c r="O23" i="563"/>
  <c r="N12" i="563"/>
  <c r="L9" i="563"/>
  <c r="J9" i="563"/>
  <c r="C9" i="563"/>
  <c r="L8" i="563"/>
  <c r="J8" i="563"/>
  <c r="C8" i="563"/>
  <c r="L7" i="563"/>
  <c r="J7" i="563"/>
  <c r="L6" i="563"/>
  <c r="J6" i="563"/>
  <c r="C6" i="563"/>
  <c r="N26" i="562"/>
  <c r="O24" i="562"/>
  <c r="C10" i="562"/>
  <c r="B10" i="562"/>
  <c r="C30" i="562"/>
  <c r="C31" i="562" s="1"/>
  <c r="N12" i="562"/>
  <c r="L9" i="562"/>
  <c r="J9" i="562"/>
  <c r="C9" i="562"/>
  <c r="L8" i="562"/>
  <c r="J8" i="562"/>
  <c r="C8" i="562"/>
  <c r="L7" i="562"/>
  <c r="J7" i="562"/>
  <c r="L6" i="562"/>
  <c r="J6" i="562"/>
  <c r="C6" i="562"/>
  <c r="B10" i="561"/>
  <c r="N20" i="561"/>
  <c r="L17" i="561"/>
  <c r="O19" i="561" s="1"/>
  <c r="N12" i="561"/>
  <c r="C10" i="561"/>
  <c r="L9" i="561"/>
  <c r="J9" i="561"/>
  <c r="C9" i="561"/>
  <c r="L8" i="561"/>
  <c r="J8" i="561"/>
  <c r="C8" i="561"/>
  <c r="L7" i="561"/>
  <c r="J7" i="561"/>
  <c r="L6" i="561"/>
  <c r="J6" i="561"/>
  <c r="C6" i="561"/>
  <c r="B10" i="560"/>
  <c r="N20" i="560"/>
  <c r="L17" i="560"/>
  <c r="O19" i="560" s="1"/>
  <c r="N12" i="560"/>
  <c r="C10" i="560"/>
  <c r="L9" i="560"/>
  <c r="J9" i="560"/>
  <c r="C9" i="560"/>
  <c r="L8" i="560"/>
  <c r="J8" i="560"/>
  <c r="C8" i="560"/>
  <c r="L7" i="560"/>
  <c r="J7" i="560"/>
  <c r="L6" i="560"/>
  <c r="J6" i="560"/>
  <c r="C6" i="560"/>
  <c r="N12" i="559"/>
  <c r="N20" i="559"/>
  <c r="L17" i="559"/>
  <c r="O19" i="559" s="1"/>
  <c r="C10" i="559"/>
  <c r="B10" i="559"/>
  <c r="L9" i="559"/>
  <c r="J9" i="559"/>
  <c r="C9" i="559"/>
  <c r="L8" i="559"/>
  <c r="J8" i="559"/>
  <c r="C8" i="559"/>
  <c r="L7" i="559"/>
  <c r="J7" i="559"/>
  <c r="L6" i="559"/>
  <c r="J6" i="559"/>
  <c r="C6" i="559"/>
  <c r="R13" i="363"/>
  <c r="R26" i="558"/>
  <c r="C10" i="558"/>
  <c r="B10" i="558"/>
  <c r="C30" i="558"/>
  <c r="C31" i="558" s="1"/>
  <c r="S25" i="558"/>
  <c r="S24" i="558"/>
  <c r="S23" i="558"/>
  <c r="L9" i="558"/>
  <c r="J9" i="558"/>
  <c r="C9" i="558"/>
  <c r="L8" i="558"/>
  <c r="J8" i="558"/>
  <c r="C8" i="558"/>
  <c r="L7" i="558"/>
  <c r="J7" i="558"/>
  <c r="L6" i="558"/>
  <c r="J6" i="558"/>
  <c r="C6" i="558"/>
  <c r="R26" i="557"/>
  <c r="C10" i="557"/>
  <c r="B10" i="557"/>
  <c r="C30" i="557"/>
  <c r="C31" i="557" s="1"/>
  <c r="S24" i="557"/>
  <c r="S23" i="557"/>
  <c r="R12" i="557"/>
  <c r="L9" i="557"/>
  <c r="J9" i="557"/>
  <c r="C9" i="557"/>
  <c r="L8" i="557"/>
  <c r="J8" i="557"/>
  <c r="C8" i="557"/>
  <c r="L7" i="557"/>
  <c r="J7" i="557"/>
  <c r="L6" i="557"/>
  <c r="J6" i="557"/>
  <c r="C6" i="557"/>
  <c r="S413" i="567" l="1"/>
  <c r="R23" i="558"/>
  <c r="R25" i="558" s="1"/>
  <c r="R23" i="557"/>
  <c r="R24" i="557"/>
  <c r="N23" i="562"/>
  <c r="N24" i="562"/>
  <c r="N23" i="563"/>
  <c r="N24" i="563"/>
  <c r="N17" i="561"/>
  <c r="N18" i="561"/>
  <c r="N17" i="560"/>
  <c r="N18" i="560"/>
  <c r="N23" i="564"/>
  <c r="N24" i="564"/>
  <c r="N23" i="565"/>
  <c r="N24" i="565"/>
  <c r="O12" i="565"/>
  <c r="O24" i="565"/>
  <c r="O25" i="565"/>
  <c r="O18" i="561"/>
  <c r="O17" i="561"/>
  <c r="O12" i="559"/>
  <c r="O17" i="560"/>
  <c r="O18" i="560"/>
  <c r="O23" i="562"/>
  <c r="O25" i="562"/>
  <c r="O12" i="561"/>
  <c r="O12" i="560"/>
  <c r="O18" i="559"/>
  <c r="N17" i="559"/>
  <c r="O17" i="559"/>
  <c r="S25" i="557"/>
  <c r="O592" i="75"/>
  <c r="R13" i="549"/>
  <c r="R12" i="555"/>
  <c r="R20" i="555" s="1"/>
  <c r="R12" i="554"/>
  <c r="R20" i="554" s="1"/>
  <c r="R15" i="366"/>
  <c r="R177" i="75"/>
  <c r="R67" i="75"/>
  <c r="Q653" i="567" l="1"/>
  <c r="N642" i="568"/>
  <c r="O642" i="568" s="1"/>
  <c r="P358" i="567"/>
  <c r="Q358" i="567" s="1"/>
  <c r="N349" i="568"/>
  <c r="O349" i="568" s="1"/>
  <c r="P654" i="567"/>
  <c r="Q654" i="567" s="1"/>
  <c r="N643" i="568"/>
  <c r="O643" i="568" s="1"/>
  <c r="P359" i="567"/>
  <c r="Q359" i="567" s="1"/>
  <c r="N350" i="568"/>
  <c r="O350" i="568" s="1"/>
  <c r="N643" i="75"/>
  <c r="N642" i="75"/>
  <c r="N350" i="75"/>
  <c r="N349" i="75"/>
  <c r="R670" i="75"/>
  <c r="N25" i="565"/>
  <c r="N27" i="565" s="1"/>
  <c r="N25" i="563"/>
  <c r="R25" i="557"/>
  <c r="N25" i="562"/>
  <c r="N25" i="564"/>
  <c r="N19" i="560"/>
  <c r="N21" i="560" s="1"/>
  <c r="N19" i="561"/>
  <c r="R27" i="558"/>
  <c r="N19" i="559"/>
  <c r="R18" i="360"/>
  <c r="O620" i="75"/>
  <c r="T597" i="75"/>
  <c r="R654" i="567" l="1"/>
  <c r="T654" i="567" s="1"/>
  <c r="V654" i="567" s="1"/>
  <c r="W654" i="567" s="1"/>
  <c r="P643" i="568"/>
  <c r="R643" i="568" s="1"/>
  <c r="T653" i="567"/>
  <c r="V653" i="567" s="1"/>
  <c r="W653" i="567" s="1"/>
  <c r="P642" i="568"/>
  <c r="R642" i="568" s="1"/>
  <c r="P642" i="75"/>
  <c r="P643" i="75"/>
  <c r="N27" i="563"/>
  <c r="N27" i="564"/>
  <c r="R27" i="557"/>
  <c r="N27" i="562"/>
  <c r="N21" i="561"/>
  <c r="N21" i="559"/>
  <c r="S643" i="568" l="1"/>
  <c r="Q643" i="568" s="1"/>
  <c r="T643" i="568"/>
  <c r="U643" i="568" s="1"/>
  <c r="U654" i="567"/>
  <c r="S654" i="567" s="1"/>
  <c r="S642" i="568"/>
  <c r="Q642" i="568" s="1"/>
  <c r="T642" i="568"/>
  <c r="U642" i="568" s="1"/>
  <c r="R13" i="517"/>
  <c r="R497" i="75"/>
  <c r="T497" i="75" s="1"/>
  <c r="L12" i="524"/>
  <c r="R575" i="75"/>
  <c r="Q575" i="75"/>
  <c r="Q39" i="75"/>
  <c r="S575" i="75" l="1"/>
  <c r="T575" i="75"/>
  <c r="U575" i="75" s="1"/>
  <c r="R22" i="555"/>
  <c r="C10" i="555"/>
  <c r="B10" i="555"/>
  <c r="R19" i="555"/>
  <c r="R21" i="555" s="1"/>
  <c r="L19" i="555"/>
  <c r="S21" i="555" s="1"/>
  <c r="L9" i="555"/>
  <c r="J9" i="555"/>
  <c r="C9" i="555"/>
  <c r="L8" i="555"/>
  <c r="J8" i="555"/>
  <c r="C8" i="555"/>
  <c r="L7" i="555"/>
  <c r="J7" i="555"/>
  <c r="L6" i="555"/>
  <c r="J6" i="555"/>
  <c r="C6" i="555"/>
  <c r="R22" i="554"/>
  <c r="C10" i="554"/>
  <c r="B10" i="554"/>
  <c r="R19" i="554"/>
  <c r="R21" i="554" s="1"/>
  <c r="L19" i="554"/>
  <c r="S21" i="554" s="1"/>
  <c r="L9" i="554"/>
  <c r="J9" i="554"/>
  <c r="C9" i="554"/>
  <c r="L8" i="554"/>
  <c r="J8" i="554"/>
  <c r="C8" i="554"/>
  <c r="L7" i="554"/>
  <c r="J7" i="554"/>
  <c r="L6" i="554"/>
  <c r="J6" i="554"/>
  <c r="C6" i="554"/>
  <c r="R14" i="366"/>
  <c r="R21" i="553"/>
  <c r="L18" i="553"/>
  <c r="S19" i="553" s="1"/>
  <c r="C10" i="553"/>
  <c r="B10" i="553"/>
  <c r="R18" i="553"/>
  <c r="R20" i="553" s="1"/>
  <c r="L9" i="553"/>
  <c r="J9" i="553"/>
  <c r="C9" i="553"/>
  <c r="L8" i="553"/>
  <c r="J8" i="553"/>
  <c r="C8" i="553"/>
  <c r="L7" i="553"/>
  <c r="J7" i="553"/>
  <c r="L6" i="553"/>
  <c r="J6" i="553"/>
  <c r="C6" i="553"/>
  <c r="B10" i="552"/>
  <c r="L9" i="552"/>
  <c r="J9" i="552"/>
  <c r="C9" i="552"/>
  <c r="L8" i="552"/>
  <c r="J8" i="552"/>
  <c r="C8" i="552"/>
  <c r="L7" i="552"/>
  <c r="J7" i="552"/>
  <c r="L6" i="552"/>
  <c r="J6" i="552"/>
  <c r="C6" i="552"/>
  <c r="R23" i="529"/>
  <c r="R22" i="529"/>
  <c r="D23" i="528"/>
  <c r="R23" i="528" s="1"/>
  <c r="D22" i="528"/>
  <c r="R22" i="528" s="1"/>
  <c r="D21" i="528"/>
  <c r="R24" i="528"/>
  <c r="R12" i="551"/>
  <c r="R21" i="551"/>
  <c r="L18" i="551"/>
  <c r="S20" i="551" s="1"/>
  <c r="C10" i="551"/>
  <c r="B10" i="551"/>
  <c r="L9" i="551"/>
  <c r="J9" i="551"/>
  <c r="C9" i="551"/>
  <c r="L8" i="551"/>
  <c r="J8" i="551"/>
  <c r="C8" i="551"/>
  <c r="L7" i="551"/>
  <c r="J7" i="551"/>
  <c r="L6" i="551"/>
  <c r="J6" i="551"/>
  <c r="C6" i="551"/>
  <c r="R13" i="537"/>
  <c r="R13" i="536"/>
  <c r="R12" i="536"/>
  <c r="R13" i="535"/>
  <c r="R19" i="535" s="1"/>
  <c r="P334" i="567" l="1"/>
  <c r="Q334" i="567" s="1"/>
  <c r="N326" i="568"/>
  <c r="O326" i="568" s="1"/>
  <c r="R359" i="567"/>
  <c r="T359" i="567" s="1"/>
  <c r="U359" i="567" s="1"/>
  <c r="S359" i="567" s="1"/>
  <c r="P350" i="568"/>
  <c r="R350" i="568" s="1"/>
  <c r="R358" i="567"/>
  <c r="T358" i="567" s="1"/>
  <c r="U358" i="567" s="1"/>
  <c r="S358" i="567" s="1"/>
  <c r="P349" i="568"/>
  <c r="R349" i="568" s="1"/>
  <c r="P349" i="75"/>
  <c r="P350" i="75"/>
  <c r="N326" i="75"/>
  <c r="R18" i="535"/>
  <c r="R19" i="536"/>
  <c r="R18" i="551"/>
  <c r="R19" i="551"/>
  <c r="R23" i="555"/>
  <c r="S19" i="555"/>
  <c r="S20" i="555"/>
  <c r="R23" i="554"/>
  <c r="S19" i="554"/>
  <c r="S20" i="554"/>
  <c r="R22" i="553"/>
  <c r="S20" i="553"/>
  <c r="S18" i="553"/>
  <c r="R24" i="552"/>
  <c r="S18" i="551"/>
  <c r="S19" i="551"/>
  <c r="V359" i="567" l="1"/>
  <c r="W359" i="567" s="1"/>
  <c r="V358" i="567"/>
  <c r="W358" i="567" s="1"/>
  <c r="P343" i="567"/>
  <c r="Q343" i="567" s="1"/>
  <c r="N335" i="568"/>
  <c r="O335" i="568" s="1"/>
  <c r="P336" i="567"/>
  <c r="Q336" i="567" s="1"/>
  <c r="N328" i="568"/>
  <c r="O328" i="568" s="1"/>
  <c r="S349" i="568"/>
  <c r="Q349" i="568" s="1"/>
  <c r="T349" i="568"/>
  <c r="U349" i="568" s="1"/>
  <c r="T350" i="568"/>
  <c r="U350" i="568" s="1"/>
  <c r="S350" i="568"/>
  <c r="Q350" i="568" s="1"/>
  <c r="N328" i="75"/>
  <c r="N335" i="75"/>
  <c r="R20" i="551"/>
  <c r="R26" i="552"/>
  <c r="R343" i="567" l="1"/>
  <c r="T343" i="567" s="1"/>
  <c r="V343" i="567" s="1"/>
  <c r="W343" i="567" s="1"/>
  <c r="P335" i="568"/>
  <c r="R335" i="568" s="1"/>
  <c r="R22" i="551"/>
  <c r="P335" i="75"/>
  <c r="B10" i="550"/>
  <c r="R21" i="550"/>
  <c r="L18" i="550"/>
  <c r="S20" i="550" s="1"/>
  <c r="R12" i="550"/>
  <c r="R19" i="550" s="1"/>
  <c r="C10" i="550"/>
  <c r="L9" i="550"/>
  <c r="J9" i="550"/>
  <c r="C9" i="550"/>
  <c r="L8" i="550"/>
  <c r="J8" i="550"/>
  <c r="C8" i="550"/>
  <c r="L7" i="550"/>
  <c r="J7" i="550"/>
  <c r="L6" i="550"/>
  <c r="J6" i="550"/>
  <c r="C6" i="550"/>
  <c r="R12" i="549"/>
  <c r="R19" i="549" s="1"/>
  <c r="R21" i="549"/>
  <c r="L18" i="549"/>
  <c r="S18" i="549" s="1"/>
  <c r="C10" i="549"/>
  <c r="B10" i="549"/>
  <c r="L9" i="549"/>
  <c r="J9" i="549"/>
  <c r="C9" i="549"/>
  <c r="L8" i="549"/>
  <c r="J8" i="549"/>
  <c r="C8" i="549"/>
  <c r="L7" i="549"/>
  <c r="J7" i="549"/>
  <c r="L6" i="549"/>
  <c r="J6" i="549"/>
  <c r="C6" i="549"/>
  <c r="R14" i="501"/>
  <c r="R15" i="501"/>
  <c r="R21" i="529"/>
  <c r="R21" i="528"/>
  <c r="R12" i="546"/>
  <c r="R23" i="546"/>
  <c r="L20" i="546"/>
  <c r="S21" i="546" s="1"/>
  <c r="C10" i="546"/>
  <c r="B10" i="546"/>
  <c r="L9" i="546"/>
  <c r="J9" i="546"/>
  <c r="C9" i="546"/>
  <c r="L8" i="546"/>
  <c r="J8" i="546"/>
  <c r="C8" i="546"/>
  <c r="L7" i="546"/>
  <c r="J7" i="546"/>
  <c r="L6" i="546"/>
  <c r="J6" i="546"/>
  <c r="C6" i="546"/>
  <c r="R23" i="545"/>
  <c r="L20" i="545"/>
  <c r="S22" i="545" s="1"/>
  <c r="C10" i="545"/>
  <c r="B10" i="545"/>
  <c r="R12" i="545"/>
  <c r="R21" i="545" s="1"/>
  <c r="L9" i="545"/>
  <c r="J9" i="545"/>
  <c r="C9" i="545"/>
  <c r="L8" i="545"/>
  <c r="J8" i="545"/>
  <c r="C8" i="545"/>
  <c r="L7" i="545"/>
  <c r="J7" i="545"/>
  <c r="L6" i="545"/>
  <c r="J6" i="545"/>
  <c r="C6" i="545"/>
  <c r="R20" i="529"/>
  <c r="D17" i="528"/>
  <c r="R17" i="528" s="1"/>
  <c r="D16" i="528"/>
  <c r="R16" i="528" s="1"/>
  <c r="D15" i="528"/>
  <c r="R15" i="528" s="1"/>
  <c r="D20" i="528"/>
  <c r="R20" i="528" s="1"/>
  <c r="D19" i="528"/>
  <c r="R19" i="528" s="1"/>
  <c r="D18" i="528"/>
  <c r="R18" i="528" s="1"/>
  <c r="D14" i="528"/>
  <c r="R14" i="528" s="1"/>
  <c r="D13" i="528"/>
  <c r="R13" i="528" s="1"/>
  <c r="D12" i="528"/>
  <c r="R12" i="528" s="1"/>
  <c r="I338" i="75"/>
  <c r="R22" i="352"/>
  <c r="R21" i="354"/>
  <c r="R22" i="354"/>
  <c r="R21" i="352"/>
  <c r="R13" i="366"/>
  <c r="R23" i="544"/>
  <c r="C10" i="544"/>
  <c r="B10" i="544"/>
  <c r="S22" i="544"/>
  <c r="S21" i="544"/>
  <c r="S20" i="544"/>
  <c r="R20" i="544"/>
  <c r="R22" i="544" s="1"/>
  <c r="L9" i="544"/>
  <c r="J9" i="544"/>
  <c r="C9" i="544"/>
  <c r="L8" i="544"/>
  <c r="J8" i="544"/>
  <c r="C8" i="544"/>
  <c r="L7" i="544"/>
  <c r="J7" i="544"/>
  <c r="L6" i="544"/>
  <c r="J6" i="544"/>
  <c r="C6" i="544"/>
  <c r="R23" i="543"/>
  <c r="C10" i="543"/>
  <c r="B10" i="543"/>
  <c r="S22" i="543"/>
  <c r="S21" i="543"/>
  <c r="S20" i="543"/>
  <c r="R20" i="543"/>
  <c r="L9" i="543"/>
  <c r="J9" i="543"/>
  <c r="C9" i="543"/>
  <c r="L8" i="543"/>
  <c r="J8" i="543"/>
  <c r="C8" i="543"/>
  <c r="L7" i="543"/>
  <c r="J7" i="543"/>
  <c r="L6" i="543"/>
  <c r="J6" i="543"/>
  <c r="C6" i="543"/>
  <c r="R23" i="542"/>
  <c r="C10" i="542"/>
  <c r="B10" i="542"/>
  <c r="S22" i="542"/>
  <c r="S21" i="542"/>
  <c r="S20" i="542"/>
  <c r="R20" i="542"/>
  <c r="L9" i="542"/>
  <c r="J9" i="542"/>
  <c r="C9" i="542"/>
  <c r="L8" i="542"/>
  <c r="J8" i="542"/>
  <c r="C8" i="542"/>
  <c r="L7" i="542"/>
  <c r="J7" i="542"/>
  <c r="L6" i="542"/>
  <c r="J6" i="542"/>
  <c r="C6" i="542"/>
  <c r="R23" i="541"/>
  <c r="C10" i="541"/>
  <c r="B10" i="541"/>
  <c r="S20" i="541"/>
  <c r="R20" i="541"/>
  <c r="R22" i="541" s="1"/>
  <c r="S22" i="541"/>
  <c r="L9" i="541"/>
  <c r="J9" i="541"/>
  <c r="C9" i="541"/>
  <c r="L8" i="541"/>
  <c r="J8" i="541"/>
  <c r="C8" i="541"/>
  <c r="L7" i="541"/>
  <c r="J7" i="541"/>
  <c r="L6" i="541"/>
  <c r="J6" i="541"/>
  <c r="C6" i="541"/>
  <c r="R23" i="540"/>
  <c r="C10" i="540"/>
  <c r="B10" i="540"/>
  <c r="L20" i="540"/>
  <c r="S22" i="540" s="1"/>
  <c r="R12" i="540"/>
  <c r="R21" i="540" s="1"/>
  <c r="L9" i="540"/>
  <c r="J9" i="540"/>
  <c r="C9" i="540"/>
  <c r="L8" i="540"/>
  <c r="J8" i="540"/>
  <c r="C8" i="540"/>
  <c r="L7" i="540"/>
  <c r="J7" i="540"/>
  <c r="L6" i="540"/>
  <c r="J6" i="540"/>
  <c r="C6" i="540"/>
  <c r="R23" i="539"/>
  <c r="C10" i="539"/>
  <c r="B10" i="539"/>
  <c r="L20" i="539"/>
  <c r="S22" i="539" s="1"/>
  <c r="R12" i="539"/>
  <c r="L9" i="539"/>
  <c r="J9" i="539"/>
  <c r="C9" i="539"/>
  <c r="L8" i="539"/>
  <c r="J8" i="539"/>
  <c r="C8" i="539"/>
  <c r="L7" i="539"/>
  <c r="J7" i="539"/>
  <c r="L6" i="539"/>
  <c r="J6" i="539"/>
  <c r="C6" i="539"/>
  <c r="R23" i="538"/>
  <c r="C10" i="538"/>
  <c r="B10" i="538"/>
  <c r="L20" i="538"/>
  <c r="S22" i="538" s="1"/>
  <c r="R12" i="538"/>
  <c r="R21" i="538" s="1"/>
  <c r="L9" i="538"/>
  <c r="J9" i="538"/>
  <c r="C9" i="538"/>
  <c r="L8" i="538"/>
  <c r="J8" i="538"/>
  <c r="C8" i="538"/>
  <c r="L7" i="538"/>
  <c r="J7" i="538"/>
  <c r="L6" i="538"/>
  <c r="J6" i="538"/>
  <c r="C6" i="538"/>
  <c r="D15" i="500"/>
  <c r="R15" i="500" s="1"/>
  <c r="D14" i="500"/>
  <c r="R14" i="500" s="1"/>
  <c r="R13" i="526"/>
  <c r="R13" i="525"/>
  <c r="R21" i="537"/>
  <c r="C10" i="537"/>
  <c r="B10" i="537"/>
  <c r="S20" i="537"/>
  <c r="S19" i="537"/>
  <c r="S18" i="537"/>
  <c r="R12" i="537"/>
  <c r="R19" i="537" s="1"/>
  <c r="L9" i="537"/>
  <c r="J9" i="537"/>
  <c r="C9" i="537"/>
  <c r="L8" i="537"/>
  <c r="J8" i="537"/>
  <c r="C8" i="537"/>
  <c r="L7" i="537"/>
  <c r="J7" i="537"/>
  <c r="L6" i="537"/>
  <c r="J6" i="537"/>
  <c r="C6" i="537"/>
  <c r="R21" i="536"/>
  <c r="C10" i="536"/>
  <c r="B10" i="536"/>
  <c r="S20" i="536"/>
  <c r="S19" i="536"/>
  <c r="S18" i="536"/>
  <c r="R18" i="536"/>
  <c r="R20" i="536" s="1"/>
  <c r="L9" i="536"/>
  <c r="J9" i="536"/>
  <c r="C9" i="536"/>
  <c r="L8" i="536"/>
  <c r="J8" i="536"/>
  <c r="C8" i="536"/>
  <c r="L7" i="536"/>
  <c r="J7" i="536"/>
  <c r="L6" i="536"/>
  <c r="J6" i="536"/>
  <c r="C6" i="536"/>
  <c r="R21" i="535"/>
  <c r="C10" i="535"/>
  <c r="B10" i="535"/>
  <c r="S20" i="535"/>
  <c r="S19" i="535"/>
  <c r="S18" i="535"/>
  <c r="L9" i="535"/>
  <c r="J9" i="535"/>
  <c r="C9" i="535"/>
  <c r="L8" i="535"/>
  <c r="J8" i="535"/>
  <c r="C8" i="535"/>
  <c r="L7" i="535"/>
  <c r="J7" i="535"/>
  <c r="L6" i="535"/>
  <c r="J6" i="535"/>
  <c r="C6" i="535"/>
  <c r="L20" i="534"/>
  <c r="S22" i="534" s="1"/>
  <c r="R23" i="534"/>
  <c r="C10" i="534"/>
  <c r="B10" i="534"/>
  <c r="R12" i="534"/>
  <c r="L9" i="534"/>
  <c r="J9" i="534"/>
  <c r="C9" i="534"/>
  <c r="L8" i="534"/>
  <c r="J8" i="534"/>
  <c r="C8" i="534"/>
  <c r="L7" i="534"/>
  <c r="J7" i="534"/>
  <c r="L6" i="534"/>
  <c r="J6" i="534"/>
  <c r="C6" i="534"/>
  <c r="R23" i="533"/>
  <c r="C10" i="533"/>
  <c r="B10" i="533"/>
  <c r="S22" i="533"/>
  <c r="S21" i="533"/>
  <c r="S20" i="533"/>
  <c r="R12" i="533"/>
  <c r="L9" i="533"/>
  <c r="J9" i="533"/>
  <c r="C9" i="533"/>
  <c r="L8" i="533"/>
  <c r="J8" i="533"/>
  <c r="C8" i="533"/>
  <c r="L7" i="533"/>
  <c r="J7" i="533"/>
  <c r="L6" i="533"/>
  <c r="J6" i="533"/>
  <c r="C6" i="533"/>
  <c r="R12" i="532"/>
  <c r="R21" i="532" s="1"/>
  <c r="R23" i="532"/>
  <c r="C10" i="532"/>
  <c r="B10" i="532"/>
  <c r="S22" i="532"/>
  <c r="S21" i="532"/>
  <c r="S20" i="532"/>
  <c r="L9" i="532"/>
  <c r="J9" i="532"/>
  <c r="C9" i="532"/>
  <c r="L8" i="532"/>
  <c r="J8" i="532"/>
  <c r="C8" i="532"/>
  <c r="L7" i="532"/>
  <c r="J7" i="532"/>
  <c r="L6" i="532"/>
  <c r="J6" i="532"/>
  <c r="C6" i="532"/>
  <c r="R23" i="531"/>
  <c r="L20" i="531"/>
  <c r="S22" i="531" s="1"/>
  <c r="C10" i="531"/>
  <c r="B10" i="531"/>
  <c r="R12" i="531"/>
  <c r="L9" i="531"/>
  <c r="J9" i="531"/>
  <c r="C9" i="531"/>
  <c r="L8" i="531"/>
  <c r="J8" i="531"/>
  <c r="C8" i="531"/>
  <c r="L7" i="531"/>
  <c r="J7" i="531"/>
  <c r="L6" i="531"/>
  <c r="J6" i="531"/>
  <c r="C6" i="531"/>
  <c r="R12" i="530"/>
  <c r="R21" i="530" s="1"/>
  <c r="R23" i="530"/>
  <c r="L20" i="530"/>
  <c r="S22" i="530" s="1"/>
  <c r="C10" i="530"/>
  <c r="B10" i="530"/>
  <c r="L9" i="530"/>
  <c r="J9" i="530"/>
  <c r="C9" i="530"/>
  <c r="L8" i="530"/>
  <c r="J8" i="530"/>
  <c r="C8" i="530"/>
  <c r="L7" i="530"/>
  <c r="J7" i="530"/>
  <c r="L6" i="530"/>
  <c r="J6" i="530"/>
  <c r="C6" i="530"/>
  <c r="B10" i="529"/>
  <c r="S26" i="529"/>
  <c r="S25" i="529"/>
  <c r="S24" i="529"/>
  <c r="R19" i="529"/>
  <c r="R18" i="529"/>
  <c r="R17" i="529"/>
  <c r="R16" i="529"/>
  <c r="R15" i="529"/>
  <c r="R14" i="529"/>
  <c r="R13" i="529"/>
  <c r="R12" i="529"/>
  <c r="L9" i="529"/>
  <c r="J9" i="529"/>
  <c r="C9" i="529"/>
  <c r="L8" i="529"/>
  <c r="J8" i="529"/>
  <c r="C8" i="529"/>
  <c r="L7" i="529"/>
  <c r="J7" i="529"/>
  <c r="L6" i="529"/>
  <c r="J6" i="529"/>
  <c r="C6" i="529"/>
  <c r="B10" i="528"/>
  <c r="S29" i="528"/>
  <c r="S28" i="528"/>
  <c r="S27" i="528"/>
  <c r="L9" i="528"/>
  <c r="J9" i="528"/>
  <c r="C9" i="528"/>
  <c r="L8" i="528"/>
  <c r="J8" i="528"/>
  <c r="C8" i="528"/>
  <c r="L7" i="528"/>
  <c r="J7" i="528"/>
  <c r="L6" i="528"/>
  <c r="J6" i="528"/>
  <c r="C6" i="528"/>
  <c r="R13" i="524"/>
  <c r="D749" i="75"/>
  <c r="I76" i="75"/>
  <c r="J76" i="75" s="1"/>
  <c r="O76" i="75"/>
  <c r="R20" i="527"/>
  <c r="L17" i="527"/>
  <c r="S18" i="527" s="1"/>
  <c r="C10" i="527"/>
  <c r="B10" i="527"/>
  <c r="R12" i="527"/>
  <c r="R17" i="527" s="1"/>
  <c r="L9" i="527"/>
  <c r="J9" i="527"/>
  <c r="C9" i="527"/>
  <c r="L8" i="527"/>
  <c r="J8" i="527"/>
  <c r="C8" i="527"/>
  <c r="L7" i="527"/>
  <c r="J7" i="527"/>
  <c r="L6" i="527"/>
  <c r="J6" i="527"/>
  <c r="C6" i="527"/>
  <c r="L17" i="525"/>
  <c r="S18" i="525" s="1"/>
  <c r="L12" i="526"/>
  <c r="R12" i="526" s="1"/>
  <c r="L17" i="526"/>
  <c r="S19" i="526" s="1"/>
  <c r="R20" i="526"/>
  <c r="C10" i="526"/>
  <c r="B10" i="526"/>
  <c r="L9" i="526"/>
  <c r="J9" i="526"/>
  <c r="C9" i="526"/>
  <c r="L8" i="526"/>
  <c r="J8" i="526"/>
  <c r="C8" i="526"/>
  <c r="L7" i="526"/>
  <c r="J7" i="526"/>
  <c r="L6" i="526"/>
  <c r="J6" i="526"/>
  <c r="C6" i="526"/>
  <c r="L12" i="525"/>
  <c r="R12" i="525" s="1"/>
  <c r="R20" i="525"/>
  <c r="C10" i="525"/>
  <c r="B10" i="525"/>
  <c r="L9" i="525"/>
  <c r="J9" i="525"/>
  <c r="C9" i="525"/>
  <c r="L8" i="525"/>
  <c r="J8" i="525"/>
  <c r="C8" i="525"/>
  <c r="L7" i="525"/>
  <c r="J7" i="525"/>
  <c r="L6" i="525"/>
  <c r="J6" i="525"/>
  <c r="C6" i="525"/>
  <c r="R12" i="524"/>
  <c r="R20" i="524"/>
  <c r="L17" i="524"/>
  <c r="S19" i="524" s="1"/>
  <c r="C10" i="524"/>
  <c r="B10" i="524"/>
  <c r="L9" i="524"/>
  <c r="J9" i="524"/>
  <c r="C9" i="524"/>
  <c r="L8" i="524"/>
  <c r="J8" i="524"/>
  <c r="C8" i="524"/>
  <c r="L7" i="524"/>
  <c r="J7" i="524"/>
  <c r="L6" i="524"/>
  <c r="J6" i="524"/>
  <c r="C6" i="524"/>
  <c r="R13" i="501"/>
  <c r="R12" i="501"/>
  <c r="I692" i="75"/>
  <c r="J692" i="75" s="1"/>
  <c r="R26" i="399"/>
  <c r="R25" i="399"/>
  <c r="R19" i="399"/>
  <c r="D12" i="500"/>
  <c r="D13" i="500"/>
  <c r="R20" i="522"/>
  <c r="C10" i="522"/>
  <c r="B10" i="522"/>
  <c r="S19" i="522"/>
  <c r="S18" i="522"/>
  <c r="S17" i="522"/>
  <c r="L9" i="522"/>
  <c r="J9" i="522"/>
  <c r="C9" i="522"/>
  <c r="L8" i="522"/>
  <c r="J8" i="522"/>
  <c r="C8" i="522"/>
  <c r="L7" i="522"/>
  <c r="J7" i="522"/>
  <c r="L6" i="522"/>
  <c r="J6" i="522"/>
  <c r="C6" i="522"/>
  <c r="R12" i="521"/>
  <c r="R26" i="521" s="1"/>
  <c r="R28" i="521"/>
  <c r="L25" i="521"/>
  <c r="S25" i="521" s="1"/>
  <c r="C10" i="521"/>
  <c r="B10" i="521"/>
  <c r="L9" i="521"/>
  <c r="J9" i="521"/>
  <c r="C9" i="521"/>
  <c r="L8" i="521"/>
  <c r="J8" i="521"/>
  <c r="C8" i="521"/>
  <c r="L7" i="521"/>
  <c r="J7" i="521"/>
  <c r="L6" i="521"/>
  <c r="J6" i="521"/>
  <c r="C6" i="521"/>
  <c r="R12" i="363"/>
  <c r="R21" i="363" s="1"/>
  <c r="R31" i="519"/>
  <c r="R29" i="519"/>
  <c r="L28" i="519"/>
  <c r="S30" i="519" s="1"/>
  <c r="J28" i="519"/>
  <c r="R28" i="519"/>
  <c r="C10" i="519"/>
  <c r="B10" i="519"/>
  <c r="L9" i="519"/>
  <c r="J9" i="519"/>
  <c r="C9" i="519"/>
  <c r="L8" i="519"/>
  <c r="J8" i="519"/>
  <c r="C8" i="519"/>
  <c r="L7" i="519"/>
  <c r="J7" i="519"/>
  <c r="L6" i="519"/>
  <c r="J6" i="519"/>
  <c r="C6" i="519"/>
  <c r="R12" i="517"/>
  <c r="R18" i="517" s="1"/>
  <c r="L17" i="517"/>
  <c r="S19" i="517" s="1"/>
  <c r="R20" i="517"/>
  <c r="C10" i="517"/>
  <c r="B10" i="517"/>
  <c r="L9" i="517"/>
  <c r="J9" i="517"/>
  <c r="C9" i="517"/>
  <c r="L8" i="517"/>
  <c r="J8" i="517"/>
  <c r="C8" i="517"/>
  <c r="L7" i="517"/>
  <c r="J7" i="517"/>
  <c r="L6" i="517"/>
  <c r="J6" i="517"/>
  <c r="C6" i="517"/>
  <c r="R22" i="366"/>
  <c r="R12" i="366"/>
  <c r="R18" i="516"/>
  <c r="R21" i="516"/>
  <c r="C10" i="516"/>
  <c r="B10" i="516"/>
  <c r="S20" i="516"/>
  <c r="S19" i="516"/>
  <c r="S18" i="516"/>
  <c r="L9" i="516"/>
  <c r="J9" i="516"/>
  <c r="C9" i="516"/>
  <c r="L8" i="516"/>
  <c r="J8" i="516"/>
  <c r="C8" i="516"/>
  <c r="L7" i="516"/>
  <c r="J7" i="516"/>
  <c r="L6" i="516"/>
  <c r="J6" i="516"/>
  <c r="C6" i="516"/>
  <c r="R12" i="515"/>
  <c r="R25" i="515" s="1"/>
  <c r="R28" i="515"/>
  <c r="C10" i="515"/>
  <c r="B10" i="515"/>
  <c r="S27" i="515"/>
  <c r="S26" i="515"/>
  <c r="S25" i="515"/>
  <c r="L9" i="515"/>
  <c r="J9" i="515"/>
  <c r="C9" i="515"/>
  <c r="L8" i="515"/>
  <c r="J8" i="515"/>
  <c r="C8" i="515"/>
  <c r="L7" i="515"/>
  <c r="J7" i="515"/>
  <c r="L6" i="515"/>
  <c r="J6" i="515"/>
  <c r="C6" i="515"/>
  <c r="R28" i="514"/>
  <c r="C10" i="514"/>
  <c r="B10" i="514"/>
  <c r="S27" i="514"/>
  <c r="S26" i="514"/>
  <c r="S25" i="514"/>
  <c r="R12" i="514"/>
  <c r="R25" i="514" s="1"/>
  <c r="L9" i="514"/>
  <c r="J9" i="514"/>
  <c r="C9" i="514"/>
  <c r="L8" i="514"/>
  <c r="J8" i="514"/>
  <c r="C8" i="514"/>
  <c r="L7" i="514"/>
  <c r="J7" i="514"/>
  <c r="L6" i="514"/>
  <c r="J6" i="514"/>
  <c r="C6" i="514"/>
  <c r="R28" i="513"/>
  <c r="C10" i="513"/>
  <c r="B10" i="513"/>
  <c r="S27" i="513"/>
  <c r="S26" i="513"/>
  <c r="S25" i="513"/>
  <c r="R12" i="513"/>
  <c r="R25" i="513" s="1"/>
  <c r="L9" i="513"/>
  <c r="J9" i="513"/>
  <c r="C9" i="513"/>
  <c r="L8" i="513"/>
  <c r="J8" i="513"/>
  <c r="C8" i="513"/>
  <c r="L7" i="513"/>
  <c r="J7" i="513"/>
  <c r="L6" i="513"/>
  <c r="J6" i="513"/>
  <c r="C6" i="513"/>
  <c r="R12" i="512"/>
  <c r="R25" i="512" s="1"/>
  <c r="R28" i="512"/>
  <c r="C10" i="512"/>
  <c r="B10" i="512"/>
  <c r="S27" i="512"/>
  <c r="S25" i="512"/>
  <c r="S26" i="512"/>
  <c r="L9" i="512"/>
  <c r="J9" i="512"/>
  <c r="C9" i="512"/>
  <c r="L8" i="512"/>
  <c r="J8" i="512"/>
  <c r="C8" i="512"/>
  <c r="L7" i="512"/>
  <c r="J7" i="512"/>
  <c r="L6" i="512"/>
  <c r="J6" i="512"/>
  <c r="C6" i="512"/>
  <c r="R28" i="511"/>
  <c r="C10" i="511"/>
  <c r="B10" i="511"/>
  <c r="L25" i="511"/>
  <c r="S27" i="511" s="1"/>
  <c r="R12" i="511"/>
  <c r="R25" i="511" s="1"/>
  <c r="L9" i="511"/>
  <c r="J9" i="511"/>
  <c r="C9" i="511"/>
  <c r="L8" i="511"/>
  <c r="J8" i="511"/>
  <c r="C8" i="511"/>
  <c r="L7" i="511"/>
  <c r="J7" i="511"/>
  <c r="L6" i="511"/>
  <c r="J6" i="511"/>
  <c r="C6" i="511"/>
  <c r="R28" i="510"/>
  <c r="C10" i="510"/>
  <c r="B10" i="510"/>
  <c r="S27" i="510"/>
  <c r="S25" i="510"/>
  <c r="S26" i="510"/>
  <c r="R12" i="510"/>
  <c r="R25" i="510" s="1"/>
  <c r="L9" i="510"/>
  <c r="J9" i="510"/>
  <c r="C9" i="510"/>
  <c r="L8" i="510"/>
  <c r="J8" i="510"/>
  <c r="C8" i="510"/>
  <c r="L7" i="510"/>
  <c r="J7" i="510"/>
  <c r="L6" i="510"/>
  <c r="J6" i="510"/>
  <c r="C6" i="510"/>
  <c r="R28" i="509"/>
  <c r="C10" i="509"/>
  <c r="B10" i="509"/>
  <c r="L25" i="509"/>
  <c r="S27" i="509" s="1"/>
  <c r="R12" i="509"/>
  <c r="R26" i="509" s="1"/>
  <c r="L9" i="509"/>
  <c r="J9" i="509"/>
  <c r="C9" i="509"/>
  <c r="L8" i="509"/>
  <c r="J8" i="509"/>
  <c r="C8" i="509"/>
  <c r="L7" i="509"/>
  <c r="J7" i="509"/>
  <c r="L6" i="509"/>
  <c r="J6" i="509"/>
  <c r="C6" i="509"/>
  <c r="R28" i="508"/>
  <c r="C10" i="508"/>
  <c r="B10" i="508"/>
  <c r="L25" i="508"/>
  <c r="S27" i="508" s="1"/>
  <c r="R12" i="508"/>
  <c r="R25" i="508" s="1"/>
  <c r="L9" i="508"/>
  <c r="J9" i="508"/>
  <c r="C9" i="508"/>
  <c r="L8" i="508"/>
  <c r="J8" i="508"/>
  <c r="C8" i="508"/>
  <c r="L7" i="508"/>
  <c r="J7" i="508"/>
  <c r="L6" i="508"/>
  <c r="J6" i="508"/>
  <c r="C6" i="508"/>
  <c r="B10" i="507"/>
  <c r="R28" i="507"/>
  <c r="L25" i="507"/>
  <c r="S27" i="507" s="1"/>
  <c r="R12" i="507"/>
  <c r="R26" i="507" s="1"/>
  <c r="C10" i="507"/>
  <c r="L9" i="507"/>
  <c r="J9" i="507"/>
  <c r="C9" i="507"/>
  <c r="L8" i="507"/>
  <c r="J8" i="507"/>
  <c r="C8" i="507"/>
  <c r="L7" i="507"/>
  <c r="J7" i="507"/>
  <c r="L6" i="507"/>
  <c r="J6" i="507"/>
  <c r="C6" i="507"/>
  <c r="B10" i="506"/>
  <c r="R23" i="506"/>
  <c r="L20" i="506"/>
  <c r="S22" i="506" s="1"/>
  <c r="R12" i="506"/>
  <c r="R20" i="506" s="1"/>
  <c r="C10" i="506"/>
  <c r="L9" i="506"/>
  <c r="J9" i="506"/>
  <c r="C9" i="506"/>
  <c r="L8" i="506"/>
  <c r="J8" i="506"/>
  <c r="C8" i="506"/>
  <c r="L7" i="506"/>
  <c r="J7" i="506"/>
  <c r="L6" i="506"/>
  <c r="J6" i="506"/>
  <c r="C6" i="506"/>
  <c r="R22" i="355"/>
  <c r="R22" i="356"/>
  <c r="R20" i="505"/>
  <c r="L17" i="505"/>
  <c r="S17" i="505" s="1"/>
  <c r="J17" i="505"/>
  <c r="B10" i="505"/>
  <c r="C10" i="505"/>
  <c r="C24" i="505"/>
  <c r="C25" i="505" s="1"/>
  <c r="R17" i="505"/>
  <c r="L9" i="505"/>
  <c r="J9" i="505"/>
  <c r="C9" i="505"/>
  <c r="L8" i="505"/>
  <c r="J8" i="505"/>
  <c r="C8" i="505"/>
  <c r="L7" i="505"/>
  <c r="J7" i="505"/>
  <c r="L6" i="505"/>
  <c r="J6" i="505"/>
  <c r="C6" i="505"/>
  <c r="R12" i="504"/>
  <c r="R18" i="504" s="1"/>
  <c r="J17" i="504"/>
  <c r="R20" i="504"/>
  <c r="B10" i="504"/>
  <c r="C10" i="504"/>
  <c r="C24" i="504"/>
  <c r="C25" i="504" s="1"/>
  <c r="S19" i="504"/>
  <c r="S18" i="504"/>
  <c r="S17" i="504"/>
  <c r="L9" i="504"/>
  <c r="J9" i="504"/>
  <c r="C9" i="504"/>
  <c r="L8" i="504"/>
  <c r="J8" i="504"/>
  <c r="C8" i="504"/>
  <c r="L7" i="504"/>
  <c r="J7" i="504"/>
  <c r="L6" i="504"/>
  <c r="J6" i="504"/>
  <c r="C6" i="504"/>
  <c r="R14" i="445"/>
  <c r="J20" i="503"/>
  <c r="R23" i="503"/>
  <c r="L20" i="503"/>
  <c r="B10" i="503"/>
  <c r="C10" i="503"/>
  <c r="L9" i="503"/>
  <c r="J9" i="503"/>
  <c r="C9" i="503"/>
  <c r="L8" i="503"/>
  <c r="J8" i="503"/>
  <c r="C8" i="503"/>
  <c r="L7" i="503"/>
  <c r="J7" i="503"/>
  <c r="L6" i="503"/>
  <c r="J6" i="503"/>
  <c r="C6" i="503"/>
  <c r="R14" i="438"/>
  <c r="P613" i="567" l="1"/>
  <c r="Q613" i="567" s="1"/>
  <c r="N603" i="568"/>
  <c r="O603" i="568" s="1"/>
  <c r="P632" i="567"/>
  <c r="Q632" i="567" s="1"/>
  <c r="N622" i="568"/>
  <c r="O622" i="568" s="1"/>
  <c r="P611" i="567"/>
  <c r="Q611" i="567" s="1"/>
  <c r="N601" i="568"/>
  <c r="O601" i="568" s="1"/>
  <c r="R336" i="567"/>
  <c r="T336" i="567" s="1"/>
  <c r="U336" i="567" s="1"/>
  <c r="S336" i="567" s="1"/>
  <c r="P328" i="568"/>
  <c r="R328" i="568" s="1"/>
  <c r="P650" i="567"/>
  <c r="Q650" i="567" s="1"/>
  <c r="N639" i="568"/>
  <c r="O639" i="568" s="1"/>
  <c r="P652" i="567"/>
  <c r="Q652" i="567" s="1"/>
  <c r="N641" i="568"/>
  <c r="O641" i="568" s="1"/>
  <c r="P624" i="567"/>
  <c r="Q624" i="567" s="1"/>
  <c r="N614" i="568"/>
  <c r="O614" i="568" s="1"/>
  <c r="Q180" i="567"/>
  <c r="Q179" i="567" s="1"/>
  <c r="Q178" i="567" s="1"/>
  <c r="N175" i="568"/>
  <c r="O175" i="568" s="1"/>
  <c r="O174" i="568" s="1"/>
  <c r="O173" i="568" s="1"/>
  <c r="P626" i="567"/>
  <c r="Q626" i="567" s="1"/>
  <c r="N616" i="568"/>
  <c r="O616" i="568" s="1"/>
  <c r="P495" i="567"/>
  <c r="Q495" i="567" s="1"/>
  <c r="N485" i="568"/>
  <c r="O485" i="568" s="1"/>
  <c r="P338" i="567"/>
  <c r="Q338" i="567" s="1"/>
  <c r="Q331" i="567" s="1"/>
  <c r="N330" i="568"/>
  <c r="O330" i="568" s="1"/>
  <c r="O323" i="568" s="1"/>
  <c r="U343" i="567"/>
  <c r="S343" i="567" s="1"/>
  <c r="P360" i="567"/>
  <c r="Q360" i="567" s="1"/>
  <c r="N351" i="568"/>
  <c r="O351" i="568" s="1"/>
  <c r="Q703" i="567"/>
  <c r="N689" i="568"/>
  <c r="P627" i="567"/>
  <c r="Q627" i="567" s="1"/>
  <c r="N617" i="568"/>
  <c r="O617" i="568" s="1"/>
  <c r="T706" i="567"/>
  <c r="N692" i="568"/>
  <c r="O692" i="568" s="1"/>
  <c r="T335" i="568"/>
  <c r="U335" i="568" s="1"/>
  <c r="S335" i="568"/>
  <c r="Q335" i="568" s="1"/>
  <c r="N351" i="75"/>
  <c r="N689" i="75"/>
  <c r="R20" i="366"/>
  <c r="R18" i="526"/>
  <c r="S21" i="538"/>
  <c r="R25" i="507"/>
  <c r="R27" i="507" s="1"/>
  <c r="R18" i="525"/>
  <c r="S20" i="538"/>
  <c r="R20" i="545"/>
  <c r="R22" i="545" s="1"/>
  <c r="R26" i="510"/>
  <c r="R18" i="524"/>
  <c r="R25" i="529"/>
  <c r="R25" i="521"/>
  <c r="R27" i="521" s="1"/>
  <c r="R18" i="550"/>
  <c r="R20" i="550" s="1"/>
  <c r="R17" i="517"/>
  <c r="R19" i="517" s="1"/>
  <c r="R21" i="506"/>
  <c r="R28" i="528"/>
  <c r="N603" i="75"/>
  <c r="N485" i="75"/>
  <c r="N617" i="75"/>
  <c r="N601" i="75"/>
  <c r="N641" i="75"/>
  <c r="R26" i="511"/>
  <c r="S20" i="534"/>
  <c r="R20" i="534"/>
  <c r="R21" i="534"/>
  <c r="N639" i="75"/>
  <c r="R26" i="512"/>
  <c r="R20" i="538"/>
  <c r="R22" i="538" s="1"/>
  <c r="R20" i="540"/>
  <c r="R22" i="540" s="1"/>
  <c r="N622" i="75"/>
  <c r="R24" i="529"/>
  <c r="S18" i="550"/>
  <c r="R26" i="513"/>
  <c r="R25" i="509"/>
  <c r="R27" i="509" s="1"/>
  <c r="N616" i="75"/>
  <c r="R26" i="514"/>
  <c r="N614" i="75"/>
  <c r="R20" i="531"/>
  <c r="R21" i="531"/>
  <c r="R20" i="533"/>
  <c r="R21" i="533"/>
  <c r="R18" i="527"/>
  <c r="R20" i="539"/>
  <c r="R21" i="539"/>
  <c r="R26" i="508"/>
  <c r="R26" i="515"/>
  <c r="R18" i="549"/>
  <c r="R19" i="501"/>
  <c r="R20" i="532"/>
  <c r="R22" i="532" s="1"/>
  <c r="P328" i="75"/>
  <c r="N692" i="75"/>
  <c r="O692" i="75" s="1"/>
  <c r="R18" i="501"/>
  <c r="R20" i="546"/>
  <c r="R21" i="546"/>
  <c r="R18" i="537"/>
  <c r="S19" i="550"/>
  <c r="S20" i="549"/>
  <c r="S19" i="549"/>
  <c r="S22" i="546"/>
  <c r="R24" i="541"/>
  <c r="R76" i="75"/>
  <c r="S76" i="75" s="1"/>
  <c r="Q76" i="75" s="1"/>
  <c r="S20" i="539"/>
  <c r="S21" i="539"/>
  <c r="R22" i="536"/>
  <c r="S20" i="546"/>
  <c r="S20" i="545"/>
  <c r="S21" i="545"/>
  <c r="R27" i="528"/>
  <c r="R24" i="544"/>
  <c r="R22" i="543"/>
  <c r="R22" i="542"/>
  <c r="S21" i="541"/>
  <c r="S20" i="540"/>
  <c r="S21" i="540"/>
  <c r="S19" i="527"/>
  <c r="R17" i="526"/>
  <c r="S21" i="534"/>
  <c r="S20" i="531"/>
  <c r="S21" i="531"/>
  <c r="R20" i="530"/>
  <c r="R22" i="530" s="1"/>
  <c r="S21" i="530"/>
  <c r="S20" i="530"/>
  <c r="R17" i="524"/>
  <c r="S18" i="526"/>
  <c r="S26" i="521"/>
  <c r="M692" i="75"/>
  <c r="R17" i="525"/>
  <c r="M76" i="75"/>
  <c r="S17" i="527"/>
  <c r="S19" i="525"/>
  <c r="S17" i="525"/>
  <c r="S17" i="526"/>
  <c r="S17" i="524"/>
  <c r="S18" i="524"/>
  <c r="S27" i="521"/>
  <c r="S20" i="506"/>
  <c r="S25" i="509"/>
  <c r="S26" i="511"/>
  <c r="S25" i="507"/>
  <c r="S26" i="507"/>
  <c r="S21" i="506"/>
  <c r="S25" i="508"/>
  <c r="S12" i="517"/>
  <c r="S28" i="519"/>
  <c r="S29" i="519"/>
  <c r="R30" i="519"/>
  <c r="J29" i="519"/>
  <c r="S17" i="517"/>
  <c r="S18" i="517"/>
  <c r="R20" i="516"/>
  <c r="S25" i="511"/>
  <c r="S26" i="509"/>
  <c r="S26" i="508"/>
  <c r="S18" i="505"/>
  <c r="S19" i="505"/>
  <c r="J18" i="505"/>
  <c r="R19" i="505"/>
  <c r="R17" i="504"/>
  <c r="R20" i="503"/>
  <c r="R624" i="567" l="1"/>
  <c r="T624" i="567" s="1"/>
  <c r="V624" i="567" s="1"/>
  <c r="W624" i="567" s="1"/>
  <c r="P614" i="568"/>
  <c r="R614" i="568" s="1"/>
  <c r="P692" i="567"/>
  <c r="N680" i="568"/>
  <c r="P347" i="567"/>
  <c r="N339" i="568"/>
  <c r="R632" i="567"/>
  <c r="T632" i="567" s="1"/>
  <c r="V632" i="567" s="1"/>
  <c r="W632" i="567" s="1"/>
  <c r="P622" i="568"/>
  <c r="R622" i="568" s="1"/>
  <c r="S328" i="568"/>
  <c r="Q328" i="568" s="1"/>
  <c r="T328" i="568"/>
  <c r="U328" i="568" s="1"/>
  <c r="P610" i="567"/>
  <c r="Q610" i="567" s="1"/>
  <c r="N600" i="568"/>
  <c r="O600" i="568" s="1"/>
  <c r="P633" i="567"/>
  <c r="Q633" i="567" s="1"/>
  <c r="N623" i="568"/>
  <c r="O623" i="568" s="1"/>
  <c r="P621" i="567"/>
  <c r="Q621" i="567" s="1"/>
  <c r="N611" i="568"/>
  <c r="O611" i="568" s="1"/>
  <c r="P617" i="567"/>
  <c r="Q617" i="567" s="1"/>
  <c r="N607" i="568"/>
  <c r="O607" i="568" s="1"/>
  <c r="P73" i="567"/>
  <c r="Q73" i="567" s="1"/>
  <c r="N72" i="568"/>
  <c r="O72" i="568" s="1"/>
  <c r="T180" i="567"/>
  <c r="U180" i="567" s="1"/>
  <c r="P612" i="567"/>
  <c r="Q612" i="567" s="1"/>
  <c r="N602" i="568"/>
  <c r="O602" i="568" s="1"/>
  <c r="R652" i="567"/>
  <c r="T652" i="567" s="1"/>
  <c r="U652" i="567" s="1"/>
  <c r="S652" i="567" s="1"/>
  <c r="P641" i="568"/>
  <c r="R641" i="568" s="1"/>
  <c r="R611" i="567"/>
  <c r="T611" i="567" s="1"/>
  <c r="V611" i="567" s="1"/>
  <c r="W611" i="567" s="1"/>
  <c r="P601" i="568"/>
  <c r="R601" i="568" s="1"/>
  <c r="V336" i="567"/>
  <c r="W336" i="567" s="1"/>
  <c r="P651" i="567"/>
  <c r="Q651" i="567" s="1"/>
  <c r="Q644" i="567" s="1"/>
  <c r="N640" i="568"/>
  <c r="O640" i="568" s="1"/>
  <c r="O633" i="568" s="1"/>
  <c r="P620" i="567"/>
  <c r="Q620" i="567" s="1"/>
  <c r="N610" i="568"/>
  <c r="O610" i="568" s="1"/>
  <c r="R650" i="567"/>
  <c r="T650" i="567" s="1"/>
  <c r="U650" i="567" s="1"/>
  <c r="P639" i="568"/>
  <c r="R639" i="568" s="1"/>
  <c r="R627" i="567"/>
  <c r="T627" i="567" s="1"/>
  <c r="V627" i="567" s="1"/>
  <c r="W627" i="567" s="1"/>
  <c r="P617" i="568"/>
  <c r="R617" i="568" s="1"/>
  <c r="P618" i="567"/>
  <c r="Q618" i="567" s="1"/>
  <c r="N608" i="568"/>
  <c r="O608" i="568" s="1"/>
  <c r="P348" i="567"/>
  <c r="Q348" i="567" s="1"/>
  <c r="N340" i="568"/>
  <c r="P74" i="567"/>
  <c r="Q74" i="567" s="1"/>
  <c r="N73" i="568"/>
  <c r="O73" i="568" s="1"/>
  <c r="Q706" i="567"/>
  <c r="Q702" i="567" s="1"/>
  <c r="Q701" i="567" s="1"/>
  <c r="R689" i="568"/>
  <c r="O689" i="568"/>
  <c r="O688" i="568" s="1"/>
  <c r="O687" i="568" s="1"/>
  <c r="P625" i="567"/>
  <c r="Q625" i="567" s="1"/>
  <c r="Q623" i="567" s="1"/>
  <c r="N615" i="568"/>
  <c r="O615" i="568" s="1"/>
  <c r="O613" i="568" s="1"/>
  <c r="P75" i="567"/>
  <c r="Q75" i="567" s="1"/>
  <c r="N74" i="568"/>
  <c r="O74" i="568" s="1"/>
  <c r="R613" i="567"/>
  <c r="T613" i="567" s="1"/>
  <c r="V613" i="567" s="1"/>
  <c r="W613" i="567" s="1"/>
  <c r="P603" i="568"/>
  <c r="R603" i="568" s="1"/>
  <c r="P72" i="567"/>
  <c r="T72" i="567" s="1"/>
  <c r="U72" i="567" s="1"/>
  <c r="N71" i="568"/>
  <c r="P357" i="567"/>
  <c r="Q357" i="567" s="1"/>
  <c r="Q356" i="567" s="1"/>
  <c r="Q355" i="567" s="1"/>
  <c r="N348" i="568"/>
  <c r="O348" i="568" s="1"/>
  <c r="O347" i="568" s="1"/>
  <c r="O346" i="568" s="1"/>
  <c r="R626" i="567"/>
  <c r="T626" i="567" s="1"/>
  <c r="V626" i="567" s="1"/>
  <c r="W626" i="567" s="1"/>
  <c r="P616" i="568"/>
  <c r="R616" i="568" s="1"/>
  <c r="P634" i="567"/>
  <c r="Q634" i="567" s="1"/>
  <c r="N624" i="568"/>
  <c r="O624" i="568" s="1"/>
  <c r="P619" i="567"/>
  <c r="Q619" i="567" s="1"/>
  <c r="N609" i="568"/>
  <c r="O609" i="568" s="1"/>
  <c r="P635" i="567"/>
  <c r="Q635" i="567" s="1"/>
  <c r="N625" i="568"/>
  <c r="O625" i="568" s="1"/>
  <c r="P614" i="567"/>
  <c r="Q614" i="567" s="1"/>
  <c r="N604" i="568"/>
  <c r="O604" i="568" s="1"/>
  <c r="R526" i="567"/>
  <c r="T526" i="567" s="1"/>
  <c r="V526" i="567" s="1"/>
  <c r="W526" i="567" s="1"/>
  <c r="P516" i="568"/>
  <c r="R516" i="568" s="1"/>
  <c r="Q72" i="567"/>
  <c r="Q347" i="567"/>
  <c r="V706" i="567"/>
  <c r="W706" i="567" s="1"/>
  <c r="U706" i="567"/>
  <c r="P622" i="75"/>
  <c r="R24" i="532"/>
  <c r="N71" i="75"/>
  <c r="N348" i="75"/>
  <c r="R24" i="545"/>
  <c r="R27" i="510"/>
  <c r="P604" i="568" s="1"/>
  <c r="N339" i="75"/>
  <c r="R27" i="515"/>
  <c r="R22" i="506"/>
  <c r="R27" i="508"/>
  <c r="R27" i="511"/>
  <c r="N72" i="75"/>
  <c r="R27" i="514"/>
  <c r="R24" i="540"/>
  <c r="R19" i="527"/>
  <c r="R29" i="509"/>
  <c r="R27" i="512"/>
  <c r="N73" i="75"/>
  <c r="R19" i="526"/>
  <c r="N600" i="75"/>
  <c r="R22" i="550"/>
  <c r="R19" i="524"/>
  <c r="N604" i="75"/>
  <c r="R22" i="539"/>
  <c r="R22" i="531"/>
  <c r="R20" i="549"/>
  <c r="R29" i="528"/>
  <c r="R22" i="533"/>
  <c r="U71" i="75"/>
  <c r="N609" i="75"/>
  <c r="N680" i="75"/>
  <c r="R22" i="546"/>
  <c r="N624" i="75"/>
  <c r="R20" i="501"/>
  <c r="N175" i="75"/>
  <c r="P603" i="75"/>
  <c r="N623" i="75"/>
  <c r="N74" i="75"/>
  <c r="R27" i="513"/>
  <c r="P617" i="75"/>
  <c r="N615" i="75"/>
  <c r="N625" i="75"/>
  <c r="R692" i="75"/>
  <c r="N607" i="75"/>
  <c r="R22" i="534"/>
  <c r="N611" i="75"/>
  <c r="P641" i="75"/>
  <c r="N330" i="75"/>
  <c r="R29" i="521"/>
  <c r="R20" i="537"/>
  <c r="N640" i="75"/>
  <c r="N608" i="75"/>
  <c r="N602" i="75"/>
  <c r="N610" i="75"/>
  <c r="P616" i="75"/>
  <c r="N340" i="75"/>
  <c r="T76" i="75"/>
  <c r="U76" i="75" s="1"/>
  <c r="R24" i="538"/>
  <c r="P639" i="75"/>
  <c r="R24" i="543"/>
  <c r="R24" i="542"/>
  <c r="R20" i="535"/>
  <c r="R24" i="530"/>
  <c r="P614" i="75"/>
  <c r="R26" i="529"/>
  <c r="R29" i="507"/>
  <c r="P601" i="75"/>
  <c r="R19" i="525"/>
  <c r="P516" i="75"/>
  <c r="R32" i="519"/>
  <c r="R22" i="516"/>
  <c r="R21" i="505"/>
  <c r="R19" i="504"/>
  <c r="J18" i="504"/>
  <c r="J21" i="503"/>
  <c r="R22" i="503"/>
  <c r="U627" i="567" l="1"/>
  <c r="S627" i="567" s="1"/>
  <c r="V180" i="567"/>
  <c r="W180" i="567" s="1"/>
  <c r="W179" i="567" s="1"/>
  <c r="W178" i="567" s="1"/>
  <c r="S706" i="567"/>
  <c r="U626" i="567"/>
  <c r="S626" i="567" s="1"/>
  <c r="V650" i="567"/>
  <c r="W650" i="567" s="1"/>
  <c r="V652" i="567"/>
  <c r="W652" i="567" s="1"/>
  <c r="U624" i="567"/>
  <c r="S624" i="567" s="1"/>
  <c r="U611" i="567"/>
  <c r="S611" i="567" s="1"/>
  <c r="Q609" i="567"/>
  <c r="U613" i="567"/>
  <c r="S613" i="567" s="1"/>
  <c r="Q616" i="567"/>
  <c r="S72" i="567"/>
  <c r="O619" i="568"/>
  <c r="O606" i="568"/>
  <c r="O599" i="568"/>
  <c r="R348" i="567"/>
  <c r="S348" i="567" s="1"/>
  <c r="P340" i="568"/>
  <c r="Q340" i="568" s="1"/>
  <c r="R618" i="567"/>
  <c r="T618" i="567" s="1"/>
  <c r="V618" i="567" s="1"/>
  <c r="W618" i="567" s="1"/>
  <c r="P608" i="568"/>
  <c r="R608" i="568" s="1"/>
  <c r="R633" i="567"/>
  <c r="T633" i="567" s="1"/>
  <c r="U633" i="567" s="1"/>
  <c r="S633" i="567" s="1"/>
  <c r="P623" i="568"/>
  <c r="R623" i="568" s="1"/>
  <c r="R651" i="567"/>
  <c r="T651" i="567" s="1"/>
  <c r="U651" i="567" s="1"/>
  <c r="S651" i="567" s="1"/>
  <c r="P640" i="568"/>
  <c r="R640" i="568" s="1"/>
  <c r="R621" i="567"/>
  <c r="T621" i="567" s="1"/>
  <c r="U621" i="567" s="1"/>
  <c r="S621" i="567" s="1"/>
  <c r="P611" i="568"/>
  <c r="R611" i="568" s="1"/>
  <c r="T622" i="568"/>
  <c r="U622" i="568" s="1"/>
  <c r="S622" i="568"/>
  <c r="R604" i="568"/>
  <c r="S689" i="568"/>
  <c r="T689" i="568"/>
  <c r="U689" i="568" s="1"/>
  <c r="U688" i="568" s="1"/>
  <c r="U687" i="568" s="1"/>
  <c r="O339" i="568"/>
  <c r="R334" i="567"/>
  <c r="T334" i="567" s="1"/>
  <c r="U334" i="567" s="1"/>
  <c r="S334" i="567" s="1"/>
  <c r="P326" i="568"/>
  <c r="R326" i="568" s="1"/>
  <c r="S326" i="568" s="1"/>
  <c r="R635" i="567"/>
  <c r="T635" i="567" s="1"/>
  <c r="V635" i="567" s="1"/>
  <c r="W635" i="567" s="1"/>
  <c r="P625" i="568"/>
  <c r="R625" i="568" s="1"/>
  <c r="R620" i="567"/>
  <c r="T620" i="567" s="1"/>
  <c r="V620" i="567" s="1"/>
  <c r="W620" i="567" s="1"/>
  <c r="P610" i="568"/>
  <c r="R610" i="568" s="1"/>
  <c r="U632" i="567"/>
  <c r="S632" i="567" s="1"/>
  <c r="T603" i="568"/>
  <c r="U603" i="568" s="1"/>
  <c r="S603" i="568"/>
  <c r="Q603" i="568" s="1"/>
  <c r="S617" i="568"/>
  <c r="Q617" i="568" s="1"/>
  <c r="T617" i="568"/>
  <c r="U617" i="568" s="1"/>
  <c r="Q629" i="567"/>
  <c r="R71" i="568"/>
  <c r="S71" i="568" s="1"/>
  <c r="O71" i="568"/>
  <c r="R73" i="567"/>
  <c r="T73" i="567" s="1"/>
  <c r="V73" i="567" s="1"/>
  <c r="W73" i="567" s="1"/>
  <c r="P72" i="568"/>
  <c r="R72" i="568" s="1"/>
  <c r="R75" i="567"/>
  <c r="T75" i="567" s="1"/>
  <c r="V75" i="567" s="1"/>
  <c r="W75" i="567" s="1"/>
  <c r="P74" i="568"/>
  <c r="R74" i="568" s="1"/>
  <c r="R634" i="567"/>
  <c r="T634" i="567" s="1"/>
  <c r="V634" i="567" s="1"/>
  <c r="W634" i="567" s="1"/>
  <c r="P624" i="568"/>
  <c r="R624" i="568" s="1"/>
  <c r="T616" i="568"/>
  <c r="U616" i="568" s="1"/>
  <c r="S616" i="568"/>
  <c r="Q616" i="568" s="1"/>
  <c r="T601" i="568"/>
  <c r="U601" i="568" s="1"/>
  <c r="S601" i="568"/>
  <c r="Q601" i="568" s="1"/>
  <c r="R347" i="567"/>
  <c r="S347" i="567" s="1"/>
  <c r="P339" i="568"/>
  <c r="Q339" i="568" s="1"/>
  <c r="R74" i="567"/>
  <c r="T74" i="567" s="1"/>
  <c r="U74" i="567" s="1"/>
  <c r="S74" i="567" s="1"/>
  <c r="P73" i="568"/>
  <c r="R73" i="568" s="1"/>
  <c r="R617" i="567"/>
  <c r="T617" i="567" s="1"/>
  <c r="U617" i="567" s="1"/>
  <c r="P607" i="568"/>
  <c r="R607" i="568" s="1"/>
  <c r="T639" i="568"/>
  <c r="U639" i="568" s="1"/>
  <c r="S639" i="568"/>
  <c r="R619" i="567"/>
  <c r="T619" i="567" s="1"/>
  <c r="U619" i="567" s="1"/>
  <c r="S619" i="567" s="1"/>
  <c r="P609" i="568"/>
  <c r="R609" i="568" s="1"/>
  <c r="R338" i="567"/>
  <c r="T338" i="567" s="1"/>
  <c r="U338" i="567" s="1"/>
  <c r="S338" i="567" s="1"/>
  <c r="P330" i="568"/>
  <c r="R330" i="568" s="1"/>
  <c r="S330" i="568" s="1"/>
  <c r="Q330" i="568" s="1"/>
  <c r="R360" i="567"/>
  <c r="T360" i="567" s="1"/>
  <c r="V360" i="567" s="1"/>
  <c r="W360" i="567" s="1"/>
  <c r="P351" i="568"/>
  <c r="R351" i="568" s="1"/>
  <c r="R612" i="567"/>
  <c r="T612" i="567" s="1"/>
  <c r="V612" i="567" s="1"/>
  <c r="W612" i="567" s="1"/>
  <c r="P602" i="568"/>
  <c r="R602" i="568" s="1"/>
  <c r="O340" i="568"/>
  <c r="R340" i="568"/>
  <c r="T641" i="568"/>
  <c r="U641" i="568" s="1"/>
  <c r="S641" i="568"/>
  <c r="Q641" i="568" s="1"/>
  <c r="S614" i="568"/>
  <c r="T614" i="568"/>
  <c r="U614" i="568" s="1"/>
  <c r="R692" i="567"/>
  <c r="S692" i="567" s="1"/>
  <c r="P680" i="568"/>
  <c r="R495" i="567"/>
  <c r="T495" i="567" s="1"/>
  <c r="P485" i="568"/>
  <c r="R485" i="568" s="1"/>
  <c r="R625" i="567"/>
  <c r="T625" i="567" s="1"/>
  <c r="V625" i="567" s="1"/>
  <c r="W625" i="567" s="1"/>
  <c r="W623" i="567" s="1"/>
  <c r="P615" i="568"/>
  <c r="R615" i="568" s="1"/>
  <c r="R610" i="567"/>
  <c r="T610" i="567" s="1"/>
  <c r="V610" i="567" s="1"/>
  <c r="W610" i="567" s="1"/>
  <c r="P600" i="568"/>
  <c r="R600" i="568" s="1"/>
  <c r="U526" i="567"/>
  <c r="S526" i="567" s="1"/>
  <c r="T516" i="568"/>
  <c r="U516" i="568" s="1"/>
  <c r="U515" i="568" s="1"/>
  <c r="U514" i="568" s="1"/>
  <c r="S516" i="568"/>
  <c r="S650" i="567"/>
  <c r="W525" i="567"/>
  <c r="W524" i="567" s="1"/>
  <c r="P604" i="75"/>
  <c r="R614" i="567"/>
  <c r="T614" i="567" s="1"/>
  <c r="S180" i="567"/>
  <c r="S179" i="567" s="1"/>
  <c r="S178" i="567" s="1"/>
  <c r="U179" i="567"/>
  <c r="U178" i="567" s="1"/>
  <c r="R71" i="75"/>
  <c r="S71" i="75" s="1"/>
  <c r="P600" i="75"/>
  <c r="R21" i="527"/>
  <c r="R29" i="514"/>
  <c r="P611" i="75"/>
  <c r="R29" i="511"/>
  <c r="P602" i="75"/>
  <c r="P74" i="75"/>
  <c r="P607" i="75"/>
  <c r="P608" i="75"/>
  <c r="R29" i="508"/>
  <c r="P610" i="75"/>
  <c r="R24" i="506"/>
  <c r="R29" i="515"/>
  <c r="R24" i="533"/>
  <c r="R21" i="526"/>
  <c r="P351" i="75"/>
  <c r="R24" i="531"/>
  <c r="R24" i="539"/>
  <c r="R22" i="537"/>
  <c r="R29" i="510"/>
  <c r="P680" i="75"/>
  <c r="R680" i="75" s="1"/>
  <c r="S680" i="75" s="1"/>
  <c r="R29" i="512"/>
  <c r="P73" i="75"/>
  <c r="R175" i="75"/>
  <c r="R21" i="524"/>
  <c r="P615" i="75"/>
  <c r="R22" i="549"/>
  <c r="P640" i="75"/>
  <c r="P624" i="75"/>
  <c r="R21" i="517"/>
  <c r="P609" i="75"/>
  <c r="R29" i="513"/>
  <c r="P623" i="75"/>
  <c r="R24" i="546"/>
  <c r="P625" i="75"/>
  <c r="R24" i="534"/>
  <c r="P72" i="75"/>
  <c r="T692" i="75"/>
  <c r="U692" i="75" s="1"/>
  <c r="S692" i="75"/>
  <c r="Q692" i="75" s="1"/>
  <c r="P330" i="75"/>
  <c r="R22" i="535"/>
  <c r="P326" i="75"/>
  <c r="P340" i="75"/>
  <c r="P339" i="75"/>
  <c r="R21" i="525"/>
  <c r="R21" i="504"/>
  <c r="P485" i="75"/>
  <c r="R24" i="503"/>
  <c r="R17" i="360"/>
  <c r="R24" i="401"/>
  <c r="R28" i="401"/>
  <c r="R26" i="400"/>
  <c r="R18" i="400"/>
  <c r="R24" i="400"/>
  <c r="R18" i="399"/>
  <c r="R24" i="399"/>
  <c r="R17" i="398"/>
  <c r="R23" i="398"/>
  <c r="R21" i="356"/>
  <c r="R21" i="355"/>
  <c r="R20" i="354"/>
  <c r="K14" i="444"/>
  <c r="R14" i="444" s="1"/>
  <c r="V495" i="567" l="1"/>
  <c r="W495" i="567" s="1"/>
  <c r="U73" i="567"/>
  <c r="S73" i="567" s="1"/>
  <c r="U618" i="567"/>
  <c r="S618" i="567" s="1"/>
  <c r="U612" i="567"/>
  <c r="S612" i="567" s="1"/>
  <c r="T692" i="567"/>
  <c r="U692" i="567" s="1"/>
  <c r="U495" i="567"/>
  <c r="S495" i="567" s="1"/>
  <c r="U75" i="567"/>
  <c r="S75" i="567" s="1"/>
  <c r="U360" i="567"/>
  <c r="S360" i="567" s="1"/>
  <c r="V619" i="567"/>
  <c r="W619" i="567" s="1"/>
  <c r="V621" i="567"/>
  <c r="W621" i="567" s="1"/>
  <c r="T347" i="567"/>
  <c r="U347" i="567" s="1"/>
  <c r="U620" i="567"/>
  <c r="S620" i="567" s="1"/>
  <c r="U610" i="567"/>
  <c r="S610" i="567" s="1"/>
  <c r="V617" i="567"/>
  <c r="W617" i="567" s="1"/>
  <c r="V633" i="567"/>
  <c r="W633" i="567" s="1"/>
  <c r="W629" i="567" s="1"/>
  <c r="V74" i="567"/>
  <c r="W74" i="567" s="1"/>
  <c r="U331" i="567"/>
  <c r="U625" i="567"/>
  <c r="S644" i="567"/>
  <c r="U634" i="567"/>
  <c r="S634" i="567" s="1"/>
  <c r="U635" i="567"/>
  <c r="S635" i="567" s="1"/>
  <c r="U525" i="567"/>
  <c r="U524" i="567" s="1"/>
  <c r="S602" i="568"/>
  <c r="Q602" i="568" s="1"/>
  <c r="T602" i="568"/>
  <c r="U602" i="568" s="1"/>
  <c r="Q639" i="568"/>
  <c r="T72" i="568"/>
  <c r="U72" i="568" s="1"/>
  <c r="S72" i="568"/>
  <c r="Q72" i="568" s="1"/>
  <c r="R339" i="568"/>
  <c r="S339" i="568" s="1"/>
  <c r="T640" i="568"/>
  <c r="U640" i="568" s="1"/>
  <c r="S640" i="568"/>
  <c r="Q640" i="568" s="1"/>
  <c r="V651" i="567"/>
  <c r="W651" i="567" s="1"/>
  <c r="Q614" i="568"/>
  <c r="Q71" i="568"/>
  <c r="Q689" i="568"/>
  <c r="Q688" i="568" s="1"/>
  <c r="Q687" i="568" s="1"/>
  <c r="S688" i="568"/>
  <c r="S687" i="568" s="1"/>
  <c r="S623" i="568"/>
  <c r="Q623" i="568" s="1"/>
  <c r="T623" i="568"/>
  <c r="U623" i="568" s="1"/>
  <c r="T607" i="568"/>
  <c r="U607" i="568" s="1"/>
  <c r="S607" i="568"/>
  <c r="T615" i="568"/>
  <c r="U615" i="568" s="1"/>
  <c r="U613" i="568" s="1"/>
  <c r="S615" i="568"/>
  <c r="Q615" i="568" s="1"/>
  <c r="S73" i="568"/>
  <c r="Q73" i="568" s="1"/>
  <c r="T73" i="568"/>
  <c r="U73" i="568" s="1"/>
  <c r="S624" i="568"/>
  <c r="Q624" i="568" s="1"/>
  <c r="T624" i="568"/>
  <c r="U624" i="568" s="1"/>
  <c r="T625" i="568"/>
  <c r="U625" i="568" s="1"/>
  <c r="S625" i="568"/>
  <c r="Q625" i="568" s="1"/>
  <c r="S604" i="568"/>
  <c r="Q604" i="568" s="1"/>
  <c r="T604" i="568"/>
  <c r="U604" i="568" s="1"/>
  <c r="T348" i="567"/>
  <c r="U348" i="567" s="1"/>
  <c r="Q622" i="568"/>
  <c r="S608" i="568"/>
  <c r="Q608" i="568" s="1"/>
  <c r="T608" i="568"/>
  <c r="U608" i="568" s="1"/>
  <c r="T485" i="568"/>
  <c r="U485" i="568" s="1"/>
  <c r="S485" i="568"/>
  <c r="Q485" i="568" s="1"/>
  <c r="S340" i="568"/>
  <c r="T340" i="568"/>
  <c r="U340" i="568" s="1"/>
  <c r="T609" i="568"/>
  <c r="U609" i="568" s="1"/>
  <c r="S609" i="568"/>
  <c r="Q609" i="568" s="1"/>
  <c r="S74" i="568"/>
  <c r="Q74" i="568" s="1"/>
  <c r="T74" i="568"/>
  <c r="U74" i="568" s="1"/>
  <c r="Q326" i="568"/>
  <c r="S323" i="568"/>
  <c r="R680" i="568"/>
  <c r="Q680" i="568"/>
  <c r="Q665" i="568" s="1"/>
  <c r="S600" i="568"/>
  <c r="T600" i="568"/>
  <c r="U600" i="568" s="1"/>
  <c r="T351" i="568"/>
  <c r="U351" i="568" s="1"/>
  <c r="S351" i="568"/>
  <c r="Q351" i="568" s="1"/>
  <c r="S610" i="568"/>
  <c r="Q610" i="568" s="1"/>
  <c r="T610" i="568"/>
  <c r="U610" i="568" s="1"/>
  <c r="S611" i="568"/>
  <c r="Q611" i="568" s="1"/>
  <c r="T611" i="568"/>
  <c r="U611" i="568" s="1"/>
  <c r="Q516" i="568"/>
  <c r="Q515" i="568" s="1"/>
  <c r="Q514" i="568" s="1"/>
  <c r="S515" i="568"/>
  <c r="S514" i="568" s="1"/>
  <c r="S617" i="567"/>
  <c r="U614" i="567"/>
  <c r="S614" i="567" s="1"/>
  <c r="V614" i="567"/>
  <c r="W614" i="567" s="1"/>
  <c r="W609" i="567" s="1"/>
  <c r="U644" i="567"/>
  <c r="W644" i="567" s="1"/>
  <c r="S525" i="567"/>
  <c r="S524" i="567" s="1"/>
  <c r="R12" i="502"/>
  <c r="R20" i="502"/>
  <c r="C10" i="502"/>
  <c r="B10" i="502"/>
  <c r="L17" i="502"/>
  <c r="S18" i="502" s="1"/>
  <c r="K12" i="502"/>
  <c r="L9" i="502"/>
  <c r="J9" i="502"/>
  <c r="C9" i="502"/>
  <c r="L8" i="502"/>
  <c r="J8" i="502"/>
  <c r="C8" i="502"/>
  <c r="L7" i="502"/>
  <c r="J7" i="502"/>
  <c r="L6" i="502"/>
  <c r="J6" i="502"/>
  <c r="C6" i="502"/>
  <c r="I314" i="75"/>
  <c r="M30" i="464"/>
  <c r="R30" i="464" s="1"/>
  <c r="R15" i="415"/>
  <c r="V692" i="567" l="1"/>
  <c r="W692" i="567" s="1"/>
  <c r="W616" i="567"/>
  <c r="S629" i="567"/>
  <c r="U616" i="567"/>
  <c r="S616" i="567"/>
  <c r="Q619" i="568"/>
  <c r="S613" i="568"/>
  <c r="S625" i="567"/>
  <c r="S623" i="567" s="1"/>
  <c r="U623" i="567"/>
  <c r="U629" i="567"/>
  <c r="U619" i="568"/>
  <c r="U609" i="567"/>
  <c r="U606" i="568"/>
  <c r="Q607" i="568"/>
  <c r="Q606" i="568" s="1"/>
  <c r="S606" i="568"/>
  <c r="V348" i="567"/>
  <c r="W348" i="567" s="1"/>
  <c r="U599" i="568"/>
  <c r="Q613" i="568"/>
  <c r="S633" i="568"/>
  <c r="U633" i="568" s="1"/>
  <c r="Q600" i="568"/>
  <c r="Q599" i="568" s="1"/>
  <c r="S599" i="568"/>
  <c r="S619" i="568"/>
  <c r="Q633" i="568"/>
  <c r="S680" i="568"/>
  <c r="T680" i="568"/>
  <c r="U680" i="568" s="1"/>
  <c r="S609" i="567"/>
  <c r="R17" i="502"/>
  <c r="R18" i="502"/>
  <c r="S19" i="502"/>
  <c r="S17" i="502"/>
  <c r="B10" i="501"/>
  <c r="Q680" i="75"/>
  <c r="R19" i="502" l="1"/>
  <c r="R21" i="502" s="1"/>
  <c r="R21" i="501"/>
  <c r="L18" i="501"/>
  <c r="S20" i="501" s="1"/>
  <c r="C10" i="501"/>
  <c r="K12" i="501"/>
  <c r="L9" i="501"/>
  <c r="J9" i="501"/>
  <c r="C9" i="501"/>
  <c r="L8" i="501"/>
  <c r="J8" i="501"/>
  <c r="C8" i="501"/>
  <c r="L7" i="501"/>
  <c r="J7" i="501"/>
  <c r="L6" i="501"/>
  <c r="J6" i="501"/>
  <c r="C6" i="501"/>
  <c r="R339" i="75"/>
  <c r="R340" i="75"/>
  <c r="R341" i="75"/>
  <c r="S19" i="501" l="1"/>
  <c r="S18" i="501"/>
  <c r="R22" i="501" l="1"/>
  <c r="R13" i="500"/>
  <c r="R12" i="500"/>
  <c r="B10" i="500"/>
  <c r="S20" i="500"/>
  <c r="S19" i="500"/>
  <c r="L9" i="500"/>
  <c r="J9" i="500"/>
  <c r="C9" i="500"/>
  <c r="L8" i="500"/>
  <c r="J8" i="500"/>
  <c r="C8" i="500"/>
  <c r="L7" i="500"/>
  <c r="J7" i="500"/>
  <c r="L6" i="500"/>
  <c r="J6" i="500"/>
  <c r="C6" i="500"/>
  <c r="R17" i="416"/>
  <c r="D25" i="464"/>
  <c r="G25" i="464"/>
  <c r="J25" i="464"/>
  <c r="K25" i="464"/>
  <c r="L25" i="464"/>
  <c r="D26" i="464"/>
  <c r="G26" i="464"/>
  <c r="J26" i="464"/>
  <c r="K26" i="464"/>
  <c r="L26" i="464"/>
  <c r="G27" i="464"/>
  <c r="J27" i="464"/>
  <c r="K27" i="464"/>
  <c r="L27" i="464"/>
  <c r="D28" i="464"/>
  <c r="G28" i="464"/>
  <c r="J28" i="464"/>
  <c r="K28" i="464"/>
  <c r="L28" i="464"/>
  <c r="D29" i="464"/>
  <c r="G29" i="464"/>
  <c r="J29" i="464"/>
  <c r="K29" i="464"/>
  <c r="L29" i="464"/>
  <c r="L24" i="464"/>
  <c r="K24" i="464"/>
  <c r="J24" i="464"/>
  <c r="G24" i="464"/>
  <c r="D24" i="464"/>
  <c r="C29" i="464"/>
  <c r="C25" i="464"/>
  <c r="C26" i="464"/>
  <c r="C27" i="464"/>
  <c r="C28" i="464"/>
  <c r="C24" i="464"/>
  <c r="C16" i="464"/>
  <c r="C17" i="464"/>
  <c r="C18" i="464"/>
  <c r="C19" i="464"/>
  <c r="C20" i="464"/>
  <c r="C21" i="464"/>
  <c r="C22" i="464"/>
  <c r="C23" i="464"/>
  <c r="C15" i="464"/>
  <c r="D19" i="464"/>
  <c r="G19" i="464"/>
  <c r="J19" i="464"/>
  <c r="K19" i="464"/>
  <c r="L19" i="464"/>
  <c r="D20" i="464"/>
  <c r="G20" i="464"/>
  <c r="J20" i="464"/>
  <c r="K20" i="464"/>
  <c r="L20" i="464"/>
  <c r="D21" i="464"/>
  <c r="G21" i="464"/>
  <c r="J21" i="464"/>
  <c r="K21" i="464"/>
  <c r="L21" i="464"/>
  <c r="G22" i="464"/>
  <c r="J22" i="464"/>
  <c r="K22" i="464"/>
  <c r="L22" i="464"/>
  <c r="D23" i="464"/>
  <c r="G23" i="464"/>
  <c r="J23" i="464"/>
  <c r="K23" i="464"/>
  <c r="L23" i="464"/>
  <c r="D16" i="464"/>
  <c r="G16" i="464"/>
  <c r="J16" i="464"/>
  <c r="K16" i="464"/>
  <c r="L16" i="464"/>
  <c r="D17" i="464"/>
  <c r="G17" i="464"/>
  <c r="J17" i="464"/>
  <c r="K17" i="464"/>
  <c r="L17" i="464"/>
  <c r="D18" i="464"/>
  <c r="G18" i="464"/>
  <c r="J18" i="464"/>
  <c r="K18" i="464"/>
  <c r="L18" i="464"/>
  <c r="J15" i="464"/>
  <c r="D15" i="464"/>
  <c r="M14" i="464"/>
  <c r="I15" i="499"/>
  <c r="L15" i="464"/>
  <c r="K15" i="464"/>
  <c r="G15" i="464"/>
  <c r="I34" i="499"/>
  <c r="D34" i="499"/>
  <c r="I33" i="499"/>
  <c r="D33" i="499"/>
  <c r="I30" i="499"/>
  <c r="I29" i="499"/>
  <c r="D28" i="499"/>
  <c r="I28" i="499" s="1"/>
  <c r="I27" i="499"/>
  <c r="I26" i="499"/>
  <c r="I25" i="499"/>
  <c r="I23" i="499"/>
  <c r="D22" i="499"/>
  <c r="I22" i="499" s="1"/>
  <c r="I21" i="499"/>
  <c r="I20" i="499"/>
  <c r="I19" i="499"/>
  <c r="I18" i="499"/>
  <c r="I17" i="499"/>
  <c r="I16" i="499"/>
  <c r="I13" i="499"/>
  <c r="I12" i="499"/>
  <c r="I11" i="499"/>
  <c r="I10" i="499"/>
  <c r="I9" i="499"/>
  <c r="D8" i="499"/>
  <c r="I8" i="499" s="1"/>
  <c r="I7" i="499"/>
  <c r="I6" i="499"/>
  <c r="R19" i="500" l="1"/>
  <c r="R18" i="500"/>
  <c r="D22" i="464"/>
  <c r="M22" i="464" s="1"/>
  <c r="R22" i="464" s="1"/>
  <c r="D27" i="464"/>
  <c r="M27" i="464" s="1"/>
  <c r="R27" i="464" s="1"/>
  <c r="I24" i="499"/>
  <c r="I14" i="499"/>
  <c r="I35" i="499"/>
  <c r="I31" i="499"/>
  <c r="M26" i="464"/>
  <c r="R26" i="464" s="1"/>
  <c r="M24" i="464"/>
  <c r="R24" i="464" s="1"/>
  <c r="R29" i="464"/>
  <c r="M28" i="464"/>
  <c r="R28" i="464" s="1"/>
  <c r="M25" i="464"/>
  <c r="R25" i="464" s="1"/>
  <c r="S18" i="500"/>
  <c r="M23" i="464"/>
  <c r="R23" i="464" s="1"/>
  <c r="M20" i="464"/>
  <c r="R20" i="464" s="1"/>
  <c r="M19" i="464"/>
  <c r="R19" i="464" s="1"/>
  <c r="M21" i="464"/>
  <c r="R21" i="464" s="1"/>
  <c r="M15" i="464"/>
  <c r="M16" i="464"/>
  <c r="R16" i="464" s="1"/>
  <c r="M17" i="464"/>
  <c r="R17" i="464" s="1"/>
  <c r="M18" i="464"/>
  <c r="R18" i="464" s="1"/>
  <c r="P346" i="567" l="1"/>
  <c r="N338" i="568"/>
  <c r="I36" i="499"/>
  <c r="N338" i="75"/>
  <c r="R20" i="500"/>
  <c r="B10" i="497"/>
  <c r="C10" i="497"/>
  <c r="R19" i="497"/>
  <c r="S18" i="497"/>
  <c r="S17" i="497"/>
  <c r="S16" i="497"/>
  <c r="R12" i="497"/>
  <c r="L9" i="497"/>
  <c r="J9" i="497"/>
  <c r="C9" i="497"/>
  <c r="L8" i="497"/>
  <c r="J8" i="497"/>
  <c r="C8" i="497"/>
  <c r="L7" i="497"/>
  <c r="J7" i="497"/>
  <c r="L6" i="497"/>
  <c r="J6" i="497"/>
  <c r="C6" i="497"/>
  <c r="B10" i="496"/>
  <c r="C10" i="496"/>
  <c r="R19" i="496"/>
  <c r="S18" i="496"/>
  <c r="S17" i="496"/>
  <c r="S16" i="496"/>
  <c r="R12" i="496"/>
  <c r="L9" i="496"/>
  <c r="J9" i="496"/>
  <c r="C9" i="496"/>
  <c r="L8" i="496"/>
  <c r="J8" i="496"/>
  <c r="C8" i="496"/>
  <c r="L7" i="496"/>
  <c r="J7" i="496"/>
  <c r="L6" i="496"/>
  <c r="J6" i="496"/>
  <c r="C6" i="496"/>
  <c r="R19" i="495"/>
  <c r="C10" i="495"/>
  <c r="B10" i="495"/>
  <c r="L16" i="495"/>
  <c r="S18" i="495" s="1"/>
  <c r="R12" i="495"/>
  <c r="L9" i="495"/>
  <c r="J9" i="495"/>
  <c r="C9" i="495"/>
  <c r="L8" i="495"/>
  <c r="J8" i="495"/>
  <c r="C8" i="495"/>
  <c r="L7" i="495"/>
  <c r="J7" i="495"/>
  <c r="L6" i="495"/>
  <c r="J6" i="495"/>
  <c r="C6" i="495"/>
  <c r="L16" i="494"/>
  <c r="S18" i="494" s="1"/>
  <c r="R19" i="494"/>
  <c r="C10" i="494"/>
  <c r="B10" i="494"/>
  <c r="R12" i="494"/>
  <c r="L9" i="494"/>
  <c r="J9" i="494"/>
  <c r="C9" i="494"/>
  <c r="L8" i="494"/>
  <c r="J8" i="494"/>
  <c r="C8" i="494"/>
  <c r="L7" i="494"/>
  <c r="J7" i="494"/>
  <c r="L6" i="494"/>
  <c r="J6" i="494"/>
  <c r="C6" i="494"/>
  <c r="R346" i="567" l="1"/>
  <c r="T346" i="567" s="1"/>
  <c r="P338" i="568"/>
  <c r="R338" i="568" s="1"/>
  <c r="T338" i="568" s="1"/>
  <c r="P338" i="75"/>
  <c r="R338" i="75" s="1"/>
  <c r="R16" i="497"/>
  <c r="R17" i="497"/>
  <c r="R16" i="494"/>
  <c r="R17" i="494"/>
  <c r="R16" i="495"/>
  <c r="R17" i="495"/>
  <c r="R16" i="496"/>
  <c r="R17" i="496"/>
  <c r="S17" i="495"/>
  <c r="S16" i="495"/>
  <c r="S16" i="494"/>
  <c r="S17" i="494"/>
  <c r="R12" i="493"/>
  <c r="R18" i="493" s="1"/>
  <c r="R20" i="493"/>
  <c r="C10" i="493"/>
  <c r="B10" i="493"/>
  <c r="S19" i="493"/>
  <c r="L9" i="493"/>
  <c r="J9" i="493"/>
  <c r="C9" i="493"/>
  <c r="L8" i="493"/>
  <c r="J8" i="493"/>
  <c r="C8" i="493"/>
  <c r="L7" i="493"/>
  <c r="J7" i="493"/>
  <c r="L6" i="493"/>
  <c r="J6" i="493"/>
  <c r="C6" i="493"/>
  <c r="R13" i="377"/>
  <c r="K14" i="377"/>
  <c r="R14" i="377" s="1"/>
  <c r="R660" i="75"/>
  <c r="S660" i="75" s="1"/>
  <c r="O660" i="75"/>
  <c r="R15" i="464"/>
  <c r="R490" i="75"/>
  <c r="L13" i="471"/>
  <c r="R13" i="471" s="1"/>
  <c r="R14" i="455"/>
  <c r="O318" i="75"/>
  <c r="Q318" i="75"/>
  <c r="R25" i="492"/>
  <c r="C10" i="492"/>
  <c r="B10" i="492"/>
  <c r="C29" i="492"/>
  <c r="C30" i="492" s="1"/>
  <c r="S24" i="492"/>
  <c r="S23" i="492"/>
  <c r="S22" i="492"/>
  <c r="R12" i="492"/>
  <c r="R22" i="492" s="1"/>
  <c r="L12" i="492"/>
  <c r="L9" i="492"/>
  <c r="J9" i="492"/>
  <c r="C9" i="492"/>
  <c r="L8" i="492"/>
  <c r="J8" i="492"/>
  <c r="C8" i="492"/>
  <c r="L7" i="492"/>
  <c r="J7" i="492"/>
  <c r="L6" i="492"/>
  <c r="J6" i="492"/>
  <c r="C6" i="492"/>
  <c r="R25" i="491"/>
  <c r="C10" i="491"/>
  <c r="B10" i="491"/>
  <c r="C29" i="491"/>
  <c r="C30" i="491" s="1"/>
  <c r="S24" i="491"/>
  <c r="S23" i="491"/>
  <c r="S22" i="491"/>
  <c r="R12" i="491"/>
  <c r="R22" i="491" s="1"/>
  <c r="L12" i="491"/>
  <c r="L9" i="491"/>
  <c r="J9" i="491"/>
  <c r="C9" i="491"/>
  <c r="L8" i="491"/>
  <c r="J8" i="491"/>
  <c r="C8" i="491"/>
  <c r="L7" i="491"/>
  <c r="J7" i="491"/>
  <c r="L6" i="491"/>
  <c r="J6" i="491"/>
  <c r="C6" i="491"/>
  <c r="R12" i="490"/>
  <c r="R23" i="490" s="1"/>
  <c r="R25" i="490"/>
  <c r="C10" i="490"/>
  <c r="B10" i="490"/>
  <c r="C29" i="490"/>
  <c r="C30" i="490" s="1"/>
  <c r="S24" i="490"/>
  <c r="S23" i="490"/>
  <c r="S22" i="490"/>
  <c r="L12" i="490"/>
  <c r="L9" i="490"/>
  <c r="J9" i="490"/>
  <c r="C9" i="490"/>
  <c r="L8" i="490"/>
  <c r="J8" i="490"/>
  <c r="C8" i="490"/>
  <c r="L7" i="490"/>
  <c r="J7" i="490"/>
  <c r="L6" i="490"/>
  <c r="J6" i="490"/>
  <c r="C6" i="490"/>
  <c r="M12" i="489"/>
  <c r="R12" i="489" s="1"/>
  <c r="R25" i="489"/>
  <c r="C10" i="489"/>
  <c r="B10" i="489"/>
  <c r="C29" i="489"/>
  <c r="C30" i="489" s="1"/>
  <c r="S24" i="489"/>
  <c r="S23" i="489"/>
  <c r="S22" i="489"/>
  <c r="L12" i="489"/>
  <c r="L9" i="489"/>
  <c r="J9" i="489"/>
  <c r="C9" i="489"/>
  <c r="L8" i="489"/>
  <c r="J8" i="489"/>
  <c r="C8" i="489"/>
  <c r="L7" i="489"/>
  <c r="J7" i="489"/>
  <c r="L6" i="489"/>
  <c r="J6" i="489"/>
  <c r="C6" i="489"/>
  <c r="R22" i="487"/>
  <c r="K12" i="487"/>
  <c r="R12" i="487" s="1"/>
  <c r="R20" i="487" s="1"/>
  <c r="B10" i="487"/>
  <c r="S21" i="487"/>
  <c r="L9" i="487"/>
  <c r="J9" i="487"/>
  <c r="C9" i="487"/>
  <c r="L8" i="487"/>
  <c r="J8" i="487"/>
  <c r="C8" i="487"/>
  <c r="L7" i="487"/>
  <c r="J7" i="487"/>
  <c r="L6" i="487"/>
  <c r="J6" i="487"/>
  <c r="C6" i="487"/>
  <c r="R12" i="486"/>
  <c r="R24" i="486" s="1"/>
  <c r="B10" i="486"/>
  <c r="C30" i="486"/>
  <c r="C31" i="486" s="1"/>
  <c r="S25" i="486"/>
  <c r="S24" i="486"/>
  <c r="S23" i="486"/>
  <c r="L9" i="486"/>
  <c r="J9" i="486"/>
  <c r="C9" i="486"/>
  <c r="L8" i="486"/>
  <c r="J8" i="486"/>
  <c r="C8" i="486"/>
  <c r="L7" i="486"/>
  <c r="J7" i="486"/>
  <c r="L6" i="486"/>
  <c r="J6" i="486"/>
  <c r="C6" i="486"/>
  <c r="P300" i="567" l="1"/>
  <c r="Q300" i="567" s="1"/>
  <c r="N293" i="568"/>
  <c r="O293" i="568" s="1"/>
  <c r="P303" i="567"/>
  <c r="Q303" i="567" s="1"/>
  <c r="N296" i="568"/>
  <c r="P238" i="567"/>
  <c r="N232" i="568"/>
  <c r="P302" i="567"/>
  <c r="Q302" i="567" s="1"/>
  <c r="N295" i="568"/>
  <c r="O295" i="568" s="1"/>
  <c r="P294" i="567"/>
  <c r="Q294" i="567" s="1"/>
  <c r="N287" i="568"/>
  <c r="O287" i="568" s="1"/>
  <c r="P301" i="567"/>
  <c r="Q301" i="567" s="1"/>
  <c r="N294" i="568"/>
  <c r="P67" i="567"/>
  <c r="Q67" i="567" s="1"/>
  <c r="Q66" i="567" s="1"/>
  <c r="N66" i="568"/>
  <c r="O66" i="568" s="1"/>
  <c r="O65" i="568" s="1"/>
  <c r="V346" i="567"/>
  <c r="R22" i="490"/>
  <c r="R24" i="490" s="1"/>
  <c r="R18" i="494"/>
  <c r="R23" i="491"/>
  <c r="R18" i="497"/>
  <c r="R23" i="492"/>
  <c r="N295" i="75"/>
  <c r="N232" i="75"/>
  <c r="R18" i="496"/>
  <c r="N294" i="75"/>
  <c r="N293" i="75"/>
  <c r="N66" i="75"/>
  <c r="N296" i="75"/>
  <c r="N287" i="75"/>
  <c r="R22" i="489"/>
  <c r="R23" i="489"/>
  <c r="R18" i="495"/>
  <c r="R17" i="493"/>
  <c r="R19" i="493" s="1"/>
  <c r="S17" i="493"/>
  <c r="S18" i="493"/>
  <c r="Q660" i="75"/>
  <c r="T660" i="75"/>
  <c r="U660" i="75" s="1"/>
  <c r="R19" i="487"/>
  <c r="S20" i="487"/>
  <c r="S19" i="487"/>
  <c r="R23" i="486"/>
  <c r="R67" i="567" l="1"/>
  <c r="T67" i="567" s="1"/>
  <c r="V67" i="567" s="1"/>
  <c r="W67" i="567" s="1"/>
  <c r="W66" i="567" s="1"/>
  <c r="P66" i="568"/>
  <c r="R66" i="568" s="1"/>
  <c r="R294" i="567"/>
  <c r="T294" i="567" s="1"/>
  <c r="V294" i="567" s="1"/>
  <c r="W294" i="567" s="1"/>
  <c r="P287" i="568"/>
  <c r="R287" i="568" s="1"/>
  <c r="R300" i="567"/>
  <c r="T300" i="567" s="1"/>
  <c r="V300" i="567" s="1"/>
  <c r="W300" i="567" s="1"/>
  <c r="P293" i="568"/>
  <c r="R293" i="568" s="1"/>
  <c r="R301" i="567"/>
  <c r="T301" i="567" s="1"/>
  <c r="U301" i="567" s="1"/>
  <c r="S301" i="567" s="1"/>
  <c r="P294" i="568"/>
  <c r="R294" i="568" s="1"/>
  <c r="P296" i="567"/>
  <c r="Q296" i="567" s="1"/>
  <c r="N289" i="568"/>
  <c r="O289" i="568" s="1"/>
  <c r="O294" i="568"/>
  <c r="O296" i="568"/>
  <c r="P293" i="567"/>
  <c r="Q293" i="567" s="1"/>
  <c r="N286" i="568"/>
  <c r="R303" i="567"/>
  <c r="T303" i="567" s="1"/>
  <c r="U303" i="567" s="1"/>
  <c r="S303" i="567" s="1"/>
  <c r="P296" i="568"/>
  <c r="R296" i="568" s="1"/>
  <c r="R302" i="567"/>
  <c r="T302" i="567" s="1"/>
  <c r="V302" i="567" s="1"/>
  <c r="W302" i="567" s="1"/>
  <c r="P295" i="568"/>
  <c r="R295" i="568" s="1"/>
  <c r="P295" i="567"/>
  <c r="Q295" i="567" s="1"/>
  <c r="N288" i="568"/>
  <c r="O288" i="568" s="1"/>
  <c r="R24" i="492"/>
  <c r="R26" i="492" s="1"/>
  <c r="N289" i="75"/>
  <c r="R20" i="497"/>
  <c r="R24" i="491"/>
  <c r="R20" i="494"/>
  <c r="R20" i="496"/>
  <c r="P296" i="75"/>
  <c r="P293" i="75"/>
  <c r="N288" i="75"/>
  <c r="P295" i="75"/>
  <c r="N286" i="75"/>
  <c r="R24" i="489"/>
  <c r="P294" i="75"/>
  <c r="R20" i="495"/>
  <c r="R21" i="493"/>
  <c r="P66" i="75"/>
  <c r="R26" i="490"/>
  <c r="P287" i="75"/>
  <c r="R21" i="487"/>
  <c r="J24" i="486"/>
  <c r="R25" i="486"/>
  <c r="U294" i="567" l="1"/>
  <c r="S294" i="567" s="1"/>
  <c r="U302" i="567"/>
  <c r="S302" i="567" s="1"/>
  <c r="P289" i="75"/>
  <c r="U300" i="567"/>
  <c r="S300" i="567" s="1"/>
  <c r="U67" i="567"/>
  <c r="S67" i="567" s="1"/>
  <c r="S66" i="567" s="1"/>
  <c r="V303" i="567"/>
  <c r="W303" i="567" s="1"/>
  <c r="Q292" i="567"/>
  <c r="T296" i="568"/>
  <c r="U296" i="568" s="1"/>
  <c r="S296" i="568"/>
  <c r="Q296" i="568" s="1"/>
  <c r="R296" i="567"/>
  <c r="T296" i="567" s="1"/>
  <c r="V296" i="567" s="1"/>
  <c r="W296" i="567" s="1"/>
  <c r="P289" i="568"/>
  <c r="R289" i="568" s="1"/>
  <c r="T293" i="568"/>
  <c r="U293" i="568" s="1"/>
  <c r="S293" i="568"/>
  <c r="Q293" i="568" s="1"/>
  <c r="T295" i="568"/>
  <c r="U295" i="568" s="1"/>
  <c r="S295" i="568"/>
  <c r="Q295" i="568" s="1"/>
  <c r="T294" i="568"/>
  <c r="U294" i="568" s="1"/>
  <c r="S294" i="568"/>
  <c r="Q294" i="568" s="1"/>
  <c r="S287" i="568"/>
  <c r="Q287" i="568" s="1"/>
  <c r="T287" i="568"/>
  <c r="U287" i="568" s="1"/>
  <c r="P151" i="568"/>
  <c r="R151" i="568"/>
  <c r="R238" i="567"/>
  <c r="T238" i="567" s="1"/>
  <c r="P232" i="568"/>
  <c r="R293" i="567"/>
  <c r="T293" i="567" s="1"/>
  <c r="V293" i="567" s="1"/>
  <c r="W293" i="567" s="1"/>
  <c r="P286" i="568"/>
  <c r="R286" i="568" s="1"/>
  <c r="V301" i="567"/>
  <c r="W301" i="567" s="1"/>
  <c r="T66" i="568"/>
  <c r="U66" i="568" s="1"/>
  <c r="U65" i="568" s="1"/>
  <c r="S66" i="568"/>
  <c r="R295" i="567"/>
  <c r="T295" i="567" s="1"/>
  <c r="U295" i="567" s="1"/>
  <c r="S295" i="567" s="1"/>
  <c r="P288" i="568"/>
  <c r="R288" i="568" s="1"/>
  <c r="O286" i="568"/>
  <c r="O285" i="568" s="1"/>
  <c r="T153" i="567"/>
  <c r="R153" i="567"/>
  <c r="R26" i="491"/>
  <c r="R26" i="489"/>
  <c r="P288" i="75"/>
  <c r="P151" i="75"/>
  <c r="P286" i="75"/>
  <c r="R286" i="75" s="1"/>
  <c r="R23" i="487"/>
  <c r="P232" i="75"/>
  <c r="R151" i="75"/>
  <c r="F749" i="75"/>
  <c r="E749" i="75"/>
  <c r="G745" i="75"/>
  <c r="B10" i="481"/>
  <c r="B10" i="480"/>
  <c r="B10" i="479"/>
  <c r="R12" i="484"/>
  <c r="R21" i="484" s="1"/>
  <c r="B10" i="484"/>
  <c r="S22" i="484"/>
  <c r="S21" i="484"/>
  <c r="L9" i="484"/>
  <c r="J9" i="484"/>
  <c r="C9" i="484"/>
  <c r="L8" i="484"/>
  <c r="J8" i="484"/>
  <c r="C8" i="484"/>
  <c r="L7" i="484"/>
  <c r="J7" i="484"/>
  <c r="L6" i="484"/>
  <c r="J6" i="484"/>
  <c r="C6" i="484"/>
  <c r="B10" i="483"/>
  <c r="S22" i="483"/>
  <c r="L12" i="483"/>
  <c r="R12" i="483" s="1"/>
  <c r="L9" i="483"/>
  <c r="J9" i="483"/>
  <c r="C9" i="483"/>
  <c r="L8" i="483"/>
  <c r="J8" i="483"/>
  <c r="C8" i="483"/>
  <c r="L7" i="483"/>
  <c r="J7" i="483"/>
  <c r="L6" i="483"/>
  <c r="J6" i="483"/>
  <c r="C6" i="483"/>
  <c r="L12" i="482"/>
  <c r="R12" i="482" s="1"/>
  <c r="B10" i="482"/>
  <c r="S22" i="482"/>
  <c r="L9" i="482"/>
  <c r="J9" i="482"/>
  <c r="C9" i="482"/>
  <c r="L8" i="482"/>
  <c r="J8" i="482"/>
  <c r="C8" i="482"/>
  <c r="L7" i="482"/>
  <c r="J7" i="482"/>
  <c r="L6" i="482"/>
  <c r="J6" i="482"/>
  <c r="C6" i="482"/>
  <c r="L12" i="471"/>
  <c r="J12" i="481"/>
  <c r="R23" i="481" s="1"/>
  <c r="S24" i="481"/>
  <c r="S23" i="481"/>
  <c r="S22" i="481"/>
  <c r="R16" i="481"/>
  <c r="R15" i="481"/>
  <c r="R14" i="481"/>
  <c r="R13" i="481"/>
  <c r="K12" i="481"/>
  <c r="L9" i="481"/>
  <c r="J9" i="481"/>
  <c r="C9" i="481"/>
  <c r="L8" i="481"/>
  <c r="J8" i="481"/>
  <c r="C8" i="481"/>
  <c r="L7" i="481"/>
  <c r="J7" i="481"/>
  <c r="L6" i="481"/>
  <c r="J6" i="481"/>
  <c r="C6" i="481"/>
  <c r="R14" i="476"/>
  <c r="U66" i="567" l="1"/>
  <c r="U293" i="567"/>
  <c r="S293" i="567" s="1"/>
  <c r="U296" i="567"/>
  <c r="S296" i="567" s="1"/>
  <c r="T286" i="568"/>
  <c r="U286" i="568" s="1"/>
  <c r="S286" i="568"/>
  <c r="T288" i="568"/>
  <c r="U288" i="568" s="1"/>
  <c r="S288" i="568"/>
  <c r="Q288" i="568" s="1"/>
  <c r="S65" i="568"/>
  <c r="Q66" i="568"/>
  <c r="Q65" i="568" s="1"/>
  <c r="P34" i="567"/>
  <c r="Q34" i="567" s="1"/>
  <c r="N33" i="568"/>
  <c r="V295" i="567"/>
  <c r="W295" i="567" s="1"/>
  <c r="W292" i="567" s="1"/>
  <c r="T289" i="568"/>
  <c r="U289" i="568" s="1"/>
  <c r="S289" i="568"/>
  <c r="Q289" i="568" s="1"/>
  <c r="S238" i="567"/>
  <c r="U238" i="567" s="1"/>
  <c r="U236" i="567" s="1"/>
  <c r="P599" i="567"/>
  <c r="N589" i="568"/>
  <c r="R232" i="568"/>
  <c r="Q232" i="568"/>
  <c r="S232" i="568" s="1"/>
  <c r="S230" i="568" s="1"/>
  <c r="R20" i="484"/>
  <c r="R22" i="484" s="1"/>
  <c r="N589" i="75"/>
  <c r="N33" i="75"/>
  <c r="R20" i="482"/>
  <c r="R21" i="482"/>
  <c r="R20" i="483"/>
  <c r="R21" i="483"/>
  <c r="S21" i="483"/>
  <c r="S20" i="482"/>
  <c r="S21" i="482"/>
  <c r="R22" i="481"/>
  <c r="R24" i="481" s="1"/>
  <c r="U292" i="567" l="1"/>
  <c r="S292" i="567"/>
  <c r="P33" i="567"/>
  <c r="Q33" i="567" s="1"/>
  <c r="N32" i="568"/>
  <c r="R599" i="567"/>
  <c r="T599" i="567" s="1"/>
  <c r="P589" i="568"/>
  <c r="R589" i="568" s="1"/>
  <c r="T589" i="568" s="1"/>
  <c r="R34" i="567"/>
  <c r="S34" i="567" s="1"/>
  <c r="P33" i="568"/>
  <c r="Q33" i="568" s="1"/>
  <c r="P32" i="567"/>
  <c r="Q32" i="567" s="1"/>
  <c r="N31" i="568"/>
  <c r="Q286" i="568"/>
  <c r="Q285" i="568" s="1"/>
  <c r="S285" i="568"/>
  <c r="O33" i="568"/>
  <c r="U285" i="568"/>
  <c r="R22" i="482"/>
  <c r="R22" i="483"/>
  <c r="P589" i="75"/>
  <c r="R589" i="75" s="1"/>
  <c r="N31" i="75"/>
  <c r="P33" i="75"/>
  <c r="R33" i="75" s="1"/>
  <c r="N32" i="75"/>
  <c r="K17" i="480"/>
  <c r="R17" i="480" s="1"/>
  <c r="D16" i="480"/>
  <c r="K16" i="480" s="1"/>
  <c r="R16" i="480" s="1"/>
  <c r="K15" i="480"/>
  <c r="R15" i="480" s="1"/>
  <c r="K14" i="480"/>
  <c r="R14" i="480" s="1"/>
  <c r="K13" i="480"/>
  <c r="R13" i="480" s="1"/>
  <c r="K12" i="480"/>
  <c r="R12" i="480" s="1"/>
  <c r="C29" i="480"/>
  <c r="C30" i="480" s="1"/>
  <c r="S24" i="480"/>
  <c r="S23" i="480"/>
  <c r="S22" i="480"/>
  <c r="L9" i="480"/>
  <c r="J9" i="480"/>
  <c r="C9" i="480"/>
  <c r="L8" i="480"/>
  <c r="J8" i="480"/>
  <c r="C8" i="480"/>
  <c r="L7" i="480"/>
  <c r="J7" i="480"/>
  <c r="L6" i="480"/>
  <c r="J6" i="480"/>
  <c r="C6" i="480"/>
  <c r="K13" i="389"/>
  <c r="R13" i="389" s="1"/>
  <c r="R14" i="464"/>
  <c r="R16" i="416"/>
  <c r="R15" i="416"/>
  <c r="R14" i="416"/>
  <c r="J13" i="415"/>
  <c r="K13" i="415" s="1"/>
  <c r="R13" i="415" s="1"/>
  <c r="J14" i="415"/>
  <c r="K14" i="415" s="1"/>
  <c r="R14" i="415" s="1"/>
  <c r="L13" i="417"/>
  <c r="R13" i="417" s="1"/>
  <c r="J13" i="406"/>
  <c r="L13" i="406" s="1"/>
  <c r="R13" i="406" s="1"/>
  <c r="S12" i="406"/>
  <c r="M13" i="405"/>
  <c r="R13" i="405" s="1"/>
  <c r="D18" i="404"/>
  <c r="L18" i="404" s="1"/>
  <c r="D17" i="404"/>
  <c r="L17" i="404" s="1"/>
  <c r="D16" i="404"/>
  <c r="L16" i="404" s="1"/>
  <c r="J15" i="404"/>
  <c r="L15" i="404" s="1"/>
  <c r="J14" i="404"/>
  <c r="L14" i="404" s="1"/>
  <c r="J13" i="404"/>
  <c r="L13" i="404" s="1"/>
  <c r="R13" i="404" s="1"/>
  <c r="J17" i="403"/>
  <c r="L17" i="403" s="1"/>
  <c r="N17" i="403" s="1"/>
  <c r="J16" i="403"/>
  <c r="L16" i="403" s="1"/>
  <c r="R16" i="403" s="1"/>
  <c r="J15" i="403"/>
  <c r="L15" i="403" s="1"/>
  <c r="R15" i="403" s="1"/>
  <c r="L14" i="403"/>
  <c r="R14" i="403" s="1"/>
  <c r="L13" i="403"/>
  <c r="R13" i="403" s="1"/>
  <c r="S13" i="403"/>
  <c r="C29" i="479"/>
  <c r="C30" i="479" s="1"/>
  <c r="S24" i="479"/>
  <c r="S23" i="479"/>
  <c r="S22" i="479"/>
  <c r="L12" i="479"/>
  <c r="R12" i="479" s="1"/>
  <c r="L9" i="479"/>
  <c r="J9" i="479"/>
  <c r="C9" i="479"/>
  <c r="L8" i="479"/>
  <c r="J8" i="479"/>
  <c r="C8" i="479"/>
  <c r="L7" i="479"/>
  <c r="J7" i="479"/>
  <c r="L6" i="479"/>
  <c r="J6" i="479"/>
  <c r="C6" i="479"/>
  <c r="L14" i="387"/>
  <c r="R14" i="387" s="1"/>
  <c r="L12" i="387"/>
  <c r="R12" i="387" s="1"/>
  <c r="L13" i="387"/>
  <c r="R13" i="387" s="1"/>
  <c r="B10" i="478"/>
  <c r="L12" i="478"/>
  <c r="R12" i="478" s="1"/>
  <c r="R23" i="478" s="1"/>
  <c r="C29" i="478"/>
  <c r="C30" i="478" s="1"/>
  <c r="R25" i="478"/>
  <c r="S24" i="478"/>
  <c r="S23" i="478"/>
  <c r="S22" i="478"/>
  <c r="L9" i="478"/>
  <c r="J9" i="478"/>
  <c r="C9" i="478"/>
  <c r="L8" i="478"/>
  <c r="J8" i="478"/>
  <c r="C8" i="478"/>
  <c r="L7" i="478"/>
  <c r="J7" i="478"/>
  <c r="L6" i="478"/>
  <c r="J6" i="478"/>
  <c r="C6" i="478"/>
  <c r="K14" i="435"/>
  <c r="R14" i="435" s="1"/>
  <c r="B10" i="477"/>
  <c r="S19" i="477"/>
  <c r="S18" i="477"/>
  <c r="S17" i="477"/>
  <c r="R12" i="477"/>
  <c r="R18" i="477" s="1"/>
  <c r="L9" i="477"/>
  <c r="J9" i="477"/>
  <c r="C9" i="477"/>
  <c r="L8" i="477"/>
  <c r="J8" i="477"/>
  <c r="C8" i="477"/>
  <c r="L7" i="477"/>
  <c r="J7" i="477"/>
  <c r="L6" i="477"/>
  <c r="J6" i="477"/>
  <c r="C6" i="477"/>
  <c r="R13" i="476"/>
  <c r="B10" i="476"/>
  <c r="S18" i="476"/>
  <c r="S17" i="476"/>
  <c r="S16" i="476"/>
  <c r="R12" i="476"/>
  <c r="L9" i="476"/>
  <c r="J9" i="476"/>
  <c r="C9" i="476"/>
  <c r="L8" i="476"/>
  <c r="J8" i="476"/>
  <c r="C8" i="476"/>
  <c r="L7" i="476"/>
  <c r="J7" i="476"/>
  <c r="L6" i="476"/>
  <c r="J6" i="476"/>
  <c r="C6" i="476"/>
  <c r="R13" i="475"/>
  <c r="R12" i="475"/>
  <c r="B10" i="475"/>
  <c r="S18" i="475"/>
  <c r="L9" i="475"/>
  <c r="J9" i="475"/>
  <c r="C9" i="475"/>
  <c r="L8" i="475"/>
  <c r="J8" i="475"/>
  <c r="C8" i="475"/>
  <c r="L7" i="475"/>
  <c r="J7" i="475"/>
  <c r="L6" i="475"/>
  <c r="J6" i="475"/>
  <c r="C6" i="475"/>
  <c r="G747" i="75"/>
  <c r="G748" i="75"/>
  <c r="R33" i="568" l="1"/>
  <c r="S33" i="568" s="1"/>
  <c r="R33" i="567"/>
  <c r="P32" i="568"/>
  <c r="Q32" i="568" s="1"/>
  <c r="R32" i="567"/>
  <c r="S32" i="567" s="1"/>
  <c r="P31" i="568"/>
  <c r="Q31" i="568" s="1"/>
  <c r="P229" i="567"/>
  <c r="N223" i="568"/>
  <c r="O31" i="568"/>
  <c r="O32" i="568"/>
  <c r="P45" i="567"/>
  <c r="N44" i="568"/>
  <c r="T34" i="567"/>
  <c r="V34" i="567" s="1"/>
  <c r="V599" i="567"/>
  <c r="P32" i="75"/>
  <c r="R32" i="75" s="1"/>
  <c r="P31" i="75"/>
  <c r="R31" i="75" s="1"/>
  <c r="R17" i="476"/>
  <c r="N223" i="75"/>
  <c r="N44" i="75"/>
  <c r="R23" i="480"/>
  <c r="R22" i="480"/>
  <c r="R26" i="387"/>
  <c r="R17" i="477"/>
  <c r="J18" i="477" s="1"/>
  <c r="R17" i="403"/>
  <c r="R18" i="475"/>
  <c r="R22" i="479"/>
  <c r="R23" i="479"/>
  <c r="R27" i="387"/>
  <c r="R16" i="476"/>
  <c r="R22" i="478"/>
  <c r="R17" i="475"/>
  <c r="S17" i="475"/>
  <c r="S19" i="475"/>
  <c r="T33" i="568" l="1"/>
  <c r="R32" i="568"/>
  <c r="S32" i="568" s="1"/>
  <c r="T32" i="567"/>
  <c r="U32" i="567" s="1"/>
  <c r="P44" i="567"/>
  <c r="N43" i="568"/>
  <c r="U34" i="567"/>
  <c r="P228" i="567"/>
  <c r="Q228" i="567" s="1"/>
  <c r="Q226" i="567" s="1"/>
  <c r="Q222" i="567" s="1"/>
  <c r="N222" i="568"/>
  <c r="O222" i="568" s="1"/>
  <c r="O220" i="568" s="1"/>
  <c r="O216" i="568" s="1"/>
  <c r="P253" i="567"/>
  <c r="N247" i="568"/>
  <c r="P252" i="567"/>
  <c r="N246" i="568"/>
  <c r="R31" i="568"/>
  <c r="S33" i="567"/>
  <c r="T33" i="567"/>
  <c r="R24" i="479"/>
  <c r="R19" i="475"/>
  <c r="R18" i="476"/>
  <c r="N222" i="75"/>
  <c r="N246" i="75"/>
  <c r="R19" i="477"/>
  <c r="N247" i="75"/>
  <c r="J17" i="476"/>
  <c r="N43" i="75"/>
  <c r="R24" i="480"/>
  <c r="R24" i="478"/>
  <c r="T32" i="568" l="1"/>
  <c r="V32" i="567"/>
  <c r="R45" i="567"/>
  <c r="T45" i="567" s="1"/>
  <c r="P44" i="568"/>
  <c r="S31" i="568"/>
  <c r="T31" i="568"/>
  <c r="R44" i="567"/>
  <c r="T44" i="567" s="1"/>
  <c r="P43" i="568"/>
  <c r="R43" i="567"/>
  <c r="T43" i="567" s="1"/>
  <c r="V43" i="567" s="1"/>
  <c r="W43" i="567" s="1"/>
  <c r="P42" i="568"/>
  <c r="V33" i="567"/>
  <c r="U33" i="567"/>
  <c r="R229" i="567"/>
  <c r="T229" i="567" s="1"/>
  <c r="P223" i="568"/>
  <c r="R253" i="567"/>
  <c r="T253" i="567" s="1"/>
  <c r="P247" i="568"/>
  <c r="R247" i="568" s="1"/>
  <c r="R252" i="567"/>
  <c r="T252" i="567" s="1"/>
  <c r="P246" i="568"/>
  <c r="R246" i="568" s="1"/>
  <c r="S45" i="567"/>
  <c r="U45" i="567" s="1"/>
  <c r="P43" i="75"/>
  <c r="P42" i="75"/>
  <c r="R42" i="75" s="1"/>
  <c r="P246" i="75"/>
  <c r="P44" i="75"/>
  <c r="P247" i="75"/>
  <c r="R26" i="478"/>
  <c r="P223" i="75"/>
  <c r="R22" i="75"/>
  <c r="S22" i="75" s="1"/>
  <c r="R296" i="75"/>
  <c r="R29" i="75"/>
  <c r="S29" i="75" s="1"/>
  <c r="R30" i="75"/>
  <c r="S30" i="75" s="1"/>
  <c r="R481" i="75"/>
  <c r="U375" i="75"/>
  <c r="U220" i="75"/>
  <c r="I41" i="75"/>
  <c r="I36" i="75"/>
  <c r="J27" i="397" s="1"/>
  <c r="J221" i="75"/>
  <c r="H221" i="75"/>
  <c r="L221" i="75" s="1"/>
  <c r="I589" i="75"/>
  <c r="C589" i="75"/>
  <c r="C10" i="481" s="1"/>
  <c r="K328" i="75"/>
  <c r="K682" i="75"/>
  <c r="K681" i="75"/>
  <c r="K680" i="75"/>
  <c r="K318" i="75"/>
  <c r="J679" i="75"/>
  <c r="O668" i="75"/>
  <c r="J648" i="75"/>
  <c r="J569" i="75"/>
  <c r="J478" i="75"/>
  <c r="J306" i="75"/>
  <c r="T549" i="75"/>
  <c r="E722" i="474"/>
  <c r="O705" i="474"/>
  <c r="P704" i="474"/>
  <c r="O704" i="474"/>
  <c r="K703" i="474"/>
  <c r="M703" i="474" s="1"/>
  <c r="J703" i="474"/>
  <c r="K702" i="474"/>
  <c r="M702" i="474" s="1"/>
  <c r="J702" i="474"/>
  <c r="K701" i="474"/>
  <c r="M701" i="474" s="1"/>
  <c r="O701" i="474" s="1"/>
  <c r="J701" i="474"/>
  <c r="K700" i="474"/>
  <c r="M700" i="474" s="1"/>
  <c r="J700" i="474"/>
  <c r="K699" i="474"/>
  <c r="M699" i="474" s="1"/>
  <c r="J699" i="474"/>
  <c r="O698" i="474"/>
  <c r="O697" i="474"/>
  <c r="P696" i="474"/>
  <c r="O696" i="474"/>
  <c r="K695" i="474"/>
  <c r="M695" i="474" s="1"/>
  <c r="O695" i="474" s="1"/>
  <c r="J695" i="474"/>
  <c r="K694" i="474"/>
  <c r="M694" i="474" s="1"/>
  <c r="J694" i="474"/>
  <c r="K693" i="474"/>
  <c r="M693" i="474" s="1"/>
  <c r="J693" i="474"/>
  <c r="K692" i="474"/>
  <c r="M692" i="474" s="1"/>
  <c r="J692" i="474"/>
  <c r="O691" i="474"/>
  <c r="P690" i="474"/>
  <c r="O690" i="474"/>
  <c r="K689" i="474"/>
  <c r="M689" i="474" s="1"/>
  <c r="J689" i="474"/>
  <c r="K688" i="474"/>
  <c r="M688" i="474" s="1"/>
  <c r="O688" i="474" s="1"/>
  <c r="J688" i="474"/>
  <c r="K687" i="474"/>
  <c r="M687" i="474" s="1"/>
  <c r="J687" i="474"/>
  <c r="K686" i="474"/>
  <c r="M686" i="474" s="1"/>
  <c r="N686" i="474" s="1"/>
  <c r="J686" i="474"/>
  <c r="K685" i="474"/>
  <c r="M685" i="474" s="1"/>
  <c r="O685" i="474" s="1"/>
  <c r="J685" i="474"/>
  <c r="K684" i="474"/>
  <c r="M684" i="474" s="1"/>
  <c r="J684" i="474"/>
  <c r="K683" i="474"/>
  <c r="M683" i="474" s="1"/>
  <c r="J683" i="474"/>
  <c r="K682" i="474"/>
  <c r="M682" i="474" s="1"/>
  <c r="J682" i="474"/>
  <c r="K681" i="474"/>
  <c r="M681" i="474" s="1"/>
  <c r="J681" i="474"/>
  <c r="K680" i="474"/>
  <c r="M680" i="474" s="1"/>
  <c r="J680" i="474"/>
  <c r="K679" i="474"/>
  <c r="M679" i="474" s="1"/>
  <c r="J679" i="474"/>
  <c r="K678" i="474"/>
  <c r="M678" i="474" s="1"/>
  <c r="J678" i="474"/>
  <c r="K677" i="474"/>
  <c r="M677" i="474" s="1"/>
  <c r="O677" i="474" s="1"/>
  <c r="J677" i="474"/>
  <c r="K676" i="474"/>
  <c r="M676" i="474" s="1"/>
  <c r="J676" i="474"/>
  <c r="K675" i="474"/>
  <c r="M675" i="474" s="1"/>
  <c r="J675" i="474"/>
  <c r="K674" i="474"/>
  <c r="M674" i="474" s="1"/>
  <c r="J674" i="474"/>
  <c r="K673" i="474"/>
  <c r="M673" i="474" s="1"/>
  <c r="O673" i="474" s="1"/>
  <c r="J673" i="474"/>
  <c r="K672" i="474"/>
  <c r="M672" i="474" s="1"/>
  <c r="J672" i="474"/>
  <c r="K671" i="474"/>
  <c r="M671" i="474" s="1"/>
  <c r="J671" i="474"/>
  <c r="O670" i="474"/>
  <c r="O669" i="474"/>
  <c r="P668" i="474"/>
  <c r="O668" i="474"/>
  <c r="K667" i="474"/>
  <c r="M667" i="474" s="1"/>
  <c r="J667" i="474"/>
  <c r="K666" i="474"/>
  <c r="M666" i="474" s="1"/>
  <c r="O666" i="474" s="1"/>
  <c r="J666" i="474"/>
  <c r="K665" i="474"/>
  <c r="M665" i="474" s="1"/>
  <c r="J665" i="474"/>
  <c r="K664" i="474"/>
  <c r="M664" i="474" s="1"/>
  <c r="N664" i="474" s="1"/>
  <c r="J664" i="474"/>
  <c r="O663" i="474"/>
  <c r="O662" i="474"/>
  <c r="P661" i="474"/>
  <c r="O661" i="474"/>
  <c r="K660" i="474"/>
  <c r="M660" i="474" s="1"/>
  <c r="J660" i="474"/>
  <c r="J659" i="474" s="1"/>
  <c r="O659" i="474"/>
  <c r="P658" i="474"/>
  <c r="O658" i="474"/>
  <c r="K657" i="474"/>
  <c r="M657" i="474" s="1"/>
  <c r="J657" i="474"/>
  <c r="K656" i="474"/>
  <c r="M656" i="474" s="1"/>
  <c r="J656" i="474"/>
  <c r="K655" i="474"/>
  <c r="M655" i="474" s="1"/>
  <c r="J655" i="474"/>
  <c r="K654" i="474"/>
  <c r="M654" i="474" s="1"/>
  <c r="J654" i="474"/>
  <c r="K653" i="474"/>
  <c r="M653" i="474" s="1"/>
  <c r="J653" i="474"/>
  <c r="K652" i="474"/>
  <c r="M652" i="474" s="1"/>
  <c r="J652" i="474"/>
  <c r="K651" i="474"/>
  <c r="M651" i="474" s="1"/>
  <c r="J651" i="474"/>
  <c r="K650" i="474"/>
  <c r="M650" i="474" s="1"/>
  <c r="J650" i="474"/>
  <c r="K649" i="474"/>
  <c r="M649" i="474" s="1"/>
  <c r="J649" i="474"/>
  <c r="K648" i="474"/>
  <c r="M648" i="474" s="1"/>
  <c r="J648" i="474"/>
  <c r="K647" i="474"/>
  <c r="M647" i="474" s="1"/>
  <c r="J647" i="474"/>
  <c r="K646" i="474"/>
  <c r="M646" i="474" s="1"/>
  <c r="J646" i="474"/>
  <c r="K645" i="474"/>
  <c r="M645" i="474" s="1"/>
  <c r="J645" i="474"/>
  <c r="K644" i="474"/>
  <c r="M644" i="474" s="1"/>
  <c r="J644" i="474"/>
  <c r="O643" i="474"/>
  <c r="P642" i="474"/>
  <c r="O642" i="474"/>
  <c r="K641" i="474"/>
  <c r="M641" i="474" s="1"/>
  <c r="N641" i="474" s="1"/>
  <c r="J641" i="474"/>
  <c r="J640" i="474" s="1"/>
  <c r="O640" i="474"/>
  <c r="P639" i="474"/>
  <c r="O639" i="474"/>
  <c r="M638" i="474"/>
  <c r="O638" i="474" s="1"/>
  <c r="J638" i="474"/>
  <c r="M637" i="474"/>
  <c r="O637" i="474" s="1"/>
  <c r="J637" i="474"/>
  <c r="K636" i="474"/>
  <c r="M636" i="474" s="1"/>
  <c r="J636" i="474"/>
  <c r="K635" i="474"/>
  <c r="M635" i="474" s="1"/>
  <c r="J635" i="474"/>
  <c r="K634" i="474"/>
  <c r="M634" i="474" s="1"/>
  <c r="J634" i="474"/>
  <c r="K633" i="474"/>
  <c r="M633" i="474" s="1"/>
  <c r="J633" i="474"/>
  <c r="M632" i="474"/>
  <c r="O632" i="474" s="1"/>
  <c r="J632" i="474"/>
  <c r="M631" i="474"/>
  <c r="J631" i="474"/>
  <c r="K630" i="474"/>
  <c r="M630" i="474" s="1"/>
  <c r="J630" i="474"/>
  <c r="K629" i="474"/>
  <c r="M629" i="474" s="1"/>
  <c r="J629" i="474"/>
  <c r="I628" i="474"/>
  <c r="K627" i="474"/>
  <c r="M627" i="474" s="1"/>
  <c r="J627" i="474"/>
  <c r="O626" i="474"/>
  <c r="O625" i="474"/>
  <c r="P624" i="474"/>
  <c r="O624" i="474"/>
  <c r="K623" i="474"/>
  <c r="M623" i="474" s="1"/>
  <c r="J623" i="474"/>
  <c r="K622" i="474"/>
  <c r="M622" i="474" s="1"/>
  <c r="J622" i="474"/>
  <c r="K621" i="474"/>
  <c r="M621" i="474" s="1"/>
  <c r="N621" i="474" s="1"/>
  <c r="J621" i="474"/>
  <c r="K620" i="474"/>
  <c r="M620" i="474" s="1"/>
  <c r="J620" i="474"/>
  <c r="K619" i="474"/>
  <c r="M619" i="474" s="1"/>
  <c r="J619" i="474"/>
  <c r="K618" i="474"/>
  <c r="M618" i="474" s="1"/>
  <c r="N618" i="474" s="1"/>
  <c r="J618" i="474"/>
  <c r="K617" i="474"/>
  <c r="M617" i="474" s="1"/>
  <c r="J617" i="474"/>
  <c r="K616" i="474"/>
  <c r="M616" i="474" s="1"/>
  <c r="J616" i="474"/>
  <c r="K615" i="474"/>
  <c r="M615" i="474" s="1"/>
  <c r="J615" i="474"/>
  <c r="K614" i="474"/>
  <c r="M614" i="474" s="1"/>
  <c r="J614" i="474"/>
  <c r="K613" i="474"/>
  <c r="M613" i="474" s="1"/>
  <c r="J613" i="474"/>
  <c r="O612" i="474"/>
  <c r="P611" i="474"/>
  <c r="O611" i="474"/>
  <c r="K610" i="474"/>
  <c r="M610" i="474" s="1"/>
  <c r="J610" i="474"/>
  <c r="K609" i="474"/>
  <c r="M609" i="474" s="1"/>
  <c r="O609" i="474" s="1"/>
  <c r="J609" i="474"/>
  <c r="K608" i="474"/>
  <c r="M608" i="474" s="1"/>
  <c r="J608" i="474"/>
  <c r="K607" i="474"/>
  <c r="M607" i="474" s="1"/>
  <c r="J607" i="474"/>
  <c r="O606" i="474"/>
  <c r="P605" i="474"/>
  <c r="O605" i="474"/>
  <c r="K604" i="474"/>
  <c r="M604" i="474" s="1"/>
  <c r="J604" i="474"/>
  <c r="K603" i="474"/>
  <c r="M603" i="474" s="1"/>
  <c r="J603" i="474"/>
  <c r="K602" i="474"/>
  <c r="M602" i="474" s="1"/>
  <c r="J602" i="474"/>
  <c r="K601" i="474"/>
  <c r="M601" i="474" s="1"/>
  <c r="O601" i="474" s="1"/>
  <c r="J601" i="474"/>
  <c r="K600" i="474"/>
  <c r="M600" i="474" s="1"/>
  <c r="J600" i="474"/>
  <c r="K599" i="474"/>
  <c r="M599" i="474" s="1"/>
  <c r="O599" i="474" s="1"/>
  <c r="J599" i="474"/>
  <c r="O598" i="474"/>
  <c r="P597" i="474"/>
  <c r="O597" i="474"/>
  <c r="K596" i="474"/>
  <c r="M596" i="474" s="1"/>
  <c r="J596" i="474"/>
  <c r="K595" i="474"/>
  <c r="M595" i="474" s="1"/>
  <c r="J595" i="474"/>
  <c r="K594" i="474"/>
  <c r="M594" i="474" s="1"/>
  <c r="N594" i="474" s="1"/>
  <c r="P594" i="474" s="1"/>
  <c r="J594" i="474"/>
  <c r="K593" i="474"/>
  <c r="M593" i="474" s="1"/>
  <c r="N593" i="474" s="1"/>
  <c r="P593" i="474" s="1"/>
  <c r="J593" i="474"/>
  <c r="O592" i="474"/>
  <c r="P591" i="474"/>
  <c r="O591" i="474"/>
  <c r="K590" i="474"/>
  <c r="M590" i="474" s="1"/>
  <c r="J590" i="474"/>
  <c r="K589" i="474"/>
  <c r="M589" i="474" s="1"/>
  <c r="O589" i="474" s="1"/>
  <c r="J589" i="474"/>
  <c r="K588" i="474"/>
  <c r="M588" i="474" s="1"/>
  <c r="J588" i="474"/>
  <c r="K587" i="474"/>
  <c r="M587" i="474" s="1"/>
  <c r="J587" i="474"/>
  <c r="K586" i="474"/>
  <c r="M586" i="474" s="1"/>
  <c r="J586" i="474"/>
  <c r="O585" i="474"/>
  <c r="P584" i="474"/>
  <c r="O584" i="474"/>
  <c r="K583" i="474"/>
  <c r="M583" i="474" s="1"/>
  <c r="N583" i="474" s="1"/>
  <c r="J583" i="474"/>
  <c r="K582" i="474"/>
  <c r="M582" i="474" s="1"/>
  <c r="J582" i="474"/>
  <c r="K581" i="474"/>
  <c r="M581" i="474" s="1"/>
  <c r="O581" i="474" s="1"/>
  <c r="J581" i="474"/>
  <c r="K580" i="474"/>
  <c r="M580" i="474" s="1"/>
  <c r="J580" i="474"/>
  <c r="K579" i="474"/>
  <c r="M579" i="474" s="1"/>
  <c r="J579" i="474"/>
  <c r="O578" i="474"/>
  <c r="P577" i="474"/>
  <c r="O577" i="474"/>
  <c r="K576" i="474"/>
  <c r="M576" i="474" s="1"/>
  <c r="J576" i="474"/>
  <c r="K575" i="474"/>
  <c r="M575" i="474" s="1"/>
  <c r="J575" i="474"/>
  <c r="K574" i="474"/>
  <c r="M574" i="474" s="1"/>
  <c r="O574" i="474" s="1"/>
  <c r="J574" i="474"/>
  <c r="O573" i="474"/>
  <c r="P572" i="474"/>
  <c r="O572" i="474"/>
  <c r="K571" i="474"/>
  <c r="M571" i="474" s="1"/>
  <c r="J571" i="474"/>
  <c r="J570" i="474" s="1"/>
  <c r="O570" i="474"/>
  <c r="P569" i="474"/>
  <c r="O569" i="474"/>
  <c r="K568" i="474"/>
  <c r="M568" i="474" s="1"/>
  <c r="N568" i="474" s="1"/>
  <c r="J568" i="474"/>
  <c r="K567" i="474"/>
  <c r="M567" i="474" s="1"/>
  <c r="O567" i="474" s="1"/>
  <c r="J567" i="474"/>
  <c r="M566" i="474"/>
  <c r="J566" i="474"/>
  <c r="M565" i="474"/>
  <c r="O565" i="474" s="1"/>
  <c r="J565" i="474"/>
  <c r="K564" i="474"/>
  <c r="I564" i="474"/>
  <c r="K563" i="474"/>
  <c r="M563" i="474" s="1"/>
  <c r="J563" i="474"/>
  <c r="K562" i="474"/>
  <c r="M562" i="474" s="1"/>
  <c r="O562" i="474" s="1"/>
  <c r="J562" i="474"/>
  <c r="M561" i="474"/>
  <c r="N561" i="474" s="1"/>
  <c r="P561" i="474" s="1"/>
  <c r="J561" i="474"/>
  <c r="K560" i="474"/>
  <c r="M560" i="474" s="1"/>
  <c r="N560" i="474" s="1"/>
  <c r="J560" i="474"/>
  <c r="K559" i="474"/>
  <c r="M559" i="474" s="1"/>
  <c r="J559" i="474"/>
  <c r="K558" i="474"/>
  <c r="M558" i="474" s="1"/>
  <c r="J558" i="474"/>
  <c r="O557" i="474"/>
  <c r="P556" i="474"/>
  <c r="O556" i="474"/>
  <c r="M555" i="474"/>
  <c r="N555" i="474" s="1"/>
  <c r="J555" i="474"/>
  <c r="J554" i="474" s="1"/>
  <c r="O554" i="474"/>
  <c r="O553" i="474"/>
  <c r="M552" i="474"/>
  <c r="O552" i="474" s="1"/>
  <c r="J552" i="474"/>
  <c r="M551" i="474"/>
  <c r="O551" i="474" s="1"/>
  <c r="J551" i="474"/>
  <c r="M550" i="474"/>
  <c r="N550" i="474" s="1"/>
  <c r="J550" i="474"/>
  <c r="O549" i="474"/>
  <c r="O548" i="474"/>
  <c r="P547" i="474"/>
  <c r="O547" i="474"/>
  <c r="K546" i="474"/>
  <c r="I546" i="474"/>
  <c r="J546" i="474" s="1"/>
  <c r="K545" i="474"/>
  <c r="I545" i="474"/>
  <c r="J545" i="474" s="1"/>
  <c r="K544" i="474"/>
  <c r="I544" i="474"/>
  <c r="J544" i="474" s="1"/>
  <c r="O543" i="474"/>
  <c r="K541" i="474"/>
  <c r="M541" i="474" s="1"/>
  <c r="J541" i="474"/>
  <c r="J540" i="474" s="1"/>
  <c r="O540" i="474"/>
  <c r="O539" i="474"/>
  <c r="O538" i="474"/>
  <c r="P537" i="474"/>
  <c r="O537" i="474"/>
  <c r="K536" i="474"/>
  <c r="M536" i="474" s="1"/>
  <c r="J536" i="474"/>
  <c r="K535" i="474"/>
  <c r="M535" i="474" s="1"/>
  <c r="J535" i="474"/>
  <c r="K534" i="474"/>
  <c r="M534" i="474" s="1"/>
  <c r="J534" i="474"/>
  <c r="K533" i="474"/>
  <c r="M533" i="474" s="1"/>
  <c r="O533" i="474" s="1"/>
  <c r="J533" i="474"/>
  <c r="K532" i="474"/>
  <c r="M532" i="474" s="1"/>
  <c r="J532" i="474"/>
  <c r="O531" i="474"/>
  <c r="O530" i="474"/>
  <c r="P529" i="474"/>
  <c r="O529" i="474"/>
  <c r="K528" i="474"/>
  <c r="M528" i="474" s="1"/>
  <c r="J528" i="474"/>
  <c r="K527" i="474"/>
  <c r="M527" i="474" s="1"/>
  <c r="J527" i="474"/>
  <c r="K526" i="474"/>
  <c r="M526" i="474" s="1"/>
  <c r="J526" i="474"/>
  <c r="K525" i="474"/>
  <c r="M525" i="474" s="1"/>
  <c r="J525" i="474"/>
  <c r="O524" i="474"/>
  <c r="P523" i="474"/>
  <c r="O523" i="474"/>
  <c r="K522" i="474"/>
  <c r="M522" i="474" s="1"/>
  <c r="J522" i="474"/>
  <c r="K521" i="474"/>
  <c r="M521" i="474" s="1"/>
  <c r="J521" i="474"/>
  <c r="K520" i="474"/>
  <c r="M520" i="474" s="1"/>
  <c r="O520" i="474" s="1"/>
  <c r="J520" i="474"/>
  <c r="K519" i="474"/>
  <c r="M519" i="474" s="1"/>
  <c r="J519" i="474"/>
  <c r="K518" i="474"/>
  <c r="M518" i="474" s="1"/>
  <c r="J518" i="474"/>
  <c r="K517" i="474"/>
  <c r="M517" i="474" s="1"/>
  <c r="J517" i="474"/>
  <c r="K516" i="474"/>
  <c r="M516" i="474" s="1"/>
  <c r="J516" i="474"/>
  <c r="K515" i="474"/>
  <c r="M515" i="474" s="1"/>
  <c r="J515" i="474"/>
  <c r="K514" i="474"/>
  <c r="M514" i="474" s="1"/>
  <c r="J514" i="474"/>
  <c r="K513" i="474"/>
  <c r="M513" i="474" s="1"/>
  <c r="J513" i="474"/>
  <c r="K512" i="474"/>
  <c r="M512" i="474" s="1"/>
  <c r="O512" i="474" s="1"/>
  <c r="J512" i="474"/>
  <c r="K511" i="474"/>
  <c r="M511" i="474" s="1"/>
  <c r="J511" i="474"/>
  <c r="K510" i="474"/>
  <c r="M510" i="474" s="1"/>
  <c r="J510" i="474"/>
  <c r="K509" i="474"/>
  <c r="M509" i="474" s="1"/>
  <c r="J509" i="474"/>
  <c r="K508" i="474"/>
  <c r="M508" i="474" s="1"/>
  <c r="J508" i="474"/>
  <c r="K507" i="474"/>
  <c r="M507" i="474" s="1"/>
  <c r="J507" i="474"/>
  <c r="K506" i="474"/>
  <c r="M506" i="474" s="1"/>
  <c r="J506" i="474"/>
  <c r="K505" i="474"/>
  <c r="M505" i="474" s="1"/>
  <c r="J505" i="474"/>
  <c r="K504" i="474"/>
  <c r="M504" i="474" s="1"/>
  <c r="O504" i="474" s="1"/>
  <c r="J504" i="474"/>
  <c r="O503" i="474"/>
  <c r="O502" i="474"/>
  <c r="P501" i="474"/>
  <c r="O501" i="474"/>
  <c r="K500" i="474"/>
  <c r="M500" i="474" s="1"/>
  <c r="O500" i="474" s="1"/>
  <c r="J500" i="474"/>
  <c r="K499" i="474"/>
  <c r="M499" i="474" s="1"/>
  <c r="J499" i="474"/>
  <c r="K498" i="474"/>
  <c r="M498" i="474" s="1"/>
  <c r="J498" i="474"/>
  <c r="K497" i="474"/>
  <c r="M497" i="474" s="1"/>
  <c r="O497" i="474" s="1"/>
  <c r="J497" i="474"/>
  <c r="O496" i="474"/>
  <c r="O495" i="474"/>
  <c r="P494" i="474"/>
  <c r="O494" i="474"/>
  <c r="K493" i="474"/>
  <c r="M493" i="474" s="1"/>
  <c r="J493" i="474"/>
  <c r="J492" i="474" s="1"/>
  <c r="O492" i="474"/>
  <c r="P491" i="474"/>
  <c r="O491" i="474"/>
  <c r="K490" i="474"/>
  <c r="M490" i="474" s="1"/>
  <c r="N490" i="474" s="1"/>
  <c r="J490" i="474"/>
  <c r="K489" i="474"/>
  <c r="M489" i="474" s="1"/>
  <c r="O489" i="474" s="1"/>
  <c r="J489" i="474"/>
  <c r="K488" i="474"/>
  <c r="M488" i="474" s="1"/>
  <c r="N488" i="474" s="1"/>
  <c r="J488" i="474"/>
  <c r="K487" i="474"/>
  <c r="M487" i="474" s="1"/>
  <c r="J487" i="474"/>
  <c r="K486" i="474"/>
  <c r="M486" i="474" s="1"/>
  <c r="J486" i="474"/>
  <c r="K485" i="474"/>
  <c r="M485" i="474" s="1"/>
  <c r="J485" i="474"/>
  <c r="K484" i="474"/>
  <c r="M484" i="474" s="1"/>
  <c r="O484" i="474" s="1"/>
  <c r="J484" i="474"/>
  <c r="K483" i="474"/>
  <c r="M483" i="474" s="1"/>
  <c r="J483" i="474"/>
  <c r="K482" i="474"/>
  <c r="M482" i="474" s="1"/>
  <c r="J482" i="474"/>
  <c r="K481" i="474"/>
  <c r="M481" i="474" s="1"/>
  <c r="O481" i="474" s="1"/>
  <c r="J481" i="474"/>
  <c r="K480" i="474"/>
  <c r="M480" i="474" s="1"/>
  <c r="J480" i="474"/>
  <c r="K479" i="474"/>
  <c r="M479" i="474" s="1"/>
  <c r="O479" i="474" s="1"/>
  <c r="J479" i="474"/>
  <c r="K478" i="474"/>
  <c r="M478" i="474" s="1"/>
  <c r="O478" i="474" s="1"/>
  <c r="J478" i="474"/>
  <c r="K477" i="474"/>
  <c r="M477" i="474" s="1"/>
  <c r="N477" i="474" s="1"/>
  <c r="P477" i="474" s="1"/>
  <c r="J477" i="474"/>
  <c r="O476" i="474"/>
  <c r="P475" i="474"/>
  <c r="O475" i="474"/>
  <c r="K474" i="474"/>
  <c r="M474" i="474" s="1"/>
  <c r="J474" i="474"/>
  <c r="J473" i="474" s="1"/>
  <c r="O473" i="474"/>
  <c r="P472" i="474"/>
  <c r="O472" i="474"/>
  <c r="K471" i="474"/>
  <c r="M471" i="474" s="1"/>
  <c r="O471" i="474" s="1"/>
  <c r="J471" i="474"/>
  <c r="K470" i="474"/>
  <c r="M470" i="474" s="1"/>
  <c r="O470" i="474" s="1"/>
  <c r="J470" i="474"/>
  <c r="K469" i="474"/>
  <c r="M469" i="474" s="1"/>
  <c r="O469" i="474" s="1"/>
  <c r="J469" i="474"/>
  <c r="K468" i="474"/>
  <c r="M468" i="474" s="1"/>
  <c r="J468" i="474"/>
  <c r="K467" i="474"/>
  <c r="M467" i="474" s="1"/>
  <c r="N467" i="474" s="1"/>
  <c r="P467" i="474" s="1"/>
  <c r="J467" i="474"/>
  <c r="K466" i="474"/>
  <c r="M466" i="474" s="1"/>
  <c r="N466" i="474" s="1"/>
  <c r="P466" i="474" s="1"/>
  <c r="J466" i="474"/>
  <c r="K465" i="474"/>
  <c r="M465" i="474" s="1"/>
  <c r="J465" i="474"/>
  <c r="K464" i="474"/>
  <c r="M464" i="474" s="1"/>
  <c r="J464" i="474"/>
  <c r="K463" i="474"/>
  <c r="M463" i="474" s="1"/>
  <c r="O463" i="474" s="1"/>
  <c r="J463" i="474"/>
  <c r="K462" i="474"/>
  <c r="I462" i="474"/>
  <c r="J462" i="474" s="1"/>
  <c r="K461" i="474"/>
  <c r="I461" i="474"/>
  <c r="J461" i="474" s="1"/>
  <c r="K460" i="474"/>
  <c r="I460" i="474"/>
  <c r="J460" i="474" s="1"/>
  <c r="O459" i="474"/>
  <c r="O458" i="474"/>
  <c r="P457" i="474"/>
  <c r="O457" i="474"/>
  <c r="K456" i="474"/>
  <c r="M456" i="474" s="1"/>
  <c r="J456" i="474"/>
  <c r="K455" i="474"/>
  <c r="M455" i="474" s="1"/>
  <c r="J455" i="474"/>
  <c r="K454" i="474"/>
  <c r="M454" i="474" s="1"/>
  <c r="J454" i="474"/>
  <c r="K453" i="474"/>
  <c r="M453" i="474" s="1"/>
  <c r="O453" i="474" s="1"/>
  <c r="J453" i="474"/>
  <c r="K452" i="474"/>
  <c r="M452" i="474" s="1"/>
  <c r="J452" i="474"/>
  <c r="K451" i="474"/>
  <c r="M451" i="474" s="1"/>
  <c r="J451" i="474"/>
  <c r="K450" i="474"/>
  <c r="M450" i="474" s="1"/>
  <c r="J450" i="474"/>
  <c r="K449" i="474"/>
  <c r="M449" i="474" s="1"/>
  <c r="J449" i="474"/>
  <c r="K448" i="474"/>
  <c r="M448" i="474" s="1"/>
  <c r="O448" i="474" s="1"/>
  <c r="J448" i="474"/>
  <c r="K447" i="474"/>
  <c r="M447" i="474" s="1"/>
  <c r="J447" i="474"/>
  <c r="K446" i="474"/>
  <c r="M446" i="474" s="1"/>
  <c r="J446" i="474"/>
  <c r="O445" i="474"/>
  <c r="P444" i="474"/>
  <c r="O444" i="474"/>
  <c r="K443" i="474"/>
  <c r="M443" i="474" s="1"/>
  <c r="J443" i="474"/>
  <c r="K442" i="474"/>
  <c r="M442" i="474" s="1"/>
  <c r="O442" i="474" s="1"/>
  <c r="J442" i="474"/>
  <c r="K441" i="474"/>
  <c r="M441" i="474" s="1"/>
  <c r="J441" i="474"/>
  <c r="K440" i="474"/>
  <c r="M440" i="474" s="1"/>
  <c r="J440" i="474"/>
  <c r="O439" i="474"/>
  <c r="P438" i="474"/>
  <c r="O438" i="474"/>
  <c r="K437" i="474"/>
  <c r="M437" i="474" s="1"/>
  <c r="O437" i="474" s="1"/>
  <c r="J437" i="474"/>
  <c r="K436" i="474"/>
  <c r="M436" i="474" s="1"/>
  <c r="J436" i="474"/>
  <c r="K435" i="474"/>
  <c r="M435" i="474" s="1"/>
  <c r="J435" i="474"/>
  <c r="K434" i="474"/>
  <c r="M434" i="474" s="1"/>
  <c r="J434" i="474"/>
  <c r="K433" i="474"/>
  <c r="M433" i="474" s="1"/>
  <c r="J433" i="474"/>
  <c r="K432" i="474"/>
  <c r="M432" i="474" s="1"/>
  <c r="O432" i="474" s="1"/>
  <c r="J432" i="474"/>
  <c r="O431" i="474"/>
  <c r="P430" i="474"/>
  <c r="O430" i="474"/>
  <c r="K429" i="474"/>
  <c r="M429" i="474" s="1"/>
  <c r="N429" i="474" s="1"/>
  <c r="J429" i="474"/>
  <c r="K428" i="474"/>
  <c r="M428" i="474" s="1"/>
  <c r="O428" i="474" s="1"/>
  <c r="J428" i="474"/>
  <c r="K427" i="474"/>
  <c r="M427" i="474" s="1"/>
  <c r="J427" i="474"/>
  <c r="K426" i="474"/>
  <c r="M426" i="474" s="1"/>
  <c r="J426" i="474"/>
  <c r="O425" i="474"/>
  <c r="P424" i="474"/>
  <c r="O424" i="474"/>
  <c r="K423" i="474"/>
  <c r="M423" i="474" s="1"/>
  <c r="J423" i="474"/>
  <c r="K422" i="474"/>
  <c r="M422" i="474" s="1"/>
  <c r="O422" i="474" s="1"/>
  <c r="J422" i="474"/>
  <c r="K421" i="474"/>
  <c r="M421" i="474" s="1"/>
  <c r="J421" i="474"/>
  <c r="K420" i="474"/>
  <c r="M420" i="474" s="1"/>
  <c r="J420" i="474"/>
  <c r="K419" i="474"/>
  <c r="M419" i="474" s="1"/>
  <c r="O419" i="474" s="1"/>
  <c r="J419" i="474"/>
  <c r="O418" i="474"/>
  <c r="P417" i="474"/>
  <c r="O417" i="474"/>
  <c r="K416" i="474"/>
  <c r="M416" i="474" s="1"/>
  <c r="J416" i="474"/>
  <c r="K415" i="474"/>
  <c r="M415" i="474" s="1"/>
  <c r="J415" i="474"/>
  <c r="K414" i="474"/>
  <c r="M414" i="474" s="1"/>
  <c r="J414" i="474"/>
  <c r="K413" i="474"/>
  <c r="M413" i="474" s="1"/>
  <c r="O413" i="474" s="1"/>
  <c r="J413" i="474"/>
  <c r="K412" i="474"/>
  <c r="M412" i="474" s="1"/>
  <c r="J412" i="474"/>
  <c r="O411" i="474"/>
  <c r="P410" i="474"/>
  <c r="O410" i="474"/>
  <c r="K409" i="474"/>
  <c r="M409" i="474" s="1"/>
  <c r="O409" i="474" s="1"/>
  <c r="J409" i="474"/>
  <c r="K408" i="474"/>
  <c r="M408" i="474" s="1"/>
  <c r="J408" i="474"/>
  <c r="K407" i="474"/>
  <c r="M407" i="474" s="1"/>
  <c r="J407" i="474"/>
  <c r="O406" i="474"/>
  <c r="P405" i="474"/>
  <c r="O405" i="474"/>
  <c r="K404" i="474"/>
  <c r="M404" i="474" s="1"/>
  <c r="J404" i="474"/>
  <c r="J403" i="474" s="1"/>
  <c r="O403" i="474"/>
  <c r="P402" i="474"/>
  <c r="O402" i="474"/>
  <c r="K401" i="474"/>
  <c r="M401" i="474" s="1"/>
  <c r="J401" i="474"/>
  <c r="K400" i="474"/>
  <c r="M400" i="474" s="1"/>
  <c r="N400" i="474" s="1"/>
  <c r="P400" i="474" s="1"/>
  <c r="J400" i="474"/>
  <c r="K399" i="474"/>
  <c r="M399" i="474" s="1"/>
  <c r="O399" i="474" s="1"/>
  <c r="J399" i="474"/>
  <c r="K398" i="474"/>
  <c r="M398" i="474" s="1"/>
  <c r="J398" i="474"/>
  <c r="K397" i="474"/>
  <c r="M397" i="474" s="1"/>
  <c r="J397" i="474"/>
  <c r="K396" i="474"/>
  <c r="M396" i="474" s="1"/>
  <c r="J396" i="474"/>
  <c r="K395" i="474"/>
  <c r="M395" i="474" s="1"/>
  <c r="J395" i="474"/>
  <c r="K394" i="474"/>
  <c r="M394" i="474" s="1"/>
  <c r="O394" i="474" s="1"/>
  <c r="J394" i="474"/>
  <c r="K393" i="474"/>
  <c r="M393" i="474" s="1"/>
  <c r="J393" i="474"/>
  <c r="K392" i="474"/>
  <c r="M392" i="474" s="1"/>
  <c r="N392" i="474" s="1"/>
  <c r="P392" i="474" s="1"/>
  <c r="J392" i="474"/>
  <c r="K391" i="474"/>
  <c r="M391" i="474" s="1"/>
  <c r="O391" i="474" s="1"/>
  <c r="J391" i="474"/>
  <c r="O390" i="474"/>
  <c r="P389" i="474"/>
  <c r="O389" i="474"/>
  <c r="K388" i="474"/>
  <c r="M388" i="474" s="1"/>
  <c r="J388" i="474"/>
  <c r="J387" i="474" s="1"/>
  <c r="O387" i="474"/>
  <c r="O386" i="474"/>
  <c r="K385" i="474"/>
  <c r="M385" i="474" s="1"/>
  <c r="J385" i="474"/>
  <c r="K384" i="474"/>
  <c r="M384" i="474" s="1"/>
  <c r="J384" i="474"/>
  <c r="O383" i="474"/>
  <c r="O382" i="474"/>
  <c r="P381" i="474"/>
  <c r="O381" i="474"/>
  <c r="K380" i="474"/>
  <c r="M380" i="474" s="1"/>
  <c r="J380" i="474"/>
  <c r="K379" i="474"/>
  <c r="M379" i="474" s="1"/>
  <c r="J379" i="474"/>
  <c r="K378" i="474"/>
  <c r="M378" i="474" s="1"/>
  <c r="J378" i="474"/>
  <c r="O377" i="474"/>
  <c r="P376" i="474"/>
  <c r="O376" i="474"/>
  <c r="M375" i="474"/>
  <c r="O375" i="474" s="1"/>
  <c r="J375" i="474"/>
  <c r="J374" i="474" s="1"/>
  <c r="O374" i="474"/>
  <c r="O373" i="474"/>
  <c r="O372" i="474"/>
  <c r="P371" i="474"/>
  <c r="O371" i="474"/>
  <c r="K370" i="474"/>
  <c r="M370" i="474" s="1"/>
  <c r="J370" i="474"/>
  <c r="K369" i="474"/>
  <c r="M369" i="474" s="1"/>
  <c r="O369" i="474" s="1"/>
  <c r="J369" i="474"/>
  <c r="K368" i="474"/>
  <c r="M368" i="474" s="1"/>
  <c r="O368" i="474" s="1"/>
  <c r="J368" i="474"/>
  <c r="K367" i="474"/>
  <c r="M367" i="474" s="1"/>
  <c r="J367" i="474"/>
  <c r="K366" i="474"/>
  <c r="M366" i="474" s="1"/>
  <c r="J366" i="474"/>
  <c r="O365" i="474"/>
  <c r="O364" i="474"/>
  <c r="P363" i="474"/>
  <c r="O363" i="474"/>
  <c r="K362" i="474"/>
  <c r="M362" i="474" s="1"/>
  <c r="J362" i="474"/>
  <c r="K361" i="474"/>
  <c r="M361" i="474" s="1"/>
  <c r="J361" i="474"/>
  <c r="K360" i="474"/>
  <c r="M360" i="474" s="1"/>
  <c r="J360" i="474"/>
  <c r="K359" i="474"/>
  <c r="M359" i="474" s="1"/>
  <c r="J359" i="474"/>
  <c r="O358" i="474"/>
  <c r="P357" i="474"/>
  <c r="O357" i="474"/>
  <c r="K356" i="474"/>
  <c r="M356" i="474" s="1"/>
  <c r="N356" i="474" s="1"/>
  <c r="J356" i="474"/>
  <c r="K355" i="474"/>
  <c r="M355" i="474" s="1"/>
  <c r="O355" i="474" s="1"/>
  <c r="J355" i="474"/>
  <c r="K354" i="474"/>
  <c r="M354" i="474" s="1"/>
  <c r="J354" i="474"/>
  <c r="K353" i="474"/>
  <c r="M353" i="474" s="1"/>
  <c r="J353" i="474"/>
  <c r="K352" i="474"/>
  <c r="M352" i="474" s="1"/>
  <c r="J352" i="474"/>
  <c r="K351" i="474"/>
  <c r="M351" i="474" s="1"/>
  <c r="J351" i="474"/>
  <c r="K350" i="474"/>
  <c r="M350" i="474" s="1"/>
  <c r="O350" i="474" s="1"/>
  <c r="J350" i="474"/>
  <c r="K349" i="474"/>
  <c r="M349" i="474" s="1"/>
  <c r="J349" i="474"/>
  <c r="K348" i="474"/>
  <c r="M348" i="474" s="1"/>
  <c r="N348" i="474" s="1"/>
  <c r="P348" i="474" s="1"/>
  <c r="J348" i="474"/>
  <c r="K347" i="474"/>
  <c r="M347" i="474" s="1"/>
  <c r="J347" i="474"/>
  <c r="K346" i="474"/>
  <c r="M346" i="474" s="1"/>
  <c r="N346" i="474" s="1"/>
  <c r="J346" i="474"/>
  <c r="K345" i="474"/>
  <c r="M345" i="474" s="1"/>
  <c r="J345" i="474"/>
  <c r="K344" i="474"/>
  <c r="M344" i="474" s="1"/>
  <c r="O344" i="474" s="1"/>
  <c r="J344" i="474"/>
  <c r="K343" i="474"/>
  <c r="M343" i="474" s="1"/>
  <c r="J343" i="474"/>
  <c r="K342" i="474"/>
  <c r="M342" i="474" s="1"/>
  <c r="J342" i="474"/>
  <c r="K341" i="474"/>
  <c r="M341" i="474" s="1"/>
  <c r="J341" i="474"/>
  <c r="K340" i="474"/>
  <c r="M340" i="474" s="1"/>
  <c r="N340" i="474" s="1"/>
  <c r="P340" i="474" s="1"/>
  <c r="J340" i="474"/>
  <c r="K339" i="474"/>
  <c r="M339" i="474" s="1"/>
  <c r="J339" i="474"/>
  <c r="K338" i="474"/>
  <c r="M338" i="474" s="1"/>
  <c r="J338" i="474"/>
  <c r="O337" i="474"/>
  <c r="O336" i="474"/>
  <c r="P335" i="474"/>
  <c r="O335" i="474"/>
  <c r="K334" i="474"/>
  <c r="M334" i="474" s="1"/>
  <c r="J334" i="474"/>
  <c r="K333" i="474"/>
  <c r="M333" i="474" s="1"/>
  <c r="J333" i="474"/>
  <c r="K332" i="474"/>
  <c r="M332" i="474" s="1"/>
  <c r="O332" i="474" s="1"/>
  <c r="J332" i="474"/>
  <c r="K331" i="474"/>
  <c r="M331" i="474" s="1"/>
  <c r="J331" i="474"/>
  <c r="O330" i="474"/>
  <c r="O329" i="474"/>
  <c r="P328" i="474"/>
  <c r="O328" i="474"/>
  <c r="K327" i="474"/>
  <c r="M327" i="474" s="1"/>
  <c r="O327" i="474" s="1"/>
  <c r="J327" i="474"/>
  <c r="J326" i="474" s="1"/>
  <c r="O326" i="474"/>
  <c r="P325" i="474"/>
  <c r="O325" i="474"/>
  <c r="K324" i="474"/>
  <c r="M324" i="474" s="1"/>
  <c r="J324" i="474"/>
  <c r="K323" i="474"/>
  <c r="M323" i="474" s="1"/>
  <c r="J323" i="474"/>
  <c r="K322" i="474"/>
  <c r="M322" i="474" s="1"/>
  <c r="O322" i="474" s="1"/>
  <c r="J322" i="474"/>
  <c r="K321" i="474"/>
  <c r="M321" i="474" s="1"/>
  <c r="J321" i="474"/>
  <c r="K320" i="474"/>
  <c r="M320" i="474" s="1"/>
  <c r="J320" i="474"/>
  <c r="K319" i="474"/>
  <c r="M319" i="474" s="1"/>
  <c r="N319" i="474" s="1"/>
  <c r="J319" i="474"/>
  <c r="K318" i="474"/>
  <c r="M318" i="474" s="1"/>
  <c r="O318" i="474" s="1"/>
  <c r="J318" i="474"/>
  <c r="K317" i="474"/>
  <c r="M317" i="474" s="1"/>
  <c r="J317" i="474"/>
  <c r="K316" i="474"/>
  <c r="M316" i="474" s="1"/>
  <c r="J316" i="474"/>
  <c r="K315" i="474"/>
  <c r="M315" i="474" s="1"/>
  <c r="J315" i="474"/>
  <c r="K314" i="474"/>
  <c r="M314" i="474" s="1"/>
  <c r="O314" i="474" s="1"/>
  <c r="J314" i="474"/>
  <c r="K313" i="474"/>
  <c r="M313" i="474" s="1"/>
  <c r="J313" i="474"/>
  <c r="K312" i="474"/>
  <c r="M312" i="474" s="1"/>
  <c r="J312" i="474"/>
  <c r="K311" i="474"/>
  <c r="M311" i="474" s="1"/>
  <c r="J311" i="474"/>
  <c r="O310" i="474"/>
  <c r="P309" i="474"/>
  <c r="O309" i="474"/>
  <c r="K308" i="474"/>
  <c r="M308" i="474" s="1"/>
  <c r="J308" i="474"/>
  <c r="J307" i="474" s="1"/>
  <c r="O307" i="474"/>
  <c r="P306" i="474"/>
  <c r="O306" i="474"/>
  <c r="M305" i="474"/>
  <c r="J305" i="474"/>
  <c r="M304" i="474"/>
  <c r="N304" i="474" s="1"/>
  <c r="J304" i="474"/>
  <c r="K303" i="474"/>
  <c r="M303" i="474" s="1"/>
  <c r="N303" i="474" s="1"/>
  <c r="J303" i="474"/>
  <c r="K302" i="474"/>
  <c r="M302" i="474" s="1"/>
  <c r="O302" i="474" s="1"/>
  <c r="J302" i="474"/>
  <c r="K301" i="474"/>
  <c r="M301" i="474" s="1"/>
  <c r="J301" i="474"/>
  <c r="K300" i="474"/>
  <c r="M300" i="474" s="1"/>
  <c r="J300" i="474"/>
  <c r="K299" i="474"/>
  <c r="M299" i="474" s="1"/>
  <c r="J299" i="474"/>
  <c r="K298" i="474"/>
  <c r="M298" i="474" s="1"/>
  <c r="J298" i="474"/>
  <c r="K297" i="474"/>
  <c r="M297" i="474" s="1"/>
  <c r="J297" i="474"/>
  <c r="K296" i="474"/>
  <c r="M296" i="474" s="1"/>
  <c r="J296" i="474"/>
  <c r="K295" i="474"/>
  <c r="M295" i="474" s="1"/>
  <c r="O295" i="474" s="1"/>
  <c r="J295" i="474"/>
  <c r="M294" i="474"/>
  <c r="N294" i="474" s="1"/>
  <c r="J294" i="474"/>
  <c r="O293" i="474"/>
  <c r="O292" i="474"/>
  <c r="P291" i="474"/>
  <c r="O291" i="474"/>
  <c r="K290" i="474"/>
  <c r="M290" i="474" s="1"/>
  <c r="N290" i="474" s="1"/>
  <c r="J290" i="474"/>
  <c r="K289" i="474"/>
  <c r="M289" i="474" s="1"/>
  <c r="J289" i="474"/>
  <c r="K288" i="474"/>
  <c r="M288" i="474" s="1"/>
  <c r="N288" i="474" s="1"/>
  <c r="J288" i="474"/>
  <c r="K287" i="474"/>
  <c r="M287" i="474" s="1"/>
  <c r="O287" i="474" s="1"/>
  <c r="J287" i="474"/>
  <c r="K286" i="474"/>
  <c r="M286" i="474" s="1"/>
  <c r="J286" i="474"/>
  <c r="K285" i="474"/>
  <c r="M285" i="474" s="1"/>
  <c r="J285" i="474"/>
  <c r="K284" i="474"/>
  <c r="M284" i="474" s="1"/>
  <c r="J284" i="474"/>
  <c r="K283" i="474"/>
  <c r="M283" i="474" s="1"/>
  <c r="J283" i="474"/>
  <c r="K282" i="474"/>
  <c r="M282" i="474" s="1"/>
  <c r="N282" i="474" s="1"/>
  <c r="J282" i="474"/>
  <c r="K281" i="474"/>
  <c r="M281" i="474" s="1"/>
  <c r="O281" i="474" s="1"/>
  <c r="J281" i="474"/>
  <c r="K280" i="474"/>
  <c r="M280" i="474" s="1"/>
  <c r="J280" i="474"/>
  <c r="O279" i="474"/>
  <c r="P278" i="474"/>
  <c r="O278" i="474"/>
  <c r="K277" i="474"/>
  <c r="M277" i="474" s="1"/>
  <c r="J277" i="474"/>
  <c r="K276" i="474"/>
  <c r="M276" i="474" s="1"/>
  <c r="J276" i="474"/>
  <c r="K275" i="474"/>
  <c r="M275" i="474" s="1"/>
  <c r="J275" i="474"/>
  <c r="K274" i="474"/>
  <c r="M274" i="474" s="1"/>
  <c r="J274" i="474"/>
  <c r="O273" i="474"/>
  <c r="P272" i="474"/>
  <c r="O272" i="474"/>
  <c r="K271" i="474"/>
  <c r="M271" i="474" s="1"/>
  <c r="O271" i="474" s="1"/>
  <c r="J271" i="474"/>
  <c r="K270" i="474"/>
  <c r="I270" i="474"/>
  <c r="J270" i="474" s="1"/>
  <c r="K269" i="474"/>
  <c r="M269" i="474" s="1"/>
  <c r="N269" i="474" s="1"/>
  <c r="J269" i="474"/>
  <c r="K268" i="474"/>
  <c r="I268" i="474"/>
  <c r="J268" i="474" s="1"/>
  <c r="K267" i="474"/>
  <c r="M267" i="474" s="1"/>
  <c r="O267" i="474" s="1"/>
  <c r="J267" i="474"/>
  <c r="K266" i="474"/>
  <c r="M266" i="474" s="1"/>
  <c r="J266" i="474"/>
  <c r="O265" i="474"/>
  <c r="P264" i="474"/>
  <c r="O264" i="474"/>
  <c r="K263" i="474"/>
  <c r="I263" i="474"/>
  <c r="J263" i="474" s="1"/>
  <c r="K262" i="474"/>
  <c r="I262" i="474"/>
  <c r="J262" i="474" s="1"/>
  <c r="M261" i="474"/>
  <c r="O261" i="474" s="1"/>
  <c r="J261" i="474"/>
  <c r="K260" i="474"/>
  <c r="I260" i="474"/>
  <c r="O259" i="474"/>
  <c r="P258" i="474"/>
  <c r="O258" i="474"/>
  <c r="K257" i="474"/>
  <c r="I257" i="474"/>
  <c r="M256" i="474"/>
  <c r="N256" i="474" s="1"/>
  <c r="J256" i="474"/>
  <c r="M255" i="474"/>
  <c r="J255" i="474"/>
  <c r="M254" i="474"/>
  <c r="O254" i="474" s="1"/>
  <c r="J254" i="474"/>
  <c r="M253" i="474"/>
  <c r="O253" i="474" s="1"/>
  <c r="J253" i="474"/>
  <c r="O252" i="474"/>
  <c r="P251" i="474"/>
  <c r="O251" i="474"/>
  <c r="M250" i="474"/>
  <c r="O250" i="474" s="1"/>
  <c r="J250" i="474"/>
  <c r="M249" i="474"/>
  <c r="N249" i="474" s="1"/>
  <c r="P249" i="474" s="1"/>
  <c r="J249" i="474"/>
  <c r="M248" i="474"/>
  <c r="N248" i="474" s="1"/>
  <c r="J248" i="474"/>
  <c r="M247" i="474"/>
  <c r="O247" i="474" s="1"/>
  <c r="J247" i="474"/>
  <c r="M246" i="474"/>
  <c r="O246" i="474" s="1"/>
  <c r="J246" i="474"/>
  <c r="O245" i="474"/>
  <c r="P244" i="474"/>
  <c r="O244" i="474"/>
  <c r="K243" i="474"/>
  <c r="M243" i="474" s="1"/>
  <c r="J243" i="474"/>
  <c r="K242" i="474"/>
  <c r="M242" i="474" s="1"/>
  <c r="N242" i="474" s="1"/>
  <c r="J242" i="474"/>
  <c r="K241" i="474"/>
  <c r="M241" i="474" s="1"/>
  <c r="J241" i="474"/>
  <c r="O240" i="474"/>
  <c r="P239" i="474"/>
  <c r="O239" i="474"/>
  <c r="K238" i="474"/>
  <c r="M238" i="474" s="1"/>
  <c r="O238" i="474" s="1"/>
  <c r="J238" i="474"/>
  <c r="J237" i="474" s="1"/>
  <c r="O237" i="474"/>
  <c r="M235" i="474"/>
  <c r="N235" i="474" s="1"/>
  <c r="P235" i="474" s="1"/>
  <c r="J235" i="474"/>
  <c r="M234" i="474"/>
  <c r="O234" i="474" s="1"/>
  <c r="J234" i="474"/>
  <c r="K233" i="474"/>
  <c r="M233" i="474" s="1"/>
  <c r="O233" i="474" s="1"/>
  <c r="J233" i="474"/>
  <c r="M232" i="474"/>
  <c r="O232" i="474" s="1"/>
  <c r="J232" i="474"/>
  <c r="M231" i="474"/>
  <c r="O231" i="474" s="1"/>
  <c r="J231" i="474"/>
  <c r="M230" i="474"/>
  <c r="O230" i="474" s="1"/>
  <c r="J230" i="474"/>
  <c r="M229" i="474"/>
  <c r="O229" i="474" s="1"/>
  <c r="J229" i="474"/>
  <c r="K228" i="474"/>
  <c r="M228" i="474" s="1"/>
  <c r="J228" i="474"/>
  <c r="K227" i="474"/>
  <c r="M227" i="474" s="1"/>
  <c r="J227" i="474"/>
  <c r="K226" i="474"/>
  <c r="M226" i="474" s="1"/>
  <c r="N226" i="474" s="1"/>
  <c r="J226" i="474"/>
  <c r="K225" i="474"/>
  <c r="I225" i="474"/>
  <c r="J225" i="474" s="1"/>
  <c r="O224" i="474"/>
  <c r="P223" i="474"/>
  <c r="O223" i="474"/>
  <c r="M222" i="474"/>
  <c r="O222" i="474" s="1"/>
  <c r="J222" i="474"/>
  <c r="J221" i="474" s="1"/>
  <c r="O221" i="474"/>
  <c r="O220" i="474"/>
  <c r="I219" i="474"/>
  <c r="J219" i="474" s="1"/>
  <c r="I218" i="474"/>
  <c r="J218" i="474" s="1"/>
  <c r="O217" i="474"/>
  <c r="O216" i="474"/>
  <c r="P215" i="474"/>
  <c r="O215" i="474"/>
  <c r="M214" i="474"/>
  <c r="N214" i="474" s="1"/>
  <c r="P214" i="474" s="1"/>
  <c r="J214" i="474"/>
  <c r="M213" i="474"/>
  <c r="J213" i="474"/>
  <c r="O212" i="474"/>
  <c r="P211" i="474"/>
  <c r="O211" i="474"/>
  <c r="K210" i="474"/>
  <c r="M210" i="474" s="1"/>
  <c r="J210" i="474"/>
  <c r="J209" i="474" s="1"/>
  <c r="O209" i="474"/>
  <c r="O208" i="474"/>
  <c r="O207" i="474"/>
  <c r="P206" i="474"/>
  <c r="O206" i="474"/>
  <c r="K205" i="474"/>
  <c r="M205" i="474" s="1"/>
  <c r="O205" i="474" s="1"/>
  <c r="J205" i="474"/>
  <c r="K204" i="474"/>
  <c r="M204" i="474" s="1"/>
  <c r="J204" i="474"/>
  <c r="K203" i="474"/>
  <c r="M203" i="474" s="1"/>
  <c r="O203" i="474" s="1"/>
  <c r="J203" i="474"/>
  <c r="K202" i="474"/>
  <c r="M202" i="474" s="1"/>
  <c r="N202" i="474" s="1"/>
  <c r="J202" i="474"/>
  <c r="K201" i="474"/>
  <c r="M201" i="474" s="1"/>
  <c r="O201" i="474" s="1"/>
  <c r="J201" i="474"/>
  <c r="O200" i="474"/>
  <c r="O199" i="474"/>
  <c r="P198" i="474"/>
  <c r="O198" i="474"/>
  <c r="K197" i="474"/>
  <c r="M197" i="474" s="1"/>
  <c r="J197" i="474"/>
  <c r="K196" i="474"/>
  <c r="M196" i="474" s="1"/>
  <c r="O196" i="474" s="1"/>
  <c r="J196" i="474"/>
  <c r="K195" i="474"/>
  <c r="M195" i="474" s="1"/>
  <c r="N195" i="474" s="1"/>
  <c r="J195" i="474"/>
  <c r="K194" i="474"/>
  <c r="M194" i="474" s="1"/>
  <c r="N194" i="474" s="1"/>
  <c r="J194" i="474"/>
  <c r="O193" i="474"/>
  <c r="P192" i="474"/>
  <c r="O192" i="474"/>
  <c r="K191" i="474"/>
  <c r="M191" i="474" s="1"/>
  <c r="J191" i="474"/>
  <c r="K190" i="474"/>
  <c r="M190" i="474" s="1"/>
  <c r="N190" i="474" s="1"/>
  <c r="P190" i="474" s="1"/>
  <c r="J190" i="474"/>
  <c r="K189" i="474"/>
  <c r="M189" i="474" s="1"/>
  <c r="J189" i="474"/>
  <c r="K188" i="474"/>
  <c r="M188" i="474" s="1"/>
  <c r="J188" i="474"/>
  <c r="K187" i="474"/>
  <c r="M187" i="474" s="1"/>
  <c r="O187" i="474" s="1"/>
  <c r="J187" i="474"/>
  <c r="K186" i="474"/>
  <c r="M186" i="474" s="1"/>
  <c r="N186" i="474" s="1"/>
  <c r="J186" i="474"/>
  <c r="K185" i="474"/>
  <c r="M185" i="474" s="1"/>
  <c r="J185" i="474"/>
  <c r="K184" i="474"/>
  <c r="M184" i="474" s="1"/>
  <c r="O184" i="474" s="1"/>
  <c r="J184" i="474"/>
  <c r="K183" i="474"/>
  <c r="M183" i="474" s="1"/>
  <c r="J183" i="474"/>
  <c r="K182" i="474"/>
  <c r="M182" i="474" s="1"/>
  <c r="N182" i="474" s="1"/>
  <c r="P182" i="474" s="1"/>
  <c r="J182" i="474"/>
  <c r="K181" i="474"/>
  <c r="M181" i="474" s="1"/>
  <c r="J181" i="474"/>
  <c r="K180" i="474"/>
  <c r="M180" i="474" s="1"/>
  <c r="J180" i="474"/>
  <c r="K179" i="474"/>
  <c r="M179" i="474" s="1"/>
  <c r="O179" i="474" s="1"/>
  <c r="J179" i="474"/>
  <c r="K178" i="474"/>
  <c r="M178" i="474" s="1"/>
  <c r="N178" i="474" s="1"/>
  <c r="J178" i="474"/>
  <c r="K177" i="474"/>
  <c r="M177" i="474" s="1"/>
  <c r="J177" i="474"/>
  <c r="K176" i="474"/>
  <c r="M176" i="474" s="1"/>
  <c r="O176" i="474" s="1"/>
  <c r="J176" i="474"/>
  <c r="K175" i="474"/>
  <c r="M175" i="474" s="1"/>
  <c r="J175" i="474"/>
  <c r="K174" i="474"/>
  <c r="M174" i="474" s="1"/>
  <c r="N174" i="474" s="1"/>
  <c r="P174" i="474" s="1"/>
  <c r="J174" i="474"/>
  <c r="K173" i="474"/>
  <c r="M173" i="474" s="1"/>
  <c r="J173" i="474"/>
  <c r="O172" i="474"/>
  <c r="O171" i="474"/>
  <c r="P170" i="474"/>
  <c r="O170" i="474"/>
  <c r="K169" i="474"/>
  <c r="M169" i="474" s="1"/>
  <c r="O169" i="474" s="1"/>
  <c r="J169" i="474"/>
  <c r="K168" i="474"/>
  <c r="M168" i="474" s="1"/>
  <c r="J168" i="474"/>
  <c r="K167" i="474"/>
  <c r="M167" i="474" s="1"/>
  <c r="N167" i="474" s="1"/>
  <c r="P167" i="474" s="1"/>
  <c r="J167" i="474"/>
  <c r="O166" i="474"/>
  <c r="O165" i="474"/>
  <c r="P164" i="474"/>
  <c r="O164" i="474"/>
  <c r="K163" i="474"/>
  <c r="M163" i="474" s="1"/>
  <c r="O163" i="474" s="1"/>
  <c r="J163" i="474"/>
  <c r="J162" i="474" s="1"/>
  <c r="O162" i="474"/>
  <c r="P161" i="474"/>
  <c r="O161" i="474"/>
  <c r="K160" i="474"/>
  <c r="M160" i="474" s="1"/>
  <c r="J160" i="474"/>
  <c r="K159" i="474"/>
  <c r="M159" i="474" s="1"/>
  <c r="N159" i="474" s="1"/>
  <c r="P159" i="474" s="1"/>
  <c r="J159" i="474"/>
  <c r="K158" i="474"/>
  <c r="M158" i="474" s="1"/>
  <c r="O158" i="474" s="1"/>
  <c r="J158" i="474"/>
  <c r="K157" i="474"/>
  <c r="M157" i="474" s="1"/>
  <c r="J157" i="474"/>
  <c r="K156" i="474"/>
  <c r="M156" i="474" s="1"/>
  <c r="O156" i="474" s="1"/>
  <c r="J156" i="474"/>
  <c r="K155" i="474"/>
  <c r="M155" i="474" s="1"/>
  <c r="N155" i="474" s="1"/>
  <c r="P155" i="474" s="1"/>
  <c r="J155" i="474"/>
  <c r="K154" i="474"/>
  <c r="M154" i="474" s="1"/>
  <c r="O154" i="474" s="1"/>
  <c r="J154" i="474"/>
  <c r="K153" i="474"/>
  <c r="M153" i="474" s="1"/>
  <c r="J153" i="474"/>
  <c r="K152" i="474"/>
  <c r="M152" i="474" s="1"/>
  <c r="J152" i="474"/>
  <c r="K151" i="474"/>
  <c r="M151" i="474" s="1"/>
  <c r="N151" i="474" s="1"/>
  <c r="P151" i="474" s="1"/>
  <c r="J151" i="474"/>
  <c r="K150" i="474"/>
  <c r="M150" i="474" s="1"/>
  <c r="O150" i="474" s="1"/>
  <c r="J150" i="474"/>
  <c r="K149" i="474"/>
  <c r="I149" i="474"/>
  <c r="J149" i="474" s="1"/>
  <c r="O148" i="474"/>
  <c r="P147" i="474"/>
  <c r="O147" i="474"/>
  <c r="K146" i="474"/>
  <c r="M146" i="474" s="1"/>
  <c r="O146" i="474" s="1"/>
  <c r="J146" i="474"/>
  <c r="J145" i="474" s="1"/>
  <c r="O145" i="474"/>
  <c r="P144" i="474"/>
  <c r="O144" i="474"/>
  <c r="K143" i="474"/>
  <c r="M143" i="474" s="1"/>
  <c r="O143" i="474" s="1"/>
  <c r="J143" i="474"/>
  <c r="K142" i="474"/>
  <c r="M142" i="474" s="1"/>
  <c r="O142" i="474" s="1"/>
  <c r="J142" i="474"/>
  <c r="K141" i="474"/>
  <c r="M141" i="474" s="1"/>
  <c r="J141" i="474"/>
  <c r="K140" i="474"/>
  <c r="M140" i="474" s="1"/>
  <c r="N140" i="474" s="1"/>
  <c r="P140" i="474" s="1"/>
  <c r="J140" i="474"/>
  <c r="K139" i="474"/>
  <c r="M139" i="474" s="1"/>
  <c r="O139" i="474" s="1"/>
  <c r="J139" i="474"/>
  <c r="K138" i="474"/>
  <c r="M138" i="474" s="1"/>
  <c r="O138" i="474" s="1"/>
  <c r="J138" i="474"/>
  <c r="K137" i="474"/>
  <c r="M137" i="474" s="1"/>
  <c r="J137" i="474"/>
  <c r="K136" i="474"/>
  <c r="I136" i="474"/>
  <c r="J136" i="474" s="1"/>
  <c r="K135" i="474"/>
  <c r="M135" i="474" s="1"/>
  <c r="N135" i="474" s="1"/>
  <c r="P135" i="474" s="1"/>
  <c r="J135" i="474"/>
  <c r="K134" i="474"/>
  <c r="I134" i="474"/>
  <c r="J134" i="474" s="1"/>
  <c r="K133" i="474"/>
  <c r="I133" i="474"/>
  <c r="J133" i="474" s="1"/>
  <c r="K132" i="474"/>
  <c r="I132" i="474"/>
  <c r="J132" i="474" s="1"/>
  <c r="O131" i="474"/>
  <c r="O130" i="474"/>
  <c r="P129" i="474"/>
  <c r="O129" i="474"/>
  <c r="K128" i="474"/>
  <c r="M128" i="474" s="1"/>
  <c r="J128" i="474"/>
  <c r="K127" i="474"/>
  <c r="M127" i="474" s="1"/>
  <c r="J127" i="474"/>
  <c r="K126" i="474"/>
  <c r="M126" i="474" s="1"/>
  <c r="J126" i="474"/>
  <c r="K125" i="474"/>
  <c r="M125" i="474" s="1"/>
  <c r="N125" i="474" s="1"/>
  <c r="P125" i="474" s="1"/>
  <c r="J125" i="474"/>
  <c r="K124" i="474"/>
  <c r="M124" i="474" s="1"/>
  <c r="N124" i="474" s="1"/>
  <c r="J124" i="474"/>
  <c r="K123" i="474"/>
  <c r="M123" i="474" s="1"/>
  <c r="O123" i="474" s="1"/>
  <c r="J123" i="474"/>
  <c r="K122" i="474"/>
  <c r="M122" i="474" s="1"/>
  <c r="J122" i="474"/>
  <c r="K121" i="474"/>
  <c r="M121" i="474" s="1"/>
  <c r="J121" i="474"/>
  <c r="K120" i="474"/>
  <c r="M120" i="474" s="1"/>
  <c r="J120" i="474"/>
  <c r="K119" i="474"/>
  <c r="M119" i="474" s="1"/>
  <c r="J119" i="474"/>
  <c r="K118" i="474"/>
  <c r="M118" i="474" s="1"/>
  <c r="J118" i="474"/>
  <c r="O117" i="474"/>
  <c r="P116" i="474"/>
  <c r="O116" i="474"/>
  <c r="K115" i="474"/>
  <c r="M115" i="474" s="1"/>
  <c r="N115" i="474" s="1"/>
  <c r="J115" i="474"/>
  <c r="K114" i="474"/>
  <c r="M114" i="474" s="1"/>
  <c r="O114" i="474" s="1"/>
  <c r="J114" i="474"/>
  <c r="K113" i="474"/>
  <c r="M113" i="474" s="1"/>
  <c r="J113" i="474"/>
  <c r="K112" i="474"/>
  <c r="M112" i="474" s="1"/>
  <c r="J112" i="474"/>
  <c r="O111" i="474"/>
  <c r="P110" i="474"/>
  <c r="O110" i="474"/>
  <c r="K109" i="474"/>
  <c r="M109" i="474" s="1"/>
  <c r="J109" i="474"/>
  <c r="K108" i="474"/>
  <c r="M108" i="474" s="1"/>
  <c r="O108" i="474" s="1"/>
  <c r="J108" i="474"/>
  <c r="K107" i="474"/>
  <c r="M107" i="474" s="1"/>
  <c r="O107" i="474" s="1"/>
  <c r="J107" i="474"/>
  <c r="K106" i="474"/>
  <c r="M106" i="474" s="1"/>
  <c r="N106" i="474" s="1"/>
  <c r="J106" i="474"/>
  <c r="K105" i="474"/>
  <c r="M105" i="474" s="1"/>
  <c r="O105" i="474" s="1"/>
  <c r="J105" i="474"/>
  <c r="K104" i="474"/>
  <c r="M104" i="474" s="1"/>
  <c r="J104" i="474"/>
  <c r="O103" i="474"/>
  <c r="P102" i="474"/>
  <c r="O102" i="474"/>
  <c r="K101" i="474"/>
  <c r="M101" i="474" s="1"/>
  <c r="J101" i="474"/>
  <c r="K100" i="474"/>
  <c r="M100" i="474" s="1"/>
  <c r="J100" i="474"/>
  <c r="K99" i="474"/>
  <c r="M99" i="474" s="1"/>
  <c r="O99" i="474" s="1"/>
  <c r="J99" i="474"/>
  <c r="K98" i="474"/>
  <c r="M98" i="474" s="1"/>
  <c r="O98" i="474" s="1"/>
  <c r="J98" i="474"/>
  <c r="O97" i="474"/>
  <c r="P96" i="474"/>
  <c r="O96" i="474"/>
  <c r="K95" i="474"/>
  <c r="M95" i="474" s="1"/>
  <c r="O95" i="474" s="1"/>
  <c r="J95" i="474"/>
  <c r="K94" i="474"/>
  <c r="M94" i="474" s="1"/>
  <c r="J94" i="474"/>
  <c r="K93" i="474"/>
  <c r="M93" i="474" s="1"/>
  <c r="J93" i="474"/>
  <c r="K92" i="474"/>
  <c r="M92" i="474" s="1"/>
  <c r="J92" i="474"/>
  <c r="K91" i="474"/>
  <c r="M91" i="474" s="1"/>
  <c r="N91" i="474" s="1"/>
  <c r="P91" i="474" s="1"/>
  <c r="J91" i="474"/>
  <c r="O90" i="474"/>
  <c r="P89" i="474"/>
  <c r="O89" i="474"/>
  <c r="K88" i="474"/>
  <c r="M88" i="474" s="1"/>
  <c r="O88" i="474" s="1"/>
  <c r="J88" i="474"/>
  <c r="K87" i="474"/>
  <c r="M87" i="474" s="1"/>
  <c r="N87" i="474" s="1"/>
  <c r="J87" i="474"/>
  <c r="K86" i="474"/>
  <c r="M86" i="474" s="1"/>
  <c r="O86" i="474" s="1"/>
  <c r="J86" i="474"/>
  <c r="K85" i="474"/>
  <c r="M85" i="474" s="1"/>
  <c r="J85" i="474"/>
  <c r="K84" i="474"/>
  <c r="M84" i="474" s="1"/>
  <c r="J84" i="474"/>
  <c r="O83" i="474"/>
  <c r="P82" i="474"/>
  <c r="O82" i="474"/>
  <c r="K81" i="474"/>
  <c r="M81" i="474" s="1"/>
  <c r="O81" i="474" s="1"/>
  <c r="J81" i="474"/>
  <c r="K80" i="474"/>
  <c r="M80" i="474" s="1"/>
  <c r="J80" i="474"/>
  <c r="K79" i="474"/>
  <c r="M79" i="474" s="1"/>
  <c r="O79" i="474" s="1"/>
  <c r="J79" i="474"/>
  <c r="O78" i="474"/>
  <c r="P77" i="474"/>
  <c r="O77" i="474"/>
  <c r="K76" i="474"/>
  <c r="M76" i="474" s="1"/>
  <c r="O76" i="474" s="1"/>
  <c r="J76" i="474"/>
  <c r="J75" i="474" s="1"/>
  <c r="O75" i="474"/>
  <c r="P74" i="474"/>
  <c r="O74" i="474"/>
  <c r="K73" i="474"/>
  <c r="M73" i="474" s="1"/>
  <c r="J73" i="474"/>
  <c r="K72" i="474"/>
  <c r="M72" i="474" s="1"/>
  <c r="J72" i="474"/>
  <c r="K71" i="474"/>
  <c r="M71" i="474" s="1"/>
  <c r="N71" i="474" s="1"/>
  <c r="P71" i="474" s="1"/>
  <c r="J71" i="474"/>
  <c r="K70" i="474"/>
  <c r="M70" i="474" s="1"/>
  <c r="J70" i="474"/>
  <c r="K69" i="474"/>
  <c r="M69" i="474" s="1"/>
  <c r="O69" i="474" s="1"/>
  <c r="J69" i="474"/>
  <c r="K68" i="474"/>
  <c r="M68" i="474" s="1"/>
  <c r="N68" i="474" s="1"/>
  <c r="J68" i="474"/>
  <c r="K67" i="474"/>
  <c r="M67" i="474" s="1"/>
  <c r="O67" i="474" s="1"/>
  <c r="J67" i="474"/>
  <c r="K66" i="474"/>
  <c r="M66" i="474" s="1"/>
  <c r="J66" i="474"/>
  <c r="K65" i="474"/>
  <c r="M65" i="474" s="1"/>
  <c r="J65" i="474"/>
  <c r="K64" i="474"/>
  <c r="M64" i="474" s="1"/>
  <c r="J64" i="474"/>
  <c r="M63" i="474"/>
  <c r="N63" i="474" s="1"/>
  <c r="P63" i="474" s="1"/>
  <c r="J63" i="474"/>
  <c r="O62" i="474"/>
  <c r="P61" i="474"/>
  <c r="O61" i="474"/>
  <c r="K60" i="474"/>
  <c r="M60" i="474" s="1"/>
  <c r="N60" i="474" s="1"/>
  <c r="N59" i="474" s="1"/>
  <c r="J60" i="474"/>
  <c r="J59" i="474" s="1"/>
  <c r="O59" i="474"/>
  <c r="O58" i="474"/>
  <c r="K57" i="474"/>
  <c r="M57" i="474" s="1"/>
  <c r="O57" i="474" s="1"/>
  <c r="J57" i="474"/>
  <c r="K56" i="474"/>
  <c r="M56" i="474" s="1"/>
  <c r="N56" i="474" s="1"/>
  <c r="J56" i="474"/>
  <c r="K55" i="474"/>
  <c r="M55" i="474" s="1"/>
  <c r="O55" i="474" s="1"/>
  <c r="J55" i="474"/>
  <c r="K54" i="474"/>
  <c r="M54" i="474" s="1"/>
  <c r="J54" i="474"/>
  <c r="O53" i="474"/>
  <c r="O52" i="474"/>
  <c r="P51" i="474"/>
  <c r="O51" i="474"/>
  <c r="K50" i="474"/>
  <c r="M50" i="474" s="1"/>
  <c r="O50" i="474" s="1"/>
  <c r="J50" i="474"/>
  <c r="K49" i="474"/>
  <c r="M49" i="474" s="1"/>
  <c r="N49" i="474" s="1"/>
  <c r="J49" i="474"/>
  <c r="O48" i="474"/>
  <c r="P47" i="474"/>
  <c r="O47" i="474"/>
  <c r="K46" i="474"/>
  <c r="I46" i="474"/>
  <c r="J46" i="474" s="1"/>
  <c r="J45" i="474" s="1"/>
  <c r="O45" i="474"/>
  <c r="O44" i="474"/>
  <c r="O43" i="474"/>
  <c r="K42" i="474"/>
  <c r="M42" i="474" s="1"/>
  <c r="J42" i="474"/>
  <c r="J41" i="474" s="1"/>
  <c r="J40" i="474" s="1"/>
  <c r="O41" i="474"/>
  <c r="O40" i="474"/>
  <c r="P39" i="474"/>
  <c r="O39" i="474"/>
  <c r="K38" i="474"/>
  <c r="M38" i="474" s="1"/>
  <c r="N38" i="474" s="1"/>
  <c r="J38" i="474"/>
  <c r="K37" i="474"/>
  <c r="I37" i="474"/>
  <c r="J37" i="474" s="1"/>
  <c r="K36" i="474"/>
  <c r="I36" i="474"/>
  <c r="J36" i="474" s="1"/>
  <c r="I35" i="474"/>
  <c r="M35" i="474" s="1"/>
  <c r="O35" i="474" s="1"/>
  <c r="K34" i="474"/>
  <c r="I34" i="474"/>
  <c r="J34" i="474" s="1"/>
  <c r="K33" i="474"/>
  <c r="I33" i="474"/>
  <c r="J33" i="474" s="1"/>
  <c r="O32" i="474"/>
  <c r="P31" i="474"/>
  <c r="O31" i="474"/>
  <c r="K30" i="474"/>
  <c r="M30" i="474" s="1"/>
  <c r="J30" i="474"/>
  <c r="K29" i="474"/>
  <c r="M29" i="474" s="1"/>
  <c r="J29" i="474"/>
  <c r="K28" i="474"/>
  <c r="M28" i="474" s="1"/>
  <c r="J28" i="474"/>
  <c r="I27" i="474"/>
  <c r="J27" i="474" s="1"/>
  <c r="I26" i="474"/>
  <c r="M26" i="474" s="1"/>
  <c r="I25" i="474"/>
  <c r="M25" i="474" s="1"/>
  <c r="N25" i="474" s="1"/>
  <c r="K24" i="474"/>
  <c r="M24" i="474" s="1"/>
  <c r="J24" i="474"/>
  <c r="I23" i="474"/>
  <c r="J23" i="474" s="1"/>
  <c r="K22" i="474"/>
  <c r="M22" i="474" s="1"/>
  <c r="J22" i="474"/>
  <c r="O21" i="474"/>
  <c r="P20" i="474"/>
  <c r="O20" i="474"/>
  <c r="K19" i="474"/>
  <c r="M19" i="474" s="1"/>
  <c r="J19" i="474"/>
  <c r="K18" i="474"/>
  <c r="M18" i="474" s="1"/>
  <c r="O18" i="474" s="1"/>
  <c r="J18" i="474"/>
  <c r="O17" i="474"/>
  <c r="O16" i="474"/>
  <c r="O15" i="474"/>
  <c r="O63" i="474" l="1"/>
  <c r="L186" i="474"/>
  <c r="S44" i="567"/>
  <c r="U44" i="567" s="1"/>
  <c r="R42" i="568"/>
  <c r="T42" i="568" s="1"/>
  <c r="U42" i="568" s="1"/>
  <c r="Q42" i="568"/>
  <c r="S42" i="568" s="1"/>
  <c r="R43" i="568"/>
  <c r="Q43" i="568"/>
  <c r="S43" i="568" s="1"/>
  <c r="S43" i="567"/>
  <c r="U43" i="567" s="1"/>
  <c r="R223" i="568"/>
  <c r="R44" i="568"/>
  <c r="Q44" i="568"/>
  <c r="S44" i="568" s="1"/>
  <c r="M41" i="75"/>
  <c r="J29" i="402"/>
  <c r="N574" i="474"/>
  <c r="L574" i="474" s="1"/>
  <c r="L248" i="474"/>
  <c r="L488" i="474"/>
  <c r="N332" i="474"/>
  <c r="P332" i="474" s="1"/>
  <c r="L226" i="474"/>
  <c r="O248" i="474"/>
  <c r="O235" i="474"/>
  <c r="L346" i="474"/>
  <c r="N552" i="474"/>
  <c r="P552" i="474" s="1"/>
  <c r="N139" i="474"/>
  <c r="P139" i="474" s="1"/>
  <c r="N512" i="474"/>
  <c r="P512" i="474" s="1"/>
  <c r="O274" i="474"/>
  <c r="N274" i="474"/>
  <c r="L274" i="474" s="1"/>
  <c r="L178" i="474"/>
  <c r="N253" i="474"/>
  <c r="P253" i="474" s="1"/>
  <c r="N150" i="474"/>
  <c r="P150" i="474" s="1"/>
  <c r="M225" i="474"/>
  <c r="O225" i="474" s="1"/>
  <c r="N250" i="474"/>
  <c r="P250" i="474" s="1"/>
  <c r="O560" i="474"/>
  <c r="O214" i="474"/>
  <c r="O466" i="474"/>
  <c r="N463" i="474"/>
  <c r="L463" i="474" s="1"/>
  <c r="J524" i="474"/>
  <c r="O619" i="474"/>
  <c r="N619" i="474"/>
  <c r="L619" i="474" s="1"/>
  <c r="N360" i="474"/>
  <c r="P360" i="474" s="1"/>
  <c r="O360" i="474"/>
  <c r="N419" i="474"/>
  <c r="P419" i="474" s="1"/>
  <c r="O202" i="474"/>
  <c r="J598" i="474"/>
  <c r="N489" i="474"/>
  <c r="L489" i="474" s="1"/>
  <c r="L583" i="474"/>
  <c r="J606" i="474"/>
  <c r="N143" i="474"/>
  <c r="L143" i="474" s="1"/>
  <c r="L155" i="474"/>
  <c r="N230" i="474"/>
  <c r="P230" i="474" s="1"/>
  <c r="N233" i="474"/>
  <c r="P233" i="474" s="1"/>
  <c r="O256" i="474"/>
  <c r="J425" i="474"/>
  <c r="J476" i="474"/>
  <c r="N261" i="474"/>
  <c r="P261" i="474" s="1"/>
  <c r="L174" i="474"/>
  <c r="L214" i="474"/>
  <c r="N254" i="474"/>
  <c r="P254" i="474" s="1"/>
  <c r="J330" i="474"/>
  <c r="J329" i="474" s="1"/>
  <c r="J377" i="474"/>
  <c r="J373" i="474" s="1"/>
  <c r="O343" i="474"/>
  <c r="N343" i="474"/>
  <c r="N655" i="474"/>
  <c r="L655" i="474" s="1"/>
  <c r="O655" i="474"/>
  <c r="N454" i="474"/>
  <c r="P454" i="474" s="1"/>
  <c r="O454" i="474"/>
  <c r="N656" i="474"/>
  <c r="L656" i="474" s="1"/>
  <c r="O656" i="474"/>
  <c r="O687" i="474"/>
  <c r="N687" i="474"/>
  <c r="P687" i="474" s="1"/>
  <c r="N351" i="474"/>
  <c r="P351" i="474" s="1"/>
  <c r="O351" i="474"/>
  <c r="O534" i="474"/>
  <c r="N534" i="474"/>
  <c r="L534" i="474" s="1"/>
  <c r="N665" i="474"/>
  <c r="P665" i="474" s="1"/>
  <c r="O665" i="474"/>
  <c r="N672" i="474"/>
  <c r="P672" i="474" s="1"/>
  <c r="O672" i="474"/>
  <c r="O702" i="474"/>
  <c r="N702" i="474"/>
  <c r="L702" i="474" s="1"/>
  <c r="N370" i="474"/>
  <c r="P370" i="474" s="1"/>
  <c r="O370" i="474"/>
  <c r="N528" i="474"/>
  <c r="L528" i="474" s="1"/>
  <c r="O528" i="474"/>
  <c r="N603" i="474"/>
  <c r="P603" i="474" s="1"/>
  <c r="O603" i="474"/>
  <c r="O404" i="474"/>
  <c r="N404" i="474"/>
  <c r="P404" i="474" s="1"/>
  <c r="N610" i="474"/>
  <c r="P610" i="474" s="1"/>
  <c r="O610" i="474"/>
  <c r="N634" i="474"/>
  <c r="P634" i="474" s="1"/>
  <c r="O634" i="474"/>
  <c r="N647" i="474"/>
  <c r="L647" i="474" s="1"/>
  <c r="O647" i="474"/>
  <c r="O671" i="474"/>
  <c r="N671" i="474"/>
  <c r="L671" i="474" s="1"/>
  <c r="O153" i="474"/>
  <c r="N153" i="474"/>
  <c r="L153" i="474" s="1"/>
  <c r="O680" i="474"/>
  <c r="N680" i="474"/>
  <c r="L680" i="474" s="1"/>
  <c r="O342" i="474"/>
  <c r="N342" i="474"/>
  <c r="P342" i="474" s="1"/>
  <c r="N380" i="474"/>
  <c r="L380" i="474" s="1"/>
  <c r="O380" i="474"/>
  <c r="O648" i="474"/>
  <c r="N648" i="474"/>
  <c r="P648" i="474" s="1"/>
  <c r="N681" i="474"/>
  <c r="P681" i="474" s="1"/>
  <c r="O681" i="474"/>
  <c r="J17" i="474"/>
  <c r="O249" i="474"/>
  <c r="L392" i="474"/>
  <c r="N484" i="474"/>
  <c r="L484" i="474" s="1"/>
  <c r="N500" i="474"/>
  <c r="P500" i="474" s="1"/>
  <c r="O621" i="474"/>
  <c r="L664" i="474"/>
  <c r="O686" i="474"/>
  <c r="J406" i="474"/>
  <c r="J439" i="474"/>
  <c r="N638" i="474"/>
  <c r="P638" i="474" s="1"/>
  <c r="J53" i="474"/>
  <c r="J52" i="474" s="1"/>
  <c r="J245" i="474"/>
  <c r="N327" i="474"/>
  <c r="L327" i="474" s="1"/>
  <c r="L326" i="474" s="1"/>
  <c r="N375" i="474"/>
  <c r="L375" i="474" s="1"/>
  <c r="L374" i="474" s="1"/>
  <c r="N471" i="474"/>
  <c r="L471" i="474" s="1"/>
  <c r="L593" i="474"/>
  <c r="O618" i="474"/>
  <c r="O190" i="474"/>
  <c r="N442" i="474"/>
  <c r="L442" i="474" s="1"/>
  <c r="N481" i="474"/>
  <c r="L481" i="474" s="1"/>
  <c r="N497" i="474"/>
  <c r="P497" i="474" s="1"/>
  <c r="J549" i="474"/>
  <c r="J548" i="474" s="1"/>
  <c r="O340" i="474"/>
  <c r="O348" i="474"/>
  <c r="L561" i="474"/>
  <c r="O186" i="474"/>
  <c r="N448" i="474"/>
  <c r="P448" i="474" s="1"/>
  <c r="N453" i="474"/>
  <c r="L453" i="474" s="1"/>
  <c r="N344" i="474"/>
  <c r="L344" i="474" s="1"/>
  <c r="N394" i="474"/>
  <c r="L394" i="474" s="1"/>
  <c r="N478" i="474"/>
  <c r="L478" i="474" s="1"/>
  <c r="N504" i="474"/>
  <c r="P504" i="474" s="1"/>
  <c r="N551" i="474"/>
  <c r="O561" i="474"/>
  <c r="O594" i="474"/>
  <c r="L140" i="474"/>
  <c r="J217" i="474"/>
  <c r="J216" i="474" s="1"/>
  <c r="J383" i="474"/>
  <c r="J382" i="474" s="1"/>
  <c r="N469" i="474"/>
  <c r="L469" i="474" s="1"/>
  <c r="N632" i="474"/>
  <c r="L632" i="474" s="1"/>
  <c r="O155" i="474"/>
  <c r="O178" i="474"/>
  <c r="L249" i="474"/>
  <c r="J337" i="474"/>
  <c r="J445" i="474"/>
  <c r="N637" i="474"/>
  <c r="L637" i="474" s="1"/>
  <c r="N513" i="474"/>
  <c r="P513" i="474" s="1"/>
  <c r="O513" i="474"/>
  <c r="O654" i="474"/>
  <c r="N654" i="474"/>
  <c r="P654" i="474" s="1"/>
  <c r="O334" i="474"/>
  <c r="N334" i="474"/>
  <c r="L334" i="474" s="1"/>
  <c r="O353" i="474"/>
  <c r="N353" i="474"/>
  <c r="P353" i="474" s="1"/>
  <c r="O395" i="474"/>
  <c r="N395" i="474"/>
  <c r="L395" i="474" s="1"/>
  <c r="O510" i="474"/>
  <c r="N510" i="474"/>
  <c r="P510" i="474" s="1"/>
  <c r="N521" i="474"/>
  <c r="P521" i="474" s="1"/>
  <c r="O521" i="474"/>
  <c r="N575" i="474"/>
  <c r="O575" i="474"/>
  <c r="O582" i="474"/>
  <c r="N582" i="474"/>
  <c r="L582" i="474" s="1"/>
  <c r="O600" i="474"/>
  <c r="N600" i="474"/>
  <c r="L600" i="474" s="1"/>
  <c r="O678" i="474"/>
  <c r="N678" i="474"/>
  <c r="L678" i="474" s="1"/>
  <c r="O518" i="474"/>
  <c r="N518" i="474"/>
  <c r="P518" i="474" s="1"/>
  <c r="N535" i="474"/>
  <c r="O535" i="474"/>
  <c r="O646" i="474"/>
  <c r="N646" i="474"/>
  <c r="L646" i="474" s="1"/>
  <c r="O657" i="474"/>
  <c r="N657" i="474"/>
  <c r="O689" i="474"/>
  <c r="N689" i="474"/>
  <c r="P689" i="474" s="1"/>
  <c r="O345" i="474"/>
  <c r="N345" i="474"/>
  <c r="O487" i="474"/>
  <c r="N487" i="474"/>
  <c r="N650" i="474"/>
  <c r="P650" i="474" s="1"/>
  <c r="O650" i="474"/>
  <c r="N361" i="474"/>
  <c r="L361" i="474" s="1"/>
  <c r="O361" i="474"/>
  <c r="O414" i="474"/>
  <c r="N414" i="474"/>
  <c r="L414" i="474" s="1"/>
  <c r="O433" i="474"/>
  <c r="N433" i="474"/>
  <c r="L433" i="474" s="1"/>
  <c r="N482" i="474"/>
  <c r="P482" i="474" s="1"/>
  <c r="O482" i="474"/>
  <c r="N485" i="474"/>
  <c r="P485" i="474" s="1"/>
  <c r="O485" i="474"/>
  <c r="N511" i="474"/>
  <c r="L511" i="474" s="1"/>
  <c r="O511" i="474"/>
  <c r="O608" i="474"/>
  <c r="N608" i="474"/>
  <c r="L608" i="474" s="1"/>
  <c r="O679" i="474"/>
  <c r="N679" i="474"/>
  <c r="O694" i="474"/>
  <c r="N694" i="474"/>
  <c r="L694" i="474" s="1"/>
  <c r="O441" i="474"/>
  <c r="N441" i="474"/>
  <c r="L441" i="474" s="1"/>
  <c r="N588" i="474"/>
  <c r="O588" i="474"/>
  <c r="O633" i="474"/>
  <c r="N633" i="474"/>
  <c r="O241" i="474"/>
  <c r="N241" i="474"/>
  <c r="L241" i="474" s="1"/>
  <c r="O559" i="474"/>
  <c r="N559" i="474"/>
  <c r="P559" i="474" s="1"/>
  <c r="O362" i="474"/>
  <c r="N362" i="474"/>
  <c r="N527" i="474"/>
  <c r="O527" i="474"/>
  <c r="O649" i="474"/>
  <c r="N649" i="474"/>
  <c r="O423" i="474"/>
  <c r="N423" i="474"/>
  <c r="L423" i="474" s="1"/>
  <c r="N498" i="474"/>
  <c r="P498" i="474" s="1"/>
  <c r="O498" i="474"/>
  <c r="N505" i="474"/>
  <c r="P505" i="474" s="1"/>
  <c r="O505" i="474"/>
  <c r="N613" i="474"/>
  <c r="P613" i="474" s="1"/>
  <c r="O613" i="474"/>
  <c r="O617" i="474"/>
  <c r="N617" i="474"/>
  <c r="P617" i="474" s="1"/>
  <c r="O703" i="474"/>
  <c r="N703" i="474"/>
  <c r="J172" i="474"/>
  <c r="J200" i="474"/>
  <c r="J199" i="474" s="1"/>
  <c r="O392" i="474"/>
  <c r="L400" i="474"/>
  <c r="N409" i="474"/>
  <c r="L409" i="474" s="1"/>
  <c r="N470" i="474"/>
  <c r="L470" i="474" s="1"/>
  <c r="O488" i="474"/>
  <c r="O490" i="474"/>
  <c r="N533" i="474"/>
  <c r="P533" i="474" s="1"/>
  <c r="N562" i="474"/>
  <c r="N565" i="474"/>
  <c r="L565" i="474" s="1"/>
  <c r="J612" i="474"/>
  <c r="J698" i="474"/>
  <c r="J697" i="474" s="1"/>
  <c r="N701" i="474"/>
  <c r="P701" i="474" s="1"/>
  <c r="J111" i="474"/>
  <c r="J90" i="474"/>
  <c r="N158" i="474"/>
  <c r="L158" i="474" s="1"/>
  <c r="J193" i="474"/>
  <c r="J212" i="474"/>
  <c r="J208" i="474" s="1"/>
  <c r="N318" i="474"/>
  <c r="L318" i="474" s="1"/>
  <c r="O400" i="474"/>
  <c r="P488" i="474"/>
  <c r="N413" i="474"/>
  <c r="L413" i="474" s="1"/>
  <c r="N422" i="474"/>
  <c r="L422" i="474" s="1"/>
  <c r="N432" i="474"/>
  <c r="L432" i="474" s="1"/>
  <c r="J496" i="474"/>
  <c r="J495" i="474" s="1"/>
  <c r="N520" i="474"/>
  <c r="L520" i="474" s="1"/>
  <c r="J531" i="474"/>
  <c r="J530" i="474" s="1"/>
  <c r="O550" i="474"/>
  <c r="O555" i="474"/>
  <c r="N581" i="474"/>
  <c r="L581" i="474" s="1"/>
  <c r="O583" i="474"/>
  <c r="O593" i="474"/>
  <c r="O641" i="474"/>
  <c r="J663" i="474"/>
  <c r="J662" i="474" s="1"/>
  <c r="N677" i="474"/>
  <c r="L677" i="474" s="1"/>
  <c r="N688" i="474"/>
  <c r="N695" i="474"/>
  <c r="L695" i="474" s="1"/>
  <c r="J97" i="474"/>
  <c r="J48" i="474"/>
  <c r="J44" i="474" s="1"/>
  <c r="J62" i="474"/>
  <c r="J103" i="474"/>
  <c r="J148" i="474"/>
  <c r="N154" i="474"/>
  <c r="L154" i="474" s="1"/>
  <c r="J166" i="474"/>
  <c r="J165" i="474" s="1"/>
  <c r="N169" i="474"/>
  <c r="L169" i="474" s="1"/>
  <c r="L182" i="474"/>
  <c r="O194" i="474"/>
  <c r="L202" i="474"/>
  <c r="O242" i="474"/>
  <c r="O282" i="474"/>
  <c r="P346" i="474"/>
  <c r="N369" i="474"/>
  <c r="L369" i="474" s="1"/>
  <c r="J411" i="474"/>
  <c r="J418" i="474"/>
  <c r="J578" i="474"/>
  <c r="J83" i="474"/>
  <c r="O182" i="474"/>
  <c r="M218" i="474"/>
  <c r="J279" i="474"/>
  <c r="J117" i="474"/>
  <c r="N138" i="474"/>
  <c r="L138" i="474" s="1"/>
  <c r="O140" i="474"/>
  <c r="N142" i="474"/>
  <c r="P142" i="474" s="1"/>
  <c r="N163" i="474"/>
  <c r="N162" i="474" s="1"/>
  <c r="P162" i="474" s="1"/>
  <c r="O174" i="474"/>
  <c r="L195" i="474"/>
  <c r="P226" i="474"/>
  <c r="N231" i="474"/>
  <c r="P231" i="474" s="1"/>
  <c r="J273" i="474"/>
  <c r="O290" i="474"/>
  <c r="O319" i="474"/>
  <c r="N355" i="474"/>
  <c r="P355" i="474" s="1"/>
  <c r="J365" i="474"/>
  <c r="J364" i="474" s="1"/>
  <c r="O467" i="474"/>
  <c r="N479" i="474"/>
  <c r="N599" i="474"/>
  <c r="L599" i="474" s="1"/>
  <c r="N601" i="474"/>
  <c r="L601" i="474" s="1"/>
  <c r="N609" i="474"/>
  <c r="P609" i="474" s="1"/>
  <c r="N666" i="474"/>
  <c r="N673" i="474"/>
  <c r="L340" i="474"/>
  <c r="J358" i="474"/>
  <c r="J573" i="474"/>
  <c r="L594" i="474"/>
  <c r="J691" i="474"/>
  <c r="J669" i="474" s="1"/>
  <c r="J78" i="474"/>
  <c r="M33" i="474"/>
  <c r="O33" i="474" s="1"/>
  <c r="M257" i="474"/>
  <c r="N257" i="474" s="1"/>
  <c r="M461" i="474"/>
  <c r="N461" i="474" s="1"/>
  <c r="L461" i="474" s="1"/>
  <c r="J22" i="481"/>
  <c r="J23" i="481" s="1"/>
  <c r="T589" i="75"/>
  <c r="O118" i="474"/>
  <c r="N118" i="474"/>
  <c r="P118" i="474" s="1"/>
  <c r="M27" i="474"/>
  <c r="O27" i="474" s="1"/>
  <c r="N123" i="474"/>
  <c r="L123" i="474" s="1"/>
  <c r="M268" i="474"/>
  <c r="O268" i="474" s="1"/>
  <c r="M46" i="474"/>
  <c r="N46" i="474" s="1"/>
  <c r="M149" i="474"/>
  <c r="O149" i="474" s="1"/>
  <c r="M132" i="474"/>
  <c r="O132" i="474" s="1"/>
  <c r="N295" i="474"/>
  <c r="L295" i="474" s="1"/>
  <c r="O106" i="474"/>
  <c r="M34" i="474"/>
  <c r="N34" i="474" s="1"/>
  <c r="O125" i="474"/>
  <c r="M270" i="474"/>
  <c r="N270" i="474" s="1"/>
  <c r="L477" i="474"/>
  <c r="M36" i="75"/>
  <c r="O28" i="474"/>
  <c r="N28" i="474"/>
  <c r="P28" i="474" s="1"/>
  <c r="O109" i="474"/>
  <c r="N109" i="474"/>
  <c r="P109" i="474" s="1"/>
  <c r="N301" i="474"/>
  <c r="L301" i="474" s="1"/>
  <c r="O301" i="474"/>
  <c r="O19" i="474"/>
  <c r="N19" i="474"/>
  <c r="P19" i="474" s="1"/>
  <c r="N24" i="474"/>
  <c r="L24" i="474" s="1"/>
  <c r="O24" i="474"/>
  <c r="N280" i="474"/>
  <c r="L280" i="474" s="1"/>
  <c r="O280" i="474"/>
  <c r="N128" i="474"/>
  <c r="P128" i="474" s="1"/>
  <c r="O128" i="474"/>
  <c r="O70" i="474"/>
  <c r="N70" i="474"/>
  <c r="P70" i="474" s="1"/>
  <c r="N464" i="474"/>
  <c r="P464" i="474" s="1"/>
  <c r="O464" i="474"/>
  <c r="O119" i="474"/>
  <c r="N119" i="474"/>
  <c r="P119" i="474" s="1"/>
  <c r="N26" i="474"/>
  <c r="O26" i="474"/>
  <c r="O563" i="474"/>
  <c r="N563" i="474"/>
  <c r="L563" i="474" s="1"/>
  <c r="O80" i="474"/>
  <c r="N80" i="474"/>
  <c r="P80" i="474" s="1"/>
  <c r="N100" i="474"/>
  <c r="P100" i="474" s="1"/>
  <c r="O100" i="474"/>
  <c r="O127" i="474"/>
  <c r="N127" i="474"/>
  <c r="P127" i="474" s="1"/>
  <c r="N311" i="474"/>
  <c r="P311" i="474" s="1"/>
  <c r="O311" i="474"/>
  <c r="O558" i="474"/>
  <c r="N558" i="474"/>
  <c r="P558" i="474" s="1"/>
  <c r="M23" i="474"/>
  <c r="N23" i="474" s="1"/>
  <c r="M544" i="474"/>
  <c r="O544" i="474" s="1"/>
  <c r="N35" i="474"/>
  <c r="P35" i="474" s="1"/>
  <c r="N81" i="474"/>
  <c r="P81" i="474" s="1"/>
  <c r="N287" i="474"/>
  <c r="M136" i="474"/>
  <c r="N136" i="474" s="1"/>
  <c r="J257" i="474"/>
  <c r="J252" i="474" s="1"/>
  <c r="M263" i="474"/>
  <c r="O263" i="474" s="1"/>
  <c r="J459" i="474"/>
  <c r="J543" i="474"/>
  <c r="J539" i="474" s="1"/>
  <c r="O71" i="474"/>
  <c r="O91" i="474"/>
  <c r="M36" i="474"/>
  <c r="O36" i="474" s="1"/>
  <c r="O49" i="474"/>
  <c r="N67" i="474"/>
  <c r="L67" i="474" s="1"/>
  <c r="N95" i="474"/>
  <c r="L95" i="474" s="1"/>
  <c r="J265" i="474"/>
  <c r="O303" i="474"/>
  <c r="J26" i="474"/>
  <c r="N86" i="474"/>
  <c r="L86" i="474" s="1"/>
  <c r="L135" i="474"/>
  <c r="M460" i="474"/>
  <c r="O460" i="474" s="1"/>
  <c r="M462" i="474"/>
  <c r="N462" i="474" s="1"/>
  <c r="N271" i="474"/>
  <c r="L271" i="474" s="1"/>
  <c r="O124" i="474"/>
  <c r="O294" i="474"/>
  <c r="N99" i="474"/>
  <c r="P99" i="474" s="1"/>
  <c r="P664" i="474"/>
  <c r="M133" i="474"/>
  <c r="O133" i="474" s="1"/>
  <c r="J25" i="474"/>
  <c r="L25" i="474" s="1"/>
  <c r="M37" i="474"/>
  <c r="N108" i="474"/>
  <c r="P108" i="474" s="1"/>
  <c r="N114" i="474"/>
  <c r="L114" i="474" s="1"/>
  <c r="O135" i="474"/>
  <c r="N302" i="474"/>
  <c r="O304" i="474"/>
  <c r="O477" i="474"/>
  <c r="N567" i="474"/>
  <c r="P567" i="474" s="1"/>
  <c r="O72" i="474"/>
  <c r="N72" i="474"/>
  <c r="O93" i="474"/>
  <c r="N93" i="474"/>
  <c r="O25" i="474"/>
  <c r="O73" i="474"/>
  <c r="N73" i="474"/>
  <c r="N76" i="474"/>
  <c r="O101" i="474"/>
  <c r="N101" i="474"/>
  <c r="L115" i="474"/>
  <c r="P115" i="474"/>
  <c r="O120" i="474"/>
  <c r="N120" i="474"/>
  <c r="O185" i="474"/>
  <c r="N185" i="474"/>
  <c r="O22" i="474"/>
  <c r="N22" i="474"/>
  <c r="O122" i="474"/>
  <c r="N122" i="474"/>
  <c r="O68" i="474"/>
  <c r="L60" i="474"/>
  <c r="L59" i="474" s="1"/>
  <c r="P60" i="474"/>
  <c r="O60" i="474"/>
  <c r="O85" i="474"/>
  <c r="N85" i="474"/>
  <c r="O115" i="474"/>
  <c r="O126" i="474"/>
  <c r="N126" i="474"/>
  <c r="O157" i="474"/>
  <c r="N157" i="474"/>
  <c r="O177" i="474"/>
  <c r="N177" i="474"/>
  <c r="O42" i="474"/>
  <c r="N42" i="474"/>
  <c r="O38" i="474"/>
  <c r="O54" i="474"/>
  <c r="N54" i="474"/>
  <c r="O66" i="474"/>
  <c r="N66" i="474"/>
  <c r="N105" i="474"/>
  <c r="O121" i="474"/>
  <c r="N121" i="474"/>
  <c r="L38" i="474"/>
  <c r="P38" i="474"/>
  <c r="O104" i="474"/>
  <c r="N104" i="474"/>
  <c r="O64" i="474"/>
  <c r="N64" i="474"/>
  <c r="O94" i="474"/>
  <c r="N94" i="474"/>
  <c r="O113" i="474"/>
  <c r="N113" i="474"/>
  <c r="L124" i="474"/>
  <c r="P124" i="474"/>
  <c r="O189" i="474"/>
  <c r="N189" i="474"/>
  <c r="P25" i="474"/>
  <c r="L56" i="474"/>
  <c r="P56" i="474"/>
  <c r="O30" i="474"/>
  <c r="N30" i="474"/>
  <c r="O56" i="474"/>
  <c r="L49" i="474"/>
  <c r="P49" i="474"/>
  <c r="N55" i="474"/>
  <c r="L106" i="474"/>
  <c r="P106" i="474"/>
  <c r="O173" i="474"/>
  <c r="N173" i="474"/>
  <c r="O181" i="474"/>
  <c r="N181" i="474"/>
  <c r="L68" i="474"/>
  <c r="P68" i="474"/>
  <c r="O29" i="474"/>
  <c r="N29" i="474"/>
  <c r="P59" i="474"/>
  <c r="O65" i="474"/>
  <c r="N65" i="474"/>
  <c r="O84" i="474"/>
  <c r="N84" i="474"/>
  <c r="O92" i="474"/>
  <c r="N92" i="474"/>
  <c r="L194" i="474"/>
  <c r="P194" i="474"/>
  <c r="L87" i="474"/>
  <c r="P87" i="474"/>
  <c r="O87" i="474"/>
  <c r="O112" i="474"/>
  <c r="N112" i="474"/>
  <c r="N308" i="474"/>
  <c r="O308" i="474"/>
  <c r="O323" i="474"/>
  <c r="N323" i="474"/>
  <c r="O175" i="474"/>
  <c r="N175" i="474"/>
  <c r="O183" i="474"/>
  <c r="N183" i="474"/>
  <c r="O191" i="474"/>
  <c r="N191" i="474"/>
  <c r="N201" i="474"/>
  <c r="N205" i="474"/>
  <c r="N238" i="474"/>
  <c r="O275" i="474"/>
  <c r="N275" i="474"/>
  <c r="O331" i="474"/>
  <c r="N331" i="474"/>
  <c r="O228" i="474"/>
  <c r="N228" i="474"/>
  <c r="O305" i="474"/>
  <c r="N305" i="474"/>
  <c r="N333" i="474"/>
  <c r="O333" i="474"/>
  <c r="L63" i="474"/>
  <c r="L71" i="474"/>
  <c r="L91" i="474"/>
  <c r="M134" i="474"/>
  <c r="N247" i="474"/>
  <c r="O286" i="474"/>
  <c r="N286" i="474"/>
  <c r="O312" i="474"/>
  <c r="N312" i="474"/>
  <c r="O315" i="474"/>
  <c r="N315" i="474"/>
  <c r="O324" i="474"/>
  <c r="N324" i="474"/>
  <c r="O137" i="474"/>
  <c r="N137" i="474"/>
  <c r="O152" i="474"/>
  <c r="N152" i="474"/>
  <c r="O160" i="474"/>
  <c r="N160" i="474"/>
  <c r="O168" i="474"/>
  <c r="N168" i="474"/>
  <c r="O213" i="474"/>
  <c r="N213" i="474"/>
  <c r="O299" i="474"/>
  <c r="N299" i="474"/>
  <c r="O321" i="474"/>
  <c r="N321" i="474"/>
  <c r="O456" i="474"/>
  <c r="N456" i="474"/>
  <c r="L125" i="474"/>
  <c r="L190" i="474"/>
  <c r="J224" i="474"/>
  <c r="O227" i="474"/>
  <c r="N227" i="474"/>
  <c r="O289" i="474"/>
  <c r="N289" i="474"/>
  <c r="O316" i="474"/>
  <c r="N316" i="474"/>
  <c r="O141" i="474"/>
  <c r="N141" i="474"/>
  <c r="O210" i="474"/>
  <c r="N210" i="474"/>
  <c r="L242" i="474"/>
  <c r="P242" i="474"/>
  <c r="M260" i="474"/>
  <c r="J260" i="474"/>
  <c r="J259" i="474" s="1"/>
  <c r="O277" i="474"/>
  <c r="N277" i="474"/>
  <c r="O300" i="474"/>
  <c r="N300" i="474"/>
  <c r="P304" i="474"/>
  <c r="L304" i="474"/>
  <c r="O341" i="474"/>
  <c r="N341" i="474"/>
  <c r="O366" i="474"/>
  <c r="N366" i="474"/>
  <c r="N18" i="474"/>
  <c r="J35" i="474"/>
  <c r="N50" i="474"/>
  <c r="N57" i="474"/>
  <c r="N69" i="474"/>
  <c r="N79" i="474"/>
  <c r="N88" i="474"/>
  <c r="N98" i="474"/>
  <c r="N107" i="474"/>
  <c r="L151" i="474"/>
  <c r="L159" i="474"/>
  <c r="L167" i="474"/>
  <c r="N176" i="474"/>
  <c r="P178" i="474"/>
  <c r="O180" i="474"/>
  <c r="N180" i="474"/>
  <c r="N184" i="474"/>
  <c r="P186" i="474"/>
  <c r="O188" i="474"/>
  <c r="N188" i="474"/>
  <c r="O195" i="474"/>
  <c r="P202" i="474"/>
  <c r="O204" i="474"/>
  <c r="N204" i="474"/>
  <c r="N234" i="474"/>
  <c r="O284" i="474"/>
  <c r="N284" i="474"/>
  <c r="J131" i="474"/>
  <c r="O151" i="474"/>
  <c r="O159" i="474"/>
  <c r="O167" i="474"/>
  <c r="P195" i="474"/>
  <c r="O197" i="474"/>
  <c r="N197" i="474"/>
  <c r="O297" i="474"/>
  <c r="N297" i="474"/>
  <c r="N317" i="474"/>
  <c r="O317" i="474"/>
  <c r="M262" i="474"/>
  <c r="L282" i="474"/>
  <c r="P282" i="474"/>
  <c r="O285" i="474"/>
  <c r="N285" i="474"/>
  <c r="O298" i="474"/>
  <c r="N298" i="474"/>
  <c r="L319" i="474"/>
  <c r="P319" i="474"/>
  <c r="O338" i="474"/>
  <c r="N338" i="474"/>
  <c r="O416" i="474"/>
  <c r="N416" i="474"/>
  <c r="N420" i="474"/>
  <c r="O420" i="474"/>
  <c r="O266" i="474"/>
  <c r="N266" i="474"/>
  <c r="O313" i="474"/>
  <c r="N313" i="474"/>
  <c r="O349" i="474"/>
  <c r="N349" i="474"/>
  <c r="O359" i="474"/>
  <c r="N359" i="474"/>
  <c r="O434" i="474"/>
  <c r="N434" i="474"/>
  <c r="O451" i="474"/>
  <c r="N451" i="474"/>
  <c r="O526" i="474"/>
  <c r="N526" i="474"/>
  <c r="P356" i="474"/>
  <c r="L356" i="474"/>
  <c r="O367" i="474"/>
  <c r="N367" i="474"/>
  <c r="O378" i="474"/>
  <c r="N378" i="474"/>
  <c r="O396" i="474"/>
  <c r="N396" i="474"/>
  <c r="P429" i="474"/>
  <c r="L429" i="474"/>
  <c r="O243" i="474"/>
  <c r="N243" i="474"/>
  <c r="O255" i="474"/>
  <c r="N255" i="474"/>
  <c r="O283" i="474"/>
  <c r="N283" i="474"/>
  <c r="O296" i="474"/>
  <c r="N296" i="474"/>
  <c r="O320" i="474"/>
  <c r="N320" i="474"/>
  <c r="O339" i="474"/>
  <c r="N339" i="474"/>
  <c r="O352" i="474"/>
  <c r="N352" i="474"/>
  <c r="N354" i="474"/>
  <c r="O354" i="474"/>
  <c r="O356" i="474"/>
  <c r="O429" i="474"/>
  <c r="N452" i="474"/>
  <c r="O452" i="474"/>
  <c r="O493" i="474"/>
  <c r="N493" i="474"/>
  <c r="N146" i="474"/>
  <c r="N156" i="474"/>
  <c r="N179" i="474"/>
  <c r="N187" i="474"/>
  <c r="N196" i="474"/>
  <c r="N203" i="474"/>
  <c r="N222" i="474"/>
  <c r="N229" i="474"/>
  <c r="L235" i="474"/>
  <c r="N246" i="474"/>
  <c r="L269" i="474"/>
  <c r="P269" i="474"/>
  <c r="O276" i="474"/>
  <c r="N276" i="474"/>
  <c r="N281" i="474"/>
  <c r="L288" i="474"/>
  <c r="P288" i="474"/>
  <c r="L290" i="474"/>
  <c r="P290" i="474"/>
  <c r="J293" i="474"/>
  <c r="L303" i="474"/>
  <c r="P303" i="474"/>
  <c r="O347" i="474"/>
  <c r="N347" i="474"/>
  <c r="O379" i="474"/>
  <c r="N379" i="474"/>
  <c r="M219" i="474"/>
  <c r="O226" i="474"/>
  <c r="N232" i="474"/>
  <c r="J240" i="474"/>
  <c r="P248" i="474"/>
  <c r="L256" i="474"/>
  <c r="P256" i="474"/>
  <c r="N267" i="474"/>
  <c r="O269" i="474"/>
  <c r="O288" i="474"/>
  <c r="L294" i="474"/>
  <c r="P294" i="474"/>
  <c r="J310" i="474"/>
  <c r="N350" i="474"/>
  <c r="N368" i="474"/>
  <c r="O398" i="474"/>
  <c r="N398" i="474"/>
  <c r="O412" i="474"/>
  <c r="N412" i="474"/>
  <c r="O436" i="474"/>
  <c r="N436" i="474"/>
  <c r="O447" i="474"/>
  <c r="N447" i="474"/>
  <c r="O449" i="474"/>
  <c r="N449" i="474"/>
  <c r="L466" i="474"/>
  <c r="O468" i="474"/>
  <c r="N468" i="474"/>
  <c r="O384" i="474"/>
  <c r="N384" i="474"/>
  <c r="O401" i="474"/>
  <c r="N401" i="474"/>
  <c r="O407" i="474"/>
  <c r="N407" i="474"/>
  <c r="O427" i="474"/>
  <c r="N427" i="474"/>
  <c r="O440" i="474"/>
  <c r="N440" i="474"/>
  <c r="O486" i="474"/>
  <c r="N486" i="474"/>
  <c r="O541" i="474"/>
  <c r="N541" i="474"/>
  <c r="N314" i="474"/>
  <c r="N322" i="474"/>
  <c r="J390" i="474"/>
  <c r="N399" i="474"/>
  <c r="P422" i="474"/>
  <c r="J431" i="474"/>
  <c r="N437" i="474"/>
  <c r="O450" i="474"/>
  <c r="N450" i="474"/>
  <c r="P490" i="474"/>
  <c r="L490" i="474"/>
  <c r="O509" i="474"/>
  <c r="N509" i="474"/>
  <c r="O536" i="474"/>
  <c r="N536" i="474"/>
  <c r="O397" i="474"/>
  <c r="N397" i="474"/>
  <c r="O415" i="474"/>
  <c r="N415" i="474"/>
  <c r="O435" i="474"/>
  <c r="N435" i="474"/>
  <c r="O455" i="474"/>
  <c r="N455" i="474"/>
  <c r="L467" i="474"/>
  <c r="O393" i="474"/>
  <c r="N393" i="474"/>
  <c r="N428" i="474"/>
  <c r="O465" i="474"/>
  <c r="N465" i="474"/>
  <c r="N480" i="474"/>
  <c r="O480" i="474"/>
  <c r="O507" i="474"/>
  <c r="N507" i="474"/>
  <c r="O517" i="474"/>
  <c r="N517" i="474"/>
  <c r="N519" i="474"/>
  <c r="O519" i="474"/>
  <c r="O346" i="474"/>
  <c r="L348" i="474"/>
  <c r="O385" i="474"/>
  <c r="N385" i="474"/>
  <c r="O388" i="474"/>
  <c r="N388" i="474"/>
  <c r="N391" i="474"/>
  <c r="O408" i="474"/>
  <c r="N408" i="474"/>
  <c r="O421" i="474"/>
  <c r="N421" i="474"/>
  <c r="O426" i="474"/>
  <c r="N426" i="474"/>
  <c r="O443" i="474"/>
  <c r="N443" i="474"/>
  <c r="N446" i="474"/>
  <c r="O446" i="474"/>
  <c r="O525" i="474"/>
  <c r="N525" i="474"/>
  <c r="P568" i="474"/>
  <c r="L568" i="474"/>
  <c r="O684" i="474"/>
  <c r="N684" i="474"/>
  <c r="O515" i="474"/>
  <c r="N515" i="474"/>
  <c r="M545" i="474"/>
  <c r="P555" i="474"/>
  <c r="N554" i="474"/>
  <c r="L555" i="474"/>
  <c r="L554" i="474" s="1"/>
  <c r="O568" i="474"/>
  <c r="O571" i="474"/>
  <c r="N571" i="474"/>
  <c r="O587" i="474"/>
  <c r="N587" i="474"/>
  <c r="O627" i="474"/>
  <c r="N627" i="474"/>
  <c r="O631" i="474"/>
  <c r="N631" i="474"/>
  <c r="O532" i="474"/>
  <c r="N532" i="474"/>
  <c r="L560" i="474"/>
  <c r="P560" i="474"/>
  <c r="O576" i="474"/>
  <c r="N576" i="474"/>
  <c r="N579" i="474"/>
  <c r="O579" i="474"/>
  <c r="O623" i="474"/>
  <c r="N623" i="474"/>
  <c r="O675" i="474"/>
  <c r="N675" i="474"/>
  <c r="J564" i="474"/>
  <c r="J557" i="474" s="1"/>
  <c r="M564" i="474"/>
  <c r="J503" i="474"/>
  <c r="M546" i="474"/>
  <c r="O645" i="474"/>
  <c r="N645" i="474"/>
  <c r="O700" i="474"/>
  <c r="N700" i="474"/>
  <c r="O506" i="474"/>
  <c r="N506" i="474"/>
  <c r="O508" i="474"/>
  <c r="N508" i="474"/>
  <c r="O580" i="474"/>
  <c r="N580" i="474"/>
  <c r="O590" i="474"/>
  <c r="N590" i="474"/>
  <c r="P621" i="474"/>
  <c r="L621" i="474"/>
  <c r="O483" i="474"/>
  <c r="N483" i="474"/>
  <c r="O499" i="474"/>
  <c r="N499" i="474"/>
  <c r="O514" i="474"/>
  <c r="N514" i="474"/>
  <c r="O516" i="474"/>
  <c r="N516" i="474"/>
  <c r="J585" i="474"/>
  <c r="O474" i="474"/>
  <c r="N474" i="474"/>
  <c r="O522" i="474"/>
  <c r="N522" i="474"/>
  <c r="P550" i="474"/>
  <c r="L550" i="474"/>
  <c r="O586" i="474"/>
  <c r="N586" i="474"/>
  <c r="O630" i="474"/>
  <c r="N630" i="474"/>
  <c r="L686" i="474"/>
  <c r="P686" i="474"/>
  <c r="O692" i="474"/>
  <c r="N692" i="474"/>
  <c r="M628" i="474"/>
  <c r="J628" i="474"/>
  <c r="J626" i="474" s="1"/>
  <c r="J643" i="474"/>
  <c r="O653" i="474"/>
  <c r="N653" i="474"/>
  <c r="O682" i="474"/>
  <c r="N682" i="474"/>
  <c r="O595" i="474"/>
  <c r="N595" i="474"/>
  <c r="O635" i="474"/>
  <c r="N635" i="474"/>
  <c r="O644" i="474"/>
  <c r="N644" i="474"/>
  <c r="O651" i="474"/>
  <c r="N651" i="474"/>
  <c r="O566" i="474"/>
  <c r="N566" i="474"/>
  <c r="O604" i="474"/>
  <c r="N604" i="474"/>
  <c r="O607" i="474"/>
  <c r="N607" i="474"/>
  <c r="O616" i="474"/>
  <c r="N616" i="474"/>
  <c r="L618" i="474"/>
  <c r="P618" i="474"/>
  <c r="O622" i="474"/>
  <c r="N622" i="474"/>
  <c r="O629" i="474"/>
  <c r="N629" i="474"/>
  <c r="O660" i="474"/>
  <c r="N660" i="474"/>
  <c r="O667" i="474"/>
  <c r="N667" i="474"/>
  <c r="O683" i="474"/>
  <c r="N683" i="474"/>
  <c r="N589" i="474"/>
  <c r="J592" i="474"/>
  <c r="O596" i="474"/>
  <c r="N596" i="474"/>
  <c r="O602" i="474"/>
  <c r="N602" i="474"/>
  <c r="O614" i="474"/>
  <c r="N614" i="474"/>
  <c r="O620" i="474"/>
  <c r="N620" i="474"/>
  <c r="O636" i="474"/>
  <c r="N636" i="474"/>
  <c r="P641" i="474"/>
  <c r="N640" i="474"/>
  <c r="P640" i="474" s="1"/>
  <c r="L641" i="474"/>
  <c r="L640" i="474" s="1"/>
  <c r="O652" i="474"/>
  <c r="N652" i="474"/>
  <c r="O664" i="474"/>
  <c r="O676" i="474"/>
  <c r="N676" i="474"/>
  <c r="N685" i="474"/>
  <c r="O693" i="474"/>
  <c r="N693" i="474"/>
  <c r="O699" i="474"/>
  <c r="N699" i="474"/>
  <c r="O674" i="474"/>
  <c r="N674" i="474"/>
  <c r="P583" i="474"/>
  <c r="O615" i="474"/>
  <c r="N615" i="474"/>
  <c r="J670" i="474"/>
  <c r="P484" i="474" l="1"/>
  <c r="L650" i="474"/>
  <c r="L448" i="474"/>
  <c r="P702" i="474"/>
  <c r="P442" i="474"/>
  <c r="L360" i="474"/>
  <c r="L139" i="474"/>
  <c r="P678" i="474"/>
  <c r="P432" i="474"/>
  <c r="L355" i="474"/>
  <c r="L512" i="474"/>
  <c r="L613" i="474"/>
  <c r="P534" i="474"/>
  <c r="L533" i="474"/>
  <c r="L505" i="474"/>
  <c r="L250" i="474"/>
  <c r="L482" i="474"/>
  <c r="P158" i="474"/>
  <c r="P601" i="474"/>
  <c r="P619" i="474"/>
  <c r="N573" i="474"/>
  <c r="P573" i="474" s="1"/>
  <c r="N225" i="474"/>
  <c r="N224" i="474" s="1"/>
  <c r="P224" i="474" s="1"/>
  <c r="P574" i="474"/>
  <c r="N549" i="474"/>
  <c r="P549" i="474" s="1"/>
  <c r="L261" i="474"/>
  <c r="P138" i="474"/>
  <c r="P655" i="474"/>
  <c r="L150" i="474"/>
  <c r="L498" i="474"/>
  <c r="J458" i="474"/>
  <c r="L332" i="474"/>
  <c r="J171" i="474"/>
  <c r="L342" i="474"/>
  <c r="P369" i="474"/>
  <c r="L559" i="474"/>
  <c r="P395" i="474"/>
  <c r="J502" i="474"/>
  <c r="P409" i="474"/>
  <c r="L35" i="474"/>
  <c r="L253" i="474"/>
  <c r="P469" i="474"/>
  <c r="P394" i="474"/>
  <c r="P511" i="474"/>
  <c r="L353" i="474"/>
  <c r="P301" i="474"/>
  <c r="P647" i="474"/>
  <c r="P489" i="474"/>
  <c r="L603" i="474"/>
  <c r="P470" i="474"/>
  <c r="P677" i="474"/>
  <c r="L701" i="474"/>
  <c r="P582" i="474"/>
  <c r="L504" i="474"/>
  <c r="L617" i="474"/>
  <c r="P423" i="474"/>
  <c r="P414" i="474"/>
  <c r="P441" i="474"/>
  <c r="L552" i="474"/>
  <c r="P565" i="474"/>
  <c r="L142" i="474"/>
  <c r="L672" i="474"/>
  <c r="P274" i="474"/>
  <c r="P143" i="474"/>
  <c r="P637" i="474"/>
  <c r="P463" i="474"/>
  <c r="L638" i="474"/>
  <c r="L485" i="474"/>
  <c r="L687" i="474"/>
  <c r="L521" i="474"/>
  <c r="L230" i="474"/>
  <c r="P327" i="474"/>
  <c r="P153" i="474"/>
  <c r="L254" i="474"/>
  <c r="N326" i="474"/>
  <c r="P326" i="474" s="1"/>
  <c r="L419" i="474"/>
  <c r="P520" i="474"/>
  <c r="L100" i="474"/>
  <c r="J336" i="474"/>
  <c r="P380" i="474"/>
  <c r="L634" i="474"/>
  <c r="N374" i="474"/>
  <c r="P374" i="474" s="1"/>
  <c r="P334" i="474"/>
  <c r="P680" i="474"/>
  <c r="P646" i="474"/>
  <c r="L233" i="474"/>
  <c r="L609" i="474"/>
  <c r="P433" i="474"/>
  <c r="P154" i="474"/>
  <c r="P471" i="474"/>
  <c r="P344" i="474"/>
  <c r="L370" i="474"/>
  <c r="P600" i="474"/>
  <c r="L500" i="474"/>
  <c r="P695" i="474"/>
  <c r="P694" i="474"/>
  <c r="L518" i="474"/>
  <c r="L654" i="474"/>
  <c r="P453" i="474"/>
  <c r="P169" i="474"/>
  <c r="L689" i="474"/>
  <c r="L454" i="474"/>
  <c r="P413" i="474"/>
  <c r="P318" i="474"/>
  <c r="P241" i="474"/>
  <c r="L610" i="474"/>
  <c r="P656" i="474"/>
  <c r="L665" i="474"/>
  <c r="N431" i="474"/>
  <c r="P431" i="474" s="1"/>
  <c r="L648" i="474"/>
  <c r="P481" i="474"/>
  <c r="P478" i="474"/>
  <c r="P163" i="474"/>
  <c r="P671" i="474"/>
  <c r="N503" i="474"/>
  <c r="P503" i="474" s="1"/>
  <c r="P375" i="474"/>
  <c r="O34" i="474"/>
  <c r="N133" i="474"/>
  <c r="L133" i="474" s="1"/>
  <c r="N27" i="474"/>
  <c r="N21" i="474" s="1"/>
  <c r="P21" i="474" s="1"/>
  <c r="O23" i="474"/>
  <c r="N268" i="474"/>
  <c r="N265" i="474" s="1"/>
  <c r="P265" i="474" s="1"/>
  <c r="L80" i="474"/>
  <c r="L681" i="474"/>
  <c r="P632" i="474"/>
  <c r="J58" i="474"/>
  <c r="P608" i="474"/>
  <c r="N36" i="474"/>
  <c r="L36" i="474" s="1"/>
  <c r="N33" i="474"/>
  <c r="L33" i="474" s="1"/>
  <c r="L351" i="474"/>
  <c r="J130" i="474"/>
  <c r="N476" i="474"/>
  <c r="P476" i="474" s="1"/>
  <c r="P581" i="474"/>
  <c r="P528" i="474"/>
  <c r="L404" i="474"/>
  <c r="L403" i="474" s="1"/>
  <c r="N403" i="474"/>
  <c r="P403" i="474" s="1"/>
  <c r="P551" i="474"/>
  <c r="L551" i="474"/>
  <c r="L497" i="474"/>
  <c r="N263" i="474"/>
  <c r="P263" i="474" s="1"/>
  <c r="P343" i="474"/>
  <c r="L343" i="474"/>
  <c r="L311" i="474"/>
  <c r="N149" i="474"/>
  <c r="P149" i="474" s="1"/>
  <c r="O136" i="474"/>
  <c r="P563" i="474"/>
  <c r="L109" i="474"/>
  <c r="J21" i="474"/>
  <c r="L535" i="474"/>
  <c r="P535" i="474"/>
  <c r="L567" i="474"/>
  <c r="N460" i="474"/>
  <c r="L460" i="474" s="1"/>
  <c r="L703" i="474"/>
  <c r="P703" i="474"/>
  <c r="L633" i="474"/>
  <c r="P633" i="474"/>
  <c r="L679" i="474"/>
  <c r="P679" i="474"/>
  <c r="P527" i="474"/>
  <c r="L527" i="474"/>
  <c r="P575" i="474"/>
  <c r="L575" i="474"/>
  <c r="P599" i="474"/>
  <c r="L513" i="474"/>
  <c r="J386" i="474"/>
  <c r="P361" i="474"/>
  <c r="L163" i="474"/>
  <c r="L162" i="474" s="1"/>
  <c r="O218" i="474"/>
  <c r="N218" i="474"/>
  <c r="L362" i="474"/>
  <c r="P362" i="474"/>
  <c r="P487" i="474"/>
  <c r="L487" i="474"/>
  <c r="L657" i="474"/>
  <c r="P657" i="474"/>
  <c r="L28" i="474"/>
  <c r="J292" i="474"/>
  <c r="L128" i="474"/>
  <c r="O461" i="474"/>
  <c r="L688" i="474"/>
  <c r="P688" i="474"/>
  <c r="P588" i="474"/>
  <c r="L588" i="474"/>
  <c r="L673" i="474"/>
  <c r="P673" i="474"/>
  <c r="P345" i="474"/>
  <c r="L345" i="474"/>
  <c r="L127" i="474"/>
  <c r="L666" i="474"/>
  <c r="P666" i="474"/>
  <c r="P479" i="474"/>
  <c r="L479" i="474"/>
  <c r="L562" i="474"/>
  <c r="P562" i="474"/>
  <c r="L510" i="474"/>
  <c r="P123" i="474"/>
  <c r="L231" i="474"/>
  <c r="L649" i="474"/>
  <c r="P649" i="474"/>
  <c r="L558" i="474"/>
  <c r="P67" i="474"/>
  <c r="P95" i="474"/>
  <c r="P271" i="474"/>
  <c r="P280" i="474"/>
  <c r="L118" i="474"/>
  <c r="L99" i="474"/>
  <c r="O462" i="474"/>
  <c r="L257" i="474"/>
  <c r="P86" i="474"/>
  <c r="O46" i="474"/>
  <c r="P461" i="474"/>
  <c r="O257" i="474"/>
  <c r="P24" i="474"/>
  <c r="L464" i="474"/>
  <c r="L108" i="474"/>
  <c r="L270" i="474"/>
  <c r="P270" i="474"/>
  <c r="N293" i="474"/>
  <c r="P293" i="474" s="1"/>
  <c r="L70" i="474"/>
  <c r="N132" i="474"/>
  <c r="P132" i="474" s="1"/>
  <c r="O270" i="474"/>
  <c r="J32" i="474"/>
  <c r="L81" i="474"/>
  <c r="O37" i="474"/>
  <c r="N37" i="474"/>
  <c r="N117" i="474"/>
  <c r="P117" i="474" s="1"/>
  <c r="P136" i="474"/>
  <c r="L136" i="474"/>
  <c r="P287" i="474"/>
  <c r="L287" i="474"/>
  <c r="N544" i="474"/>
  <c r="P544" i="474" s="1"/>
  <c r="N62" i="474"/>
  <c r="P62" i="474" s="1"/>
  <c r="P114" i="474"/>
  <c r="L119" i="474"/>
  <c r="L19" i="474"/>
  <c r="L302" i="474"/>
  <c r="P302" i="474"/>
  <c r="L26" i="474"/>
  <c r="P26" i="474"/>
  <c r="P682" i="474"/>
  <c r="L682" i="474"/>
  <c r="P674" i="474"/>
  <c r="L674" i="474"/>
  <c r="N670" i="474"/>
  <c r="P670" i="474" s="1"/>
  <c r="P683" i="474"/>
  <c r="L683" i="474"/>
  <c r="L499" i="474"/>
  <c r="P499" i="474"/>
  <c r="P532" i="474"/>
  <c r="N531" i="474"/>
  <c r="L532" i="474"/>
  <c r="P408" i="474"/>
  <c r="L408" i="474"/>
  <c r="P635" i="474"/>
  <c r="L635" i="474"/>
  <c r="P675" i="474"/>
  <c r="L675" i="474"/>
  <c r="L576" i="474"/>
  <c r="P576" i="474"/>
  <c r="P684" i="474"/>
  <c r="L684" i="474"/>
  <c r="P446" i="474"/>
  <c r="N445" i="474"/>
  <c r="P445" i="474" s="1"/>
  <c r="L446" i="474"/>
  <c r="L509" i="474"/>
  <c r="P509" i="474"/>
  <c r="P322" i="474"/>
  <c r="L322" i="474"/>
  <c r="L281" i="474"/>
  <c r="P281" i="474"/>
  <c r="N279" i="474"/>
  <c r="P279" i="474" s="1"/>
  <c r="P229" i="474"/>
  <c r="L229" i="474"/>
  <c r="P493" i="474"/>
  <c r="N492" i="474"/>
  <c r="P492" i="474" s="1"/>
  <c r="L493" i="474"/>
  <c r="L492" i="474" s="1"/>
  <c r="P255" i="474"/>
  <c r="L255" i="474"/>
  <c r="N252" i="474"/>
  <c r="P252" i="474" s="1"/>
  <c r="P378" i="474"/>
  <c r="N377" i="474"/>
  <c r="P377" i="474" s="1"/>
  <c r="L378" i="474"/>
  <c r="L526" i="474"/>
  <c r="P526" i="474"/>
  <c r="L50" i="474"/>
  <c r="L48" i="474" s="1"/>
  <c r="P50" i="474"/>
  <c r="N260" i="474"/>
  <c r="O260" i="474"/>
  <c r="P141" i="474"/>
  <c r="L141" i="474"/>
  <c r="L289" i="474"/>
  <c r="P289" i="474"/>
  <c r="P160" i="474"/>
  <c r="L160" i="474"/>
  <c r="L312" i="474"/>
  <c r="P312" i="474"/>
  <c r="N310" i="474"/>
  <c r="P310" i="474" s="1"/>
  <c r="P305" i="474"/>
  <c r="L305" i="474"/>
  <c r="P275" i="474"/>
  <c r="N273" i="474"/>
  <c r="P273" i="474" s="1"/>
  <c r="L275" i="474"/>
  <c r="P175" i="474"/>
  <c r="L175" i="474"/>
  <c r="P64" i="474"/>
  <c r="L64" i="474"/>
  <c r="P121" i="474"/>
  <c r="L121" i="474"/>
  <c r="L46" i="474"/>
  <c r="L45" i="474" s="1"/>
  <c r="P46" i="474"/>
  <c r="N45" i="474"/>
  <c r="L589" i="474"/>
  <c r="P589" i="474"/>
  <c r="P579" i="474"/>
  <c r="N578" i="474"/>
  <c r="P578" i="474" s="1"/>
  <c r="L579" i="474"/>
  <c r="L449" i="474"/>
  <c r="P449" i="474"/>
  <c r="L685" i="474"/>
  <c r="P685" i="474"/>
  <c r="P629" i="474"/>
  <c r="L629" i="474"/>
  <c r="P630" i="474"/>
  <c r="L630" i="474"/>
  <c r="L580" i="474"/>
  <c r="P580" i="474"/>
  <c r="J625" i="474"/>
  <c r="L602" i="474"/>
  <c r="P602" i="474"/>
  <c r="P667" i="474"/>
  <c r="L667" i="474"/>
  <c r="N663" i="474"/>
  <c r="P653" i="474"/>
  <c r="L653" i="474"/>
  <c r="P516" i="474"/>
  <c r="L516" i="474"/>
  <c r="P645" i="474"/>
  <c r="L645" i="474"/>
  <c r="N598" i="474"/>
  <c r="P598" i="474" s="1"/>
  <c r="P525" i="474"/>
  <c r="N524" i="474"/>
  <c r="P524" i="474" s="1"/>
  <c r="L525" i="474"/>
  <c r="L443" i="474"/>
  <c r="P443" i="474"/>
  <c r="P391" i="474"/>
  <c r="N390" i="474"/>
  <c r="P390" i="474" s="1"/>
  <c r="L391" i="474"/>
  <c r="L519" i="474"/>
  <c r="P519" i="474"/>
  <c r="P428" i="474"/>
  <c r="L428" i="474"/>
  <c r="P455" i="474"/>
  <c r="L455" i="474"/>
  <c r="P437" i="474"/>
  <c r="L437" i="474"/>
  <c r="P314" i="474"/>
  <c r="L314" i="474"/>
  <c r="P447" i="474"/>
  <c r="L447" i="474"/>
  <c r="P276" i="474"/>
  <c r="L276" i="474"/>
  <c r="L222" i="474"/>
  <c r="L221" i="474" s="1"/>
  <c r="P222" i="474"/>
  <c r="N221" i="474"/>
  <c r="L354" i="474"/>
  <c r="P354" i="474"/>
  <c r="P349" i="474"/>
  <c r="L349" i="474"/>
  <c r="L107" i="474"/>
  <c r="P107" i="474"/>
  <c r="O134" i="474"/>
  <c r="N134" i="474"/>
  <c r="P238" i="474"/>
  <c r="L238" i="474"/>
  <c r="L237" i="474" s="1"/>
  <c r="N237" i="474"/>
  <c r="P237" i="474" s="1"/>
  <c r="P112" i="474"/>
  <c r="N111" i="474"/>
  <c r="P111" i="474" s="1"/>
  <c r="L112" i="474"/>
  <c r="P126" i="474"/>
  <c r="L126" i="474"/>
  <c r="L23" i="474"/>
  <c r="P23" i="474"/>
  <c r="P93" i="474"/>
  <c r="L93" i="474"/>
  <c r="P652" i="474"/>
  <c r="L652" i="474"/>
  <c r="P616" i="474"/>
  <c r="L616" i="474"/>
  <c r="L566" i="474"/>
  <c r="P566" i="474"/>
  <c r="L517" i="474"/>
  <c r="P517" i="474"/>
  <c r="P468" i="474"/>
  <c r="L468" i="474"/>
  <c r="P203" i="474"/>
  <c r="L203" i="474"/>
  <c r="L352" i="474"/>
  <c r="P352" i="474"/>
  <c r="L243" i="474"/>
  <c r="L240" i="474" s="1"/>
  <c r="P243" i="474"/>
  <c r="P367" i="474"/>
  <c r="L367" i="474"/>
  <c r="P451" i="474"/>
  <c r="L451" i="474"/>
  <c r="P420" i="474"/>
  <c r="L420" i="474"/>
  <c r="P197" i="474"/>
  <c r="L197" i="474"/>
  <c r="P284" i="474"/>
  <c r="L284" i="474"/>
  <c r="L176" i="474"/>
  <c r="P176" i="474"/>
  <c r="N97" i="474"/>
  <c r="P97" i="474" s="1"/>
  <c r="L98" i="474"/>
  <c r="P98" i="474"/>
  <c r="P300" i="474"/>
  <c r="L300" i="474"/>
  <c r="P227" i="474"/>
  <c r="L227" i="474"/>
  <c r="P286" i="474"/>
  <c r="L286" i="474"/>
  <c r="P228" i="474"/>
  <c r="L228" i="474"/>
  <c r="P205" i="474"/>
  <c r="L205" i="474"/>
  <c r="P92" i="474"/>
  <c r="N90" i="474"/>
  <c r="P90" i="474" s="1"/>
  <c r="L92" i="474"/>
  <c r="L104" i="474"/>
  <c r="P104" i="474"/>
  <c r="N103" i="474"/>
  <c r="P103" i="474" s="1"/>
  <c r="L105" i="474"/>
  <c r="P105" i="474"/>
  <c r="P22" i="474"/>
  <c r="L22" i="474"/>
  <c r="L620" i="474"/>
  <c r="P620" i="474"/>
  <c r="P644" i="474"/>
  <c r="N643" i="474"/>
  <c r="P643" i="474" s="1"/>
  <c r="L644" i="474"/>
  <c r="P622" i="474"/>
  <c r="L622" i="474"/>
  <c r="P595" i="474"/>
  <c r="L595" i="474"/>
  <c r="N592" i="474"/>
  <c r="P592" i="474" s="1"/>
  <c r="P692" i="474"/>
  <c r="N691" i="474"/>
  <c r="L692" i="474"/>
  <c r="L522" i="474"/>
  <c r="P522" i="474"/>
  <c r="N496" i="474"/>
  <c r="P388" i="474"/>
  <c r="N387" i="474"/>
  <c r="L388" i="474"/>
  <c r="L387" i="474" s="1"/>
  <c r="L514" i="474"/>
  <c r="P514" i="474"/>
  <c r="L700" i="474"/>
  <c r="P700" i="474"/>
  <c r="L631" i="474"/>
  <c r="P631" i="474"/>
  <c r="P587" i="474"/>
  <c r="L587" i="474"/>
  <c r="P554" i="474"/>
  <c r="P426" i="474"/>
  <c r="N425" i="474"/>
  <c r="P425" i="474" s="1"/>
  <c r="L426" i="474"/>
  <c r="L465" i="474"/>
  <c r="P465" i="474"/>
  <c r="P435" i="474"/>
  <c r="L435" i="474"/>
  <c r="P427" i="474"/>
  <c r="L427" i="474"/>
  <c r="P384" i="474"/>
  <c r="N383" i="474"/>
  <c r="L384" i="474"/>
  <c r="P436" i="474"/>
  <c r="L436" i="474"/>
  <c r="P196" i="474"/>
  <c r="L196" i="474"/>
  <c r="L452" i="474"/>
  <c r="P452" i="474"/>
  <c r="P313" i="474"/>
  <c r="L313" i="474"/>
  <c r="P416" i="474"/>
  <c r="L416" i="474"/>
  <c r="P298" i="474"/>
  <c r="L298" i="474"/>
  <c r="O262" i="474"/>
  <c r="N262" i="474"/>
  <c r="P188" i="474"/>
  <c r="L188" i="474"/>
  <c r="L88" i="474"/>
  <c r="P88" i="474"/>
  <c r="P18" i="474"/>
  <c r="N17" i="474"/>
  <c r="L18" i="474"/>
  <c r="P456" i="474"/>
  <c r="L456" i="474"/>
  <c r="L201" i="474"/>
  <c r="P201" i="474"/>
  <c r="N200" i="474"/>
  <c r="P323" i="474"/>
  <c r="L323" i="474"/>
  <c r="P29" i="474"/>
  <c r="L29" i="474"/>
  <c r="P181" i="474"/>
  <c r="L181" i="474"/>
  <c r="L34" i="474"/>
  <c r="P34" i="474"/>
  <c r="P42" i="474"/>
  <c r="N41" i="474"/>
  <c r="L42" i="474"/>
  <c r="L41" i="474" s="1"/>
  <c r="L40" i="474" s="1"/>
  <c r="P101" i="474"/>
  <c r="L101" i="474"/>
  <c r="P615" i="474"/>
  <c r="L615" i="474"/>
  <c r="P607" i="474"/>
  <c r="N606" i="474"/>
  <c r="P606" i="474" s="1"/>
  <c r="L607" i="474"/>
  <c r="L483" i="474"/>
  <c r="P483" i="474"/>
  <c r="L536" i="474"/>
  <c r="P536" i="474"/>
  <c r="N540" i="474"/>
  <c r="L541" i="474"/>
  <c r="L540" i="474" s="1"/>
  <c r="P541" i="474"/>
  <c r="P676" i="474"/>
  <c r="L676" i="474"/>
  <c r="P636" i="474"/>
  <c r="L636" i="474"/>
  <c r="P596" i="474"/>
  <c r="L596" i="474"/>
  <c r="P586" i="474"/>
  <c r="N585" i="474"/>
  <c r="P585" i="474" s="1"/>
  <c r="L586" i="474"/>
  <c r="P699" i="474"/>
  <c r="N698" i="474"/>
  <c r="L699" i="474"/>
  <c r="P660" i="474"/>
  <c r="N659" i="474"/>
  <c r="P659" i="474" s="1"/>
  <c r="L660" i="474"/>
  <c r="L659" i="474" s="1"/>
  <c r="P604" i="474"/>
  <c r="L604" i="474"/>
  <c r="P651" i="474"/>
  <c r="L651" i="474"/>
  <c r="N473" i="474"/>
  <c r="P473" i="474" s="1"/>
  <c r="L474" i="474"/>
  <c r="L473" i="474" s="1"/>
  <c r="P474" i="474"/>
  <c r="O564" i="474"/>
  <c r="N564" i="474"/>
  <c r="P623" i="474"/>
  <c r="L623" i="474"/>
  <c r="P385" i="474"/>
  <c r="L385" i="474"/>
  <c r="P507" i="474"/>
  <c r="L507" i="474"/>
  <c r="L393" i="474"/>
  <c r="P393" i="474"/>
  <c r="L486" i="474"/>
  <c r="P486" i="474"/>
  <c r="P232" i="474"/>
  <c r="L232" i="474"/>
  <c r="P379" i="474"/>
  <c r="L379" i="474"/>
  <c r="P187" i="474"/>
  <c r="L187" i="474"/>
  <c r="L339" i="474"/>
  <c r="P339" i="474"/>
  <c r="L296" i="474"/>
  <c r="P296" i="474"/>
  <c r="L434" i="474"/>
  <c r="P434" i="474"/>
  <c r="N78" i="474"/>
  <c r="P78" i="474" s="1"/>
  <c r="L79" i="474"/>
  <c r="P79" i="474"/>
  <c r="P366" i="474"/>
  <c r="N365" i="474"/>
  <c r="L366" i="474"/>
  <c r="P277" i="474"/>
  <c r="L277" i="474"/>
  <c r="P210" i="474"/>
  <c r="L210" i="474"/>
  <c r="L209" i="474" s="1"/>
  <c r="N209" i="474"/>
  <c r="J220" i="474"/>
  <c r="L213" i="474"/>
  <c r="L212" i="474" s="1"/>
  <c r="P213" i="474"/>
  <c r="N212" i="474"/>
  <c r="P212" i="474" s="1"/>
  <c r="P137" i="474"/>
  <c r="L137" i="474"/>
  <c r="L462" i="474"/>
  <c r="P462" i="474"/>
  <c r="P324" i="474"/>
  <c r="L324" i="474"/>
  <c r="L247" i="474"/>
  <c r="P247" i="474"/>
  <c r="N418" i="474"/>
  <c r="P418" i="474" s="1"/>
  <c r="P191" i="474"/>
  <c r="L191" i="474"/>
  <c r="P84" i="474"/>
  <c r="N83" i="474"/>
  <c r="P83" i="474" s="1"/>
  <c r="L84" i="474"/>
  <c r="L113" i="474"/>
  <c r="P113" i="474"/>
  <c r="O628" i="474"/>
  <c r="N628" i="474"/>
  <c r="N626" i="474" s="1"/>
  <c r="P508" i="474"/>
  <c r="L508" i="474"/>
  <c r="O546" i="474"/>
  <c r="N546" i="474"/>
  <c r="J553" i="474"/>
  <c r="L627" i="474"/>
  <c r="P627" i="474"/>
  <c r="P571" i="474"/>
  <c r="N570" i="474"/>
  <c r="P570" i="474" s="1"/>
  <c r="L571" i="474"/>
  <c r="L570" i="474" s="1"/>
  <c r="O545" i="474"/>
  <c r="N545" i="474"/>
  <c r="L421" i="474"/>
  <c r="P421" i="474"/>
  <c r="L415" i="474"/>
  <c r="P415" i="474"/>
  <c r="P399" i="474"/>
  <c r="L399" i="474"/>
  <c r="P407" i="474"/>
  <c r="N406" i="474"/>
  <c r="P406" i="474" s="1"/>
  <c r="L407" i="474"/>
  <c r="L412" i="474"/>
  <c r="N411" i="474"/>
  <c r="P411" i="474" s="1"/>
  <c r="P412" i="474"/>
  <c r="P179" i="474"/>
  <c r="L179" i="474"/>
  <c r="P285" i="474"/>
  <c r="L285" i="474"/>
  <c r="L317" i="474"/>
  <c r="P317" i="474"/>
  <c r="L234" i="474"/>
  <c r="P234" i="474"/>
  <c r="L69" i="474"/>
  <c r="P69" i="474"/>
  <c r="P321" i="474"/>
  <c r="L321" i="474"/>
  <c r="P173" i="474"/>
  <c r="N172" i="474"/>
  <c r="L173" i="474"/>
  <c r="L55" i="474"/>
  <c r="P55" i="474"/>
  <c r="L66" i="474"/>
  <c r="P66" i="474"/>
  <c r="L177" i="474"/>
  <c r="P177" i="474"/>
  <c r="L185" i="474"/>
  <c r="P185" i="474"/>
  <c r="L76" i="474"/>
  <c r="L75" i="474" s="1"/>
  <c r="P76" i="474"/>
  <c r="N75" i="474"/>
  <c r="P75" i="474" s="1"/>
  <c r="P72" i="474"/>
  <c r="L72" i="474"/>
  <c r="P515" i="474"/>
  <c r="L515" i="474"/>
  <c r="P450" i="474"/>
  <c r="L450" i="474"/>
  <c r="L440" i="474"/>
  <c r="N439" i="474"/>
  <c r="P439" i="474" s="1"/>
  <c r="P440" i="474"/>
  <c r="L368" i="474"/>
  <c r="P368" i="474"/>
  <c r="O219" i="474"/>
  <c r="N219" i="474"/>
  <c r="L347" i="474"/>
  <c r="P347" i="474"/>
  <c r="P246" i="474"/>
  <c r="N245" i="474"/>
  <c r="P245" i="474" s="1"/>
  <c r="L246" i="474"/>
  <c r="P156" i="474"/>
  <c r="L156" i="474"/>
  <c r="L320" i="474"/>
  <c r="P320" i="474"/>
  <c r="L283" i="474"/>
  <c r="P283" i="474"/>
  <c r="L396" i="474"/>
  <c r="P396" i="474"/>
  <c r="P297" i="474"/>
  <c r="L297" i="474"/>
  <c r="L184" i="474"/>
  <c r="P184" i="474"/>
  <c r="P341" i="474"/>
  <c r="L341" i="474"/>
  <c r="P316" i="474"/>
  <c r="L316" i="474"/>
  <c r="P168" i="474"/>
  <c r="L168" i="474"/>
  <c r="L166" i="474" s="1"/>
  <c r="L165" i="474" s="1"/>
  <c r="P152" i="474"/>
  <c r="L152" i="474"/>
  <c r="P315" i="474"/>
  <c r="L315" i="474"/>
  <c r="N166" i="474"/>
  <c r="P331" i="474"/>
  <c r="N330" i="474"/>
  <c r="L331" i="474"/>
  <c r="N240" i="474"/>
  <c r="P240" i="474" s="1"/>
  <c r="P183" i="474"/>
  <c r="L183" i="474"/>
  <c r="L308" i="474"/>
  <c r="L307" i="474" s="1"/>
  <c r="P308" i="474"/>
  <c r="N307" i="474"/>
  <c r="P307" i="474" s="1"/>
  <c r="N193" i="474"/>
  <c r="P193" i="474" s="1"/>
  <c r="P65" i="474"/>
  <c r="L65" i="474"/>
  <c r="P30" i="474"/>
  <c r="L30" i="474"/>
  <c r="P189" i="474"/>
  <c r="L189" i="474"/>
  <c r="L94" i="474"/>
  <c r="P94" i="474"/>
  <c r="L85" i="474"/>
  <c r="P85" i="474"/>
  <c r="L122" i="474"/>
  <c r="P122" i="474"/>
  <c r="P73" i="474"/>
  <c r="L73" i="474"/>
  <c r="L693" i="474"/>
  <c r="P693" i="474"/>
  <c r="L590" i="474"/>
  <c r="P590" i="474"/>
  <c r="P614" i="474"/>
  <c r="L614" i="474"/>
  <c r="N612" i="474"/>
  <c r="P612" i="474" s="1"/>
  <c r="L506" i="474"/>
  <c r="P506" i="474"/>
  <c r="L480" i="474"/>
  <c r="P480" i="474"/>
  <c r="P397" i="474"/>
  <c r="L397" i="474"/>
  <c r="L401" i="474"/>
  <c r="P401" i="474"/>
  <c r="P398" i="474"/>
  <c r="L398" i="474"/>
  <c r="P350" i="474"/>
  <c r="L350" i="474"/>
  <c r="P267" i="474"/>
  <c r="L267" i="474"/>
  <c r="N145" i="474"/>
  <c r="P145" i="474" s="1"/>
  <c r="L146" i="474"/>
  <c r="L145" i="474" s="1"/>
  <c r="P146" i="474"/>
  <c r="P359" i="474"/>
  <c r="N358" i="474"/>
  <c r="P358" i="474" s="1"/>
  <c r="L359" i="474"/>
  <c r="P266" i="474"/>
  <c r="L266" i="474"/>
  <c r="P338" i="474"/>
  <c r="N337" i="474"/>
  <c r="L338" i="474"/>
  <c r="P204" i="474"/>
  <c r="L204" i="474"/>
  <c r="P180" i="474"/>
  <c r="L180" i="474"/>
  <c r="L57" i="474"/>
  <c r="P57" i="474"/>
  <c r="P299" i="474"/>
  <c r="L299" i="474"/>
  <c r="L333" i="474"/>
  <c r="P333" i="474"/>
  <c r="L54" i="474"/>
  <c r="P54" i="474"/>
  <c r="N53" i="474"/>
  <c r="P157" i="474"/>
  <c r="L157" i="474"/>
  <c r="P120" i="474"/>
  <c r="L120" i="474"/>
  <c r="N48" i="474"/>
  <c r="P48" i="474" s="1"/>
  <c r="L225" i="474" l="1"/>
  <c r="L224" i="474" s="1"/>
  <c r="P225" i="474"/>
  <c r="N548" i="474"/>
  <c r="P548" i="474" s="1"/>
  <c r="J372" i="474"/>
  <c r="J43" i="474"/>
  <c r="L549" i="474"/>
  <c r="L548" i="474" s="1"/>
  <c r="P36" i="474"/>
  <c r="P133" i="474"/>
  <c r="L606" i="474"/>
  <c r="L406" i="474"/>
  <c r="L358" i="474"/>
  <c r="P27" i="474"/>
  <c r="L573" i="474"/>
  <c r="L418" i="474"/>
  <c r="P33" i="474"/>
  <c r="L524" i="474"/>
  <c r="L193" i="474"/>
  <c r="L132" i="474"/>
  <c r="L439" i="474"/>
  <c r="L263" i="474"/>
  <c r="L496" i="474"/>
  <c r="L495" i="474" s="1"/>
  <c r="P268" i="474"/>
  <c r="L663" i="474"/>
  <c r="L662" i="474" s="1"/>
  <c r="L78" i="474"/>
  <c r="L268" i="474"/>
  <c r="L265" i="474" s="1"/>
  <c r="N459" i="474"/>
  <c r="P459" i="474" s="1"/>
  <c r="L27" i="474"/>
  <c r="L21" i="474" s="1"/>
  <c r="N32" i="474"/>
  <c r="P32" i="474" s="1"/>
  <c r="L149" i="474"/>
  <c r="L148" i="474" s="1"/>
  <c r="L200" i="474"/>
  <c r="L199" i="474" s="1"/>
  <c r="L245" i="474"/>
  <c r="N148" i="474"/>
  <c r="P148" i="474" s="1"/>
  <c r="L612" i="474"/>
  <c r="J16" i="474"/>
  <c r="J15" i="474" s="1"/>
  <c r="P460" i="474"/>
  <c r="P218" i="474"/>
  <c r="L218" i="474"/>
  <c r="L431" i="474"/>
  <c r="L252" i="474"/>
  <c r="L476" i="474"/>
  <c r="L330" i="474"/>
  <c r="L329" i="474" s="1"/>
  <c r="L698" i="474"/>
  <c r="L697" i="474" s="1"/>
  <c r="L598" i="474"/>
  <c r="L310" i="474"/>
  <c r="L337" i="474"/>
  <c r="L503" i="474"/>
  <c r="J207" i="474"/>
  <c r="F720" i="474" s="1"/>
  <c r="N131" i="474"/>
  <c r="P131" i="474" s="1"/>
  <c r="N292" i="474"/>
  <c r="P292" i="474" s="1"/>
  <c r="L544" i="474"/>
  <c r="L111" i="474"/>
  <c r="L117" i="474"/>
  <c r="L90" i="474"/>
  <c r="N373" i="474"/>
  <c r="P373" i="474" s="1"/>
  <c r="N543" i="474"/>
  <c r="P543" i="474" s="1"/>
  <c r="L17" i="474"/>
  <c r="L279" i="474"/>
  <c r="L293" i="474"/>
  <c r="P37" i="474"/>
  <c r="L37" i="474"/>
  <c r="L32" i="474" s="1"/>
  <c r="L62" i="474"/>
  <c r="L383" i="474"/>
  <c r="L382" i="474" s="1"/>
  <c r="N625" i="474"/>
  <c r="P625" i="474" s="1"/>
  <c r="P626" i="474"/>
  <c r="P540" i="474"/>
  <c r="L44" i="474"/>
  <c r="L377" i="474"/>
  <c r="L373" i="474" s="1"/>
  <c r="L365" i="474"/>
  <c r="L364" i="474" s="1"/>
  <c r="N382" i="474"/>
  <c r="P382" i="474" s="1"/>
  <c r="P383" i="474"/>
  <c r="L425" i="474"/>
  <c r="L592" i="474"/>
  <c r="L103" i="474"/>
  <c r="L390" i="474"/>
  <c r="N662" i="474"/>
  <c r="P662" i="474" s="1"/>
  <c r="P663" i="474"/>
  <c r="L578" i="474"/>
  <c r="L273" i="474"/>
  <c r="N259" i="474"/>
  <c r="P259" i="474" s="1"/>
  <c r="L260" i="474"/>
  <c r="P260" i="474"/>
  <c r="L531" i="474"/>
  <c r="L530" i="474" s="1"/>
  <c r="L670" i="474"/>
  <c r="N52" i="474"/>
  <c r="P52" i="474" s="1"/>
  <c r="P53" i="474"/>
  <c r="L219" i="474"/>
  <c r="N217" i="474"/>
  <c r="P219" i="474"/>
  <c r="N40" i="474"/>
  <c r="P40" i="474" s="1"/>
  <c r="P41" i="474"/>
  <c r="N329" i="474"/>
  <c r="P329" i="474" s="1"/>
  <c r="P330" i="474"/>
  <c r="N165" i="474"/>
  <c r="P165" i="474" s="1"/>
  <c r="P166" i="474"/>
  <c r="L83" i="474"/>
  <c r="N364" i="474"/>
  <c r="P364" i="474" s="1"/>
  <c r="P365" i="474"/>
  <c r="P262" i="474"/>
  <c r="L262" i="474"/>
  <c r="N495" i="474"/>
  <c r="P495" i="474" s="1"/>
  <c r="P496" i="474"/>
  <c r="L445" i="474"/>
  <c r="P531" i="474"/>
  <c r="N530" i="474"/>
  <c r="P530" i="474" s="1"/>
  <c r="L459" i="474"/>
  <c r="N697" i="474"/>
  <c r="P697" i="474" s="1"/>
  <c r="P698" i="474"/>
  <c r="N502" i="474"/>
  <c r="P502" i="474" s="1"/>
  <c r="P17" i="474"/>
  <c r="L411" i="474"/>
  <c r="L53" i="474"/>
  <c r="L52" i="474" s="1"/>
  <c r="L172" i="474"/>
  <c r="P545" i="474"/>
  <c r="L545" i="474"/>
  <c r="J538" i="474"/>
  <c r="P209" i="474"/>
  <c r="N208" i="474"/>
  <c r="P200" i="474"/>
  <c r="N199" i="474"/>
  <c r="P199" i="474" s="1"/>
  <c r="L97" i="474"/>
  <c r="P172" i="474"/>
  <c r="N171" i="474"/>
  <c r="P171" i="474" s="1"/>
  <c r="P546" i="474"/>
  <c r="L546" i="474"/>
  <c r="P628" i="474"/>
  <c r="L628" i="474"/>
  <c r="L626" i="474" s="1"/>
  <c r="L208" i="474"/>
  <c r="L585" i="474"/>
  <c r="L691" i="474"/>
  <c r="L669" i="474" s="1"/>
  <c r="L643" i="474"/>
  <c r="L134" i="474"/>
  <c r="P134" i="474"/>
  <c r="P691" i="474"/>
  <c r="N669" i="474"/>
  <c r="P669" i="474" s="1"/>
  <c r="N58" i="474"/>
  <c r="P58" i="474" s="1"/>
  <c r="P221" i="474"/>
  <c r="N44" i="474"/>
  <c r="P45" i="474"/>
  <c r="P564" i="474"/>
  <c r="L564" i="474"/>
  <c r="L557" i="474" s="1"/>
  <c r="N557" i="474"/>
  <c r="N336" i="474"/>
  <c r="P336" i="474" s="1"/>
  <c r="P337" i="474"/>
  <c r="N386" i="474"/>
  <c r="P386" i="474" s="1"/>
  <c r="P387" i="474"/>
  <c r="F721" i="474" l="1"/>
  <c r="F722" i="474" s="1"/>
  <c r="L171" i="474"/>
  <c r="L336" i="474"/>
  <c r="L131" i="474"/>
  <c r="L130" i="474" s="1"/>
  <c r="J705" i="474"/>
  <c r="L502" i="474"/>
  <c r="L217" i="474"/>
  <c r="L216" i="474" s="1"/>
  <c r="N458" i="474"/>
  <c r="P458" i="474" s="1"/>
  <c r="N130" i="474"/>
  <c r="P130" i="474" s="1"/>
  <c r="N16" i="474"/>
  <c r="P16" i="474" s="1"/>
  <c r="L292" i="474"/>
  <c r="N220" i="474"/>
  <c r="P220" i="474" s="1"/>
  <c r="L386" i="474"/>
  <c r="L553" i="474"/>
  <c r="L458" i="474"/>
  <c r="L543" i="474"/>
  <c r="L539" i="474" s="1"/>
  <c r="L16" i="474"/>
  <c r="L15" i="474" s="1"/>
  <c r="L259" i="474"/>
  <c r="L220" i="474" s="1"/>
  <c r="L625" i="474"/>
  <c r="N539" i="474"/>
  <c r="P539" i="474" s="1"/>
  <c r="L58" i="474"/>
  <c r="P44" i="474"/>
  <c r="N216" i="474"/>
  <c r="P216" i="474" s="1"/>
  <c r="P217" i="474"/>
  <c r="P557" i="474"/>
  <c r="N553" i="474"/>
  <c r="P553" i="474" s="1"/>
  <c r="P208" i="474"/>
  <c r="L207" i="474" l="1"/>
  <c r="E710" i="474" s="1"/>
  <c r="G720" i="474" s="1"/>
  <c r="H720" i="474" s="1"/>
  <c r="I720" i="474" s="1"/>
  <c r="N372" i="474"/>
  <c r="P372" i="474" s="1"/>
  <c r="L372" i="474"/>
  <c r="N15" i="474"/>
  <c r="P15" i="474" s="1"/>
  <c r="N43" i="474"/>
  <c r="P43" i="474" s="1"/>
  <c r="N207" i="474"/>
  <c r="P207" i="474" s="1"/>
  <c r="L538" i="474"/>
  <c r="E709" i="474" s="1"/>
  <c r="G719" i="474" s="1"/>
  <c r="H719" i="474" s="1"/>
  <c r="N538" i="474"/>
  <c r="P538" i="474" s="1"/>
  <c r="L43" i="474"/>
  <c r="F710" i="474" l="1"/>
  <c r="L705" i="474"/>
  <c r="N711" i="474" s="1"/>
  <c r="N705" i="474"/>
  <c r="P710" i="474" s="1"/>
  <c r="F709" i="474"/>
  <c r="E711" i="474"/>
  <c r="F711" i="474" s="1"/>
  <c r="I719" i="474"/>
  <c r="F712" i="474" l="1"/>
  <c r="P705" i="474"/>
  <c r="E712" i="474"/>
  <c r="G721" i="474"/>
  <c r="H721" i="474" s="1"/>
  <c r="E713" i="474" l="1"/>
  <c r="G722" i="474"/>
  <c r="I721" i="474"/>
  <c r="H722" i="474"/>
  <c r="I722" i="474" s="1"/>
  <c r="R43" i="75" l="1"/>
  <c r="R44" i="75"/>
  <c r="I725" i="75"/>
  <c r="J725" i="75" s="1"/>
  <c r="I726" i="75"/>
  <c r="J726" i="75" s="1"/>
  <c r="I727" i="75"/>
  <c r="J727" i="75" s="1"/>
  <c r="I728" i="75"/>
  <c r="J728" i="75" s="1"/>
  <c r="I724" i="75"/>
  <c r="M724" i="75" s="1"/>
  <c r="I718" i="75"/>
  <c r="J718" i="75" s="1"/>
  <c r="I719" i="75"/>
  <c r="J719" i="75" s="1"/>
  <c r="I720" i="75"/>
  <c r="M720" i="75" s="1"/>
  <c r="I717" i="75"/>
  <c r="M717" i="75" s="1"/>
  <c r="I697" i="75"/>
  <c r="J697" i="75" s="1"/>
  <c r="I698" i="75"/>
  <c r="J698" i="75" s="1"/>
  <c r="I699" i="75"/>
  <c r="M699" i="75" s="1"/>
  <c r="I700" i="75"/>
  <c r="J700" i="75" s="1"/>
  <c r="I701" i="75"/>
  <c r="M701" i="75" s="1"/>
  <c r="I702" i="75"/>
  <c r="M702" i="75" s="1"/>
  <c r="I703" i="75"/>
  <c r="J703" i="75" s="1"/>
  <c r="I704" i="75"/>
  <c r="J704" i="75" s="1"/>
  <c r="I705" i="75"/>
  <c r="J705" i="75" s="1"/>
  <c r="I706" i="75"/>
  <c r="J706" i="75" s="1"/>
  <c r="I707" i="75"/>
  <c r="J707" i="75" s="1"/>
  <c r="I708" i="75"/>
  <c r="J708" i="75" s="1"/>
  <c r="I709" i="75"/>
  <c r="I710" i="75"/>
  <c r="M710" i="75" s="1"/>
  <c r="I711" i="75"/>
  <c r="J711" i="75" s="1"/>
  <c r="I712" i="75"/>
  <c r="J712" i="75" s="1"/>
  <c r="I713" i="75"/>
  <c r="J713" i="75" s="1"/>
  <c r="I714" i="75"/>
  <c r="J714" i="75" s="1"/>
  <c r="I690" i="75"/>
  <c r="J690" i="75" s="1"/>
  <c r="I691" i="75"/>
  <c r="J691" i="75" s="1"/>
  <c r="I696" i="75"/>
  <c r="M696" i="75" s="1"/>
  <c r="I689" i="75"/>
  <c r="M689" i="75" s="1"/>
  <c r="I685" i="75"/>
  <c r="I677" i="75"/>
  <c r="M677" i="75" s="1"/>
  <c r="I682" i="75"/>
  <c r="M682" i="75" s="1"/>
  <c r="I681" i="75"/>
  <c r="I680" i="75"/>
  <c r="T680" i="75" s="1"/>
  <c r="L678" i="75"/>
  <c r="J678" i="75"/>
  <c r="I678" i="75"/>
  <c r="M678" i="75" s="1"/>
  <c r="J672" i="75"/>
  <c r="J673" i="75"/>
  <c r="J674" i="75"/>
  <c r="J675" i="75"/>
  <c r="J676" i="75"/>
  <c r="J671" i="75"/>
  <c r="J669" i="75"/>
  <c r="H667" i="75"/>
  <c r="L667" i="75" s="1"/>
  <c r="J667" i="75"/>
  <c r="J670" i="75"/>
  <c r="J668" i="75"/>
  <c r="I666" i="75"/>
  <c r="M666" i="75" s="1"/>
  <c r="I663" i="75"/>
  <c r="M663" i="75" s="1"/>
  <c r="I650" i="75"/>
  <c r="J650" i="75" s="1"/>
  <c r="I651" i="75"/>
  <c r="J651" i="75" s="1"/>
  <c r="I652" i="75"/>
  <c r="M652" i="75" s="1"/>
  <c r="I653" i="75"/>
  <c r="J653" i="75" s="1"/>
  <c r="I654" i="75"/>
  <c r="J654" i="75" s="1"/>
  <c r="I655" i="75"/>
  <c r="I656" i="75"/>
  <c r="J656" i="75" s="1"/>
  <c r="I657" i="75"/>
  <c r="J657" i="75" s="1"/>
  <c r="I658" i="75"/>
  <c r="J658" i="75" s="1"/>
  <c r="I659" i="75"/>
  <c r="J659" i="75" s="1"/>
  <c r="I649" i="75"/>
  <c r="J649" i="75" s="1"/>
  <c r="M660" i="75"/>
  <c r="K660" i="75"/>
  <c r="I635" i="75"/>
  <c r="J635" i="75" s="1"/>
  <c r="I636" i="75"/>
  <c r="J636" i="75" s="1"/>
  <c r="I637" i="75"/>
  <c r="M637" i="75" s="1"/>
  <c r="I638" i="75"/>
  <c r="J638" i="75" s="1"/>
  <c r="I639" i="75"/>
  <c r="I640" i="75"/>
  <c r="I641" i="75"/>
  <c r="I642" i="75"/>
  <c r="I643" i="75"/>
  <c r="I644" i="75"/>
  <c r="I634" i="75"/>
  <c r="T634" i="75" s="1"/>
  <c r="I629" i="75"/>
  <c r="I630" i="75"/>
  <c r="I631" i="75"/>
  <c r="I628" i="75"/>
  <c r="I621" i="75"/>
  <c r="I622" i="75"/>
  <c r="I623" i="75"/>
  <c r="I624" i="75"/>
  <c r="I625" i="75"/>
  <c r="I615" i="75"/>
  <c r="I616" i="75"/>
  <c r="I617" i="75"/>
  <c r="I620" i="75"/>
  <c r="I614" i="75"/>
  <c r="I608" i="75"/>
  <c r="I609" i="75"/>
  <c r="I610" i="75"/>
  <c r="I611" i="75"/>
  <c r="I607" i="75"/>
  <c r="I601" i="75"/>
  <c r="I602" i="75"/>
  <c r="I603" i="75"/>
  <c r="I604" i="75"/>
  <c r="I600" i="75"/>
  <c r="I596" i="75"/>
  <c r="J596" i="75" s="1"/>
  <c r="I597" i="75"/>
  <c r="M597" i="75" s="1"/>
  <c r="I595" i="75"/>
  <c r="M595" i="75" s="1"/>
  <c r="I592" i="75"/>
  <c r="M592" i="75" s="1"/>
  <c r="I588" i="75"/>
  <c r="J588" i="75" s="1"/>
  <c r="J587" i="75"/>
  <c r="J584" i="75"/>
  <c r="J583" i="75"/>
  <c r="J586" i="75"/>
  <c r="J585" i="75"/>
  <c r="J580" i="75"/>
  <c r="J581" i="75"/>
  <c r="J582" i="75"/>
  <c r="J579" i="75"/>
  <c r="I578" i="75"/>
  <c r="M578" i="75" s="1"/>
  <c r="I574" i="75"/>
  <c r="M574" i="75" s="1"/>
  <c r="M575" i="75"/>
  <c r="K575" i="75"/>
  <c r="I571" i="75"/>
  <c r="M571" i="75" s="1"/>
  <c r="I570" i="75"/>
  <c r="J570" i="75" s="1"/>
  <c r="I564" i="75"/>
  <c r="J564" i="75" s="1"/>
  <c r="I565" i="75"/>
  <c r="J565" i="75" s="1"/>
  <c r="I563" i="75"/>
  <c r="M563" i="75" s="1"/>
  <c r="I560" i="75"/>
  <c r="J560" i="75" s="1"/>
  <c r="J559" i="75" s="1"/>
  <c r="I552" i="75"/>
  <c r="J552" i="75" s="1"/>
  <c r="I553" i="75"/>
  <c r="J553" i="75" s="1"/>
  <c r="I554" i="75"/>
  <c r="J554" i="75" s="1"/>
  <c r="I555" i="75"/>
  <c r="J555" i="75" s="1"/>
  <c r="I551" i="75"/>
  <c r="M551" i="75" s="1"/>
  <c r="I547" i="75"/>
  <c r="J547" i="75" s="1"/>
  <c r="I545" i="75"/>
  <c r="J545" i="75" s="1"/>
  <c r="I546" i="75"/>
  <c r="J546" i="75" s="1"/>
  <c r="I544" i="75"/>
  <c r="M544" i="75" s="1"/>
  <c r="I524" i="75"/>
  <c r="J524" i="75" s="1"/>
  <c r="I525" i="75"/>
  <c r="M525" i="75" s="1"/>
  <c r="I526" i="75"/>
  <c r="J526" i="75" s="1"/>
  <c r="I527" i="75"/>
  <c r="J527" i="75" s="1"/>
  <c r="I528" i="75"/>
  <c r="J528" i="75" s="1"/>
  <c r="I529" i="75"/>
  <c r="M529" i="75" s="1"/>
  <c r="I530" i="75"/>
  <c r="J530" i="75" s="1"/>
  <c r="I531" i="75"/>
  <c r="M531" i="75" s="1"/>
  <c r="I532" i="75"/>
  <c r="J532" i="75" s="1"/>
  <c r="I533" i="75"/>
  <c r="M533" i="75" s="1"/>
  <c r="I534" i="75"/>
  <c r="J534" i="75" s="1"/>
  <c r="I535" i="75"/>
  <c r="J535" i="75" s="1"/>
  <c r="I536" i="75"/>
  <c r="J536" i="75" s="1"/>
  <c r="I537" i="75"/>
  <c r="M537" i="75" s="1"/>
  <c r="I538" i="75"/>
  <c r="J538" i="75" s="1"/>
  <c r="I539" i="75"/>
  <c r="M539" i="75" s="1"/>
  <c r="I540" i="75"/>
  <c r="J540" i="75" s="1"/>
  <c r="I541" i="75"/>
  <c r="M541" i="75" s="1"/>
  <c r="I523" i="75"/>
  <c r="J523" i="75" s="1"/>
  <c r="I517" i="75"/>
  <c r="J517" i="75" s="1"/>
  <c r="I518" i="75"/>
  <c r="M518" i="75" s="1"/>
  <c r="I519" i="75"/>
  <c r="J519" i="75" s="1"/>
  <c r="I516" i="75"/>
  <c r="M516" i="75" s="1"/>
  <c r="I512" i="75"/>
  <c r="M512" i="75" s="1"/>
  <c r="I497" i="75"/>
  <c r="M497" i="75" s="1"/>
  <c r="I498" i="75"/>
  <c r="M498" i="75" s="1"/>
  <c r="I499" i="75"/>
  <c r="M499" i="75" s="1"/>
  <c r="I500" i="75"/>
  <c r="J500" i="75" s="1"/>
  <c r="I501" i="75"/>
  <c r="M501" i="75" s="1"/>
  <c r="I502" i="75"/>
  <c r="J502" i="75" s="1"/>
  <c r="I503" i="75"/>
  <c r="J503" i="75" s="1"/>
  <c r="I504" i="75"/>
  <c r="J504" i="75" s="1"/>
  <c r="I505" i="75"/>
  <c r="M505" i="75" s="1"/>
  <c r="I506" i="75"/>
  <c r="J506" i="75" s="1"/>
  <c r="I507" i="75"/>
  <c r="M507" i="75" s="1"/>
  <c r="I508" i="75"/>
  <c r="J508" i="75" s="1"/>
  <c r="I509" i="75"/>
  <c r="M509" i="75" s="1"/>
  <c r="I496" i="75"/>
  <c r="J496" i="75" s="1"/>
  <c r="I493" i="75"/>
  <c r="M493" i="75" s="1"/>
  <c r="I480" i="75"/>
  <c r="J480" i="75" s="1"/>
  <c r="I481" i="75"/>
  <c r="J481" i="75" s="1"/>
  <c r="I482" i="75"/>
  <c r="M482" i="75" s="1"/>
  <c r="I483" i="75"/>
  <c r="M483" i="75" s="1"/>
  <c r="I484" i="75"/>
  <c r="M484" i="75" s="1"/>
  <c r="I485" i="75"/>
  <c r="J485" i="75" s="1"/>
  <c r="I486" i="75"/>
  <c r="M486" i="75" s="1"/>
  <c r="I487" i="75"/>
  <c r="J487" i="75" s="1"/>
  <c r="I488" i="75"/>
  <c r="J488" i="75" s="1"/>
  <c r="I489" i="75"/>
  <c r="J489" i="75" s="1"/>
  <c r="I479" i="75"/>
  <c r="I465" i="75"/>
  <c r="J465" i="75" s="1"/>
  <c r="I466" i="75"/>
  <c r="J466" i="75" s="1"/>
  <c r="I467" i="75"/>
  <c r="J467" i="75" s="1"/>
  <c r="I468" i="75"/>
  <c r="J468" i="75" s="1"/>
  <c r="I469" i="75"/>
  <c r="M469" i="75" s="1"/>
  <c r="I470" i="75"/>
  <c r="J470" i="75" s="1"/>
  <c r="I471" i="75"/>
  <c r="J471" i="75" s="1"/>
  <c r="I472" i="75"/>
  <c r="J472" i="75" s="1"/>
  <c r="I473" i="75"/>
  <c r="J473" i="75" s="1"/>
  <c r="I474" i="75"/>
  <c r="J474" i="75" s="1"/>
  <c r="I464" i="75"/>
  <c r="M464" i="75" s="1"/>
  <c r="I459" i="75"/>
  <c r="J459" i="75" s="1"/>
  <c r="I460" i="75"/>
  <c r="J460" i="75" s="1"/>
  <c r="I461" i="75"/>
  <c r="M461" i="75" s="1"/>
  <c r="I458" i="75"/>
  <c r="M458" i="75" s="1"/>
  <c r="I451" i="75"/>
  <c r="J451" i="75" s="1"/>
  <c r="I452" i="75"/>
  <c r="J452" i="75" s="1"/>
  <c r="I453" i="75"/>
  <c r="J453" i="75" s="1"/>
  <c r="I454" i="75"/>
  <c r="J454" i="75" s="1"/>
  <c r="I455" i="75"/>
  <c r="J455" i="75" s="1"/>
  <c r="I450" i="75"/>
  <c r="M450" i="75" s="1"/>
  <c r="I445" i="75"/>
  <c r="J445" i="75" s="1"/>
  <c r="I446" i="75"/>
  <c r="M446" i="75" s="1"/>
  <c r="I447" i="75"/>
  <c r="M447" i="75" s="1"/>
  <c r="I444" i="75"/>
  <c r="J444" i="75" s="1"/>
  <c r="I438" i="75"/>
  <c r="J438" i="75" s="1"/>
  <c r="I439" i="75"/>
  <c r="J439" i="75" s="1"/>
  <c r="I440" i="75"/>
  <c r="M440" i="75" s="1"/>
  <c r="I441" i="75"/>
  <c r="J441" i="75" s="1"/>
  <c r="I437" i="75"/>
  <c r="M437" i="75" s="1"/>
  <c r="I431" i="75"/>
  <c r="J431" i="75" s="1"/>
  <c r="I432" i="75"/>
  <c r="J432" i="75" s="1"/>
  <c r="I433" i="75"/>
  <c r="M433" i="75" s="1"/>
  <c r="I434" i="75"/>
  <c r="J434" i="75" s="1"/>
  <c r="I426" i="75"/>
  <c r="J426" i="75" s="1"/>
  <c r="I427" i="75"/>
  <c r="J427" i="75" s="1"/>
  <c r="I430" i="75"/>
  <c r="M430" i="75" s="1"/>
  <c r="I425" i="75"/>
  <c r="M425" i="75" s="1"/>
  <c r="I422" i="75"/>
  <c r="J21" i="571" s="1"/>
  <c r="I419" i="75"/>
  <c r="J419" i="75" s="1"/>
  <c r="I410" i="75"/>
  <c r="J410" i="75" s="1"/>
  <c r="I411" i="75"/>
  <c r="J411" i="75" s="1"/>
  <c r="I412" i="75"/>
  <c r="M412" i="75" s="1"/>
  <c r="I413" i="75"/>
  <c r="J413" i="75" s="1"/>
  <c r="I414" i="75"/>
  <c r="J414" i="75" s="1"/>
  <c r="I415" i="75"/>
  <c r="J415" i="75" s="1"/>
  <c r="I416" i="75"/>
  <c r="J416" i="75" s="1"/>
  <c r="I417" i="75"/>
  <c r="J417" i="75" s="1"/>
  <c r="I418" i="75"/>
  <c r="J418" i="75" s="1"/>
  <c r="I409" i="75"/>
  <c r="J409" i="75" s="1"/>
  <c r="I405" i="75"/>
  <c r="M405" i="75" s="1"/>
  <c r="I402" i="75"/>
  <c r="M402" i="75" s="1"/>
  <c r="I401" i="75"/>
  <c r="M401" i="75" s="1"/>
  <c r="I396" i="75"/>
  <c r="J396" i="75" s="1"/>
  <c r="I397" i="75"/>
  <c r="J397" i="75" s="1"/>
  <c r="I395" i="75"/>
  <c r="M395" i="75" s="1"/>
  <c r="I392" i="75"/>
  <c r="M392" i="75" s="1"/>
  <c r="I384" i="75"/>
  <c r="M384" i="75" s="1"/>
  <c r="I385" i="75"/>
  <c r="J385" i="75" s="1"/>
  <c r="I386" i="75"/>
  <c r="M386" i="75" s="1"/>
  <c r="I387" i="75"/>
  <c r="J387" i="75" s="1"/>
  <c r="I383" i="75"/>
  <c r="J383" i="75" s="1"/>
  <c r="I377" i="75"/>
  <c r="J377" i="75" s="1"/>
  <c r="I378" i="75"/>
  <c r="J378" i="75" s="1"/>
  <c r="I379" i="75"/>
  <c r="J379" i="75" s="1"/>
  <c r="I376" i="75"/>
  <c r="J376" i="75" s="1"/>
  <c r="I356" i="75"/>
  <c r="J356" i="75" s="1"/>
  <c r="I357" i="75"/>
  <c r="J357" i="75" s="1"/>
  <c r="I358" i="75"/>
  <c r="M358" i="75" s="1"/>
  <c r="I359" i="75"/>
  <c r="J359" i="75" s="1"/>
  <c r="I360" i="75"/>
  <c r="M360" i="75" s="1"/>
  <c r="I361" i="75"/>
  <c r="J361" i="75" s="1"/>
  <c r="I362" i="75"/>
  <c r="J362" i="75" s="1"/>
  <c r="I363" i="75"/>
  <c r="J363" i="75" s="1"/>
  <c r="I364" i="75"/>
  <c r="J364" i="75" s="1"/>
  <c r="I365" i="75"/>
  <c r="J365" i="75" s="1"/>
  <c r="I366" i="75"/>
  <c r="M366" i="75" s="1"/>
  <c r="I367" i="75"/>
  <c r="J367" i="75" s="1"/>
  <c r="I368" i="75"/>
  <c r="J368" i="75" s="1"/>
  <c r="I369" i="75"/>
  <c r="J369" i="75" s="1"/>
  <c r="I370" i="75"/>
  <c r="J370" i="75" s="1"/>
  <c r="I371" i="75"/>
  <c r="J371" i="75" s="1"/>
  <c r="I372" i="75"/>
  <c r="J372" i="75" s="1"/>
  <c r="I373" i="75"/>
  <c r="I355" i="75"/>
  <c r="M355" i="75" s="1"/>
  <c r="I351" i="75"/>
  <c r="I349" i="75"/>
  <c r="J19" i="555" s="1"/>
  <c r="J20" i="555" s="1"/>
  <c r="I350" i="75"/>
  <c r="J350" i="75" s="1"/>
  <c r="I348" i="75"/>
  <c r="M348" i="75" s="1"/>
  <c r="I344" i="75"/>
  <c r="M344" i="75" s="1"/>
  <c r="L337" i="75"/>
  <c r="J337" i="75"/>
  <c r="I341" i="75"/>
  <c r="I335" i="75"/>
  <c r="K336" i="75"/>
  <c r="J336" i="75"/>
  <c r="J332" i="75"/>
  <c r="K332" i="75"/>
  <c r="J333" i="75"/>
  <c r="K333" i="75"/>
  <c r="J334" i="75"/>
  <c r="K334" i="75"/>
  <c r="K331" i="75"/>
  <c r="J331" i="75"/>
  <c r="L330" i="75"/>
  <c r="J330" i="75"/>
  <c r="L328" i="75"/>
  <c r="J328" i="75"/>
  <c r="I328" i="75"/>
  <c r="M328" i="75" s="1"/>
  <c r="J326" i="75"/>
  <c r="L326" i="75"/>
  <c r="I340" i="75"/>
  <c r="K329" i="75"/>
  <c r="J329" i="75"/>
  <c r="K327" i="75"/>
  <c r="J327" i="75"/>
  <c r="K325" i="75"/>
  <c r="J325" i="75"/>
  <c r="I324" i="75"/>
  <c r="M324" i="75" s="1"/>
  <c r="I321" i="75"/>
  <c r="M321" i="75" s="1"/>
  <c r="I308" i="75"/>
  <c r="J308" i="75" s="1"/>
  <c r="I309" i="75"/>
  <c r="J309" i="75" s="1"/>
  <c r="I310" i="75"/>
  <c r="M310" i="75" s="1"/>
  <c r="I311" i="75"/>
  <c r="J311" i="75" s="1"/>
  <c r="I312" i="75"/>
  <c r="J312" i="75" s="1"/>
  <c r="I313" i="75"/>
  <c r="J313" i="75" s="1"/>
  <c r="J314" i="75"/>
  <c r="I315" i="75"/>
  <c r="J315" i="75" s="1"/>
  <c r="I316" i="75"/>
  <c r="J316" i="75" s="1"/>
  <c r="I317" i="75"/>
  <c r="M317" i="75" s="1"/>
  <c r="I307" i="75"/>
  <c r="M307" i="75" s="1"/>
  <c r="J318" i="75"/>
  <c r="I318" i="75"/>
  <c r="K306" i="75"/>
  <c r="I306" i="75"/>
  <c r="I293" i="75"/>
  <c r="I294" i="75"/>
  <c r="I295" i="75"/>
  <c r="I296" i="75"/>
  <c r="I297" i="75"/>
  <c r="M297" i="75" s="1"/>
  <c r="I298" i="75"/>
  <c r="J298" i="75" s="1"/>
  <c r="I299" i="75"/>
  <c r="M299" i="75" s="1"/>
  <c r="I300" i="75"/>
  <c r="J300" i="75" s="1"/>
  <c r="I301" i="75"/>
  <c r="J301" i="75" s="1"/>
  <c r="I302" i="75"/>
  <c r="J302" i="75" s="1"/>
  <c r="I292" i="75"/>
  <c r="M292" i="75" s="1"/>
  <c r="I287" i="75"/>
  <c r="I288" i="75"/>
  <c r="I289" i="75"/>
  <c r="I286" i="75"/>
  <c r="I279" i="75"/>
  <c r="J279" i="75" s="1"/>
  <c r="I280" i="75"/>
  <c r="J280" i="75" s="1"/>
  <c r="I281" i="75"/>
  <c r="M281" i="75" s="1"/>
  <c r="I282" i="75"/>
  <c r="J282" i="75" s="1"/>
  <c r="I283" i="75"/>
  <c r="J283" i="75" s="1"/>
  <c r="I278" i="75"/>
  <c r="M278" i="75" s="1"/>
  <c r="I275" i="75"/>
  <c r="J275" i="75" s="1"/>
  <c r="I273" i="75"/>
  <c r="J273" i="75" s="1"/>
  <c r="I274" i="75"/>
  <c r="J274" i="75" s="1"/>
  <c r="I272" i="75"/>
  <c r="J272" i="75" s="1"/>
  <c r="I266" i="75"/>
  <c r="J266" i="75" s="1"/>
  <c r="I267" i="75"/>
  <c r="J267" i="75" s="1"/>
  <c r="I268" i="75"/>
  <c r="M268" i="75" s="1"/>
  <c r="I269" i="75"/>
  <c r="J269" i="75" s="1"/>
  <c r="I265" i="75"/>
  <c r="M265" i="75" s="1"/>
  <c r="I259" i="75"/>
  <c r="J259" i="75" s="1"/>
  <c r="I260" i="75"/>
  <c r="J260" i="75" s="1"/>
  <c r="I261" i="75"/>
  <c r="M261" i="75" s="1"/>
  <c r="I262" i="75"/>
  <c r="J262" i="75" s="1"/>
  <c r="I258" i="75"/>
  <c r="M258" i="75" s="1"/>
  <c r="I255" i="75"/>
  <c r="M255" i="75" s="1"/>
  <c r="I254" i="75"/>
  <c r="M254" i="75" s="1"/>
  <c r="I253" i="75"/>
  <c r="M253" i="75" s="1"/>
  <c r="I250" i="75"/>
  <c r="I245" i="75"/>
  <c r="J244" i="75"/>
  <c r="I247" i="75"/>
  <c r="J22" i="480" s="1"/>
  <c r="J23" i="480" s="1"/>
  <c r="J243" i="75"/>
  <c r="J240" i="75"/>
  <c r="J241" i="75"/>
  <c r="J242" i="75"/>
  <c r="J239" i="75"/>
  <c r="J237" i="75"/>
  <c r="J238" i="75"/>
  <c r="J236" i="75"/>
  <c r="I235" i="75"/>
  <c r="M235" i="75" s="1"/>
  <c r="I246" i="75"/>
  <c r="J232" i="75"/>
  <c r="I231" i="75"/>
  <c r="M231" i="75" s="1"/>
  <c r="I228" i="75"/>
  <c r="J228" i="75" s="1"/>
  <c r="I227" i="75"/>
  <c r="J227" i="75" s="1"/>
  <c r="J222" i="75"/>
  <c r="I221" i="75"/>
  <c r="M221" i="75" s="1"/>
  <c r="I218" i="75"/>
  <c r="M218" i="75" s="1"/>
  <c r="I210" i="75"/>
  <c r="M210" i="75" s="1"/>
  <c r="I211" i="75"/>
  <c r="J211" i="75" s="1"/>
  <c r="I212" i="75"/>
  <c r="J212" i="75" s="1"/>
  <c r="I213" i="75"/>
  <c r="J213" i="75" s="1"/>
  <c r="I209" i="75"/>
  <c r="M209" i="75" s="1"/>
  <c r="I203" i="75"/>
  <c r="J203" i="75" s="1"/>
  <c r="I204" i="75"/>
  <c r="J204" i="75" s="1"/>
  <c r="I205" i="75"/>
  <c r="M205" i="75" s="1"/>
  <c r="I202" i="75"/>
  <c r="M202" i="75" s="1"/>
  <c r="I182" i="75"/>
  <c r="J182" i="75" s="1"/>
  <c r="I183" i="75"/>
  <c r="J183" i="75" s="1"/>
  <c r="I184" i="75"/>
  <c r="M184" i="75" s="1"/>
  <c r="I185" i="75"/>
  <c r="J185" i="75" s="1"/>
  <c r="I186" i="75"/>
  <c r="M186" i="75" s="1"/>
  <c r="I187" i="75"/>
  <c r="J187" i="75" s="1"/>
  <c r="I188" i="75"/>
  <c r="J188" i="75" s="1"/>
  <c r="I189" i="75"/>
  <c r="J189" i="75" s="1"/>
  <c r="I190" i="75"/>
  <c r="J190" i="75" s="1"/>
  <c r="I191" i="75"/>
  <c r="M191" i="75" s="1"/>
  <c r="I192" i="75"/>
  <c r="M192" i="75" s="1"/>
  <c r="I193" i="75"/>
  <c r="J193" i="75" s="1"/>
  <c r="I194" i="75"/>
  <c r="J194" i="75" s="1"/>
  <c r="I195" i="75"/>
  <c r="J195" i="75" s="1"/>
  <c r="I196" i="75"/>
  <c r="J196" i="75" s="1"/>
  <c r="I197" i="75"/>
  <c r="J197" i="75" s="1"/>
  <c r="I198" i="75"/>
  <c r="J198" i="75" s="1"/>
  <c r="I199" i="75"/>
  <c r="J199" i="75" s="1"/>
  <c r="I181" i="75"/>
  <c r="M181" i="75" s="1"/>
  <c r="I176" i="75"/>
  <c r="J176" i="75" s="1"/>
  <c r="I177" i="75"/>
  <c r="J177" i="75" s="1"/>
  <c r="I175" i="75"/>
  <c r="T175" i="75" s="1"/>
  <c r="I171" i="75"/>
  <c r="M171" i="75" s="1"/>
  <c r="I141" i="75"/>
  <c r="J141" i="75" s="1"/>
  <c r="I142" i="75"/>
  <c r="M142" i="75" s="1"/>
  <c r="I143" i="75"/>
  <c r="J143" i="75" s="1"/>
  <c r="I144" i="75"/>
  <c r="J144" i="75" s="1"/>
  <c r="I145" i="75"/>
  <c r="J145" i="75" s="1"/>
  <c r="I146" i="75"/>
  <c r="M146" i="75" s="1"/>
  <c r="I147" i="75"/>
  <c r="J147" i="75" s="1"/>
  <c r="I148" i="75"/>
  <c r="I149" i="75"/>
  <c r="J149" i="75" s="1"/>
  <c r="I150" i="75"/>
  <c r="M150" i="75" s="1"/>
  <c r="I152" i="75"/>
  <c r="J152" i="75" s="1"/>
  <c r="I154" i="75"/>
  <c r="J154" i="75" s="1"/>
  <c r="J153" i="75" s="1"/>
  <c r="I155" i="75"/>
  <c r="M155" i="75" s="1"/>
  <c r="I157" i="75"/>
  <c r="M157" i="75" s="1"/>
  <c r="I158" i="75"/>
  <c r="I159" i="75"/>
  <c r="I160" i="75"/>
  <c r="I161" i="75"/>
  <c r="I162" i="75"/>
  <c r="I163" i="75"/>
  <c r="I164" i="75"/>
  <c r="I165" i="75"/>
  <c r="I166" i="75"/>
  <c r="I167" i="75"/>
  <c r="I168" i="75"/>
  <c r="J168" i="75" s="1"/>
  <c r="I140" i="75"/>
  <c r="M140" i="75" s="1"/>
  <c r="J139" i="75"/>
  <c r="I126" i="75"/>
  <c r="M126" i="75" s="1"/>
  <c r="I127" i="75"/>
  <c r="J127" i="75" s="1"/>
  <c r="I128" i="75"/>
  <c r="J128" i="75" s="1"/>
  <c r="I129" i="75"/>
  <c r="J129" i="75" s="1"/>
  <c r="I130" i="75"/>
  <c r="J130" i="75" s="1"/>
  <c r="I131" i="75"/>
  <c r="I132" i="75"/>
  <c r="I133" i="75"/>
  <c r="M133" i="75" s="1"/>
  <c r="I134" i="75"/>
  <c r="I135" i="75"/>
  <c r="M135" i="75" s="1"/>
  <c r="I125" i="75"/>
  <c r="J125" i="75" s="1"/>
  <c r="I120" i="75"/>
  <c r="J120" i="75" s="1"/>
  <c r="I121" i="75"/>
  <c r="J121" i="75" s="1"/>
  <c r="I122" i="75"/>
  <c r="J122" i="75" s="1"/>
  <c r="I119" i="75"/>
  <c r="M119" i="75" s="1"/>
  <c r="I112" i="75"/>
  <c r="I113" i="75"/>
  <c r="M113" i="75" s="1"/>
  <c r="I114" i="75"/>
  <c r="M114" i="75" s="1"/>
  <c r="I115" i="75"/>
  <c r="J115" i="75" s="1"/>
  <c r="I116" i="75"/>
  <c r="I111" i="75"/>
  <c r="M111" i="75" s="1"/>
  <c r="I106" i="75"/>
  <c r="I107" i="75"/>
  <c r="I108" i="75"/>
  <c r="I105" i="75"/>
  <c r="I99" i="75"/>
  <c r="I100" i="75"/>
  <c r="I101" i="75"/>
  <c r="I102" i="75"/>
  <c r="I98" i="75"/>
  <c r="I92" i="75"/>
  <c r="I93" i="75"/>
  <c r="I94" i="75"/>
  <c r="I95" i="75"/>
  <c r="I91" i="75"/>
  <c r="I87" i="75"/>
  <c r="J87" i="75" s="1"/>
  <c r="I88" i="75"/>
  <c r="J88" i="75" s="1"/>
  <c r="I86" i="75"/>
  <c r="M86" i="75" s="1"/>
  <c r="I83" i="75"/>
  <c r="I71" i="75"/>
  <c r="I72" i="75"/>
  <c r="J17" i="525" s="1"/>
  <c r="J18" i="525" s="1"/>
  <c r="I73" i="75"/>
  <c r="J17" i="526" s="1"/>
  <c r="J18" i="526" s="1"/>
  <c r="I74" i="75"/>
  <c r="J17" i="527" s="1"/>
  <c r="J18" i="527" s="1"/>
  <c r="I75" i="75"/>
  <c r="I77" i="75"/>
  <c r="I78" i="75"/>
  <c r="I79" i="75"/>
  <c r="I80" i="75"/>
  <c r="I70" i="75"/>
  <c r="J70" i="75" s="1"/>
  <c r="I66" i="75"/>
  <c r="I61" i="75"/>
  <c r="I62" i="75"/>
  <c r="I63" i="75"/>
  <c r="I60" i="75"/>
  <c r="I56" i="75"/>
  <c r="I55" i="75"/>
  <c r="I52" i="75"/>
  <c r="M52" i="75" s="1"/>
  <c r="I48" i="75"/>
  <c r="J48" i="75" s="1"/>
  <c r="J47" i="75" s="1"/>
  <c r="J46" i="75" s="1"/>
  <c r="J37" i="75"/>
  <c r="K37" i="75"/>
  <c r="J38" i="75"/>
  <c r="K38" i="75"/>
  <c r="J39" i="75"/>
  <c r="K39" i="75"/>
  <c r="J40" i="75"/>
  <c r="K40" i="75"/>
  <c r="J41" i="75"/>
  <c r="K41" i="75"/>
  <c r="K36" i="75"/>
  <c r="J36" i="75"/>
  <c r="J23" i="75"/>
  <c r="J24" i="75"/>
  <c r="J25" i="75"/>
  <c r="J26" i="75"/>
  <c r="J27" i="75"/>
  <c r="J28" i="75"/>
  <c r="J29" i="75"/>
  <c r="J30" i="75"/>
  <c r="J22" i="75"/>
  <c r="J19" i="75"/>
  <c r="J18" i="75"/>
  <c r="I23" i="75"/>
  <c r="M23" i="75" s="1"/>
  <c r="I24" i="75"/>
  <c r="M24" i="75" s="1"/>
  <c r="I25" i="75"/>
  <c r="I26" i="75"/>
  <c r="M26" i="75" s="1"/>
  <c r="I27" i="75"/>
  <c r="M27" i="75" s="1"/>
  <c r="I28" i="75"/>
  <c r="M28" i="75" s="1"/>
  <c r="I29" i="75"/>
  <c r="M29" i="75" s="1"/>
  <c r="I30" i="75"/>
  <c r="M30" i="75" s="1"/>
  <c r="I22" i="75"/>
  <c r="M22" i="75" s="1"/>
  <c r="I19" i="75"/>
  <c r="I18" i="75"/>
  <c r="M422" i="75" l="1"/>
  <c r="J20" i="566"/>
  <c r="J21" i="566" s="1"/>
  <c r="M134" i="75"/>
  <c r="J112" i="75"/>
  <c r="J132" i="75"/>
  <c r="P132" i="75"/>
  <c r="J131" i="75"/>
  <c r="P131" i="75"/>
  <c r="M19" i="75"/>
  <c r="T19" i="75"/>
  <c r="M245" i="75"/>
  <c r="J116" i="75"/>
  <c r="J644" i="75"/>
  <c r="J23" i="565"/>
  <c r="J24" i="565" s="1"/>
  <c r="J643" i="75"/>
  <c r="J23" i="564"/>
  <c r="J24" i="564" s="1"/>
  <c r="M99" i="75"/>
  <c r="M105" i="75"/>
  <c r="M108" i="75"/>
  <c r="M634" i="75"/>
  <c r="J23" i="562"/>
  <c r="J24" i="562" s="1"/>
  <c r="J107" i="75"/>
  <c r="M98" i="75"/>
  <c r="M106" i="75"/>
  <c r="J102" i="75"/>
  <c r="J167" i="75"/>
  <c r="M148" i="75"/>
  <c r="J17" i="561"/>
  <c r="J18" i="561" s="1"/>
  <c r="J17" i="560"/>
  <c r="J18" i="560" s="1"/>
  <c r="J17" i="559"/>
  <c r="J18" i="559" s="1"/>
  <c r="M642" i="75"/>
  <c r="J23" i="563"/>
  <c r="J24" i="563" s="1"/>
  <c r="J101" i="75"/>
  <c r="J166" i="75"/>
  <c r="M100" i="75"/>
  <c r="M56" i="75"/>
  <c r="M60" i="75"/>
  <c r="M63" i="75"/>
  <c r="M61" i="75"/>
  <c r="M83" i="75"/>
  <c r="J160" i="75"/>
  <c r="J159" i="75"/>
  <c r="M351" i="75"/>
  <c r="J18" i="550"/>
  <c r="J19" i="550" s="1"/>
  <c r="J18" i="549"/>
  <c r="J19" i="549" s="1"/>
  <c r="M91" i="75"/>
  <c r="M62" i="75"/>
  <c r="M94" i="75"/>
  <c r="M335" i="75"/>
  <c r="J18" i="551"/>
  <c r="J19" i="551" s="1"/>
  <c r="J621" i="75"/>
  <c r="J95" i="75"/>
  <c r="M55" i="75"/>
  <c r="J93" i="75"/>
  <c r="J92" i="75"/>
  <c r="M165" i="75"/>
  <c r="M620" i="75"/>
  <c r="M163" i="75"/>
  <c r="J162" i="75"/>
  <c r="M164" i="75"/>
  <c r="J161" i="75"/>
  <c r="M349" i="75"/>
  <c r="J19" i="554"/>
  <c r="J20" i="554" s="1"/>
  <c r="T341" i="75"/>
  <c r="J24" i="552"/>
  <c r="J25" i="552" s="1"/>
  <c r="M630" i="75"/>
  <c r="J20" i="543"/>
  <c r="J21" i="543" s="1"/>
  <c r="J639" i="75"/>
  <c r="J20" i="538"/>
  <c r="J21" i="538" s="1"/>
  <c r="J623" i="75"/>
  <c r="J20" i="546"/>
  <c r="J21" i="546" s="1"/>
  <c r="J622" i="75"/>
  <c r="J20" i="545"/>
  <c r="J21" i="545" s="1"/>
  <c r="J629" i="75"/>
  <c r="J20" i="542"/>
  <c r="J21" i="542" s="1"/>
  <c r="J80" i="75"/>
  <c r="M628" i="75"/>
  <c r="J20" i="541"/>
  <c r="J21" i="541" s="1"/>
  <c r="M641" i="75"/>
  <c r="J20" i="540"/>
  <c r="J21" i="540" s="1"/>
  <c r="J79" i="75"/>
  <c r="J75" i="75"/>
  <c r="J631" i="75"/>
  <c r="J20" i="544"/>
  <c r="J21" i="544" s="1"/>
  <c r="J640" i="75"/>
  <c r="J20" i="539"/>
  <c r="J21" i="539" s="1"/>
  <c r="M614" i="75"/>
  <c r="J20" i="530"/>
  <c r="J21" i="530" s="1"/>
  <c r="J615" i="75"/>
  <c r="J20" i="531"/>
  <c r="J21" i="531" s="1"/>
  <c r="J625" i="75"/>
  <c r="J20" i="534"/>
  <c r="J21" i="534" s="1"/>
  <c r="J624" i="75"/>
  <c r="J20" i="533"/>
  <c r="J21" i="533" s="1"/>
  <c r="T340" i="75"/>
  <c r="J24" i="529"/>
  <c r="J25" i="529" s="1"/>
  <c r="J616" i="75"/>
  <c r="J20" i="532"/>
  <c r="J21" i="532" s="1"/>
  <c r="J71" i="75"/>
  <c r="J17" i="524"/>
  <c r="J18" i="524" s="1"/>
  <c r="M610" i="75"/>
  <c r="J25" i="514"/>
  <c r="J26" i="514" s="1"/>
  <c r="M600" i="75"/>
  <c r="J20" i="506"/>
  <c r="J21" i="506" s="1"/>
  <c r="M608" i="75"/>
  <c r="J25" i="512"/>
  <c r="J26" i="512" s="1"/>
  <c r="M603" i="75"/>
  <c r="J25" i="509"/>
  <c r="J26" i="509" s="1"/>
  <c r="J78" i="75"/>
  <c r="M604" i="75"/>
  <c r="J25" i="510"/>
  <c r="J26" i="510" s="1"/>
  <c r="J158" i="75"/>
  <c r="J17" i="522"/>
  <c r="M175" i="75"/>
  <c r="J17" i="517"/>
  <c r="J18" i="517" s="1"/>
  <c r="J602" i="75"/>
  <c r="J25" i="508"/>
  <c r="J26" i="508" s="1"/>
  <c r="M77" i="75"/>
  <c r="J74" i="75"/>
  <c r="J601" i="75"/>
  <c r="J25" i="507"/>
  <c r="J26" i="507" s="1"/>
  <c r="J617" i="75"/>
  <c r="J25" i="521"/>
  <c r="J26" i="521" s="1"/>
  <c r="J609" i="75"/>
  <c r="J25" i="513"/>
  <c r="J26" i="513" s="1"/>
  <c r="M73" i="75"/>
  <c r="M306" i="75"/>
  <c r="J16" i="377"/>
  <c r="M607" i="75"/>
  <c r="J25" i="511"/>
  <c r="J26" i="511" s="1"/>
  <c r="J72" i="75"/>
  <c r="J611" i="75"/>
  <c r="J25" i="515"/>
  <c r="J26" i="515" s="1"/>
  <c r="J373" i="75"/>
  <c r="J18" i="516"/>
  <c r="J19" i="516" s="1"/>
  <c r="J709" i="75"/>
  <c r="J17" i="502"/>
  <c r="J18" i="502" s="1"/>
  <c r="J296" i="75"/>
  <c r="J16" i="497"/>
  <c r="J17" i="497" s="1"/>
  <c r="M25" i="75"/>
  <c r="M295" i="75"/>
  <c r="J16" i="496"/>
  <c r="J17" i="496" s="1"/>
  <c r="J655" i="75"/>
  <c r="J294" i="75"/>
  <c r="J16" i="495"/>
  <c r="J17" i="495" s="1"/>
  <c r="J66" i="75"/>
  <c r="J17" i="493"/>
  <c r="J18" i="493" s="1"/>
  <c r="J293" i="75"/>
  <c r="J16" i="494"/>
  <c r="J17" i="494" s="1"/>
  <c r="T338" i="75"/>
  <c r="J18" i="500"/>
  <c r="J19" i="500" s="1"/>
  <c r="J18" i="501"/>
  <c r="J19" i="501" s="1"/>
  <c r="U680" i="75"/>
  <c r="J287" i="75"/>
  <c r="J22" i="490"/>
  <c r="J23" i="490" s="1"/>
  <c r="J288" i="75"/>
  <c r="J22" i="491"/>
  <c r="J23" i="491" s="1"/>
  <c r="M286" i="75"/>
  <c r="J22" i="489"/>
  <c r="J23" i="489" s="1"/>
  <c r="J289" i="75"/>
  <c r="J22" i="492"/>
  <c r="J23" i="492" s="1"/>
  <c r="M318" i="75"/>
  <c r="T318" i="75"/>
  <c r="M18" i="75"/>
  <c r="J184" i="75"/>
  <c r="J720" i="75"/>
  <c r="J226" i="75"/>
  <c r="J225" i="75" s="1"/>
  <c r="M101" i="75"/>
  <c r="M471" i="75"/>
  <c r="J529" i="75"/>
  <c r="J641" i="75"/>
  <c r="M411" i="75"/>
  <c r="M659" i="75"/>
  <c r="J17" i="75"/>
  <c r="J483" i="75"/>
  <c r="J186" i="75"/>
  <c r="M530" i="75"/>
  <c r="J142" i="75"/>
  <c r="M359" i="75"/>
  <c r="M639" i="75"/>
  <c r="J191" i="75"/>
  <c r="M302" i="75"/>
  <c r="J295" i="75"/>
  <c r="M260" i="75"/>
  <c r="M196" i="75"/>
  <c r="J498" i="75"/>
  <c r="J155" i="75"/>
  <c r="M370" i="75"/>
  <c r="J165" i="75"/>
  <c r="M144" i="75"/>
  <c r="M275" i="75"/>
  <c r="J349" i="75"/>
  <c r="M409" i="75"/>
  <c r="M523" i="75"/>
  <c r="J525" i="75"/>
  <c r="M616" i="75"/>
  <c r="M622" i="75"/>
  <c r="J63" i="75"/>
  <c r="M72" i="75"/>
  <c r="J133" i="75"/>
  <c r="J126" i="75"/>
  <c r="M703" i="75"/>
  <c r="J62" i="75"/>
  <c r="J94" i="75"/>
  <c r="M194" i="75"/>
  <c r="M189" i="75"/>
  <c r="M300" i="75"/>
  <c r="M368" i="75"/>
  <c r="M362" i="75"/>
  <c r="M434" i="75"/>
  <c r="M455" i="75"/>
  <c r="M534" i="75"/>
  <c r="M555" i="75"/>
  <c r="M609" i="75"/>
  <c r="M643" i="75"/>
  <c r="J61" i="75"/>
  <c r="M147" i="75"/>
  <c r="J278" i="75"/>
  <c r="M309" i="75"/>
  <c r="M488" i="75"/>
  <c r="J114" i="75"/>
  <c r="M162" i="75"/>
  <c r="M283" i="75"/>
  <c r="M315" i="75"/>
  <c r="J386" i="75"/>
  <c r="M506" i="75"/>
  <c r="J499" i="75"/>
  <c r="M538" i="75"/>
  <c r="M546" i="75"/>
  <c r="M554" i="75"/>
  <c r="M631" i="75"/>
  <c r="M75" i="75"/>
  <c r="J146" i="75"/>
  <c r="M211" i="75"/>
  <c r="M274" i="75"/>
  <c r="J360" i="75"/>
  <c r="M379" i="75"/>
  <c r="M414" i="75"/>
  <c r="J447" i="75"/>
  <c r="M474" i="75"/>
  <c r="J533" i="75"/>
  <c r="M623" i="75"/>
  <c r="M66" i="75"/>
  <c r="J113" i="75"/>
  <c r="J135" i="75"/>
  <c r="J297" i="75"/>
  <c r="J537" i="75"/>
  <c r="M570" i="75"/>
  <c r="J699" i="75"/>
  <c r="M185" i="75"/>
  <c r="M385" i="75"/>
  <c r="M526" i="75"/>
  <c r="M624" i="75"/>
  <c r="M711" i="75"/>
  <c r="M700" i="75"/>
  <c r="J55" i="75"/>
  <c r="J100" i="75"/>
  <c r="M130" i="75"/>
  <c r="J164" i="75"/>
  <c r="J150" i="75"/>
  <c r="M193" i="75"/>
  <c r="J210" i="75"/>
  <c r="J518" i="75"/>
  <c r="J539" i="75"/>
  <c r="M535" i="75"/>
  <c r="M553" i="75"/>
  <c r="M650" i="75"/>
  <c r="J99" i="75"/>
  <c r="M122" i="75"/>
  <c r="M167" i="75"/>
  <c r="J163" i="75"/>
  <c r="M177" i="75"/>
  <c r="J192" i="75"/>
  <c r="M269" i="75"/>
  <c r="M288" i="75"/>
  <c r="J321" i="75"/>
  <c r="J320" i="75" s="1"/>
  <c r="M467" i="75"/>
  <c r="M80" i="75"/>
  <c r="M212" i="75"/>
  <c r="M262" i="75"/>
  <c r="J299" i="75"/>
  <c r="M294" i="75"/>
  <c r="J317" i="75"/>
  <c r="M350" i="75"/>
  <c r="M367" i="75"/>
  <c r="M383" i="75"/>
  <c r="M487" i="75"/>
  <c r="M728" i="75"/>
  <c r="J268" i="75"/>
  <c r="J281" i="75"/>
  <c r="M466" i="75"/>
  <c r="J482" i="75"/>
  <c r="J507" i="75"/>
  <c r="M560" i="75"/>
  <c r="J702" i="75"/>
  <c r="J52" i="75"/>
  <c r="J51" i="75" s="1"/>
  <c r="J77" i="75"/>
  <c r="J73" i="75"/>
  <c r="M88" i="75"/>
  <c r="M131" i="75"/>
  <c r="M127" i="75"/>
  <c r="J157" i="75"/>
  <c r="M197" i="75"/>
  <c r="M183" i="75"/>
  <c r="M203" i="75"/>
  <c r="M267" i="75"/>
  <c r="M289" i="75"/>
  <c r="M314" i="75"/>
  <c r="M371" i="75"/>
  <c r="M363" i="75"/>
  <c r="J375" i="75"/>
  <c r="M416" i="75"/>
  <c r="M432" i="75"/>
  <c r="J446" i="75"/>
  <c r="M453" i="75"/>
  <c r="J461" i="75"/>
  <c r="M468" i="75"/>
  <c r="J484" i="75"/>
  <c r="M503" i="75"/>
  <c r="M519" i="75"/>
  <c r="J531" i="75"/>
  <c r="M527" i="75"/>
  <c r="J597" i="75"/>
  <c r="M602" i="75"/>
  <c r="J610" i="75"/>
  <c r="M617" i="75"/>
  <c r="J630" i="75"/>
  <c r="J642" i="75"/>
  <c r="M638" i="75"/>
  <c r="M654" i="75"/>
  <c r="M651" i="75"/>
  <c r="M704" i="75"/>
  <c r="J701" i="75"/>
  <c r="J60" i="75"/>
  <c r="J106" i="75"/>
  <c r="M121" i="75"/>
  <c r="J134" i="75"/>
  <c r="M161" i="75"/>
  <c r="M273" i="75"/>
  <c r="M282" i="75"/>
  <c r="J310" i="75"/>
  <c r="M376" i="75"/>
  <c r="J384" i="75"/>
  <c r="J402" i="75"/>
  <c r="J412" i="75"/>
  <c r="J408" i="75" s="1"/>
  <c r="M658" i="75"/>
  <c r="M691" i="75"/>
  <c r="M708" i="75"/>
  <c r="J265" i="75"/>
  <c r="M496" i="75"/>
  <c r="J541" i="75"/>
  <c r="M588" i="75"/>
  <c r="M601" i="75"/>
  <c r="J628" i="75"/>
  <c r="J637" i="75"/>
  <c r="M657" i="75"/>
  <c r="M653" i="75"/>
  <c r="M690" i="75"/>
  <c r="M707" i="75"/>
  <c r="J56" i="75"/>
  <c r="J91" i="75"/>
  <c r="M159" i="75"/>
  <c r="M154" i="75"/>
  <c r="M145" i="75"/>
  <c r="M199" i="75"/>
  <c r="J271" i="75"/>
  <c r="M312" i="75"/>
  <c r="J335" i="75"/>
  <c r="J366" i="75"/>
  <c r="J358" i="75"/>
  <c r="J437" i="75"/>
  <c r="M444" i="75"/>
  <c r="J486" i="75"/>
  <c r="J509" i="75"/>
  <c r="J505" i="75"/>
  <c r="J501" i="75"/>
  <c r="J497" i="75"/>
  <c r="J604" i="75"/>
  <c r="J608" i="75"/>
  <c r="J685" i="75"/>
  <c r="J684" i="75" s="1"/>
  <c r="M685" i="75"/>
  <c r="J710" i="75"/>
  <c r="M719" i="75"/>
  <c r="M727" i="75"/>
  <c r="M48" i="75"/>
  <c r="M125" i="75"/>
  <c r="M132" i="75"/>
  <c r="J148" i="75"/>
  <c r="M188" i="75"/>
  <c r="J205" i="75"/>
  <c r="J235" i="75"/>
  <c r="M250" i="75"/>
  <c r="N250" i="75"/>
  <c r="J261" i="75"/>
  <c r="M272" i="75"/>
  <c r="M378" i="75"/>
  <c r="J395" i="75"/>
  <c r="J394" i="75" s="1"/>
  <c r="M417" i="75"/>
  <c r="M441" i="75"/>
  <c r="M479" i="75"/>
  <c r="J479" i="75"/>
  <c r="J663" i="75"/>
  <c r="J662" i="75" s="1"/>
  <c r="M680" i="75"/>
  <c r="M74" i="75"/>
  <c r="M95" i="75"/>
  <c r="J433" i="75"/>
  <c r="M454" i="75"/>
  <c r="J458" i="75"/>
  <c r="J469" i="75"/>
  <c r="M504" i="75"/>
  <c r="M517" i="75"/>
  <c r="J571" i="75"/>
  <c r="J568" i="75" s="1"/>
  <c r="J567" i="75" s="1"/>
  <c r="J595" i="75"/>
  <c r="J603" i="75"/>
  <c r="M625" i="75"/>
  <c r="M635" i="75"/>
  <c r="M649" i="75"/>
  <c r="J652" i="75"/>
  <c r="M681" i="75"/>
  <c r="M709" i="75"/>
  <c r="M718" i="75"/>
  <c r="J253" i="75"/>
  <c r="M311" i="75"/>
  <c r="M413" i="75"/>
  <c r="J440" i="75"/>
  <c r="I667" i="75"/>
  <c r="M667" i="75" s="1"/>
  <c r="M712" i="75"/>
  <c r="M726" i="75"/>
  <c r="M725" i="75"/>
  <c r="J724" i="75"/>
  <c r="J723" i="75" s="1"/>
  <c r="J722" i="75" s="1"/>
  <c r="J717" i="75"/>
  <c r="M714" i="75"/>
  <c r="M706" i="75"/>
  <c r="M698" i="75"/>
  <c r="M713" i="75"/>
  <c r="M705" i="75"/>
  <c r="M697" i="75"/>
  <c r="J696" i="75"/>
  <c r="J689" i="75"/>
  <c r="J677" i="75"/>
  <c r="J666" i="75"/>
  <c r="M656" i="75"/>
  <c r="M655" i="75"/>
  <c r="M644" i="75"/>
  <c r="M636" i="75"/>
  <c r="M640" i="75"/>
  <c r="J634" i="75"/>
  <c r="M629" i="75"/>
  <c r="M621" i="75"/>
  <c r="M615" i="75"/>
  <c r="J620" i="75"/>
  <c r="J614" i="75"/>
  <c r="M611" i="75"/>
  <c r="J607" i="75"/>
  <c r="J600" i="75"/>
  <c r="M596" i="75"/>
  <c r="J592" i="75"/>
  <c r="J591" i="75" s="1"/>
  <c r="J578" i="75"/>
  <c r="J577" i="75" s="1"/>
  <c r="J574" i="75"/>
  <c r="J573" i="75" s="1"/>
  <c r="M565" i="75"/>
  <c r="M564" i="75"/>
  <c r="J563" i="75"/>
  <c r="J562" i="75" s="1"/>
  <c r="J558" i="75" s="1"/>
  <c r="M552" i="75"/>
  <c r="J551" i="75"/>
  <c r="J550" i="75" s="1"/>
  <c r="J549" i="75" s="1"/>
  <c r="M547" i="75"/>
  <c r="M545" i="75"/>
  <c r="J544" i="75"/>
  <c r="J543" i="75" s="1"/>
  <c r="M536" i="75"/>
  <c r="M528" i="75"/>
  <c r="M540" i="75"/>
  <c r="M532" i="75"/>
  <c r="M524" i="75"/>
  <c r="J516" i="75"/>
  <c r="J512" i="75"/>
  <c r="J511" i="75" s="1"/>
  <c r="M508" i="75"/>
  <c r="M500" i="75"/>
  <c r="M502" i="75"/>
  <c r="J493" i="75"/>
  <c r="J492" i="75" s="1"/>
  <c r="M489" i="75"/>
  <c r="M481" i="75"/>
  <c r="M480" i="75"/>
  <c r="M485" i="75"/>
  <c r="M472" i="75"/>
  <c r="M473" i="75"/>
  <c r="M465" i="75"/>
  <c r="M470" i="75"/>
  <c r="J464" i="75"/>
  <c r="M460" i="75"/>
  <c r="M459" i="75"/>
  <c r="M452" i="75"/>
  <c r="M451" i="75"/>
  <c r="J450" i="75"/>
  <c r="J449" i="75" s="1"/>
  <c r="M445" i="75"/>
  <c r="M439" i="75"/>
  <c r="M438" i="75"/>
  <c r="M431" i="75"/>
  <c r="M427" i="75"/>
  <c r="M426" i="75"/>
  <c r="J430" i="75"/>
  <c r="J425" i="75"/>
  <c r="J424" i="75" s="1"/>
  <c r="J422" i="75"/>
  <c r="J421" i="75" s="1"/>
  <c r="M419" i="75"/>
  <c r="M418" i="75"/>
  <c r="M410" i="75"/>
  <c r="M415" i="75"/>
  <c r="J405" i="75"/>
  <c r="J401" i="75"/>
  <c r="M397" i="75"/>
  <c r="M396" i="75"/>
  <c r="J392" i="75"/>
  <c r="J391" i="75" s="1"/>
  <c r="M387" i="75"/>
  <c r="M377" i="75"/>
  <c r="M373" i="75"/>
  <c r="M365" i="75"/>
  <c r="M357" i="75"/>
  <c r="M372" i="75"/>
  <c r="M364" i="75"/>
  <c r="M356" i="75"/>
  <c r="M369" i="75"/>
  <c r="M361" i="75"/>
  <c r="J355" i="75"/>
  <c r="J351" i="75"/>
  <c r="J348" i="75"/>
  <c r="J344" i="75"/>
  <c r="J343" i="75" s="1"/>
  <c r="J324" i="75"/>
  <c r="M316" i="75"/>
  <c r="M308" i="75"/>
  <c r="M313" i="75"/>
  <c r="J307" i="75"/>
  <c r="M296" i="75"/>
  <c r="M301" i="75"/>
  <c r="M293" i="75"/>
  <c r="M298" i="75"/>
  <c r="J292" i="75"/>
  <c r="M287" i="75"/>
  <c r="J286" i="75"/>
  <c r="M280" i="75"/>
  <c r="M279" i="75"/>
  <c r="M266" i="75"/>
  <c r="M259" i="75"/>
  <c r="J258" i="75"/>
  <c r="J255" i="75"/>
  <c r="J254" i="75"/>
  <c r="J250" i="75"/>
  <c r="J249" i="75" s="1"/>
  <c r="J245" i="75"/>
  <c r="J231" i="75"/>
  <c r="J230" i="75" s="1"/>
  <c r="M228" i="75"/>
  <c r="M227" i="75"/>
  <c r="J218" i="75"/>
  <c r="J217" i="75" s="1"/>
  <c r="M213" i="75"/>
  <c r="J209" i="75"/>
  <c r="M204" i="75"/>
  <c r="J202" i="75"/>
  <c r="M198" i="75"/>
  <c r="M190" i="75"/>
  <c r="M182" i="75"/>
  <c r="M195" i="75"/>
  <c r="M187" i="75"/>
  <c r="J181" i="75"/>
  <c r="M176" i="75"/>
  <c r="J175" i="75"/>
  <c r="J174" i="75" s="1"/>
  <c r="J173" i="75" s="1"/>
  <c r="J171" i="75"/>
  <c r="J170" i="75" s="1"/>
  <c r="M168" i="75"/>
  <c r="M160" i="75"/>
  <c r="M152" i="75"/>
  <c r="M143" i="75"/>
  <c r="M166" i="75"/>
  <c r="M158" i="75"/>
  <c r="M149" i="75"/>
  <c r="M141" i="75"/>
  <c r="J140" i="75"/>
  <c r="M128" i="75"/>
  <c r="M129" i="75"/>
  <c r="M120" i="75"/>
  <c r="J119" i="75"/>
  <c r="J118" i="75" s="1"/>
  <c r="M116" i="75"/>
  <c r="M115" i="75"/>
  <c r="M112" i="75"/>
  <c r="J111" i="75"/>
  <c r="M107" i="75"/>
  <c r="J108" i="75"/>
  <c r="J105" i="75"/>
  <c r="M102" i="75"/>
  <c r="J98" i="75"/>
  <c r="M93" i="75"/>
  <c r="M92" i="75"/>
  <c r="M87" i="75"/>
  <c r="J86" i="75"/>
  <c r="J85" i="75" s="1"/>
  <c r="J83" i="75"/>
  <c r="J82" i="75" s="1"/>
  <c r="M78" i="75"/>
  <c r="M79" i="75"/>
  <c r="M71" i="75"/>
  <c r="M70" i="75"/>
  <c r="H672" i="75"/>
  <c r="H673" i="75"/>
  <c r="H674" i="75"/>
  <c r="H675" i="75"/>
  <c r="H676" i="75"/>
  <c r="H671" i="75"/>
  <c r="H669" i="75"/>
  <c r="G648" i="75"/>
  <c r="H586" i="75"/>
  <c r="H585" i="75"/>
  <c r="H580" i="75"/>
  <c r="H581" i="75"/>
  <c r="H582" i="75"/>
  <c r="H579" i="75"/>
  <c r="G478" i="75"/>
  <c r="I490" i="75"/>
  <c r="T490" i="75" s="1"/>
  <c r="G406" i="75"/>
  <c r="E406" i="75"/>
  <c r="C406" i="75"/>
  <c r="D341" i="75"/>
  <c r="L24" i="552" s="1"/>
  <c r="C341" i="75"/>
  <c r="C10" i="552" s="1"/>
  <c r="H336" i="75"/>
  <c r="H332" i="75"/>
  <c r="H333" i="75"/>
  <c r="H334" i="75"/>
  <c r="H331" i="75"/>
  <c r="E340" i="75"/>
  <c r="C340" i="75"/>
  <c r="C10" i="529" s="1"/>
  <c r="E339" i="75"/>
  <c r="N30" i="584" s="1"/>
  <c r="N31" i="584" s="1"/>
  <c r="C339" i="75"/>
  <c r="C10" i="528" s="1"/>
  <c r="H329" i="75"/>
  <c r="H327" i="75"/>
  <c r="B338" i="75"/>
  <c r="C338" i="75"/>
  <c r="C10" i="500" s="1"/>
  <c r="H325" i="75"/>
  <c r="R247" i="75"/>
  <c r="C247" i="75"/>
  <c r="C10" i="480" s="1"/>
  <c r="G240" i="75"/>
  <c r="G241" i="75"/>
  <c r="G242" i="75"/>
  <c r="G239" i="75"/>
  <c r="I239" i="75" s="1"/>
  <c r="J24" i="403" s="1"/>
  <c r="H243" i="75"/>
  <c r="H237" i="75"/>
  <c r="H238" i="75"/>
  <c r="H236" i="75"/>
  <c r="R246" i="75"/>
  <c r="B246" i="75"/>
  <c r="C246" i="75"/>
  <c r="C10" i="479" s="1"/>
  <c r="G232" i="75"/>
  <c r="B232" i="75"/>
  <c r="C232" i="75"/>
  <c r="C10" i="487" s="1"/>
  <c r="G222" i="75"/>
  <c r="I222" i="75" s="1"/>
  <c r="G223" i="75"/>
  <c r="D223" i="75"/>
  <c r="C223" i="75"/>
  <c r="C10" i="478" s="1"/>
  <c r="B223" i="75"/>
  <c r="G151" i="75"/>
  <c r="D151" i="75"/>
  <c r="C151" i="75"/>
  <c r="C10" i="486" s="1"/>
  <c r="G139" i="75"/>
  <c r="I139" i="75" s="1"/>
  <c r="G67" i="75"/>
  <c r="I67" i="75" s="1"/>
  <c r="T67" i="75" s="1"/>
  <c r="E67" i="75"/>
  <c r="Q67" i="75" s="1"/>
  <c r="D67" i="75"/>
  <c r="C67" i="75"/>
  <c r="B67" i="75"/>
  <c r="G42" i="75"/>
  <c r="E43" i="75"/>
  <c r="R19" i="476" s="1"/>
  <c r="R20" i="476" s="1"/>
  <c r="E44" i="75"/>
  <c r="R20" i="477" s="1"/>
  <c r="R21" i="477" s="1"/>
  <c r="E42" i="75"/>
  <c r="R20" i="475" s="1"/>
  <c r="R21" i="475" s="1"/>
  <c r="D43" i="75"/>
  <c r="D44" i="75"/>
  <c r="D42" i="75"/>
  <c r="B43" i="75"/>
  <c r="B44" i="75"/>
  <c r="B42" i="75"/>
  <c r="C43" i="75"/>
  <c r="C10" i="476" s="1"/>
  <c r="C44" i="75"/>
  <c r="C10" i="477" s="1"/>
  <c r="C42" i="75"/>
  <c r="C10" i="475" s="1"/>
  <c r="I37" i="75"/>
  <c r="I38" i="75"/>
  <c r="I39" i="75"/>
  <c r="M39" i="75" s="1"/>
  <c r="I40" i="75"/>
  <c r="M40" i="75" s="1"/>
  <c r="Q681" i="75" l="1"/>
  <c r="R681" i="75"/>
  <c r="R158" i="75"/>
  <c r="T158" i="75" s="1"/>
  <c r="R159" i="75"/>
  <c r="T159" i="75" s="1"/>
  <c r="J613" i="75"/>
  <c r="U67" i="75"/>
  <c r="J67" i="75"/>
  <c r="J65" i="75" s="1"/>
  <c r="S67" i="75"/>
  <c r="M633" i="75"/>
  <c r="S26" i="552"/>
  <c r="S24" i="552"/>
  <c r="S25" i="552"/>
  <c r="S340" i="75"/>
  <c r="R27" i="552"/>
  <c r="R28" i="552" s="1"/>
  <c r="R27" i="529"/>
  <c r="R28" i="529" s="1"/>
  <c r="O340" i="75"/>
  <c r="Q340" i="75"/>
  <c r="J633" i="75"/>
  <c r="S339" i="75"/>
  <c r="R30" i="528"/>
  <c r="R31" i="528" s="1"/>
  <c r="O339" i="75"/>
  <c r="Q339" i="75"/>
  <c r="J619" i="75"/>
  <c r="D12" i="522"/>
  <c r="J647" i="75"/>
  <c r="U340" i="75"/>
  <c r="M38" i="75"/>
  <c r="J285" i="75"/>
  <c r="J716" i="75"/>
  <c r="J694" i="75" s="1"/>
  <c r="J208" i="75"/>
  <c r="J207" i="75" s="1"/>
  <c r="J257" i="75"/>
  <c r="J594" i="75"/>
  <c r="J463" i="75"/>
  <c r="J201" i="75"/>
  <c r="J606" i="75"/>
  <c r="J382" i="75"/>
  <c r="J381" i="75" s="1"/>
  <c r="J180" i="75"/>
  <c r="J277" i="75"/>
  <c r="J124" i="75"/>
  <c r="M222" i="75"/>
  <c r="J26" i="387"/>
  <c r="J305" i="75"/>
  <c r="J665" i="75"/>
  <c r="J59" i="75"/>
  <c r="J58" i="75" s="1"/>
  <c r="J515" i="75"/>
  <c r="J514" i="75" s="1"/>
  <c r="J138" i="75"/>
  <c r="J695" i="75"/>
  <c r="J627" i="75"/>
  <c r="J443" i="75"/>
  <c r="J104" i="75"/>
  <c r="J457" i="75"/>
  <c r="J90" i="75"/>
  <c r="J522" i="75"/>
  <c r="J521" i="75" s="1"/>
  <c r="J69" i="75"/>
  <c r="J110" i="75"/>
  <c r="J54" i="75"/>
  <c r="J50" i="75" s="1"/>
  <c r="J354" i="75"/>
  <c r="J353" i="75" s="1"/>
  <c r="J156" i="75"/>
  <c r="J436" i="75"/>
  <c r="J264" i="75"/>
  <c r="J28" i="398"/>
  <c r="M37" i="75"/>
  <c r="J390" i="75"/>
  <c r="J23" i="435"/>
  <c r="M139" i="75"/>
  <c r="J347" i="75"/>
  <c r="J346" i="75" s="1"/>
  <c r="J400" i="75"/>
  <c r="J399" i="75" s="1"/>
  <c r="J477" i="75"/>
  <c r="J495" i="75"/>
  <c r="M239" i="75"/>
  <c r="J291" i="75"/>
  <c r="J97" i="75"/>
  <c r="I151" i="75"/>
  <c r="I237" i="75"/>
  <c r="L237" i="75"/>
  <c r="L333" i="75"/>
  <c r="I333" i="75"/>
  <c r="K406" i="75"/>
  <c r="I406" i="75"/>
  <c r="M406" i="75" s="1"/>
  <c r="I580" i="75"/>
  <c r="M580" i="75" s="1"/>
  <c r="L580" i="75"/>
  <c r="L672" i="75"/>
  <c r="I672" i="75"/>
  <c r="M672" i="75" s="1"/>
  <c r="I223" i="75"/>
  <c r="L327" i="75"/>
  <c r="I327" i="75"/>
  <c r="M327" i="75" s="1"/>
  <c r="L674" i="75"/>
  <c r="I674" i="75"/>
  <c r="M674" i="75" s="1"/>
  <c r="I238" i="75"/>
  <c r="L238" i="75"/>
  <c r="L329" i="75"/>
  <c r="I329" i="75"/>
  <c r="L334" i="75"/>
  <c r="I334" i="75"/>
  <c r="I581" i="75"/>
  <c r="M581" i="75" s="1"/>
  <c r="L581" i="75"/>
  <c r="I673" i="75"/>
  <c r="M673" i="75" s="1"/>
  <c r="L673" i="75"/>
  <c r="Q42" i="75"/>
  <c r="S42" i="75" s="1"/>
  <c r="J42" i="75"/>
  <c r="L243" i="75"/>
  <c r="I243" i="75"/>
  <c r="M243" i="75" s="1"/>
  <c r="L339" i="75"/>
  <c r="J339" i="75"/>
  <c r="I332" i="75"/>
  <c r="L332" i="75"/>
  <c r="L669" i="75"/>
  <c r="I669" i="75"/>
  <c r="M669" i="75" s="1"/>
  <c r="J429" i="75"/>
  <c r="Q44" i="75"/>
  <c r="S44" i="75" s="1"/>
  <c r="J44" i="75"/>
  <c r="R232" i="75"/>
  <c r="K232" i="75"/>
  <c r="I232" i="75"/>
  <c r="K239" i="75"/>
  <c r="L325" i="75"/>
  <c r="I325" i="75"/>
  <c r="M325" i="75" s="1"/>
  <c r="I336" i="75"/>
  <c r="L336" i="75"/>
  <c r="L236" i="75"/>
  <c r="I236" i="75"/>
  <c r="M236" i="75" s="1"/>
  <c r="I582" i="75"/>
  <c r="M582" i="75" s="1"/>
  <c r="L582" i="75"/>
  <c r="L406" i="75"/>
  <c r="J406" i="75"/>
  <c r="J404" i="75" s="1"/>
  <c r="L671" i="75"/>
  <c r="I671" i="75"/>
  <c r="M671" i="75" s="1"/>
  <c r="K648" i="75"/>
  <c r="I648" i="75"/>
  <c r="M648" i="75" s="1"/>
  <c r="Q43" i="75"/>
  <c r="S43" i="75" s="1"/>
  <c r="J43" i="75"/>
  <c r="I42" i="75"/>
  <c r="K42" i="75"/>
  <c r="K67" i="75"/>
  <c r="I241" i="75"/>
  <c r="K241" i="75"/>
  <c r="K340" i="75"/>
  <c r="J340" i="75"/>
  <c r="L340" i="75"/>
  <c r="L585" i="75"/>
  <c r="I585" i="75"/>
  <c r="M585" i="75" s="1"/>
  <c r="L676" i="75"/>
  <c r="I676" i="75"/>
  <c r="M676" i="75" s="1"/>
  <c r="L331" i="75"/>
  <c r="I331" i="75"/>
  <c r="K222" i="75"/>
  <c r="I242" i="75"/>
  <c r="K242" i="75"/>
  <c r="K478" i="75"/>
  <c r="I478" i="75"/>
  <c r="K139" i="75"/>
  <c r="I240" i="75"/>
  <c r="K240" i="75"/>
  <c r="I579" i="75"/>
  <c r="M579" i="75" s="1"/>
  <c r="L579" i="75"/>
  <c r="L586" i="75"/>
  <c r="I586" i="75"/>
  <c r="M586" i="75" s="1"/>
  <c r="I675" i="75"/>
  <c r="M675" i="75" s="1"/>
  <c r="L675" i="75"/>
  <c r="J599" i="75"/>
  <c r="J688" i="75"/>
  <c r="J687" i="75" s="1"/>
  <c r="J252" i="75"/>
  <c r="M340" i="75"/>
  <c r="G32" i="75"/>
  <c r="G33" i="75"/>
  <c r="G31" i="75"/>
  <c r="E32" i="75"/>
  <c r="E33" i="75"/>
  <c r="E31" i="75"/>
  <c r="D32" i="75"/>
  <c r="D33" i="75"/>
  <c r="D31" i="75"/>
  <c r="C32" i="75"/>
  <c r="C10" i="483" s="1"/>
  <c r="C33" i="75"/>
  <c r="C10" i="484" s="1"/>
  <c r="C31" i="75"/>
  <c r="C10" i="482" s="1"/>
  <c r="M641" i="472"/>
  <c r="L641" i="472"/>
  <c r="K641" i="472"/>
  <c r="J641" i="472"/>
  <c r="N641" i="472" s="1"/>
  <c r="M640" i="472"/>
  <c r="L640" i="472"/>
  <c r="K640" i="472"/>
  <c r="J640" i="472"/>
  <c r="N640" i="472" s="1"/>
  <c r="M639" i="472"/>
  <c r="L639" i="472"/>
  <c r="K639" i="472"/>
  <c r="J639" i="472"/>
  <c r="N639" i="472" s="1"/>
  <c r="M638" i="472"/>
  <c r="L638" i="472"/>
  <c r="K638" i="472"/>
  <c r="J638" i="472"/>
  <c r="N638" i="472" s="1"/>
  <c r="M637" i="472"/>
  <c r="L637" i="472"/>
  <c r="K637" i="472"/>
  <c r="J637" i="472"/>
  <c r="N637" i="472" s="1"/>
  <c r="M634" i="472"/>
  <c r="L634" i="472"/>
  <c r="K634" i="472"/>
  <c r="J634" i="472"/>
  <c r="N634" i="472" s="1"/>
  <c r="M633" i="472"/>
  <c r="L633" i="472"/>
  <c r="K633" i="472"/>
  <c r="J633" i="472"/>
  <c r="N633" i="472" s="1"/>
  <c r="M632" i="472"/>
  <c r="L632" i="472"/>
  <c r="K632" i="472"/>
  <c r="J632" i="472"/>
  <c r="N632" i="472" s="1"/>
  <c r="M631" i="472"/>
  <c r="L631" i="472"/>
  <c r="K631" i="472"/>
  <c r="J631" i="472"/>
  <c r="N631" i="472" s="1"/>
  <c r="M629" i="472"/>
  <c r="L629" i="472"/>
  <c r="K629" i="472"/>
  <c r="J629" i="472"/>
  <c r="N629" i="472" s="1"/>
  <c r="M628" i="472"/>
  <c r="L628" i="472"/>
  <c r="K628" i="472"/>
  <c r="J628" i="472"/>
  <c r="N628" i="472" s="1"/>
  <c r="M627" i="472"/>
  <c r="L627" i="472"/>
  <c r="K627" i="472"/>
  <c r="J627" i="472"/>
  <c r="N627" i="472" s="1"/>
  <c r="M626" i="472"/>
  <c r="L626" i="472"/>
  <c r="K626" i="472"/>
  <c r="J626" i="472"/>
  <c r="N626" i="472" s="1"/>
  <c r="M625" i="472"/>
  <c r="L625" i="472"/>
  <c r="K625" i="472"/>
  <c r="J625" i="472"/>
  <c r="N625" i="472" s="1"/>
  <c r="M624" i="472"/>
  <c r="L624" i="472"/>
  <c r="K624" i="472"/>
  <c r="J624" i="472"/>
  <c r="N624" i="472" s="1"/>
  <c r="M623" i="472"/>
  <c r="L623" i="472"/>
  <c r="K623" i="472"/>
  <c r="J623" i="472"/>
  <c r="N623" i="472" s="1"/>
  <c r="M622" i="472"/>
  <c r="L622" i="472"/>
  <c r="K622" i="472"/>
  <c r="J622" i="472"/>
  <c r="N622" i="472" s="1"/>
  <c r="M621" i="472"/>
  <c r="L621" i="472"/>
  <c r="K621" i="472"/>
  <c r="J621" i="472"/>
  <c r="N621" i="472" s="1"/>
  <c r="M620" i="472"/>
  <c r="L620" i="472"/>
  <c r="K620" i="472"/>
  <c r="J620" i="472"/>
  <c r="N620" i="472" s="1"/>
  <c r="M619" i="472"/>
  <c r="L619" i="472"/>
  <c r="K619" i="472"/>
  <c r="J619" i="472"/>
  <c r="N619" i="472" s="1"/>
  <c r="M618" i="472"/>
  <c r="L618" i="472"/>
  <c r="K618" i="472"/>
  <c r="J618" i="472"/>
  <c r="N618" i="472" s="1"/>
  <c r="M617" i="472"/>
  <c r="L617" i="472"/>
  <c r="K617" i="472"/>
  <c r="J617" i="472"/>
  <c r="N617" i="472" s="1"/>
  <c r="M616" i="472"/>
  <c r="L616" i="472"/>
  <c r="K616" i="472"/>
  <c r="J616" i="472"/>
  <c r="N616" i="472" s="1"/>
  <c r="M615" i="472"/>
  <c r="L615" i="472"/>
  <c r="K615" i="472"/>
  <c r="J615" i="472"/>
  <c r="N615" i="472" s="1"/>
  <c r="M614" i="472"/>
  <c r="L614" i="472"/>
  <c r="K614" i="472"/>
  <c r="J614" i="472"/>
  <c r="N614" i="472" s="1"/>
  <c r="M613" i="472"/>
  <c r="L613" i="472"/>
  <c r="K613" i="472"/>
  <c r="J613" i="472"/>
  <c r="N613" i="472" s="1"/>
  <c r="M612" i="472"/>
  <c r="L612" i="472"/>
  <c r="K612" i="472"/>
  <c r="J612" i="472"/>
  <c r="N612" i="472" s="1"/>
  <c r="M611" i="472"/>
  <c r="L611" i="472"/>
  <c r="K611" i="472"/>
  <c r="J611" i="472"/>
  <c r="N611" i="472" s="1"/>
  <c r="M608" i="472"/>
  <c r="L608" i="472"/>
  <c r="K608" i="472"/>
  <c r="J608" i="472"/>
  <c r="N608" i="472" s="1"/>
  <c r="M607" i="472"/>
  <c r="L607" i="472"/>
  <c r="K607" i="472"/>
  <c r="J607" i="472"/>
  <c r="N607" i="472" s="1"/>
  <c r="M606" i="472"/>
  <c r="L606" i="472"/>
  <c r="K606" i="472"/>
  <c r="J606" i="472"/>
  <c r="N606" i="472" s="1"/>
  <c r="M605" i="472"/>
  <c r="L605" i="472"/>
  <c r="K605" i="472"/>
  <c r="J605" i="472"/>
  <c r="N605" i="472" s="1"/>
  <c r="M602" i="472"/>
  <c r="L602" i="472"/>
  <c r="K602" i="472"/>
  <c r="J602" i="472"/>
  <c r="N602" i="472" s="1"/>
  <c r="M600" i="472"/>
  <c r="K600" i="472"/>
  <c r="H600" i="472"/>
  <c r="J599" i="472"/>
  <c r="F599" i="472"/>
  <c r="M598" i="472"/>
  <c r="L598" i="472"/>
  <c r="K598" i="472"/>
  <c r="J598" i="472"/>
  <c r="N598" i="472" s="1"/>
  <c r="M597" i="472"/>
  <c r="L597" i="472"/>
  <c r="K597" i="472"/>
  <c r="J597" i="472"/>
  <c r="N597" i="472" s="1"/>
  <c r="L596" i="472"/>
  <c r="K596" i="472"/>
  <c r="I596" i="472"/>
  <c r="L595" i="472"/>
  <c r="K595" i="472"/>
  <c r="I595" i="472"/>
  <c r="M595" i="472" s="1"/>
  <c r="K594" i="472"/>
  <c r="I594" i="472"/>
  <c r="M594" i="472" s="1"/>
  <c r="H594" i="472"/>
  <c r="L594" i="472" s="1"/>
  <c r="L593" i="472"/>
  <c r="K593" i="472"/>
  <c r="I593" i="472"/>
  <c r="J593" i="472" s="1"/>
  <c r="N593" i="472" s="1"/>
  <c r="L592" i="472"/>
  <c r="K592" i="472"/>
  <c r="I592" i="472"/>
  <c r="M592" i="472" s="1"/>
  <c r="M591" i="472"/>
  <c r="L591" i="472"/>
  <c r="K591" i="472"/>
  <c r="J591" i="472"/>
  <c r="N591" i="472" s="1"/>
  <c r="M590" i="472"/>
  <c r="K590" i="472"/>
  <c r="H589" i="472"/>
  <c r="H590" i="472" s="1"/>
  <c r="F589" i="472"/>
  <c r="M589" i="472" s="1"/>
  <c r="M588" i="472"/>
  <c r="L588" i="472"/>
  <c r="K588" i="472"/>
  <c r="J588" i="472"/>
  <c r="N588" i="472" s="1"/>
  <c r="M587" i="472"/>
  <c r="K587" i="472"/>
  <c r="H586" i="472"/>
  <c r="H587" i="472" s="1"/>
  <c r="F586" i="472"/>
  <c r="M585" i="472"/>
  <c r="L585" i="472"/>
  <c r="K585" i="472"/>
  <c r="J585" i="472"/>
  <c r="N585" i="472" s="1"/>
  <c r="M584" i="472"/>
  <c r="L584" i="472"/>
  <c r="K584" i="472"/>
  <c r="J584" i="472"/>
  <c r="N584" i="472" s="1"/>
  <c r="M582" i="472"/>
  <c r="L582" i="472"/>
  <c r="K582" i="472"/>
  <c r="J582" i="472"/>
  <c r="N582" i="472" s="1"/>
  <c r="M580" i="472"/>
  <c r="L580" i="472"/>
  <c r="K580" i="472"/>
  <c r="J580" i="472"/>
  <c r="N580" i="472" s="1"/>
  <c r="M579" i="472"/>
  <c r="L579" i="472"/>
  <c r="K579" i="472"/>
  <c r="J579" i="472"/>
  <c r="N579" i="472" s="1"/>
  <c r="M578" i="472"/>
  <c r="L578" i="472"/>
  <c r="K578" i="472"/>
  <c r="J578" i="472"/>
  <c r="N578" i="472" s="1"/>
  <c r="M577" i="472"/>
  <c r="L577" i="472"/>
  <c r="K577" i="472"/>
  <c r="J577" i="472"/>
  <c r="N577" i="472" s="1"/>
  <c r="M576" i="472"/>
  <c r="L576" i="472"/>
  <c r="K576" i="472"/>
  <c r="J576" i="472"/>
  <c r="N576" i="472" s="1"/>
  <c r="M575" i="472"/>
  <c r="L575" i="472"/>
  <c r="K575" i="472"/>
  <c r="J575" i="472"/>
  <c r="N575" i="472" s="1"/>
  <c r="M574" i="472"/>
  <c r="L574" i="472"/>
  <c r="K574" i="472"/>
  <c r="J574" i="472"/>
  <c r="N574" i="472" s="1"/>
  <c r="M573" i="472"/>
  <c r="L573" i="472"/>
  <c r="K573" i="472"/>
  <c r="J573" i="472"/>
  <c r="N573" i="472" s="1"/>
  <c r="M572" i="472"/>
  <c r="L572" i="472"/>
  <c r="K572" i="472"/>
  <c r="J572" i="472"/>
  <c r="N572" i="472" s="1"/>
  <c r="M571" i="472"/>
  <c r="L571" i="472"/>
  <c r="K571" i="472"/>
  <c r="J571" i="472"/>
  <c r="N571" i="472" s="1"/>
  <c r="M570" i="472"/>
  <c r="L570" i="472"/>
  <c r="K570" i="472"/>
  <c r="J570" i="472"/>
  <c r="N570" i="472" s="1"/>
  <c r="R569" i="472"/>
  <c r="J569" i="472"/>
  <c r="F569" i="472"/>
  <c r="P569" i="472" s="1"/>
  <c r="R568" i="472"/>
  <c r="P568" i="472"/>
  <c r="M568" i="472"/>
  <c r="L568" i="472"/>
  <c r="K568" i="472"/>
  <c r="J568" i="472"/>
  <c r="N568" i="472" s="1"/>
  <c r="M565" i="472"/>
  <c r="L565" i="472"/>
  <c r="K565" i="472"/>
  <c r="J565" i="472"/>
  <c r="N565" i="472" s="1"/>
  <c r="M564" i="472"/>
  <c r="L564" i="472"/>
  <c r="K564" i="472"/>
  <c r="J564" i="472"/>
  <c r="N564" i="472" s="1"/>
  <c r="M563" i="472"/>
  <c r="L563" i="472"/>
  <c r="K563" i="472"/>
  <c r="J563" i="472"/>
  <c r="N563" i="472" s="1"/>
  <c r="M562" i="472"/>
  <c r="L562" i="472"/>
  <c r="K562" i="472"/>
  <c r="J562" i="472"/>
  <c r="N562" i="472" s="1"/>
  <c r="M561" i="472"/>
  <c r="L561" i="472"/>
  <c r="K561" i="472"/>
  <c r="J561" i="472"/>
  <c r="N561" i="472" s="1"/>
  <c r="M560" i="472"/>
  <c r="L560" i="472"/>
  <c r="K560" i="472"/>
  <c r="J560" i="472"/>
  <c r="N560" i="472" s="1"/>
  <c r="M559" i="472"/>
  <c r="L559" i="472"/>
  <c r="K559" i="472"/>
  <c r="J559" i="472"/>
  <c r="N559" i="472" s="1"/>
  <c r="M558" i="472"/>
  <c r="L558" i="472"/>
  <c r="K558" i="472"/>
  <c r="J558" i="472"/>
  <c r="N558" i="472" s="1"/>
  <c r="M557" i="472"/>
  <c r="L557" i="472"/>
  <c r="K557" i="472"/>
  <c r="J557" i="472"/>
  <c r="N557" i="472" s="1"/>
  <c r="M556" i="472"/>
  <c r="L556" i="472"/>
  <c r="K556" i="472"/>
  <c r="J556" i="472"/>
  <c r="N556" i="472" s="1"/>
  <c r="M555" i="472"/>
  <c r="L555" i="472"/>
  <c r="K555" i="472"/>
  <c r="J555" i="472"/>
  <c r="N555" i="472" s="1"/>
  <c r="M553" i="472"/>
  <c r="L553" i="472"/>
  <c r="K553" i="472"/>
  <c r="J553" i="472"/>
  <c r="N553" i="472" s="1"/>
  <c r="M552" i="472"/>
  <c r="L552" i="472"/>
  <c r="K552" i="472"/>
  <c r="J552" i="472"/>
  <c r="N552" i="472" s="1"/>
  <c r="M551" i="472"/>
  <c r="L551" i="472"/>
  <c r="K551" i="472"/>
  <c r="J551" i="472"/>
  <c r="N551" i="472" s="1"/>
  <c r="M550" i="472"/>
  <c r="L550" i="472"/>
  <c r="K550" i="472"/>
  <c r="J550" i="472"/>
  <c r="N550" i="472" s="1"/>
  <c r="M548" i="472"/>
  <c r="L548" i="472"/>
  <c r="K548" i="472"/>
  <c r="J548" i="472"/>
  <c r="N548" i="472" s="1"/>
  <c r="M547" i="472"/>
  <c r="L547" i="472"/>
  <c r="K547" i="472"/>
  <c r="J547" i="472"/>
  <c r="N547" i="472" s="1"/>
  <c r="M546" i="472"/>
  <c r="L546" i="472"/>
  <c r="K546" i="472"/>
  <c r="J546" i="472"/>
  <c r="N546" i="472" s="1"/>
  <c r="M545" i="472"/>
  <c r="L545" i="472"/>
  <c r="K545" i="472"/>
  <c r="J545" i="472"/>
  <c r="N545" i="472" s="1"/>
  <c r="M544" i="472"/>
  <c r="L544" i="472"/>
  <c r="K544" i="472"/>
  <c r="J544" i="472"/>
  <c r="N544" i="472" s="1"/>
  <c r="M543" i="472"/>
  <c r="L543" i="472"/>
  <c r="K543" i="472"/>
  <c r="J543" i="472"/>
  <c r="N543" i="472" s="1"/>
  <c r="M541" i="472"/>
  <c r="L541" i="472"/>
  <c r="K541" i="472"/>
  <c r="J541" i="472"/>
  <c r="N541" i="472" s="1"/>
  <c r="M540" i="472"/>
  <c r="L540" i="472"/>
  <c r="K540" i="472"/>
  <c r="J540" i="472"/>
  <c r="N540" i="472" s="1"/>
  <c r="M539" i="472"/>
  <c r="L539" i="472"/>
  <c r="K539" i="472"/>
  <c r="J539" i="472"/>
  <c r="N539" i="472" s="1"/>
  <c r="M538" i="472"/>
  <c r="L538" i="472"/>
  <c r="K538" i="472"/>
  <c r="J538" i="472"/>
  <c r="N538" i="472" s="1"/>
  <c r="M536" i="472"/>
  <c r="L536" i="472"/>
  <c r="K536" i="472"/>
  <c r="J536" i="472"/>
  <c r="N536" i="472" s="1"/>
  <c r="M535" i="472"/>
  <c r="L535" i="472"/>
  <c r="K535" i="472"/>
  <c r="J535" i="472"/>
  <c r="N535" i="472" s="1"/>
  <c r="M534" i="472"/>
  <c r="L534" i="472"/>
  <c r="K534" i="472"/>
  <c r="J534" i="472"/>
  <c r="N534" i="472" s="1"/>
  <c r="M533" i="472"/>
  <c r="L533" i="472"/>
  <c r="K533" i="472"/>
  <c r="J533" i="472"/>
  <c r="N533" i="472" s="1"/>
  <c r="M532" i="472"/>
  <c r="L532" i="472"/>
  <c r="K532" i="472"/>
  <c r="J532" i="472"/>
  <c r="N532" i="472" s="1"/>
  <c r="M530" i="472"/>
  <c r="L530" i="472"/>
  <c r="K530" i="472"/>
  <c r="J530" i="472"/>
  <c r="N530" i="472" s="1"/>
  <c r="M529" i="472"/>
  <c r="L529" i="472"/>
  <c r="K529" i="472"/>
  <c r="J529" i="472"/>
  <c r="N529" i="472" s="1"/>
  <c r="M528" i="472"/>
  <c r="L528" i="472"/>
  <c r="K528" i="472"/>
  <c r="J528" i="472"/>
  <c r="N528" i="472" s="1"/>
  <c r="M527" i="472"/>
  <c r="L527" i="472"/>
  <c r="K527" i="472"/>
  <c r="J527" i="472"/>
  <c r="N527" i="472" s="1"/>
  <c r="M526" i="472"/>
  <c r="L526" i="472"/>
  <c r="K526" i="472"/>
  <c r="J526" i="472"/>
  <c r="N526" i="472" s="1"/>
  <c r="M524" i="472"/>
  <c r="L524" i="472"/>
  <c r="K524" i="472"/>
  <c r="J524" i="472"/>
  <c r="N524" i="472" s="1"/>
  <c r="M523" i="472"/>
  <c r="L523" i="472"/>
  <c r="K523" i="472"/>
  <c r="J523" i="472"/>
  <c r="N523" i="472" s="1"/>
  <c r="M522" i="472"/>
  <c r="L522" i="472"/>
  <c r="K522" i="472"/>
  <c r="J522" i="472"/>
  <c r="N522" i="472" s="1"/>
  <c r="M520" i="472"/>
  <c r="L520" i="472"/>
  <c r="K520" i="472"/>
  <c r="J520" i="472"/>
  <c r="N520" i="472" s="1"/>
  <c r="M518" i="472"/>
  <c r="L518" i="472"/>
  <c r="K518" i="472"/>
  <c r="J518" i="472"/>
  <c r="N518" i="472" s="1"/>
  <c r="M517" i="472"/>
  <c r="K517" i="472"/>
  <c r="H517" i="472"/>
  <c r="H516" i="472"/>
  <c r="J516" i="472" s="1"/>
  <c r="F516" i="472"/>
  <c r="E516" i="472"/>
  <c r="L515" i="472"/>
  <c r="K515" i="472"/>
  <c r="I515" i="472"/>
  <c r="M515" i="472" s="1"/>
  <c r="L514" i="472"/>
  <c r="K514" i="472"/>
  <c r="I514" i="472"/>
  <c r="M514" i="472" s="1"/>
  <c r="P513" i="472"/>
  <c r="M513" i="472"/>
  <c r="K513" i="472"/>
  <c r="H513" i="472"/>
  <c r="P512" i="472"/>
  <c r="M512" i="472"/>
  <c r="K512" i="472"/>
  <c r="H512" i="472"/>
  <c r="M511" i="472"/>
  <c r="L511" i="472"/>
  <c r="K511" i="472"/>
  <c r="J511" i="472"/>
  <c r="N511" i="472" s="1"/>
  <c r="L510" i="472"/>
  <c r="K510" i="472"/>
  <c r="I510" i="472"/>
  <c r="J510" i="472" s="1"/>
  <c r="N510" i="472" s="1"/>
  <c r="L509" i="472"/>
  <c r="K509" i="472"/>
  <c r="I509" i="472"/>
  <c r="J509" i="472" s="1"/>
  <c r="N509" i="472" s="1"/>
  <c r="L508" i="472"/>
  <c r="K508" i="472"/>
  <c r="I508" i="472"/>
  <c r="J508" i="472" s="1"/>
  <c r="N508" i="472" s="1"/>
  <c r="M507" i="472"/>
  <c r="L507" i="472"/>
  <c r="K507" i="472"/>
  <c r="J507" i="472"/>
  <c r="N507" i="472" s="1"/>
  <c r="M505" i="472"/>
  <c r="L505" i="472"/>
  <c r="K505" i="472"/>
  <c r="J505" i="472"/>
  <c r="N505" i="472" s="1"/>
  <c r="M504" i="472"/>
  <c r="L504" i="472"/>
  <c r="K504" i="472"/>
  <c r="J504" i="472"/>
  <c r="N504" i="472" s="1"/>
  <c r="M501" i="472"/>
  <c r="L501" i="472"/>
  <c r="K501" i="472"/>
  <c r="J501" i="472"/>
  <c r="N501" i="472" s="1"/>
  <c r="M500" i="472"/>
  <c r="L500" i="472"/>
  <c r="K500" i="472"/>
  <c r="J500" i="472"/>
  <c r="N500" i="472" s="1"/>
  <c r="M499" i="472"/>
  <c r="K499" i="472"/>
  <c r="H499" i="472"/>
  <c r="M496" i="472"/>
  <c r="L496" i="472"/>
  <c r="K496" i="472"/>
  <c r="J496" i="472"/>
  <c r="N496" i="472" s="1"/>
  <c r="M495" i="472"/>
  <c r="L495" i="472"/>
  <c r="K495" i="472"/>
  <c r="J495" i="472"/>
  <c r="N495" i="472" s="1"/>
  <c r="M494" i="472"/>
  <c r="L494" i="472"/>
  <c r="K494" i="472"/>
  <c r="J494" i="472"/>
  <c r="N494" i="472" s="1"/>
  <c r="M492" i="472"/>
  <c r="L492" i="472"/>
  <c r="K492" i="472"/>
  <c r="J492" i="472"/>
  <c r="N492" i="472" s="1"/>
  <c r="M488" i="472"/>
  <c r="L488" i="472"/>
  <c r="K488" i="472"/>
  <c r="J488" i="472"/>
  <c r="N488" i="472" s="1"/>
  <c r="M487" i="472"/>
  <c r="L487" i="472"/>
  <c r="K487" i="472"/>
  <c r="J487" i="472"/>
  <c r="N487" i="472" s="1"/>
  <c r="M486" i="472"/>
  <c r="L486" i="472"/>
  <c r="K486" i="472"/>
  <c r="J486" i="472"/>
  <c r="N486" i="472" s="1"/>
  <c r="M485" i="472"/>
  <c r="L485" i="472"/>
  <c r="K485" i="472"/>
  <c r="J485" i="472"/>
  <c r="N485" i="472" s="1"/>
  <c r="M484" i="472"/>
  <c r="L484" i="472"/>
  <c r="K484" i="472"/>
  <c r="J484" i="472"/>
  <c r="N484" i="472" s="1"/>
  <c r="M481" i="472"/>
  <c r="L481" i="472"/>
  <c r="K481" i="472"/>
  <c r="J481" i="472"/>
  <c r="N481" i="472" s="1"/>
  <c r="M480" i="472"/>
  <c r="L480" i="472"/>
  <c r="K480" i="472"/>
  <c r="J480" i="472"/>
  <c r="N480" i="472" s="1"/>
  <c r="M479" i="472"/>
  <c r="L479" i="472"/>
  <c r="K479" i="472"/>
  <c r="J479" i="472"/>
  <c r="N479" i="472" s="1"/>
  <c r="M478" i="472"/>
  <c r="L478" i="472"/>
  <c r="K478" i="472"/>
  <c r="J478" i="472"/>
  <c r="N478" i="472" s="1"/>
  <c r="M476" i="472"/>
  <c r="L476" i="472"/>
  <c r="K476" i="472"/>
  <c r="J476" i="472"/>
  <c r="N476" i="472" s="1"/>
  <c r="M475" i="472"/>
  <c r="L475" i="472"/>
  <c r="K475" i="472"/>
  <c r="J475" i="472"/>
  <c r="N475" i="472" s="1"/>
  <c r="M474" i="472"/>
  <c r="L474" i="472"/>
  <c r="K474" i="472"/>
  <c r="J474" i="472"/>
  <c r="N474" i="472" s="1"/>
  <c r="M473" i="472"/>
  <c r="L473" i="472"/>
  <c r="K473" i="472"/>
  <c r="J473" i="472"/>
  <c r="N473" i="472" s="1"/>
  <c r="M472" i="472"/>
  <c r="L472" i="472"/>
  <c r="K472" i="472"/>
  <c r="J472" i="472"/>
  <c r="N472" i="472" s="1"/>
  <c r="M471" i="472"/>
  <c r="L471" i="472"/>
  <c r="K471" i="472"/>
  <c r="J471" i="472"/>
  <c r="N471" i="472" s="1"/>
  <c r="M470" i="472"/>
  <c r="L470" i="472"/>
  <c r="K470" i="472"/>
  <c r="J470" i="472"/>
  <c r="N470" i="472" s="1"/>
  <c r="M469" i="472"/>
  <c r="L469" i="472"/>
  <c r="K469" i="472"/>
  <c r="J469" i="472"/>
  <c r="N469" i="472" s="1"/>
  <c r="M468" i="472"/>
  <c r="L468" i="472"/>
  <c r="K468" i="472"/>
  <c r="J468" i="472"/>
  <c r="N468" i="472" s="1"/>
  <c r="M467" i="472"/>
  <c r="L467" i="472"/>
  <c r="K467" i="472"/>
  <c r="J467" i="472"/>
  <c r="N467" i="472" s="1"/>
  <c r="M466" i="472"/>
  <c r="L466" i="472"/>
  <c r="K466" i="472"/>
  <c r="J466" i="472"/>
  <c r="N466" i="472" s="1"/>
  <c r="M465" i="472"/>
  <c r="L465" i="472"/>
  <c r="K465" i="472"/>
  <c r="J465" i="472"/>
  <c r="N465" i="472" s="1"/>
  <c r="M464" i="472"/>
  <c r="L464" i="472"/>
  <c r="K464" i="472"/>
  <c r="J464" i="472"/>
  <c r="N464" i="472" s="1"/>
  <c r="M463" i="472"/>
  <c r="L463" i="472"/>
  <c r="K463" i="472"/>
  <c r="J463" i="472"/>
  <c r="N463" i="472" s="1"/>
  <c r="M462" i="472"/>
  <c r="L462" i="472"/>
  <c r="K462" i="472"/>
  <c r="J462" i="472"/>
  <c r="N462" i="472" s="1"/>
  <c r="M461" i="472"/>
  <c r="L461" i="472"/>
  <c r="K461" i="472"/>
  <c r="J461" i="472"/>
  <c r="N461" i="472" s="1"/>
  <c r="M460" i="472"/>
  <c r="L460" i="472"/>
  <c r="K460" i="472"/>
  <c r="J460" i="472"/>
  <c r="N460" i="472" s="1"/>
  <c r="M459" i="472"/>
  <c r="L459" i="472"/>
  <c r="K459" i="472"/>
  <c r="J459" i="472"/>
  <c r="N459" i="472" s="1"/>
  <c r="M458" i="472"/>
  <c r="L458" i="472"/>
  <c r="K458" i="472"/>
  <c r="J458" i="472"/>
  <c r="N458" i="472" s="1"/>
  <c r="M455" i="472"/>
  <c r="L455" i="472"/>
  <c r="K455" i="472"/>
  <c r="J455" i="472"/>
  <c r="N455" i="472" s="1"/>
  <c r="M454" i="472"/>
  <c r="L454" i="472"/>
  <c r="K454" i="472"/>
  <c r="J454" i="472"/>
  <c r="N454" i="472" s="1"/>
  <c r="N453" i="472"/>
  <c r="M453" i="472"/>
  <c r="L453" i="472"/>
  <c r="K453" i="472"/>
  <c r="M452" i="472"/>
  <c r="L452" i="472"/>
  <c r="K452" i="472"/>
  <c r="J452" i="472"/>
  <c r="N452" i="472" s="1"/>
  <c r="M449" i="472"/>
  <c r="L449" i="472"/>
  <c r="K449" i="472"/>
  <c r="J449" i="472"/>
  <c r="N449" i="472" s="1"/>
  <c r="M447" i="472"/>
  <c r="L447" i="472"/>
  <c r="K447" i="472"/>
  <c r="J447" i="472"/>
  <c r="N447" i="472" s="1"/>
  <c r="M446" i="472"/>
  <c r="L446" i="472"/>
  <c r="K446" i="472"/>
  <c r="J446" i="472"/>
  <c r="N446" i="472" s="1"/>
  <c r="M445" i="472"/>
  <c r="L445" i="472"/>
  <c r="K445" i="472"/>
  <c r="J445" i="472"/>
  <c r="N445" i="472" s="1"/>
  <c r="M444" i="472"/>
  <c r="L444" i="472"/>
  <c r="K444" i="472"/>
  <c r="J444" i="472"/>
  <c r="N444" i="472" s="1"/>
  <c r="M443" i="472"/>
  <c r="L443" i="472"/>
  <c r="K443" i="472"/>
  <c r="J443" i="472"/>
  <c r="N443" i="472" s="1"/>
  <c r="M442" i="472"/>
  <c r="L442" i="472"/>
  <c r="K442" i="472"/>
  <c r="J442" i="472"/>
  <c r="N442" i="472" s="1"/>
  <c r="M441" i="472"/>
  <c r="L441" i="472"/>
  <c r="K441" i="472"/>
  <c r="J441" i="472"/>
  <c r="N441" i="472" s="1"/>
  <c r="M440" i="472"/>
  <c r="L440" i="472"/>
  <c r="K440" i="472"/>
  <c r="J440" i="472"/>
  <c r="N440" i="472" s="1"/>
  <c r="M439" i="472"/>
  <c r="L439" i="472"/>
  <c r="K439" i="472"/>
  <c r="J439" i="472"/>
  <c r="N439" i="472" s="1"/>
  <c r="M438" i="472"/>
  <c r="L438" i="472"/>
  <c r="K438" i="472"/>
  <c r="J438" i="472"/>
  <c r="N438" i="472" s="1"/>
  <c r="M437" i="472"/>
  <c r="L437" i="472"/>
  <c r="K437" i="472"/>
  <c r="J437" i="472"/>
  <c r="N437" i="472" s="1"/>
  <c r="J436" i="472"/>
  <c r="F436" i="472"/>
  <c r="L436" i="472" s="1"/>
  <c r="M435" i="472"/>
  <c r="L435" i="472"/>
  <c r="K435" i="472"/>
  <c r="J435" i="472"/>
  <c r="N435" i="472" s="1"/>
  <c r="M434" i="472"/>
  <c r="L434" i="472"/>
  <c r="K434" i="472"/>
  <c r="J434" i="472"/>
  <c r="N434" i="472" s="1"/>
  <c r="M433" i="472"/>
  <c r="L433" i="472"/>
  <c r="K433" i="472"/>
  <c r="J433" i="472"/>
  <c r="N433" i="472" s="1"/>
  <c r="M432" i="472"/>
  <c r="L432" i="472"/>
  <c r="K432" i="472"/>
  <c r="J432" i="472"/>
  <c r="N432" i="472" s="1"/>
  <c r="M430" i="472"/>
  <c r="L430" i="472"/>
  <c r="K430" i="472"/>
  <c r="J430" i="472"/>
  <c r="N430" i="472" s="1"/>
  <c r="M428" i="472"/>
  <c r="L428" i="472"/>
  <c r="K428" i="472"/>
  <c r="J428" i="472"/>
  <c r="N428" i="472" s="1"/>
  <c r="M427" i="472"/>
  <c r="L427" i="472"/>
  <c r="K427" i="472"/>
  <c r="J427" i="472"/>
  <c r="N427" i="472" s="1"/>
  <c r="M426" i="472"/>
  <c r="L426" i="472"/>
  <c r="K426" i="472"/>
  <c r="J426" i="472"/>
  <c r="N426" i="472" s="1"/>
  <c r="M425" i="472"/>
  <c r="L425" i="472"/>
  <c r="K425" i="472"/>
  <c r="J425" i="472"/>
  <c r="N425" i="472" s="1"/>
  <c r="M424" i="472"/>
  <c r="L424" i="472"/>
  <c r="K424" i="472"/>
  <c r="J424" i="472"/>
  <c r="N424" i="472" s="1"/>
  <c r="M423" i="472"/>
  <c r="L423" i="472"/>
  <c r="K423" i="472"/>
  <c r="J423" i="472"/>
  <c r="N423" i="472" s="1"/>
  <c r="M422" i="472"/>
  <c r="L422" i="472"/>
  <c r="K422" i="472"/>
  <c r="J422" i="472"/>
  <c r="N422" i="472" s="1"/>
  <c r="M421" i="472"/>
  <c r="L421" i="472"/>
  <c r="K421" i="472"/>
  <c r="J421" i="472"/>
  <c r="N421" i="472" s="1"/>
  <c r="M420" i="472"/>
  <c r="L420" i="472"/>
  <c r="K420" i="472"/>
  <c r="J420" i="472"/>
  <c r="N420" i="472" s="1"/>
  <c r="M419" i="472"/>
  <c r="L419" i="472"/>
  <c r="K419" i="472"/>
  <c r="J419" i="472"/>
  <c r="N419" i="472" s="1"/>
  <c r="M418" i="472"/>
  <c r="L418" i="472"/>
  <c r="K418" i="472"/>
  <c r="J418" i="472"/>
  <c r="N418" i="472" s="1"/>
  <c r="R417" i="472"/>
  <c r="J417" i="472"/>
  <c r="F417" i="472"/>
  <c r="R416" i="472"/>
  <c r="O416" i="472"/>
  <c r="P416" i="472" s="1"/>
  <c r="M416" i="472"/>
  <c r="L416" i="472"/>
  <c r="K416" i="472"/>
  <c r="J416" i="472"/>
  <c r="N416" i="472" s="1"/>
  <c r="M413" i="472"/>
  <c r="L413" i="472"/>
  <c r="K413" i="472"/>
  <c r="J413" i="472"/>
  <c r="N413" i="472" s="1"/>
  <c r="M412" i="472"/>
  <c r="L412" i="472"/>
  <c r="K412" i="472"/>
  <c r="J412" i="472"/>
  <c r="N412" i="472" s="1"/>
  <c r="M411" i="472"/>
  <c r="L411" i="472"/>
  <c r="K411" i="472"/>
  <c r="J411" i="472"/>
  <c r="N411" i="472" s="1"/>
  <c r="M410" i="472"/>
  <c r="L410" i="472"/>
  <c r="K410" i="472"/>
  <c r="J410" i="472"/>
  <c r="N410" i="472" s="1"/>
  <c r="M409" i="472"/>
  <c r="L409" i="472"/>
  <c r="K409" i="472"/>
  <c r="J409" i="472"/>
  <c r="N409" i="472" s="1"/>
  <c r="M408" i="472"/>
  <c r="L408" i="472"/>
  <c r="K408" i="472"/>
  <c r="J408" i="472"/>
  <c r="N408" i="472" s="1"/>
  <c r="M407" i="472"/>
  <c r="L407" i="472"/>
  <c r="K407" i="472"/>
  <c r="J407" i="472"/>
  <c r="N407" i="472" s="1"/>
  <c r="M406" i="472"/>
  <c r="L406" i="472"/>
  <c r="K406" i="472"/>
  <c r="J406" i="472"/>
  <c r="N406" i="472" s="1"/>
  <c r="M405" i="472"/>
  <c r="L405" i="472"/>
  <c r="K405" i="472"/>
  <c r="J405" i="472"/>
  <c r="N405" i="472" s="1"/>
  <c r="M404" i="472"/>
  <c r="L404" i="472"/>
  <c r="K404" i="472"/>
  <c r="J404" i="472"/>
  <c r="N404" i="472" s="1"/>
  <c r="M403" i="472"/>
  <c r="L403" i="472"/>
  <c r="K403" i="472"/>
  <c r="J403" i="472"/>
  <c r="N403" i="472" s="1"/>
  <c r="M401" i="472"/>
  <c r="L401" i="472"/>
  <c r="K401" i="472"/>
  <c r="J401" i="472"/>
  <c r="N401" i="472" s="1"/>
  <c r="M400" i="472"/>
  <c r="L400" i="472"/>
  <c r="K400" i="472"/>
  <c r="J400" i="472"/>
  <c r="N400" i="472" s="1"/>
  <c r="M399" i="472"/>
  <c r="L399" i="472"/>
  <c r="K399" i="472"/>
  <c r="J399" i="472"/>
  <c r="N399" i="472" s="1"/>
  <c r="M398" i="472"/>
  <c r="L398" i="472"/>
  <c r="K398" i="472"/>
  <c r="J398" i="472"/>
  <c r="N398" i="472" s="1"/>
  <c r="M396" i="472"/>
  <c r="L396" i="472"/>
  <c r="K396" i="472"/>
  <c r="J396" i="472"/>
  <c r="N396" i="472" s="1"/>
  <c r="M395" i="472"/>
  <c r="L395" i="472"/>
  <c r="K395" i="472"/>
  <c r="J395" i="472"/>
  <c r="N395" i="472" s="1"/>
  <c r="M394" i="472"/>
  <c r="L394" i="472"/>
  <c r="K394" i="472"/>
  <c r="J394" i="472"/>
  <c r="N394" i="472" s="1"/>
  <c r="M393" i="472"/>
  <c r="L393" i="472"/>
  <c r="K393" i="472"/>
  <c r="J393" i="472"/>
  <c r="N393" i="472" s="1"/>
  <c r="M392" i="472"/>
  <c r="L392" i="472"/>
  <c r="K392" i="472"/>
  <c r="J392" i="472"/>
  <c r="N392" i="472" s="1"/>
  <c r="M391" i="472"/>
  <c r="L391" i="472"/>
  <c r="K391" i="472"/>
  <c r="J391" i="472"/>
  <c r="N391" i="472" s="1"/>
  <c r="N390" i="472"/>
  <c r="M389" i="472"/>
  <c r="L389" i="472"/>
  <c r="K389" i="472"/>
  <c r="J389" i="472"/>
  <c r="N389" i="472" s="1"/>
  <c r="M388" i="472"/>
  <c r="L388" i="472"/>
  <c r="K388" i="472"/>
  <c r="J388" i="472"/>
  <c r="N388" i="472" s="1"/>
  <c r="M387" i="472"/>
  <c r="L387" i="472"/>
  <c r="K387" i="472"/>
  <c r="J387" i="472"/>
  <c r="N387" i="472" s="1"/>
  <c r="M386" i="472"/>
  <c r="L386" i="472"/>
  <c r="K386" i="472"/>
  <c r="J386" i="472"/>
  <c r="N386" i="472" s="1"/>
  <c r="N385" i="472"/>
  <c r="M384" i="472"/>
  <c r="L384" i="472"/>
  <c r="K384" i="472"/>
  <c r="J384" i="472"/>
  <c r="N384" i="472" s="1"/>
  <c r="M383" i="472"/>
  <c r="L383" i="472"/>
  <c r="K383" i="472"/>
  <c r="J383" i="472"/>
  <c r="N383" i="472" s="1"/>
  <c r="M382" i="472"/>
  <c r="L382" i="472"/>
  <c r="K382" i="472"/>
  <c r="J382" i="472"/>
  <c r="N382" i="472" s="1"/>
  <c r="M381" i="472"/>
  <c r="L381" i="472"/>
  <c r="K381" i="472"/>
  <c r="J381" i="472"/>
  <c r="N381" i="472" s="1"/>
  <c r="M380" i="472"/>
  <c r="L380" i="472"/>
  <c r="K380" i="472"/>
  <c r="J380" i="472"/>
  <c r="N380" i="472" s="1"/>
  <c r="N379" i="472"/>
  <c r="M378" i="472"/>
  <c r="L378" i="472"/>
  <c r="K378" i="472"/>
  <c r="J378" i="472"/>
  <c r="N378" i="472" s="1"/>
  <c r="M377" i="472"/>
  <c r="L377" i="472"/>
  <c r="K377" i="472"/>
  <c r="J377" i="472"/>
  <c r="N377" i="472" s="1"/>
  <c r="M376" i="472"/>
  <c r="L376" i="472"/>
  <c r="K376" i="472"/>
  <c r="J376" i="472"/>
  <c r="N376" i="472" s="1"/>
  <c r="M375" i="472"/>
  <c r="L375" i="472"/>
  <c r="K375" i="472"/>
  <c r="J375" i="472"/>
  <c r="N375" i="472" s="1"/>
  <c r="M374" i="472"/>
  <c r="L374" i="472"/>
  <c r="K374" i="472"/>
  <c r="J374" i="472"/>
  <c r="N374" i="472" s="1"/>
  <c r="N373" i="472"/>
  <c r="M372" i="472"/>
  <c r="L372" i="472"/>
  <c r="K372" i="472"/>
  <c r="J372" i="472"/>
  <c r="N372" i="472" s="1"/>
  <c r="M371" i="472"/>
  <c r="L371" i="472"/>
  <c r="K371" i="472"/>
  <c r="J371" i="472"/>
  <c r="N371" i="472" s="1"/>
  <c r="M370" i="472"/>
  <c r="L370" i="472"/>
  <c r="K370" i="472"/>
  <c r="J370" i="472"/>
  <c r="N370" i="472" s="1"/>
  <c r="N369" i="472"/>
  <c r="M368" i="472"/>
  <c r="L368" i="472"/>
  <c r="K368" i="472"/>
  <c r="J368" i="472"/>
  <c r="N368" i="472" s="1"/>
  <c r="N367" i="472"/>
  <c r="M366" i="472"/>
  <c r="L366" i="472"/>
  <c r="K366" i="472"/>
  <c r="J366" i="472"/>
  <c r="N366" i="472" s="1"/>
  <c r="M365" i="472"/>
  <c r="L365" i="472"/>
  <c r="K365" i="472"/>
  <c r="J365" i="472"/>
  <c r="N365" i="472" s="1"/>
  <c r="M364" i="472"/>
  <c r="L364" i="472"/>
  <c r="K364" i="472"/>
  <c r="J364" i="472"/>
  <c r="N364" i="472" s="1"/>
  <c r="M363" i="472"/>
  <c r="L363" i="472"/>
  <c r="K363" i="472"/>
  <c r="J363" i="472"/>
  <c r="N363" i="472" s="1"/>
  <c r="M362" i="472"/>
  <c r="L362" i="472"/>
  <c r="K362" i="472"/>
  <c r="J362" i="472"/>
  <c r="N362" i="472" s="1"/>
  <c r="M361" i="472"/>
  <c r="L361" i="472"/>
  <c r="K361" i="472"/>
  <c r="J361" i="472"/>
  <c r="N361" i="472" s="1"/>
  <c r="M360" i="472"/>
  <c r="L360" i="472"/>
  <c r="K360" i="472"/>
  <c r="J360" i="472"/>
  <c r="N360" i="472" s="1"/>
  <c r="M359" i="472"/>
  <c r="L359" i="472"/>
  <c r="K359" i="472"/>
  <c r="J359" i="472"/>
  <c r="N359" i="472" s="1"/>
  <c r="M358" i="472"/>
  <c r="L358" i="472"/>
  <c r="K358" i="472"/>
  <c r="J358" i="472"/>
  <c r="N358" i="472" s="1"/>
  <c r="M357" i="472"/>
  <c r="L357" i="472"/>
  <c r="K357" i="472"/>
  <c r="J357" i="472"/>
  <c r="N357" i="472" s="1"/>
  <c r="M356" i="472"/>
  <c r="L356" i="472"/>
  <c r="K356" i="472"/>
  <c r="J356" i="472"/>
  <c r="N356" i="472" s="1"/>
  <c r="M354" i="472"/>
  <c r="L354" i="472"/>
  <c r="K354" i="472"/>
  <c r="J354" i="472"/>
  <c r="N354" i="472" s="1"/>
  <c r="M353" i="472"/>
  <c r="L353" i="472"/>
  <c r="K353" i="472"/>
  <c r="J353" i="472"/>
  <c r="N353" i="472" s="1"/>
  <c r="M350" i="472"/>
  <c r="L350" i="472"/>
  <c r="K350" i="472"/>
  <c r="J350" i="472"/>
  <c r="N350" i="472" s="1"/>
  <c r="M349" i="472"/>
  <c r="L349" i="472"/>
  <c r="K349" i="472"/>
  <c r="J349" i="472"/>
  <c r="N349" i="472" s="1"/>
  <c r="M346" i="472"/>
  <c r="L346" i="472"/>
  <c r="K346" i="472"/>
  <c r="J346" i="472"/>
  <c r="N346" i="472" s="1"/>
  <c r="M345" i="472"/>
  <c r="L345" i="472"/>
  <c r="K345" i="472"/>
  <c r="J345" i="472"/>
  <c r="N345" i="472" s="1"/>
  <c r="M344" i="472"/>
  <c r="L344" i="472"/>
  <c r="K344" i="472"/>
  <c r="J344" i="472"/>
  <c r="N344" i="472" s="1"/>
  <c r="M342" i="472"/>
  <c r="L342" i="472"/>
  <c r="K342" i="472"/>
  <c r="J342" i="472"/>
  <c r="N342" i="472" s="1"/>
  <c r="M338" i="472"/>
  <c r="L338" i="472"/>
  <c r="K338" i="472"/>
  <c r="J338" i="472"/>
  <c r="N338" i="472" s="1"/>
  <c r="M337" i="472"/>
  <c r="L337" i="472"/>
  <c r="K337" i="472"/>
  <c r="J337" i="472"/>
  <c r="N337" i="472" s="1"/>
  <c r="M336" i="472"/>
  <c r="L336" i="472"/>
  <c r="K336" i="472"/>
  <c r="J336" i="472"/>
  <c r="N336" i="472" s="1"/>
  <c r="M335" i="472"/>
  <c r="L335" i="472"/>
  <c r="K335" i="472"/>
  <c r="J335" i="472"/>
  <c r="N335" i="472" s="1"/>
  <c r="M334" i="472"/>
  <c r="L334" i="472"/>
  <c r="K334" i="472"/>
  <c r="J334" i="472"/>
  <c r="N334" i="472" s="1"/>
  <c r="M331" i="472"/>
  <c r="L331" i="472"/>
  <c r="K331" i="472"/>
  <c r="J331" i="472"/>
  <c r="N331" i="472" s="1"/>
  <c r="M330" i="472"/>
  <c r="L330" i="472"/>
  <c r="K330" i="472"/>
  <c r="J330" i="472"/>
  <c r="N330" i="472" s="1"/>
  <c r="M329" i="472"/>
  <c r="L329" i="472"/>
  <c r="K329" i="472"/>
  <c r="J329" i="472"/>
  <c r="N329" i="472" s="1"/>
  <c r="M328" i="472"/>
  <c r="L328" i="472"/>
  <c r="K328" i="472"/>
  <c r="J328" i="472"/>
  <c r="N328" i="472" s="1"/>
  <c r="M326" i="472"/>
  <c r="L326" i="472"/>
  <c r="K326" i="472"/>
  <c r="J326" i="472"/>
  <c r="N326" i="472" s="1"/>
  <c r="M325" i="472"/>
  <c r="L325" i="472"/>
  <c r="K325" i="472"/>
  <c r="J325" i="472"/>
  <c r="N325" i="472" s="1"/>
  <c r="M324" i="472"/>
  <c r="L324" i="472"/>
  <c r="K324" i="472"/>
  <c r="J324" i="472"/>
  <c r="N324" i="472" s="1"/>
  <c r="M323" i="472"/>
  <c r="L323" i="472"/>
  <c r="K323" i="472"/>
  <c r="J323" i="472"/>
  <c r="N323" i="472" s="1"/>
  <c r="M322" i="472"/>
  <c r="L322" i="472"/>
  <c r="K322" i="472"/>
  <c r="J322" i="472"/>
  <c r="N322" i="472" s="1"/>
  <c r="M321" i="472"/>
  <c r="L321" i="472"/>
  <c r="K321" i="472"/>
  <c r="J321" i="472"/>
  <c r="N321" i="472" s="1"/>
  <c r="M320" i="472"/>
  <c r="L320" i="472"/>
  <c r="K320" i="472"/>
  <c r="J320" i="472"/>
  <c r="N320" i="472" s="1"/>
  <c r="M319" i="472"/>
  <c r="L319" i="472"/>
  <c r="K319" i="472"/>
  <c r="J319" i="472"/>
  <c r="N319" i="472" s="1"/>
  <c r="M318" i="472"/>
  <c r="L318" i="472"/>
  <c r="K318" i="472"/>
  <c r="J318" i="472"/>
  <c r="N318" i="472" s="1"/>
  <c r="M317" i="472"/>
  <c r="L317" i="472"/>
  <c r="K317" i="472"/>
  <c r="J317" i="472"/>
  <c r="N317" i="472" s="1"/>
  <c r="M316" i="472"/>
  <c r="L316" i="472"/>
  <c r="K316" i="472"/>
  <c r="J316" i="472"/>
  <c r="N316" i="472" s="1"/>
  <c r="M315" i="472"/>
  <c r="L315" i="472"/>
  <c r="K315" i="472"/>
  <c r="J315" i="472"/>
  <c r="N315" i="472" s="1"/>
  <c r="M314" i="472"/>
  <c r="L314" i="472"/>
  <c r="K314" i="472"/>
  <c r="J314" i="472"/>
  <c r="N314" i="472" s="1"/>
  <c r="M313" i="472"/>
  <c r="L313" i="472"/>
  <c r="K313" i="472"/>
  <c r="J313" i="472"/>
  <c r="N313" i="472" s="1"/>
  <c r="M312" i="472"/>
  <c r="L312" i="472"/>
  <c r="K312" i="472"/>
  <c r="J312" i="472"/>
  <c r="N312" i="472" s="1"/>
  <c r="M311" i="472"/>
  <c r="L311" i="472"/>
  <c r="K311" i="472"/>
  <c r="J311" i="472"/>
  <c r="N311" i="472" s="1"/>
  <c r="M310" i="472"/>
  <c r="L310" i="472"/>
  <c r="K310" i="472"/>
  <c r="J310" i="472"/>
  <c r="N310" i="472" s="1"/>
  <c r="M309" i="472"/>
  <c r="L309" i="472"/>
  <c r="K309" i="472"/>
  <c r="J309" i="472"/>
  <c r="N309" i="472" s="1"/>
  <c r="M308" i="472"/>
  <c r="L308" i="472"/>
  <c r="K308" i="472"/>
  <c r="J308" i="472"/>
  <c r="N308" i="472" s="1"/>
  <c r="M305" i="472"/>
  <c r="L305" i="472"/>
  <c r="K305" i="472"/>
  <c r="J305" i="472"/>
  <c r="N305" i="472" s="1"/>
  <c r="M304" i="472"/>
  <c r="L304" i="472"/>
  <c r="K304" i="472"/>
  <c r="J304" i="472"/>
  <c r="N304" i="472" s="1"/>
  <c r="M303" i="472"/>
  <c r="L303" i="472"/>
  <c r="K303" i="472"/>
  <c r="J303" i="472"/>
  <c r="N303" i="472" s="1"/>
  <c r="M302" i="472"/>
  <c r="L302" i="472"/>
  <c r="K302" i="472"/>
  <c r="J302" i="472"/>
  <c r="N302" i="472" s="1"/>
  <c r="M299" i="472"/>
  <c r="L299" i="472"/>
  <c r="K299" i="472"/>
  <c r="J299" i="472"/>
  <c r="N299" i="472" s="1"/>
  <c r="N298" i="472"/>
  <c r="M297" i="472"/>
  <c r="K297" i="472"/>
  <c r="H297" i="472"/>
  <c r="J296" i="472"/>
  <c r="F296" i="472"/>
  <c r="M295" i="472"/>
  <c r="L295" i="472"/>
  <c r="K295" i="472"/>
  <c r="J295" i="472"/>
  <c r="N295" i="472" s="1"/>
  <c r="M294" i="472"/>
  <c r="L294" i="472"/>
  <c r="K294" i="472"/>
  <c r="J294" i="472"/>
  <c r="N294" i="472" s="1"/>
  <c r="L293" i="472"/>
  <c r="K293" i="472"/>
  <c r="I293" i="472"/>
  <c r="M293" i="472" s="1"/>
  <c r="L292" i="472"/>
  <c r="K292" i="472"/>
  <c r="I292" i="472"/>
  <c r="M292" i="472" s="1"/>
  <c r="K291" i="472"/>
  <c r="I291" i="472"/>
  <c r="M291" i="472" s="1"/>
  <c r="H291" i="472"/>
  <c r="L290" i="472"/>
  <c r="K290" i="472"/>
  <c r="I290" i="472"/>
  <c r="M290" i="472" s="1"/>
  <c r="M289" i="472"/>
  <c r="K289" i="472"/>
  <c r="M288" i="472"/>
  <c r="K288" i="472"/>
  <c r="H288" i="472"/>
  <c r="L288" i="472" s="1"/>
  <c r="M287" i="472"/>
  <c r="L287" i="472"/>
  <c r="K287" i="472"/>
  <c r="J287" i="472"/>
  <c r="N287" i="472" s="1"/>
  <c r="M286" i="472"/>
  <c r="K286" i="472"/>
  <c r="M285" i="472"/>
  <c r="K285" i="472"/>
  <c r="M284" i="472"/>
  <c r="L284" i="472"/>
  <c r="K284" i="472"/>
  <c r="J284" i="472"/>
  <c r="N284" i="472" s="1"/>
  <c r="M283" i="472"/>
  <c r="K283" i="472"/>
  <c r="Q282" i="472"/>
  <c r="F282" i="472"/>
  <c r="M281" i="472"/>
  <c r="L281" i="472"/>
  <c r="K281" i="472"/>
  <c r="J281" i="472"/>
  <c r="N281" i="472" s="1"/>
  <c r="M280" i="472"/>
  <c r="L280" i="472"/>
  <c r="K280" i="472"/>
  <c r="J280" i="472"/>
  <c r="N280" i="472" s="1"/>
  <c r="M278" i="472"/>
  <c r="L278" i="472"/>
  <c r="K278" i="472"/>
  <c r="J278" i="472"/>
  <c r="N278" i="472" s="1"/>
  <c r="M276" i="472"/>
  <c r="L276" i="472"/>
  <c r="K276" i="472"/>
  <c r="J276" i="472"/>
  <c r="N276" i="472" s="1"/>
  <c r="M275" i="472"/>
  <c r="L275" i="472"/>
  <c r="K275" i="472"/>
  <c r="J275" i="472"/>
  <c r="N275" i="472" s="1"/>
  <c r="M274" i="472"/>
  <c r="L274" i="472"/>
  <c r="K274" i="472"/>
  <c r="J274" i="472"/>
  <c r="N274" i="472" s="1"/>
  <c r="M273" i="472"/>
  <c r="L273" i="472"/>
  <c r="K273" i="472"/>
  <c r="J273" i="472"/>
  <c r="N273" i="472" s="1"/>
  <c r="M272" i="472"/>
  <c r="L272" i="472"/>
  <c r="K272" i="472"/>
  <c r="J272" i="472"/>
  <c r="N272" i="472" s="1"/>
  <c r="M271" i="472"/>
  <c r="L271" i="472"/>
  <c r="K271" i="472"/>
  <c r="J271" i="472"/>
  <c r="N271" i="472" s="1"/>
  <c r="M270" i="472"/>
  <c r="L270" i="472"/>
  <c r="K270" i="472"/>
  <c r="J270" i="472"/>
  <c r="N270" i="472" s="1"/>
  <c r="M269" i="472"/>
  <c r="L269" i="472"/>
  <c r="K269" i="472"/>
  <c r="J269" i="472"/>
  <c r="N269" i="472" s="1"/>
  <c r="M268" i="472"/>
  <c r="L268" i="472"/>
  <c r="K268" i="472"/>
  <c r="J268" i="472"/>
  <c r="N268" i="472" s="1"/>
  <c r="M267" i="472"/>
  <c r="L267" i="472"/>
  <c r="K267" i="472"/>
  <c r="J267" i="472"/>
  <c r="N267" i="472" s="1"/>
  <c r="M266" i="472"/>
  <c r="L266" i="472"/>
  <c r="K266" i="472"/>
  <c r="J266" i="472"/>
  <c r="N266" i="472" s="1"/>
  <c r="R265" i="472"/>
  <c r="J265" i="472"/>
  <c r="F265" i="472"/>
  <c r="L265" i="472" s="1"/>
  <c r="R264" i="472"/>
  <c r="O264" i="472"/>
  <c r="P264" i="472" s="1"/>
  <c r="M264" i="472"/>
  <c r="L264" i="472"/>
  <c r="K264" i="472"/>
  <c r="J264" i="472"/>
  <c r="N264" i="472" s="1"/>
  <c r="M261" i="472"/>
  <c r="L261" i="472"/>
  <c r="K261" i="472"/>
  <c r="J261" i="472"/>
  <c r="N261" i="472" s="1"/>
  <c r="M260" i="472"/>
  <c r="L260" i="472"/>
  <c r="K260" i="472"/>
  <c r="J260" i="472"/>
  <c r="N260" i="472" s="1"/>
  <c r="M259" i="472"/>
  <c r="L259" i="472"/>
  <c r="K259" i="472"/>
  <c r="J259" i="472"/>
  <c r="N259" i="472" s="1"/>
  <c r="M258" i="472"/>
  <c r="L258" i="472"/>
  <c r="K258" i="472"/>
  <c r="J258" i="472"/>
  <c r="N258" i="472" s="1"/>
  <c r="M257" i="472"/>
  <c r="L257" i="472"/>
  <c r="K257" i="472"/>
  <c r="J257" i="472"/>
  <c r="N257" i="472" s="1"/>
  <c r="M256" i="472"/>
  <c r="L256" i="472"/>
  <c r="K256" i="472"/>
  <c r="J256" i="472"/>
  <c r="N256" i="472" s="1"/>
  <c r="M255" i="472"/>
  <c r="L255" i="472"/>
  <c r="K255" i="472"/>
  <c r="J255" i="472"/>
  <c r="N255" i="472" s="1"/>
  <c r="M254" i="472"/>
  <c r="L254" i="472"/>
  <c r="K254" i="472"/>
  <c r="J254" i="472"/>
  <c r="N254" i="472" s="1"/>
  <c r="M253" i="472"/>
  <c r="L253" i="472"/>
  <c r="K253" i="472"/>
  <c r="J253" i="472"/>
  <c r="N253" i="472" s="1"/>
  <c r="M252" i="472"/>
  <c r="L252" i="472"/>
  <c r="K252" i="472"/>
  <c r="J252" i="472"/>
  <c r="N252" i="472" s="1"/>
  <c r="M251" i="472"/>
  <c r="L251" i="472"/>
  <c r="K251" i="472"/>
  <c r="J251" i="472"/>
  <c r="N251" i="472" s="1"/>
  <c r="M249" i="472"/>
  <c r="L249" i="472"/>
  <c r="K249" i="472"/>
  <c r="J249" i="472"/>
  <c r="N249" i="472" s="1"/>
  <c r="M248" i="472"/>
  <c r="L248" i="472"/>
  <c r="K248" i="472"/>
  <c r="J248" i="472"/>
  <c r="N248" i="472" s="1"/>
  <c r="M247" i="472"/>
  <c r="L247" i="472"/>
  <c r="K247" i="472"/>
  <c r="J247" i="472"/>
  <c r="N247" i="472" s="1"/>
  <c r="M246" i="472"/>
  <c r="L246" i="472"/>
  <c r="K246" i="472"/>
  <c r="J246" i="472"/>
  <c r="N246" i="472" s="1"/>
  <c r="M244" i="472"/>
  <c r="L244" i="472"/>
  <c r="K244" i="472"/>
  <c r="J244" i="472"/>
  <c r="N244" i="472" s="1"/>
  <c r="M243" i="472"/>
  <c r="L243" i="472"/>
  <c r="K243" i="472"/>
  <c r="J243" i="472"/>
  <c r="N243" i="472" s="1"/>
  <c r="M242" i="472"/>
  <c r="L242" i="472"/>
  <c r="K242" i="472"/>
  <c r="J242" i="472"/>
  <c r="N242" i="472" s="1"/>
  <c r="M241" i="472"/>
  <c r="L241" i="472"/>
  <c r="K241" i="472"/>
  <c r="J241" i="472"/>
  <c r="N241" i="472" s="1"/>
  <c r="M240" i="472"/>
  <c r="L240" i="472"/>
  <c r="K240" i="472"/>
  <c r="J240" i="472"/>
  <c r="N240" i="472" s="1"/>
  <c r="M239" i="472"/>
  <c r="L239" i="472"/>
  <c r="K239" i="472"/>
  <c r="J239" i="472"/>
  <c r="N239" i="472" s="1"/>
  <c r="M237" i="472"/>
  <c r="L237" i="472"/>
  <c r="K237" i="472"/>
  <c r="J237" i="472"/>
  <c r="N237" i="472" s="1"/>
  <c r="M236" i="472"/>
  <c r="L236" i="472"/>
  <c r="K236" i="472"/>
  <c r="J236" i="472"/>
  <c r="N236" i="472" s="1"/>
  <c r="M235" i="472"/>
  <c r="L235" i="472"/>
  <c r="K235" i="472"/>
  <c r="J235" i="472"/>
  <c r="N235" i="472" s="1"/>
  <c r="M234" i="472"/>
  <c r="L234" i="472"/>
  <c r="K234" i="472"/>
  <c r="J234" i="472"/>
  <c r="N234" i="472" s="1"/>
  <c r="J233" i="472"/>
  <c r="M232" i="472"/>
  <c r="L232" i="472"/>
  <c r="K232" i="472"/>
  <c r="J232" i="472"/>
  <c r="N232" i="472" s="1"/>
  <c r="M231" i="472"/>
  <c r="L231" i="472"/>
  <c r="K231" i="472"/>
  <c r="J231" i="472"/>
  <c r="N231" i="472" s="1"/>
  <c r="M230" i="472"/>
  <c r="L230" i="472"/>
  <c r="K230" i="472"/>
  <c r="J230" i="472"/>
  <c r="N230" i="472" s="1"/>
  <c r="M229" i="472"/>
  <c r="L229" i="472"/>
  <c r="K229" i="472"/>
  <c r="J229" i="472"/>
  <c r="N229" i="472" s="1"/>
  <c r="M228" i="472"/>
  <c r="L228" i="472"/>
  <c r="K228" i="472"/>
  <c r="J228" i="472"/>
  <c r="N228" i="472" s="1"/>
  <c r="J227" i="472"/>
  <c r="M226" i="472"/>
  <c r="L226" i="472"/>
  <c r="K226" i="472"/>
  <c r="J226" i="472"/>
  <c r="N226" i="472" s="1"/>
  <c r="M225" i="472"/>
  <c r="L225" i="472"/>
  <c r="K225" i="472"/>
  <c r="J225" i="472"/>
  <c r="N225" i="472" s="1"/>
  <c r="M224" i="472"/>
  <c r="L224" i="472"/>
  <c r="K224" i="472"/>
  <c r="J224" i="472"/>
  <c r="N224" i="472" s="1"/>
  <c r="M223" i="472"/>
  <c r="L223" i="472"/>
  <c r="K223" i="472"/>
  <c r="J223" i="472"/>
  <c r="N223" i="472" s="1"/>
  <c r="M222" i="472"/>
  <c r="L222" i="472"/>
  <c r="K222" i="472"/>
  <c r="J222" i="472"/>
  <c r="N222" i="472" s="1"/>
  <c r="M220" i="472"/>
  <c r="L220" i="472"/>
  <c r="K220" i="472"/>
  <c r="J220" i="472"/>
  <c r="N220" i="472" s="1"/>
  <c r="M219" i="472"/>
  <c r="L219" i="472"/>
  <c r="K219" i="472"/>
  <c r="J219" i="472"/>
  <c r="N219" i="472" s="1"/>
  <c r="M218" i="472"/>
  <c r="L218" i="472"/>
  <c r="K218" i="472"/>
  <c r="J218" i="472"/>
  <c r="N218" i="472" s="1"/>
  <c r="M216" i="472"/>
  <c r="L216" i="472"/>
  <c r="K216" i="472"/>
  <c r="J216" i="472"/>
  <c r="N216" i="472" s="1"/>
  <c r="M214" i="472"/>
  <c r="L214" i="472"/>
  <c r="K214" i="472"/>
  <c r="J214" i="472"/>
  <c r="N214" i="472" s="1"/>
  <c r="M213" i="472"/>
  <c r="K213" i="472"/>
  <c r="H213" i="472"/>
  <c r="H212" i="472"/>
  <c r="R212" i="472" s="1"/>
  <c r="F212" i="472"/>
  <c r="L211" i="472"/>
  <c r="K211" i="472"/>
  <c r="I211" i="472"/>
  <c r="M211" i="472" s="1"/>
  <c r="R210" i="472"/>
  <c r="O210" i="472"/>
  <c r="P210" i="472" s="1"/>
  <c r="M210" i="472"/>
  <c r="L210" i="472"/>
  <c r="K210" i="472"/>
  <c r="J210" i="472"/>
  <c r="N210" i="472" s="1"/>
  <c r="R209" i="472"/>
  <c r="O209" i="472"/>
  <c r="P209" i="472" s="1"/>
  <c r="M209" i="472"/>
  <c r="L209" i="472"/>
  <c r="K209" i="472"/>
  <c r="J209" i="472"/>
  <c r="N209" i="472" s="1"/>
  <c r="R208" i="472"/>
  <c r="O208" i="472"/>
  <c r="P208" i="472" s="1"/>
  <c r="M208" i="472"/>
  <c r="L208" i="472"/>
  <c r="K208" i="472"/>
  <c r="J208" i="472"/>
  <c r="N208" i="472" s="1"/>
  <c r="R207" i="472"/>
  <c r="O207" i="472"/>
  <c r="P207" i="472" s="1"/>
  <c r="M207" i="472"/>
  <c r="L207" i="472"/>
  <c r="K207" i="472"/>
  <c r="J207" i="472"/>
  <c r="N207" i="472" s="1"/>
  <c r="L206" i="472"/>
  <c r="K206" i="472"/>
  <c r="I206" i="472"/>
  <c r="J206" i="472" s="1"/>
  <c r="N206" i="472" s="1"/>
  <c r="L205" i="472"/>
  <c r="K205" i="472"/>
  <c r="I205" i="472"/>
  <c r="L204" i="472"/>
  <c r="K204" i="472"/>
  <c r="I204" i="472"/>
  <c r="M204" i="472" s="1"/>
  <c r="M203" i="472"/>
  <c r="L203" i="472"/>
  <c r="K203" i="472"/>
  <c r="J203" i="472"/>
  <c r="N203" i="472" s="1"/>
  <c r="H202" i="472"/>
  <c r="J202" i="472" s="1"/>
  <c r="F202" i="472"/>
  <c r="R200" i="472"/>
  <c r="O200" i="472"/>
  <c r="P200" i="472" s="1"/>
  <c r="M200" i="472"/>
  <c r="L200" i="472"/>
  <c r="K200" i="472"/>
  <c r="J200" i="472"/>
  <c r="N200" i="472" s="1"/>
  <c r="M199" i="472"/>
  <c r="L199" i="472"/>
  <c r="K199" i="472"/>
  <c r="J199" i="472"/>
  <c r="N199" i="472" s="1"/>
  <c r="M196" i="472"/>
  <c r="L196" i="472"/>
  <c r="K196" i="472"/>
  <c r="J196" i="472"/>
  <c r="N196" i="472" s="1"/>
  <c r="M195" i="472"/>
  <c r="L195" i="472"/>
  <c r="K195" i="472"/>
  <c r="J195" i="472"/>
  <c r="N195" i="472" s="1"/>
  <c r="N194" i="472"/>
  <c r="N193" i="472"/>
  <c r="R192" i="472"/>
  <c r="O192" i="472"/>
  <c r="P192" i="472" s="1"/>
  <c r="M192" i="472"/>
  <c r="L192" i="472"/>
  <c r="K192" i="472"/>
  <c r="J192" i="472"/>
  <c r="N192" i="472" s="1"/>
  <c r="R191" i="472"/>
  <c r="O191" i="472"/>
  <c r="F191" i="472"/>
  <c r="M190" i="472"/>
  <c r="L190" i="472"/>
  <c r="K190" i="472"/>
  <c r="J190" i="472"/>
  <c r="N190" i="472" s="1"/>
  <c r="J189" i="472"/>
  <c r="N189" i="472" s="1"/>
  <c r="M188" i="472"/>
  <c r="L188" i="472"/>
  <c r="K188" i="472"/>
  <c r="J188" i="472"/>
  <c r="N188" i="472" s="1"/>
  <c r="J187" i="472"/>
  <c r="N187" i="472" s="1"/>
  <c r="M186" i="472"/>
  <c r="L186" i="472"/>
  <c r="K186" i="472"/>
  <c r="J186" i="472"/>
  <c r="N186" i="472" s="1"/>
  <c r="J185" i="472"/>
  <c r="N185" i="472" s="1"/>
  <c r="M184" i="472"/>
  <c r="L184" i="472"/>
  <c r="K184" i="472"/>
  <c r="J184" i="472"/>
  <c r="N184" i="472" s="1"/>
  <c r="M183" i="472"/>
  <c r="L183" i="472"/>
  <c r="K183" i="472"/>
  <c r="J183" i="472"/>
  <c r="N183" i="472" s="1"/>
  <c r="M182" i="472"/>
  <c r="L182" i="472"/>
  <c r="K182" i="472"/>
  <c r="J182" i="472"/>
  <c r="N182" i="472" s="1"/>
  <c r="M181" i="472"/>
  <c r="L181" i="472"/>
  <c r="K181" i="472"/>
  <c r="J181" i="472"/>
  <c r="N181" i="472" s="1"/>
  <c r="M180" i="472"/>
  <c r="L180" i="472"/>
  <c r="K180" i="472"/>
  <c r="J180" i="472"/>
  <c r="N180" i="472" s="1"/>
  <c r="M177" i="472"/>
  <c r="L177" i="472"/>
  <c r="K177" i="472"/>
  <c r="J177" i="472"/>
  <c r="N177" i="472" s="1"/>
  <c r="M176" i="472"/>
  <c r="L176" i="472"/>
  <c r="K176" i="472"/>
  <c r="J176" i="472"/>
  <c r="N176" i="472" s="1"/>
  <c r="M175" i="472"/>
  <c r="L175" i="472"/>
  <c r="K175" i="472"/>
  <c r="J175" i="472"/>
  <c r="N175" i="472" s="1"/>
  <c r="M174" i="472"/>
  <c r="L174" i="472"/>
  <c r="K174" i="472"/>
  <c r="J174" i="472"/>
  <c r="N174" i="472" s="1"/>
  <c r="M172" i="472"/>
  <c r="L172" i="472"/>
  <c r="K172" i="472"/>
  <c r="J172" i="472"/>
  <c r="N172" i="472" s="1"/>
  <c r="M171" i="472"/>
  <c r="L171" i="472"/>
  <c r="K171" i="472"/>
  <c r="J171" i="472"/>
  <c r="N171" i="472" s="1"/>
  <c r="M170" i="472"/>
  <c r="L170" i="472"/>
  <c r="K170" i="472"/>
  <c r="J170" i="472"/>
  <c r="N170" i="472" s="1"/>
  <c r="M169" i="472"/>
  <c r="L169" i="472"/>
  <c r="K169" i="472"/>
  <c r="J169" i="472"/>
  <c r="N169" i="472" s="1"/>
  <c r="M168" i="472"/>
  <c r="L168" i="472"/>
  <c r="K168" i="472"/>
  <c r="J168" i="472"/>
  <c r="N168" i="472" s="1"/>
  <c r="M167" i="472"/>
  <c r="L167" i="472"/>
  <c r="K167" i="472"/>
  <c r="J167" i="472"/>
  <c r="N167" i="472" s="1"/>
  <c r="M166" i="472"/>
  <c r="L166" i="472"/>
  <c r="K166" i="472"/>
  <c r="J166" i="472"/>
  <c r="N166" i="472" s="1"/>
  <c r="M165" i="472"/>
  <c r="L165" i="472"/>
  <c r="K165" i="472"/>
  <c r="J165" i="472"/>
  <c r="N165" i="472" s="1"/>
  <c r="M164" i="472"/>
  <c r="L164" i="472"/>
  <c r="K164" i="472"/>
  <c r="J164" i="472"/>
  <c r="N164" i="472" s="1"/>
  <c r="M163" i="472"/>
  <c r="L163" i="472"/>
  <c r="K163" i="472"/>
  <c r="J163" i="472"/>
  <c r="N163" i="472" s="1"/>
  <c r="M162" i="472"/>
  <c r="L162" i="472"/>
  <c r="K162" i="472"/>
  <c r="J162" i="472"/>
  <c r="N162" i="472" s="1"/>
  <c r="M161" i="472"/>
  <c r="L161" i="472"/>
  <c r="K161" i="472"/>
  <c r="J161" i="472"/>
  <c r="N161" i="472" s="1"/>
  <c r="M160" i="472"/>
  <c r="L160" i="472"/>
  <c r="K160" i="472"/>
  <c r="J160" i="472"/>
  <c r="N160" i="472" s="1"/>
  <c r="M159" i="472"/>
  <c r="L159" i="472"/>
  <c r="K159" i="472"/>
  <c r="J159" i="472"/>
  <c r="N159" i="472" s="1"/>
  <c r="M158" i="472"/>
  <c r="L158" i="472"/>
  <c r="K158" i="472"/>
  <c r="J158" i="472"/>
  <c r="N158" i="472" s="1"/>
  <c r="M157" i="472"/>
  <c r="L157" i="472"/>
  <c r="K157" i="472"/>
  <c r="J157" i="472"/>
  <c r="N157" i="472" s="1"/>
  <c r="M156" i="472"/>
  <c r="L156" i="472"/>
  <c r="K156" i="472"/>
  <c r="J156" i="472"/>
  <c r="N156" i="472" s="1"/>
  <c r="M155" i="472"/>
  <c r="L155" i="472"/>
  <c r="K155" i="472"/>
  <c r="J155" i="472"/>
  <c r="N155" i="472" s="1"/>
  <c r="M154" i="472"/>
  <c r="L154" i="472"/>
  <c r="K154" i="472"/>
  <c r="J154" i="472"/>
  <c r="N154" i="472" s="1"/>
  <c r="J153" i="472"/>
  <c r="J152" i="472"/>
  <c r="M151" i="472"/>
  <c r="L151" i="472"/>
  <c r="K151" i="472"/>
  <c r="J151" i="472"/>
  <c r="N151" i="472" s="1"/>
  <c r="M150" i="472"/>
  <c r="L150" i="472"/>
  <c r="K150" i="472"/>
  <c r="J150" i="472"/>
  <c r="N150" i="472" s="1"/>
  <c r="M149" i="472"/>
  <c r="L149" i="472"/>
  <c r="K149" i="472"/>
  <c r="J149" i="472"/>
  <c r="N149" i="472" s="1"/>
  <c r="J148" i="472"/>
  <c r="J147" i="472"/>
  <c r="M146" i="472"/>
  <c r="L146" i="472"/>
  <c r="K146" i="472"/>
  <c r="J146" i="472"/>
  <c r="N146" i="472" s="1"/>
  <c r="J145" i="472"/>
  <c r="M144" i="472"/>
  <c r="L144" i="472"/>
  <c r="K144" i="472"/>
  <c r="J144" i="472"/>
  <c r="N144" i="472" s="1"/>
  <c r="M143" i="472"/>
  <c r="L143" i="472"/>
  <c r="K143" i="472"/>
  <c r="J143" i="472"/>
  <c r="N143" i="472" s="1"/>
  <c r="M142" i="472"/>
  <c r="L142" i="472"/>
  <c r="K142" i="472"/>
  <c r="J142" i="472"/>
  <c r="N142" i="472" s="1"/>
  <c r="M141" i="472"/>
  <c r="L141" i="472"/>
  <c r="K141" i="472"/>
  <c r="J141" i="472"/>
  <c r="N141" i="472" s="1"/>
  <c r="M140" i="472"/>
  <c r="L140" i="472"/>
  <c r="K140" i="472"/>
  <c r="J140" i="472"/>
  <c r="N140" i="472" s="1"/>
  <c r="M139" i="472"/>
  <c r="L139" i="472"/>
  <c r="K139" i="472"/>
  <c r="J139" i="472"/>
  <c r="N139" i="472" s="1"/>
  <c r="M138" i="472"/>
  <c r="L138" i="472"/>
  <c r="K138" i="472"/>
  <c r="J138" i="472"/>
  <c r="N138" i="472" s="1"/>
  <c r="M137" i="472"/>
  <c r="L137" i="472"/>
  <c r="K137" i="472"/>
  <c r="J137" i="472"/>
  <c r="N137" i="472" s="1"/>
  <c r="J136" i="472"/>
  <c r="F136" i="472"/>
  <c r="M135" i="472"/>
  <c r="L135" i="472"/>
  <c r="K135" i="472"/>
  <c r="J135" i="472"/>
  <c r="N135" i="472" s="1"/>
  <c r="M134" i="472"/>
  <c r="L134" i="472"/>
  <c r="K134" i="472"/>
  <c r="J134" i="472"/>
  <c r="N134" i="472" s="1"/>
  <c r="J133" i="472"/>
  <c r="F133" i="472"/>
  <c r="G132" i="472"/>
  <c r="J132" i="472" s="1"/>
  <c r="F132" i="472"/>
  <c r="J131" i="472"/>
  <c r="F131" i="472"/>
  <c r="M131" i="472" s="1"/>
  <c r="J129" i="472"/>
  <c r="F129" i="472"/>
  <c r="K129" i="472" s="1"/>
  <c r="J127" i="472"/>
  <c r="F127" i="472"/>
  <c r="L127" i="472" s="1"/>
  <c r="J126" i="472"/>
  <c r="F126" i="472"/>
  <c r="G125" i="472"/>
  <c r="J125" i="472" s="1"/>
  <c r="F125" i="472"/>
  <c r="M125" i="472" s="1"/>
  <c r="G124" i="472"/>
  <c r="J124" i="472" s="1"/>
  <c r="F124" i="472"/>
  <c r="L124" i="472" s="1"/>
  <c r="G123" i="472"/>
  <c r="F123" i="472"/>
  <c r="L123" i="472" s="1"/>
  <c r="G122" i="472"/>
  <c r="J122" i="472" s="1"/>
  <c r="F122" i="472"/>
  <c r="L122" i="472" s="1"/>
  <c r="G121" i="472"/>
  <c r="J121" i="472" s="1"/>
  <c r="F121" i="472"/>
  <c r="G120" i="472"/>
  <c r="F120" i="472"/>
  <c r="M120" i="472" s="1"/>
  <c r="G119" i="472"/>
  <c r="J119" i="472" s="1"/>
  <c r="F119" i="472"/>
  <c r="G118" i="472"/>
  <c r="J118" i="472" s="1"/>
  <c r="F118" i="472"/>
  <c r="M118" i="472" s="1"/>
  <c r="G117" i="472"/>
  <c r="J117" i="472" s="1"/>
  <c r="F117" i="472"/>
  <c r="L117" i="472" s="1"/>
  <c r="R116" i="472"/>
  <c r="O116" i="472"/>
  <c r="J116" i="472"/>
  <c r="F116" i="472"/>
  <c r="R115" i="472"/>
  <c r="O115" i="472"/>
  <c r="G115" i="472"/>
  <c r="J115" i="472" s="1"/>
  <c r="F115" i="472"/>
  <c r="M115" i="472" s="1"/>
  <c r="G112" i="472"/>
  <c r="J112" i="472" s="1"/>
  <c r="F112" i="472"/>
  <c r="L112" i="472" s="1"/>
  <c r="G111" i="472"/>
  <c r="J111" i="472" s="1"/>
  <c r="F111" i="472"/>
  <c r="M111" i="472" s="1"/>
  <c r="G110" i="472"/>
  <c r="J110" i="472" s="1"/>
  <c r="F110" i="472"/>
  <c r="M110" i="472" s="1"/>
  <c r="G109" i="472"/>
  <c r="F109" i="472"/>
  <c r="L109" i="472" s="1"/>
  <c r="G108" i="472"/>
  <c r="J108" i="472" s="1"/>
  <c r="F108" i="472"/>
  <c r="G107" i="472"/>
  <c r="J107" i="472" s="1"/>
  <c r="F107" i="472"/>
  <c r="M107" i="472" s="1"/>
  <c r="G106" i="472"/>
  <c r="J106" i="472" s="1"/>
  <c r="F106" i="472"/>
  <c r="M106" i="472" s="1"/>
  <c r="G105" i="472"/>
  <c r="J105" i="472" s="1"/>
  <c r="F105" i="472"/>
  <c r="G104" i="472"/>
  <c r="J104" i="472" s="1"/>
  <c r="F104" i="472"/>
  <c r="L104" i="472" s="1"/>
  <c r="G103" i="472"/>
  <c r="J103" i="472" s="1"/>
  <c r="F103" i="472"/>
  <c r="G102" i="472"/>
  <c r="J102" i="472" s="1"/>
  <c r="F102" i="472"/>
  <c r="M102" i="472" s="1"/>
  <c r="G100" i="472"/>
  <c r="F100" i="472"/>
  <c r="L100" i="472" s="1"/>
  <c r="G99" i="472"/>
  <c r="J99" i="472" s="1"/>
  <c r="F99" i="472"/>
  <c r="G98" i="472"/>
  <c r="J98" i="472" s="1"/>
  <c r="F98" i="472"/>
  <c r="M98" i="472" s="1"/>
  <c r="G97" i="472"/>
  <c r="J97" i="472" s="1"/>
  <c r="F97" i="472"/>
  <c r="M97" i="472" s="1"/>
  <c r="G95" i="472"/>
  <c r="J95" i="472" s="1"/>
  <c r="F95" i="472"/>
  <c r="M95" i="472" s="1"/>
  <c r="G94" i="472"/>
  <c r="J94" i="472" s="1"/>
  <c r="F94" i="472"/>
  <c r="L94" i="472" s="1"/>
  <c r="G93" i="472"/>
  <c r="J93" i="472" s="1"/>
  <c r="F93" i="472"/>
  <c r="M93" i="472" s="1"/>
  <c r="G92" i="472"/>
  <c r="J92" i="472" s="1"/>
  <c r="F92" i="472"/>
  <c r="M92" i="472" s="1"/>
  <c r="G91" i="472"/>
  <c r="J91" i="472" s="1"/>
  <c r="F91" i="472"/>
  <c r="M91" i="472" s="1"/>
  <c r="G90" i="472"/>
  <c r="J90" i="472" s="1"/>
  <c r="F90" i="472"/>
  <c r="L90" i="472" s="1"/>
  <c r="G88" i="472"/>
  <c r="J88" i="472" s="1"/>
  <c r="F88" i="472"/>
  <c r="M88" i="472" s="1"/>
  <c r="G87" i="472"/>
  <c r="J87" i="472" s="1"/>
  <c r="F87" i="472"/>
  <c r="M87" i="472" s="1"/>
  <c r="G86" i="472"/>
  <c r="J86" i="472" s="1"/>
  <c r="F86" i="472"/>
  <c r="M86" i="472" s="1"/>
  <c r="G85" i="472"/>
  <c r="J85" i="472" s="1"/>
  <c r="F85" i="472"/>
  <c r="L85" i="472" s="1"/>
  <c r="G83" i="472"/>
  <c r="J83" i="472" s="1"/>
  <c r="F83" i="472"/>
  <c r="G82" i="472"/>
  <c r="J82" i="472" s="1"/>
  <c r="F82" i="472"/>
  <c r="M82" i="472" s="1"/>
  <c r="G81" i="472"/>
  <c r="J81" i="472" s="1"/>
  <c r="F81" i="472"/>
  <c r="M81" i="472" s="1"/>
  <c r="G80" i="472"/>
  <c r="J80" i="472" s="1"/>
  <c r="F80" i="472"/>
  <c r="M80" i="472" s="1"/>
  <c r="G79" i="472"/>
  <c r="J79" i="472" s="1"/>
  <c r="F79" i="472"/>
  <c r="M79" i="472" s="1"/>
  <c r="G77" i="472"/>
  <c r="J77" i="472" s="1"/>
  <c r="F77" i="472"/>
  <c r="M77" i="472" s="1"/>
  <c r="G76" i="472"/>
  <c r="J76" i="472" s="1"/>
  <c r="F76" i="472"/>
  <c r="L76" i="472" s="1"/>
  <c r="G75" i="472"/>
  <c r="J75" i="472" s="1"/>
  <c r="F75" i="472"/>
  <c r="L75" i="472" s="1"/>
  <c r="G74" i="472"/>
  <c r="J74" i="472" s="1"/>
  <c r="F74" i="472"/>
  <c r="M74" i="472" s="1"/>
  <c r="G73" i="472"/>
  <c r="J73" i="472" s="1"/>
  <c r="F73" i="472"/>
  <c r="M73" i="472" s="1"/>
  <c r="J72" i="472"/>
  <c r="G71" i="472"/>
  <c r="J71" i="472" s="1"/>
  <c r="F71" i="472"/>
  <c r="M71" i="472" s="1"/>
  <c r="G70" i="472"/>
  <c r="J70" i="472" s="1"/>
  <c r="F70" i="472"/>
  <c r="M70" i="472" s="1"/>
  <c r="G69" i="472"/>
  <c r="J69" i="472" s="1"/>
  <c r="F69" i="472"/>
  <c r="M69" i="472" s="1"/>
  <c r="J67" i="472"/>
  <c r="F67" i="472"/>
  <c r="J65" i="472"/>
  <c r="F65" i="472"/>
  <c r="M65" i="472" s="1"/>
  <c r="J64" i="472"/>
  <c r="F64" i="472"/>
  <c r="K64" i="472" s="1"/>
  <c r="J63" i="472"/>
  <c r="F63" i="472"/>
  <c r="L63" i="472" s="1"/>
  <c r="J62" i="472"/>
  <c r="F62" i="472"/>
  <c r="J61" i="472"/>
  <c r="F61" i="472"/>
  <c r="M61" i="472" s="1"/>
  <c r="J60" i="472"/>
  <c r="F60" i="472"/>
  <c r="K60" i="472" s="1"/>
  <c r="J59" i="472"/>
  <c r="F59" i="472"/>
  <c r="L59" i="472" s="1"/>
  <c r="G58" i="472"/>
  <c r="J58" i="472" s="1"/>
  <c r="F58" i="472"/>
  <c r="M58" i="472" s="1"/>
  <c r="G57" i="472"/>
  <c r="J57" i="472" s="1"/>
  <c r="F57" i="472"/>
  <c r="M57" i="472" s="1"/>
  <c r="G56" i="472"/>
  <c r="J56" i="472" s="1"/>
  <c r="F56" i="472"/>
  <c r="M56" i="472" s="1"/>
  <c r="J55" i="472"/>
  <c r="F55" i="472"/>
  <c r="L55" i="472" s="1"/>
  <c r="R53" i="472"/>
  <c r="P53" i="472"/>
  <c r="M53" i="472"/>
  <c r="L53" i="472"/>
  <c r="K53" i="472"/>
  <c r="J53" i="472"/>
  <c r="N53" i="472" s="1"/>
  <c r="J52" i="472"/>
  <c r="F52" i="472"/>
  <c r="L52" i="472" s="1"/>
  <c r="J49" i="472"/>
  <c r="F49" i="472"/>
  <c r="J48" i="472"/>
  <c r="F48" i="472"/>
  <c r="M48" i="472" s="1"/>
  <c r="J47" i="472"/>
  <c r="F47" i="472"/>
  <c r="K47" i="472" s="1"/>
  <c r="J46" i="472"/>
  <c r="F46" i="472"/>
  <c r="L46" i="472" s="1"/>
  <c r="J43" i="472"/>
  <c r="F43" i="472"/>
  <c r="J42" i="472"/>
  <c r="F42" i="472"/>
  <c r="M42" i="472" s="1"/>
  <c r="J40" i="472"/>
  <c r="F40" i="472"/>
  <c r="K40" i="472" s="1"/>
  <c r="N38" i="472"/>
  <c r="N37" i="472"/>
  <c r="J36" i="472"/>
  <c r="F36" i="472"/>
  <c r="K36" i="472" s="1"/>
  <c r="N34" i="472"/>
  <c r="P33" i="472"/>
  <c r="M33" i="472"/>
  <c r="K33" i="472"/>
  <c r="H33" i="472"/>
  <c r="P32" i="472"/>
  <c r="M32" i="472"/>
  <c r="K32" i="472"/>
  <c r="H32" i="472"/>
  <c r="R31" i="472"/>
  <c r="P31" i="472"/>
  <c r="M31" i="472"/>
  <c r="L31" i="472"/>
  <c r="K31" i="472"/>
  <c r="J31" i="472"/>
  <c r="N31" i="472" s="1"/>
  <c r="J30" i="472"/>
  <c r="F30" i="472"/>
  <c r="L30" i="472" s="1"/>
  <c r="M29" i="472"/>
  <c r="L29" i="472"/>
  <c r="K29" i="472"/>
  <c r="J29" i="472"/>
  <c r="N29" i="472" s="1"/>
  <c r="M28" i="472"/>
  <c r="L28" i="472"/>
  <c r="K28" i="472"/>
  <c r="J28" i="472"/>
  <c r="N28" i="472" s="1"/>
  <c r="M27" i="472"/>
  <c r="L27" i="472"/>
  <c r="K27" i="472"/>
  <c r="J27" i="472"/>
  <c r="N27" i="472" s="1"/>
  <c r="M26" i="472"/>
  <c r="L26" i="472"/>
  <c r="K26" i="472"/>
  <c r="J26" i="472"/>
  <c r="N26" i="472" s="1"/>
  <c r="R25" i="472"/>
  <c r="P25" i="472"/>
  <c r="M25" i="472"/>
  <c r="L25" i="472"/>
  <c r="K25" i="472"/>
  <c r="J25" i="472"/>
  <c r="N25" i="472" s="1"/>
  <c r="R23" i="472"/>
  <c r="O23" i="472"/>
  <c r="P23" i="472" s="1"/>
  <c r="N23" i="472"/>
  <c r="M23" i="472"/>
  <c r="L23" i="472"/>
  <c r="K23" i="472"/>
  <c r="R22" i="472"/>
  <c r="O22" i="472"/>
  <c r="P22" i="472" s="1"/>
  <c r="M22" i="472"/>
  <c r="L22" i="472"/>
  <c r="K22" i="472"/>
  <c r="J22" i="472"/>
  <c r="N22" i="472" s="1"/>
  <c r="R21" i="472"/>
  <c r="O21" i="472"/>
  <c r="P21" i="472" s="1"/>
  <c r="M21" i="472"/>
  <c r="L21" i="472"/>
  <c r="K21" i="472"/>
  <c r="J21" i="472"/>
  <c r="N21" i="472" s="1"/>
  <c r="J20" i="472"/>
  <c r="F20" i="472"/>
  <c r="L20" i="472" s="1"/>
  <c r="J19" i="472"/>
  <c r="F19" i="472"/>
  <c r="J18" i="472"/>
  <c r="F18" i="472"/>
  <c r="M18" i="472" s="1"/>
  <c r="J17" i="472"/>
  <c r="F17" i="472"/>
  <c r="K17" i="472" s="1"/>
  <c r="J16" i="472"/>
  <c r="F16" i="472"/>
  <c r="L16" i="472" s="1"/>
  <c r="J15" i="472"/>
  <c r="F15" i="472"/>
  <c r="J14" i="472"/>
  <c r="F14" i="472"/>
  <c r="M14" i="472" s="1"/>
  <c r="J13" i="472"/>
  <c r="F13" i="472"/>
  <c r="K13" i="472" s="1"/>
  <c r="J12" i="472"/>
  <c r="F12" i="472"/>
  <c r="M12" i="472" s="1"/>
  <c r="J10" i="472"/>
  <c r="F10" i="472"/>
  <c r="J9" i="472"/>
  <c r="F9" i="472"/>
  <c r="M9" i="472" s="1"/>
  <c r="T35" i="75"/>
  <c r="H579" i="567" l="1"/>
  <c r="L579" i="567" s="1"/>
  <c r="G569" i="568"/>
  <c r="H594" i="567"/>
  <c r="J594" i="567" s="1"/>
  <c r="G584" i="568"/>
  <c r="H680" i="567"/>
  <c r="L680" i="567" s="1"/>
  <c r="G668" i="568"/>
  <c r="H682" i="567"/>
  <c r="L682" i="567" s="1"/>
  <c r="G670" i="568"/>
  <c r="H691" i="567"/>
  <c r="L691" i="567" s="1"/>
  <c r="G679" i="568"/>
  <c r="H593" i="567"/>
  <c r="J593" i="567" s="1"/>
  <c r="G583" i="568"/>
  <c r="E229" i="567"/>
  <c r="L229" i="567" s="1"/>
  <c r="E223" i="568"/>
  <c r="H597" i="567"/>
  <c r="L597" i="567" s="1"/>
  <c r="G587" i="568"/>
  <c r="H250" i="567"/>
  <c r="L250" i="567" s="1"/>
  <c r="G244" i="568"/>
  <c r="H345" i="567"/>
  <c r="L345" i="567" s="1"/>
  <c r="G337" i="568"/>
  <c r="H44" i="567"/>
  <c r="L44" i="567" s="1"/>
  <c r="G43" i="568"/>
  <c r="E252" i="567"/>
  <c r="K252" i="567" s="1"/>
  <c r="E246" i="568"/>
  <c r="E500" i="567"/>
  <c r="O500" i="567" s="1"/>
  <c r="E490" i="568"/>
  <c r="E599" i="567"/>
  <c r="O599" i="567" s="1"/>
  <c r="E589" i="568"/>
  <c r="E253" i="567"/>
  <c r="Q253" i="567" s="1"/>
  <c r="E247" i="568"/>
  <c r="E346" i="567"/>
  <c r="U346" i="567" s="1"/>
  <c r="E338" i="568"/>
  <c r="H45" i="567"/>
  <c r="L45" i="567" s="1"/>
  <c r="G44" i="568"/>
  <c r="E153" i="567"/>
  <c r="O153" i="567" s="1"/>
  <c r="E151" i="568"/>
  <c r="E349" i="567"/>
  <c r="L349" i="567" s="1"/>
  <c r="E341" i="568"/>
  <c r="R512" i="472"/>
  <c r="L513" i="472"/>
  <c r="J600" i="472"/>
  <c r="N600" i="472" s="1"/>
  <c r="S681" i="75"/>
  <c r="T681" i="75"/>
  <c r="U681" i="75" s="1"/>
  <c r="M67" i="75"/>
  <c r="H285" i="472"/>
  <c r="J512" i="472"/>
  <c r="N512" i="472" s="1"/>
  <c r="J211" i="472"/>
  <c r="N211" i="472" s="1"/>
  <c r="L512" i="472"/>
  <c r="O202" i="472"/>
  <c r="P202" i="472" s="1"/>
  <c r="N126" i="472"/>
  <c r="G670" i="75"/>
  <c r="K670" i="75" s="1"/>
  <c r="G587" i="75"/>
  <c r="J290" i="472"/>
  <c r="N290" i="472" s="1"/>
  <c r="L586" i="472"/>
  <c r="L499" i="472"/>
  <c r="G583" i="75"/>
  <c r="J586" i="472"/>
  <c r="N586" i="472" s="1"/>
  <c r="J213" i="472"/>
  <c r="N213" i="472" s="1"/>
  <c r="J292" i="472"/>
  <c r="N292" i="472" s="1"/>
  <c r="G584" i="75"/>
  <c r="I584" i="75" s="1"/>
  <c r="M584" i="75" s="1"/>
  <c r="L296" i="472"/>
  <c r="K417" i="472"/>
  <c r="K116" i="472"/>
  <c r="J32" i="472"/>
  <c r="N32" i="472" s="1"/>
  <c r="N94" i="472"/>
  <c r="N104" i="472"/>
  <c r="J587" i="472"/>
  <c r="N587" i="472" s="1"/>
  <c r="G668" i="75"/>
  <c r="L587" i="472"/>
  <c r="N43" i="472"/>
  <c r="N49" i="472"/>
  <c r="N62" i="472"/>
  <c r="N67" i="472"/>
  <c r="M206" i="472"/>
  <c r="M510" i="472"/>
  <c r="J297" i="472"/>
  <c r="N297" i="472" s="1"/>
  <c r="G337" i="75"/>
  <c r="M509" i="472"/>
  <c r="R513" i="472"/>
  <c r="L600" i="472"/>
  <c r="G679" i="75"/>
  <c r="L213" i="472"/>
  <c r="G244" i="75"/>
  <c r="J293" i="472"/>
  <c r="N293" i="472" s="1"/>
  <c r="L297" i="472"/>
  <c r="J514" i="472"/>
  <c r="N514" i="472" s="1"/>
  <c r="J589" i="472"/>
  <c r="J592" i="472"/>
  <c r="N592" i="472" s="1"/>
  <c r="J594" i="472"/>
  <c r="N594" i="472" s="1"/>
  <c r="O213" i="472"/>
  <c r="P213" i="472" s="1"/>
  <c r="J513" i="472"/>
  <c r="N513" i="472" s="1"/>
  <c r="N10" i="472"/>
  <c r="N15" i="472"/>
  <c r="N19" i="472"/>
  <c r="N136" i="472"/>
  <c r="P191" i="472"/>
  <c r="E223" i="75"/>
  <c r="K569" i="472"/>
  <c r="J499" i="472"/>
  <c r="N499" i="472" s="1"/>
  <c r="G569" i="75"/>
  <c r="J646" i="75"/>
  <c r="R19" i="522"/>
  <c r="R17" i="522"/>
  <c r="J18" i="522" s="1"/>
  <c r="R18" i="522"/>
  <c r="L202" i="472"/>
  <c r="N202" i="472"/>
  <c r="N296" i="472"/>
  <c r="P116" i="472"/>
  <c r="K265" i="472"/>
  <c r="M296" i="472"/>
  <c r="M265" i="472"/>
  <c r="N76" i="472"/>
  <c r="N81" i="472"/>
  <c r="N91" i="472"/>
  <c r="K282" i="472"/>
  <c r="R23" i="482"/>
  <c r="R24" i="482" s="1"/>
  <c r="S31" i="75"/>
  <c r="R23" i="484"/>
  <c r="R24" i="484" s="1"/>
  <c r="S33" i="75"/>
  <c r="R23" i="483"/>
  <c r="R24" i="483" s="1"/>
  <c r="S32" i="75"/>
  <c r="P265" i="472"/>
  <c r="L569" i="472"/>
  <c r="K83" i="472"/>
  <c r="M282" i="472"/>
  <c r="K586" i="472"/>
  <c r="N265" i="472"/>
  <c r="M436" i="472"/>
  <c r="K516" i="472"/>
  <c r="E589" i="75"/>
  <c r="M586" i="472"/>
  <c r="N102" i="472"/>
  <c r="N117" i="472"/>
  <c r="N112" i="472"/>
  <c r="K105" i="472"/>
  <c r="K100" i="472"/>
  <c r="N79" i="472"/>
  <c r="N93" i="472"/>
  <c r="N122" i="472"/>
  <c r="N70" i="472"/>
  <c r="M122" i="472"/>
  <c r="N119" i="472"/>
  <c r="N59" i="472"/>
  <c r="N69" i="472"/>
  <c r="K14" i="472"/>
  <c r="M15" i="472"/>
  <c r="L64" i="472"/>
  <c r="K99" i="472"/>
  <c r="M85" i="472"/>
  <c r="K82" i="472"/>
  <c r="M232" i="75"/>
  <c r="J19" i="487"/>
  <c r="J20" i="487" s="1"/>
  <c r="J17" i="475"/>
  <c r="J18" i="475" s="1"/>
  <c r="T42" i="75"/>
  <c r="U42" i="75" s="1"/>
  <c r="J100" i="472"/>
  <c r="N100" i="472" s="1"/>
  <c r="K120" i="472"/>
  <c r="N12" i="472"/>
  <c r="N18" i="472"/>
  <c r="N71" i="472"/>
  <c r="N97" i="472"/>
  <c r="K121" i="472"/>
  <c r="N13" i="472"/>
  <c r="K63" i="472"/>
  <c r="K81" i="472"/>
  <c r="N98" i="472"/>
  <c r="K103" i="472"/>
  <c r="M30" i="472"/>
  <c r="L13" i="472"/>
  <c r="N42" i="472"/>
  <c r="N64" i="472"/>
  <c r="L69" i="472"/>
  <c r="N82" i="472"/>
  <c r="M94" i="472"/>
  <c r="M478" i="75"/>
  <c r="J179" i="75"/>
  <c r="Q232" i="75"/>
  <c r="S232" i="75" s="1"/>
  <c r="M242" i="75"/>
  <c r="J25" i="405"/>
  <c r="J476" i="75"/>
  <c r="M241" i="75"/>
  <c r="J25" i="396"/>
  <c r="J137" i="75"/>
  <c r="M240" i="75"/>
  <c r="J25" i="404"/>
  <c r="J22" i="478"/>
  <c r="J23" i="478" s="1"/>
  <c r="J22" i="479"/>
  <c r="J23" i="479" s="1"/>
  <c r="K12" i="472"/>
  <c r="N14" i="472"/>
  <c r="L56" i="472"/>
  <c r="K59" i="472"/>
  <c r="N74" i="472"/>
  <c r="N77" i="472"/>
  <c r="K109" i="472"/>
  <c r="N125" i="472"/>
  <c r="L12" i="472"/>
  <c r="L74" i="472"/>
  <c r="K18" i="472"/>
  <c r="M43" i="472"/>
  <c r="N63" i="472"/>
  <c r="N65" i="472"/>
  <c r="P115" i="472"/>
  <c r="L120" i="472"/>
  <c r="N52" i="472"/>
  <c r="M63" i="472"/>
  <c r="N75" i="472"/>
  <c r="N80" i="472"/>
  <c r="N95" i="472"/>
  <c r="N107" i="472"/>
  <c r="N111" i="472"/>
  <c r="N124" i="472"/>
  <c r="N127" i="472"/>
  <c r="K52" i="472"/>
  <c r="K61" i="472"/>
  <c r="K95" i="472"/>
  <c r="K108" i="472"/>
  <c r="N118" i="472"/>
  <c r="K124" i="472"/>
  <c r="K127" i="472"/>
  <c r="L61" i="472"/>
  <c r="M124" i="472"/>
  <c r="M127" i="472"/>
  <c r="J35" i="75"/>
  <c r="J403" i="75"/>
  <c r="J572" i="75"/>
  <c r="J64" i="75"/>
  <c r="K20" i="472"/>
  <c r="K30" i="472"/>
  <c r="N40" i="472"/>
  <c r="M49" i="472"/>
  <c r="N60" i="472"/>
  <c r="M62" i="472"/>
  <c r="K76" i="472"/>
  <c r="L80" i="472"/>
  <c r="L93" i="472"/>
  <c r="L95" i="472"/>
  <c r="N106" i="472"/>
  <c r="M109" i="472"/>
  <c r="M123" i="472"/>
  <c r="K9" i="472"/>
  <c r="M20" i="472"/>
  <c r="L40" i="472"/>
  <c r="L60" i="472"/>
  <c r="M76" i="472"/>
  <c r="M103" i="472"/>
  <c r="L106" i="472"/>
  <c r="N115" i="472"/>
  <c r="N121" i="472"/>
  <c r="L115" i="472"/>
  <c r="K122" i="472"/>
  <c r="N131" i="472"/>
  <c r="L87" i="472"/>
  <c r="M10" i="472"/>
  <c r="M16" i="472"/>
  <c r="K92" i="472"/>
  <c r="K90" i="472"/>
  <c r="L105" i="472"/>
  <c r="O31" i="75"/>
  <c r="J31" i="75"/>
  <c r="M329" i="75"/>
  <c r="O33" i="75"/>
  <c r="J33" i="75"/>
  <c r="M332" i="75"/>
  <c r="M336" i="75"/>
  <c r="O32" i="75"/>
  <c r="J32" i="75"/>
  <c r="M42" i="75"/>
  <c r="I32" i="75"/>
  <c r="K32" i="75"/>
  <c r="M32" i="75" s="1"/>
  <c r="M334" i="75"/>
  <c r="I31" i="75"/>
  <c r="T31" i="75" s="1"/>
  <c r="K31" i="75"/>
  <c r="M331" i="75"/>
  <c r="M333" i="75"/>
  <c r="I33" i="75"/>
  <c r="K33" i="75"/>
  <c r="M33" i="75" s="1"/>
  <c r="N108" i="472"/>
  <c r="N417" i="472"/>
  <c r="N516" i="472"/>
  <c r="N9" i="472"/>
  <c r="N17" i="472"/>
  <c r="M19" i="472"/>
  <c r="N36" i="472"/>
  <c r="N46" i="472"/>
  <c r="K48" i="472"/>
  <c r="M52" i="472"/>
  <c r="N55" i="472"/>
  <c r="M59" i="472"/>
  <c r="N61" i="472"/>
  <c r="K73" i="472"/>
  <c r="M75" i="472"/>
  <c r="N83" i="472"/>
  <c r="N86" i="472"/>
  <c r="N88" i="472"/>
  <c r="K91" i="472"/>
  <c r="N99" i="472"/>
  <c r="L108" i="472"/>
  <c r="N110" i="472"/>
  <c r="K123" i="472"/>
  <c r="L129" i="472"/>
  <c r="R282" i="472"/>
  <c r="E338" i="75"/>
  <c r="Q338" i="75" s="1"/>
  <c r="L516" i="472"/>
  <c r="P417" i="472"/>
  <c r="E490" i="75"/>
  <c r="M100" i="472"/>
  <c r="M105" i="472"/>
  <c r="N129" i="472"/>
  <c r="L17" i="472"/>
  <c r="L33" i="472"/>
  <c r="G44" i="75"/>
  <c r="L36" i="472"/>
  <c r="K42" i="472"/>
  <c r="K46" i="472"/>
  <c r="N48" i="472"/>
  <c r="K55" i="472"/>
  <c r="N57" i="472"/>
  <c r="M67" i="472"/>
  <c r="K70" i="472"/>
  <c r="K74" i="472"/>
  <c r="L77" i="472"/>
  <c r="L83" i="472"/>
  <c r="K86" i="472"/>
  <c r="L99" i="472"/>
  <c r="M108" i="472"/>
  <c r="K110" i="472"/>
  <c r="L116" i="472"/>
  <c r="E151" i="75"/>
  <c r="J123" i="472"/>
  <c r="N123" i="472" s="1"/>
  <c r="M129" i="472"/>
  <c r="M417" i="472"/>
  <c r="M516" i="472"/>
  <c r="N73" i="472"/>
  <c r="N132" i="472"/>
  <c r="N20" i="472"/>
  <c r="N30" i="472"/>
  <c r="J33" i="472"/>
  <c r="N33" i="472" s="1"/>
  <c r="L42" i="472"/>
  <c r="M46" i="472"/>
  <c r="M55" i="472"/>
  <c r="L57" i="472"/>
  <c r="K69" i="472"/>
  <c r="M83" i="472"/>
  <c r="L86" i="472"/>
  <c r="N90" i="472"/>
  <c r="N92" i="472"/>
  <c r="M99" i="472"/>
  <c r="K102" i="472"/>
  <c r="M104" i="472"/>
  <c r="K111" i="472"/>
  <c r="N116" i="472"/>
  <c r="N16" i="472"/>
  <c r="L32" i="472"/>
  <c r="G43" i="75"/>
  <c r="N47" i="472"/>
  <c r="N56" i="472"/>
  <c r="N58" i="472"/>
  <c r="K71" i="472"/>
  <c r="K80" i="472"/>
  <c r="M90" i="472"/>
  <c r="K93" i="472"/>
  <c r="L97" i="472"/>
  <c r="N103" i="472"/>
  <c r="N105" i="472"/>
  <c r="J109" i="472"/>
  <c r="N109" i="472" s="1"/>
  <c r="L111" i="472"/>
  <c r="M116" i="472"/>
  <c r="J120" i="472"/>
  <c r="N120" i="472" s="1"/>
  <c r="L125" i="472"/>
  <c r="L131" i="472"/>
  <c r="K202" i="472"/>
  <c r="E246" i="75"/>
  <c r="K296" i="472"/>
  <c r="E341" i="75"/>
  <c r="N436" i="472"/>
  <c r="N589" i="472"/>
  <c r="K16" i="472"/>
  <c r="L47" i="472"/>
  <c r="K56" i="472"/>
  <c r="K65" i="472"/>
  <c r="N85" i="472"/>
  <c r="N87" i="472"/>
  <c r="L103" i="472"/>
  <c r="E247" i="75"/>
  <c r="K436" i="472"/>
  <c r="K589" i="472"/>
  <c r="Q33" i="75"/>
  <c r="Q31" i="75"/>
  <c r="Q32" i="75"/>
  <c r="M47" i="472"/>
  <c r="M60" i="472"/>
  <c r="M64" i="472"/>
  <c r="L71" i="472"/>
  <c r="L73" i="472"/>
  <c r="L82" i="472"/>
  <c r="L92" i="472"/>
  <c r="L102" i="472"/>
  <c r="L110" i="472"/>
  <c r="K191" i="472"/>
  <c r="J205" i="472"/>
  <c r="N205" i="472" s="1"/>
  <c r="M205" i="472"/>
  <c r="M40" i="472"/>
  <c r="L70" i="472"/>
  <c r="L81" i="472"/>
  <c r="L91" i="472"/>
  <c r="M117" i="472"/>
  <c r="K117" i="472"/>
  <c r="M119" i="472"/>
  <c r="L119" i="472"/>
  <c r="K119" i="472"/>
  <c r="M121" i="472"/>
  <c r="L121" i="472"/>
  <c r="M126" i="472"/>
  <c r="L126" i="472"/>
  <c r="K126" i="472"/>
  <c r="L132" i="472"/>
  <c r="K132" i="472"/>
  <c r="M596" i="472"/>
  <c r="J596" i="472"/>
  <c r="N596" i="472" s="1"/>
  <c r="M13" i="472"/>
  <c r="M17" i="472"/>
  <c r="M36" i="472"/>
  <c r="K10" i="472"/>
  <c r="K15" i="472"/>
  <c r="K19" i="472"/>
  <c r="R32" i="472"/>
  <c r="R33" i="472"/>
  <c r="K43" i="472"/>
  <c r="K49" i="472"/>
  <c r="K58" i="472"/>
  <c r="K62" i="472"/>
  <c r="K67" i="472"/>
  <c r="K79" i="472"/>
  <c r="K88" i="472"/>
  <c r="K98" i="472"/>
  <c r="K107" i="472"/>
  <c r="L291" i="472"/>
  <c r="J291" i="472"/>
  <c r="N291" i="472" s="1"/>
  <c r="L10" i="472"/>
  <c r="L15" i="472"/>
  <c r="L19" i="472"/>
  <c r="L43" i="472"/>
  <c r="L49" i="472"/>
  <c r="K57" i="472"/>
  <c r="L58" i="472"/>
  <c r="L62" i="472"/>
  <c r="L67" i="472"/>
  <c r="K77" i="472"/>
  <c r="L79" i="472"/>
  <c r="K87" i="472"/>
  <c r="L88" i="472"/>
  <c r="K97" i="472"/>
  <c r="L98" i="472"/>
  <c r="K106" i="472"/>
  <c r="L107" i="472"/>
  <c r="K115" i="472"/>
  <c r="M132" i="472"/>
  <c r="M133" i="472"/>
  <c r="L133" i="472"/>
  <c r="K133" i="472"/>
  <c r="N599" i="472"/>
  <c r="M599" i="472"/>
  <c r="L599" i="472"/>
  <c r="K599" i="472"/>
  <c r="L9" i="472"/>
  <c r="L14" i="472"/>
  <c r="L18" i="472"/>
  <c r="L48" i="472"/>
  <c r="L65" i="472"/>
  <c r="K75" i="472"/>
  <c r="K85" i="472"/>
  <c r="K94" i="472"/>
  <c r="K104" i="472"/>
  <c r="K112" i="472"/>
  <c r="L118" i="472"/>
  <c r="K118" i="472"/>
  <c r="N133" i="472"/>
  <c r="M202" i="472"/>
  <c r="J204" i="472"/>
  <c r="N204" i="472" s="1"/>
  <c r="M212" i="472"/>
  <c r="K212" i="472"/>
  <c r="L517" i="472"/>
  <c r="J517" i="472"/>
  <c r="N517" i="472" s="1"/>
  <c r="N191" i="472"/>
  <c r="M191" i="472"/>
  <c r="L191" i="472"/>
  <c r="M112" i="472"/>
  <c r="M136" i="472"/>
  <c r="L136" i="472"/>
  <c r="K136" i="472"/>
  <c r="O212" i="472"/>
  <c r="P212" i="472" s="1"/>
  <c r="L212" i="472"/>
  <c r="J212" i="472"/>
  <c r="N212" i="472" s="1"/>
  <c r="J288" i="472"/>
  <c r="N288" i="472" s="1"/>
  <c r="H289" i="472"/>
  <c r="H282" i="472"/>
  <c r="L282" i="472" s="1"/>
  <c r="L590" i="472"/>
  <c r="J590" i="472"/>
  <c r="N590" i="472" s="1"/>
  <c r="R202" i="472"/>
  <c r="R213" i="472"/>
  <c r="L417" i="472"/>
  <c r="O499" i="472"/>
  <c r="P499" i="472" s="1"/>
  <c r="M508" i="472"/>
  <c r="M569" i="472"/>
  <c r="L589" i="472"/>
  <c r="M593" i="472"/>
  <c r="N569" i="472"/>
  <c r="R499" i="472"/>
  <c r="J515" i="472"/>
  <c r="N515" i="472" s="1"/>
  <c r="J595" i="472"/>
  <c r="N595" i="472" s="1"/>
  <c r="K125" i="472"/>
  <c r="K131" i="472"/>
  <c r="K229" i="567" l="1"/>
  <c r="J579" i="567"/>
  <c r="O579" i="567" s="1"/>
  <c r="J680" i="567"/>
  <c r="V680" i="567" s="1"/>
  <c r="W680" i="567" s="1"/>
  <c r="J345" i="567"/>
  <c r="O345" i="567" s="1"/>
  <c r="U349" i="567"/>
  <c r="O253" i="567"/>
  <c r="W349" i="567"/>
  <c r="S252" i="567"/>
  <c r="U252" i="567" s="1"/>
  <c r="W346" i="567"/>
  <c r="K346" i="567"/>
  <c r="J597" i="567"/>
  <c r="O597" i="567" s="1"/>
  <c r="Q599" i="567"/>
  <c r="J44" i="567"/>
  <c r="O44" i="567" s="1"/>
  <c r="S229" i="567"/>
  <c r="U229" i="567" s="1"/>
  <c r="L253" i="567"/>
  <c r="O229" i="567"/>
  <c r="K253" i="567"/>
  <c r="K235" i="567" s="1"/>
  <c r="L594" i="567"/>
  <c r="L593" i="567"/>
  <c r="O349" i="567"/>
  <c r="U599" i="567"/>
  <c r="K349" i="567"/>
  <c r="N349" i="567"/>
  <c r="O346" i="567"/>
  <c r="W500" i="567"/>
  <c r="J250" i="567"/>
  <c r="O250" i="567" s="1"/>
  <c r="S500" i="567"/>
  <c r="J691" i="567"/>
  <c r="V691" i="567" s="1"/>
  <c r="W691" i="567" s="1"/>
  <c r="U500" i="567"/>
  <c r="J45" i="567"/>
  <c r="O45" i="567" s="1"/>
  <c r="J682" i="567"/>
  <c r="V682" i="567" s="1"/>
  <c r="W682" i="567" s="1"/>
  <c r="L153" i="567"/>
  <c r="S346" i="567"/>
  <c r="O252" i="567"/>
  <c r="Q349" i="567"/>
  <c r="Q346" i="567"/>
  <c r="W599" i="567"/>
  <c r="K587" i="568"/>
  <c r="I587" i="568"/>
  <c r="K670" i="568"/>
  <c r="I670" i="568"/>
  <c r="J223" i="568"/>
  <c r="K223" i="568"/>
  <c r="M223" i="568"/>
  <c r="Q223" i="568"/>
  <c r="S223" i="568" s="1"/>
  <c r="K668" i="568"/>
  <c r="I668" i="568"/>
  <c r="L346" i="567"/>
  <c r="L599" i="567"/>
  <c r="S253" i="567"/>
  <c r="U253" i="567" s="1"/>
  <c r="L500" i="567"/>
  <c r="K337" i="568"/>
  <c r="I337" i="568"/>
  <c r="K583" i="568"/>
  <c r="I583" i="568"/>
  <c r="I584" i="568"/>
  <c r="K584" i="568"/>
  <c r="H347" i="567"/>
  <c r="J347" i="567" s="1"/>
  <c r="G339" i="568"/>
  <c r="K244" i="568"/>
  <c r="I244" i="568"/>
  <c r="M244" i="568" s="1"/>
  <c r="K679" i="568"/>
  <c r="I679" i="568"/>
  <c r="K569" i="568"/>
  <c r="I569" i="568"/>
  <c r="M569" i="568" s="1"/>
  <c r="H338" i="567"/>
  <c r="L338" i="567" s="1"/>
  <c r="G330" i="568"/>
  <c r="S349" i="567"/>
  <c r="S153" i="567"/>
  <c r="U153" i="567" s="1"/>
  <c r="N346" i="567"/>
  <c r="S599" i="567"/>
  <c r="Q252" i="567"/>
  <c r="K151" i="568"/>
  <c r="Q151" i="568"/>
  <c r="M151" i="568"/>
  <c r="Q589" i="568"/>
  <c r="M589" i="568"/>
  <c r="K589" i="568"/>
  <c r="O589" i="568"/>
  <c r="S589" i="568"/>
  <c r="U589" i="568"/>
  <c r="L252" i="567"/>
  <c r="K44" i="568"/>
  <c r="I44" i="568"/>
  <c r="S490" i="568"/>
  <c r="Q490" i="568"/>
  <c r="M490" i="568"/>
  <c r="K490" i="568"/>
  <c r="U490" i="568"/>
  <c r="O338" i="568"/>
  <c r="J338" i="568"/>
  <c r="S338" i="568"/>
  <c r="L338" i="568"/>
  <c r="M338" i="568"/>
  <c r="K338" i="568"/>
  <c r="Q338" i="568"/>
  <c r="U338" i="568"/>
  <c r="Q246" i="568"/>
  <c r="O246" i="568"/>
  <c r="M246" i="568"/>
  <c r="J246" i="568"/>
  <c r="K246" i="568"/>
  <c r="Q341" i="568"/>
  <c r="K341" i="568"/>
  <c r="J341" i="568"/>
  <c r="S341" i="568"/>
  <c r="U341" i="568"/>
  <c r="O341" i="568"/>
  <c r="M341" i="568"/>
  <c r="L341" i="568"/>
  <c r="M247" i="568"/>
  <c r="O247" i="568"/>
  <c r="J247" i="568"/>
  <c r="Q247" i="568"/>
  <c r="S247" i="568" s="1"/>
  <c r="K247" i="568"/>
  <c r="K43" i="568"/>
  <c r="I43" i="568"/>
  <c r="O593" i="567"/>
  <c r="O594" i="567"/>
  <c r="G339" i="75"/>
  <c r="I339" i="75" s="1"/>
  <c r="L285" i="472"/>
  <c r="H286" i="472"/>
  <c r="L286" i="472" s="1"/>
  <c r="Q285" i="472"/>
  <c r="R285" i="472" s="1"/>
  <c r="J285" i="472"/>
  <c r="N285" i="472" s="1"/>
  <c r="I670" i="75"/>
  <c r="K584" i="75"/>
  <c r="J22" i="416"/>
  <c r="K583" i="75"/>
  <c r="I583" i="75"/>
  <c r="G330" i="75"/>
  <c r="K330" i="75" s="1"/>
  <c r="I587" i="75"/>
  <c r="K587" i="75"/>
  <c r="O341" i="75"/>
  <c r="Q341" i="75"/>
  <c r="J557" i="75"/>
  <c r="J223" i="75"/>
  <c r="J220" i="75" s="1"/>
  <c r="J216" i="75" s="1"/>
  <c r="K223" i="75"/>
  <c r="I244" i="75"/>
  <c r="K244" i="75"/>
  <c r="K679" i="75"/>
  <c r="I679" i="75"/>
  <c r="M679" i="75" s="1"/>
  <c r="K569" i="75"/>
  <c r="I569" i="75"/>
  <c r="M223" i="75"/>
  <c r="K337" i="75"/>
  <c r="I337" i="75"/>
  <c r="K668" i="75"/>
  <c r="I668" i="75"/>
  <c r="R21" i="522"/>
  <c r="P642" i="472"/>
  <c r="O338" i="75"/>
  <c r="U338" i="75"/>
  <c r="S338" i="75"/>
  <c r="R21" i="500"/>
  <c r="R22" i="500" s="1"/>
  <c r="S341" i="75"/>
  <c r="U341" i="75"/>
  <c r="O589" i="75"/>
  <c r="S589" i="75"/>
  <c r="R25" i="481"/>
  <c r="R26" i="481" s="1"/>
  <c r="K589" i="75"/>
  <c r="Q589" i="75"/>
  <c r="M589" i="75"/>
  <c r="U589" i="75"/>
  <c r="J20" i="484"/>
  <c r="J21" i="484" s="1"/>
  <c r="T33" i="75"/>
  <c r="J20" i="483"/>
  <c r="J21" i="483" s="1"/>
  <c r="T32" i="75"/>
  <c r="R25" i="479"/>
  <c r="R26" i="479" s="1"/>
  <c r="O246" i="75"/>
  <c r="R25" i="480"/>
  <c r="R26" i="480" s="1"/>
  <c r="O247" i="75"/>
  <c r="S490" i="75"/>
  <c r="U490" i="75"/>
  <c r="M151" i="75"/>
  <c r="R26" i="486"/>
  <c r="R27" i="486" s="1"/>
  <c r="J20" i="482"/>
  <c r="J21" i="482" s="1"/>
  <c r="J49" i="75"/>
  <c r="J389" i="75"/>
  <c r="K338" i="75"/>
  <c r="J338" i="75"/>
  <c r="L338" i="75"/>
  <c r="M338" i="75"/>
  <c r="M31" i="75"/>
  <c r="Q246" i="75"/>
  <c r="S246" i="75" s="1"/>
  <c r="K246" i="75"/>
  <c r="J246" i="75"/>
  <c r="M246" i="75"/>
  <c r="J21" i="75"/>
  <c r="J16" i="75" s="1"/>
  <c r="J15" i="75" s="1"/>
  <c r="I44" i="75"/>
  <c r="K44" i="75"/>
  <c r="K341" i="75"/>
  <c r="J341" i="75"/>
  <c r="L341" i="75"/>
  <c r="M341" i="75"/>
  <c r="I43" i="75"/>
  <c r="K43" i="75"/>
  <c r="Q247" i="75"/>
  <c r="S247" i="75" s="1"/>
  <c r="K247" i="75"/>
  <c r="J247" i="75"/>
  <c r="M247" i="75"/>
  <c r="Q490" i="75"/>
  <c r="K490" i="75"/>
  <c r="M490" i="75"/>
  <c r="Q151" i="75"/>
  <c r="S151" i="75" s="1"/>
  <c r="K151" i="75"/>
  <c r="R223" i="75"/>
  <c r="Q223" i="75"/>
  <c r="S223" i="75" s="1"/>
  <c r="M642" i="472"/>
  <c r="J282" i="472"/>
  <c r="N282" i="472" s="1"/>
  <c r="H283" i="472"/>
  <c r="L289" i="472"/>
  <c r="J289" i="472"/>
  <c r="N289" i="472" s="1"/>
  <c r="O680" i="567" l="1"/>
  <c r="V345" i="567"/>
  <c r="W345" i="567" s="1"/>
  <c r="K311" i="567"/>
  <c r="K221" i="567" s="1"/>
  <c r="O682" i="567"/>
  <c r="V45" i="567"/>
  <c r="W45" i="567" s="1"/>
  <c r="V44" i="567"/>
  <c r="W44" i="567" s="1"/>
  <c r="O691" i="567"/>
  <c r="N745" i="567"/>
  <c r="J338" i="567"/>
  <c r="V338" i="567" s="1"/>
  <c r="W338" i="567" s="1"/>
  <c r="S331" i="567"/>
  <c r="S311" i="567" s="1"/>
  <c r="J229" i="568"/>
  <c r="M337" i="568"/>
  <c r="T337" i="568"/>
  <c r="U337" i="568" s="1"/>
  <c r="K330" i="568"/>
  <c r="I330" i="568"/>
  <c r="I339" i="568"/>
  <c r="K339" i="568"/>
  <c r="T670" i="568"/>
  <c r="U670" i="568" s="1"/>
  <c r="M670" i="568"/>
  <c r="H334" i="567"/>
  <c r="L334" i="567" s="1"/>
  <c r="G326" i="568"/>
  <c r="L347" i="567"/>
  <c r="M584" i="568"/>
  <c r="T679" i="568"/>
  <c r="U679" i="568" s="1"/>
  <c r="M679" i="568"/>
  <c r="M583" i="568"/>
  <c r="T668" i="568"/>
  <c r="U668" i="568" s="1"/>
  <c r="M668" i="568"/>
  <c r="M587" i="568"/>
  <c r="M43" i="568"/>
  <c r="T43" i="568"/>
  <c r="U43" i="568" s="1"/>
  <c r="M44" i="568"/>
  <c r="T44" i="568"/>
  <c r="U44" i="568" s="1"/>
  <c r="J304" i="568"/>
  <c r="S246" i="568"/>
  <c r="S151" i="568"/>
  <c r="Q323" i="568"/>
  <c r="Q304" i="568" s="1"/>
  <c r="L730" i="568"/>
  <c r="O347" i="567"/>
  <c r="V347" i="567"/>
  <c r="W347" i="567" s="1"/>
  <c r="W677" i="567"/>
  <c r="W657" i="567" s="1"/>
  <c r="K339" i="75"/>
  <c r="J286" i="472"/>
  <c r="N286" i="472" s="1"/>
  <c r="M670" i="75"/>
  <c r="I330" i="75"/>
  <c r="M330" i="75" s="1"/>
  <c r="M668" i="75"/>
  <c r="J23" i="557"/>
  <c r="J24" i="557" s="1"/>
  <c r="J23" i="558"/>
  <c r="J24" i="558" s="1"/>
  <c r="M587" i="75"/>
  <c r="J36" i="464"/>
  <c r="M583" i="75"/>
  <c r="J23" i="415"/>
  <c r="G326" i="75"/>
  <c r="K326" i="75" s="1"/>
  <c r="M339" i="75"/>
  <c r="T339" i="75"/>
  <c r="U339" i="75" s="1"/>
  <c r="J27" i="528"/>
  <c r="J28" i="528" s="1"/>
  <c r="M337" i="75"/>
  <c r="J18" i="553"/>
  <c r="J19" i="553" s="1"/>
  <c r="M569" i="75"/>
  <c r="J23" i="417"/>
  <c r="M244" i="75"/>
  <c r="J24" i="406"/>
  <c r="T44" i="75"/>
  <c r="U44" i="75" s="1"/>
  <c r="M44" i="75"/>
  <c r="L730" i="75"/>
  <c r="T43" i="75"/>
  <c r="U43" i="75" s="1"/>
  <c r="M43" i="75"/>
  <c r="J323" i="75"/>
  <c r="J304" i="75" s="1"/>
  <c r="J234" i="75"/>
  <c r="J229" i="75" s="1"/>
  <c r="L283" i="472"/>
  <c r="L642" i="472" s="1"/>
  <c r="K644" i="472" s="1"/>
  <c r="J283" i="472"/>
  <c r="N283" i="472" s="1"/>
  <c r="Q283" i="472"/>
  <c r="R283" i="472" s="1"/>
  <c r="O338" i="567" l="1"/>
  <c r="J334" i="567"/>
  <c r="O334" i="567" s="1"/>
  <c r="L745" i="567"/>
  <c r="U665" i="568"/>
  <c r="U646" i="568" s="1"/>
  <c r="J215" i="568"/>
  <c r="K326" i="568"/>
  <c r="K730" i="568" s="1"/>
  <c r="I326" i="568"/>
  <c r="M330" i="568"/>
  <c r="T330" i="568"/>
  <c r="U330" i="568" s="1"/>
  <c r="M339" i="568"/>
  <c r="T339" i="568"/>
  <c r="U339" i="568" s="1"/>
  <c r="K730" i="75"/>
  <c r="Q286" i="472"/>
  <c r="R286" i="472" s="1"/>
  <c r="R642" i="472" s="1"/>
  <c r="J18" i="537"/>
  <c r="J19" i="537" s="1"/>
  <c r="N642" i="472"/>
  <c r="I326" i="75"/>
  <c r="M326" i="75" s="1"/>
  <c r="J215" i="75"/>
  <c r="K645" i="472"/>
  <c r="K643" i="472"/>
  <c r="V334" i="567" l="1"/>
  <c r="W334" i="567" s="1"/>
  <c r="W331" i="567" s="1"/>
  <c r="W311" i="567" s="1"/>
  <c r="M326" i="568"/>
  <c r="T326" i="568"/>
  <c r="U326" i="568" s="1"/>
  <c r="U323" i="568" s="1"/>
  <c r="U304" i="568" s="1"/>
  <c r="J18" i="535"/>
  <c r="J19" i="535" s="1"/>
  <c r="J18" i="536"/>
  <c r="J19" i="536" s="1"/>
  <c r="R31" i="364"/>
  <c r="R25" i="471" l="1"/>
  <c r="J22" i="471"/>
  <c r="C10" i="471"/>
  <c r="B10" i="471"/>
  <c r="C29" i="471"/>
  <c r="C30" i="471" s="1"/>
  <c r="S24" i="471"/>
  <c r="S23" i="471"/>
  <c r="S22" i="471"/>
  <c r="R12" i="471"/>
  <c r="L9" i="471"/>
  <c r="J9" i="471"/>
  <c r="C9" i="471"/>
  <c r="L8" i="471"/>
  <c r="J8" i="471"/>
  <c r="C8" i="471"/>
  <c r="L7" i="471"/>
  <c r="J7" i="471"/>
  <c r="L6" i="471"/>
  <c r="J6" i="471"/>
  <c r="C6" i="471"/>
  <c r="R12" i="470"/>
  <c r="R25" i="470" s="1"/>
  <c r="J23" i="470"/>
  <c r="R26" i="470"/>
  <c r="L23" i="470"/>
  <c r="S25" i="470" s="1"/>
  <c r="C10" i="470"/>
  <c r="B10" i="470"/>
  <c r="C30" i="470"/>
  <c r="C31" i="470" s="1"/>
  <c r="L9" i="470"/>
  <c r="J9" i="470"/>
  <c r="C9" i="470"/>
  <c r="L8" i="470"/>
  <c r="J8" i="470"/>
  <c r="C8" i="470"/>
  <c r="L7" i="470"/>
  <c r="J7" i="470"/>
  <c r="L6" i="470"/>
  <c r="J6" i="470"/>
  <c r="C6" i="470"/>
  <c r="R25" i="469"/>
  <c r="J22" i="469"/>
  <c r="D12" i="469" s="1"/>
  <c r="J12" i="469" s="1"/>
  <c r="R12" i="469" s="1"/>
  <c r="C10" i="469"/>
  <c r="B10" i="469"/>
  <c r="C29" i="469"/>
  <c r="C30" i="469" s="1"/>
  <c r="S24" i="469"/>
  <c r="S23" i="469"/>
  <c r="S22" i="469"/>
  <c r="L9" i="469"/>
  <c r="J9" i="469"/>
  <c r="C9" i="469"/>
  <c r="L8" i="469"/>
  <c r="J8" i="469"/>
  <c r="C8" i="469"/>
  <c r="L7" i="469"/>
  <c r="J7" i="469"/>
  <c r="L6" i="469"/>
  <c r="J6" i="469"/>
  <c r="C6" i="469"/>
  <c r="R12" i="468"/>
  <c r="R23" i="468" s="1"/>
  <c r="R25" i="468"/>
  <c r="J22" i="468"/>
  <c r="C10" i="468"/>
  <c r="B10" i="468"/>
  <c r="C29" i="468"/>
  <c r="C30" i="468" s="1"/>
  <c r="S24" i="468"/>
  <c r="S23" i="468"/>
  <c r="S22" i="468"/>
  <c r="L12" i="468"/>
  <c r="L9" i="468"/>
  <c r="J9" i="468"/>
  <c r="C9" i="468"/>
  <c r="L8" i="468"/>
  <c r="J8" i="468"/>
  <c r="C8" i="468"/>
  <c r="L7" i="468"/>
  <c r="J7" i="468"/>
  <c r="L6" i="468"/>
  <c r="J6" i="468"/>
  <c r="C6" i="468"/>
  <c r="K13" i="467"/>
  <c r="R25" i="467"/>
  <c r="J22" i="467"/>
  <c r="C10" i="467"/>
  <c r="B10" i="467"/>
  <c r="C29" i="467"/>
  <c r="C30" i="467" s="1"/>
  <c r="S24" i="467"/>
  <c r="S23" i="467"/>
  <c r="S22" i="467"/>
  <c r="D13" i="467"/>
  <c r="J13" i="467" s="1"/>
  <c r="D12" i="467"/>
  <c r="J12" i="467" s="1"/>
  <c r="L12" i="467" s="1"/>
  <c r="R12" i="467" s="1"/>
  <c r="L9" i="467"/>
  <c r="J9" i="467"/>
  <c r="C9" i="467"/>
  <c r="L8" i="467"/>
  <c r="J8" i="467"/>
  <c r="C8" i="467"/>
  <c r="L7" i="467"/>
  <c r="J7" i="467"/>
  <c r="L6" i="467"/>
  <c r="J6" i="467"/>
  <c r="C6" i="467"/>
  <c r="D13" i="466"/>
  <c r="K13" i="466" s="1"/>
  <c r="D12" i="466"/>
  <c r="K12" i="466" s="1"/>
  <c r="R25" i="466"/>
  <c r="J22" i="466"/>
  <c r="C10" i="466"/>
  <c r="B10" i="466"/>
  <c r="C29" i="466"/>
  <c r="C30" i="466" s="1"/>
  <c r="S24" i="466"/>
  <c r="S23" i="466"/>
  <c r="S22" i="466"/>
  <c r="L9" i="466"/>
  <c r="J9" i="466"/>
  <c r="C9" i="466"/>
  <c r="L8" i="466"/>
  <c r="J8" i="466"/>
  <c r="C8" i="466"/>
  <c r="L7" i="466"/>
  <c r="J7" i="466"/>
  <c r="L6" i="466"/>
  <c r="J6" i="466"/>
  <c r="C6" i="466"/>
  <c r="R12" i="465"/>
  <c r="R27" i="465"/>
  <c r="J24" i="465"/>
  <c r="C10" i="465"/>
  <c r="B10" i="465"/>
  <c r="S26" i="465"/>
  <c r="L9" i="465"/>
  <c r="J9" i="465"/>
  <c r="C9" i="465"/>
  <c r="L8" i="465"/>
  <c r="J8" i="465"/>
  <c r="C8" i="465"/>
  <c r="L7" i="465"/>
  <c r="J7" i="465"/>
  <c r="L6" i="465"/>
  <c r="J6" i="465"/>
  <c r="C6" i="465"/>
  <c r="L13" i="455"/>
  <c r="R13" i="455" s="1"/>
  <c r="R14" i="436"/>
  <c r="J24" i="436"/>
  <c r="R20" i="356"/>
  <c r="R20" i="355"/>
  <c r="R19" i="354"/>
  <c r="P261" i="567" l="1"/>
  <c r="Q261" i="567" s="1"/>
  <c r="N255" i="568"/>
  <c r="O255" i="568" s="1"/>
  <c r="N255" i="75"/>
  <c r="R23" i="471"/>
  <c r="L13" i="467"/>
  <c r="R13" i="467"/>
  <c r="S23" i="470"/>
  <c r="R22" i="471"/>
  <c r="R23" i="470"/>
  <c r="R27" i="470" s="1"/>
  <c r="S24" i="470"/>
  <c r="L12" i="469"/>
  <c r="R22" i="468"/>
  <c r="R12" i="466"/>
  <c r="S24" i="465"/>
  <c r="S25" i="465"/>
  <c r="K12" i="462"/>
  <c r="R12" i="462" s="1"/>
  <c r="R24" i="462" s="1"/>
  <c r="R12" i="464"/>
  <c r="R37" i="464" s="1"/>
  <c r="K12" i="464"/>
  <c r="R39" i="464"/>
  <c r="C10" i="464"/>
  <c r="B10" i="464"/>
  <c r="S36" i="464"/>
  <c r="L9" i="464"/>
  <c r="J9" i="464"/>
  <c r="C9" i="464"/>
  <c r="L8" i="464"/>
  <c r="J8" i="464"/>
  <c r="C8" i="464"/>
  <c r="L7" i="464"/>
  <c r="J7" i="464"/>
  <c r="L6" i="464"/>
  <c r="J6" i="464"/>
  <c r="C6" i="464"/>
  <c r="R12" i="453"/>
  <c r="J24" i="438"/>
  <c r="P493" i="567" l="1"/>
  <c r="Q493" i="567" s="1"/>
  <c r="N483" i="568"/>
  <c r="O483" i="568" s="1"/>
  <c r="P597" i="567"/>
  <c r="Q597" i="567" s="1"/>
  <c r="N587" i="568"/>
  <c r="O587" i="568" s="1"/>
  <c r="P299" i="567"/>
  <c r="Q299" i="567" s="1"/>
  <c r="N292" i="568"/>
  <c r="O292" i="568" s="1"/>
  <c r="N292" i="75"/>
  <c r="N483" i="75"/>
  <c r="J23" i="471"/>
  <c r="R24" i="471"/>
  <c r="R13" i="466"/>
  <c r="R23" i="466" s="1"/>
  <c r="R36" i="464"/>
  <c r="R22" i="467"/>
  <c r="J23" i="467" s="1"/>
  <c r="R23" i="467"/>
  <c r="J24" i="470"/>
  <c r="R24" i="468"/>
  <c r="J23" i="468"/>
  <c r="R24" i="465"/>
  <c r="R25" i="465"/>
  <c r="S37" i="464"/>
  <c r="S38" i="464"/>
  <c r="R13" i="435"/>
  <c r="R27" i="463"/>
  <c r="J24" i="463"/>
  <c r="B10" i="463"/>
  <c r="C10" i="463"/>
  <c r="L24" i="463"/>
  <c r="S25" i="463" s="1"/>
  <c r="L9" i="463"/>
  <c r="J9" i="463"/>
  <c r="C9" i="463"/>
  <c r="L8" i="463"/>
  <c r="J8" i="463"/>
  <c r="C8" i="463"/>
  <c r="L7" i="463"/>
  <c r="J7" i="463"/>
  <c r="L6" i="463"/>
  <c r="J6" i="463"/>
  <c r="C6" i="463"/>
  <c r="R23" i="462"/>
  <c r="R25" i="462" s="1"/>
  <c r="R26" i="462"/>
  <c r="J23" i="462"/>
  <c r="C10" i="462"/>
  <c r="B10" i="462"/>
  <c r="C30" i="462"/>
  <c r="C31" i="462" s="1"/>
  <c r="S25" i="462"/>
  <c r="S24" i="462"/>
  <c r="S23" i="462"/>
  <c r="L9" i="462"/>
  <c r="J9" i="462"/>
  <c r="C9" i="462"/>
  <c r="L8" i="462"/>
  <c r="J8" i="462"/>
  <c r="C8" i="462"/>
  <c r="L7" i="462"/>
  <c r="J7" i="462"/>
  <c r="L6" i="462"/>
  <c r="J6" i="462"/>
  <c r="C6" i="462"/>
  <c r="R26" i="461"/>
  <c r="J23" i="461"/>
  <c r="C10" i="461"/>
  <c r="B10" i="461"/>
  <c r="C30" i="461"/>
  <c r="C31" i="461" s="1"/>
  <c r="S25" i="461"/>
  <c r="S24" i="461"/>
  <c r="S23" i="461"/>
  <c r="R12" i="461"/>
  <c r="L9" i="461"/>
  <c r="J9" i="461"/>
  <c r="C9" i="461"/>
  <c r="L8" i="461"/>
  <c r="J8" i="461"/>
  <c r="C8" i="461"/>
  <c r="L7" i="461"/>
  <c r="J7" i="461"/>
  <c r="L6" i="461"/>
  <c r="J6" i="461"/>
  <c r="C6" i="461"/>
  <c r="G12" i="460"/>
  <c r="R26" i="460"/>
  <c r="J23" i="460"/>
  <c r="C10" i="460"/>
  <c r="B10" i="460"/>
  <c r="C30" i="460"/>
  <c r="C31" i="460" s="1"/>
  <c r="S25" i="460"/>
  <c r="S24" i="460"/>
  <c r="S23" i="460"/>
  <c r="L9" i="460"/>
  <c r="J9" i="460"/>
  <c r="C9" i="460"/>
  <c r="L8" i="460"/>
  <c r="J8" i="460"/>
  <c r="C8" i="460"/>
  <c r="L7" i="460"/>
  <c r="J7" i="460"/>
  <c r="L6" i="460"/>
  <c r="J6" i="460"/>
  <c r="C6" i="460"/>
  <c r="P260" i="567" l="1"/>
  <c r="Q260" i="567" s="1"/>
  <c r="N254" i="568"/>
  <c r="O254" i="568" s="1"/>
  <c r="P146" i="567"/>
  <c r="Q146" i="567" s="1"/>
  <c r="N144" i="568"/>
  <c r="O144" i="568" s="1"/>
  <c r="P259" i="567"/>
  <c r="Q259" i="567" s="1"/>
  <c r="N253" i="568"/>
  <c r="O253" i="568" s="1"/>
  <c r="R493" i="567"/>
  <c r="T493" i="567" s="1"/>
  <c r="U493" i="567" s="1"/>
  <c r="S493" i="567" s="1"/>
  <c r="P483" i="568"/>
  <c r="R483" i="568" s="1"/>
  <c r="R261" i="567"/>
  <c r="T261" i="567" s="1"/>
  <c r="V261" i="567" s="1"/>
  <c r="W261" i="567" s="1"/>
  <c r="P255" i="568"/>
  <c r="R255" i="568" s="1"/>
  <c r="T299" i="567"/>
  <c r="U299" i="567" s="1"/>
  <c r="P292" i="568"/>
  <c r="N144" i="75"/>
  <c r="P292" i="75"/>
  <c r="P255" i="75"/>
  <c r="N254" i="75"/>
  <c r="N253" i="75"/>
  <c r="J25" i="465"/>
  <c r="R26" i="465"/>
  <c r="R23" i="461"/>
  <c r="R24" i="461"/>
  <c r="R22" i="466"/>
  <c r="R26" i="471"/>
  <c r="P483" i="75"/>
  <c r="R38" i="464"/>
  <c r="R24" i="467"/>
  <c r="N587" i="75"/>
  <c r="R26" i="468"/>
  <c r="J37" i="464"/>
  <c r="K12" i="460"/>
  <c r="L12" i="460" s="1"/>
  <c r="S26" i="463"/>
  <c r="S24" i="463"/>
  <c r="R12" i="463"/>
  <c r="J24" i="462"/>
  <c r="R27" i="462"/>
  <c r="Q258" i="567" l="1"/>
  <c r="U261" i="567"/>
  <c r="S261" i="567" s="1"/>
  <c r="O252" i="568"/>
  <c r="V493" i="567"/>
  <c r="W493" i="567" s="1"/>
  <c r="R146" i="567"/>
  <c r="T146" i="567" s="1"/>
  <c r="U146" i="567" s="1"/>
  <c r="S146" i="567" s="1"/>
  <c r="P144" i="568"/>
  <c r="R144" i="568" s="1"/>
  <c r="V299" i="567"/>
  <c r="W299" i="567" s="1"/>
  <c r="P307" i="567"/>
  <c r="Q307" i="567" s="1"/>
  <c r="N300" i="568"/>
  <c r="O300" i="568" s="1"/>
  <c r="R292" i="568"/>
  <c r="Q292" i="568"/>
  <c r="T255" i="568"/>
  <c r="U255" i="568" s="1"/>
  <c r="S255" i="568"/>
  <c r="Q255" i="568" s="1"/>
  <c r="R260" i="567"/>
  <c r="T260" i="567" s="1"/>
  <c r="U260" i="567" s="1"/>
  <c r="S260" i="567" s="1"/>
  <c r="P254" i="568"/>
  <c r="R254" i="568" s="1"/>
  <c r="R597" i="567"/>
  <c r="T597" i="567" s="1"/>
  <c r="V597" i="567" s="1"/>
  <c r="W597" i="567" s="1"/>
  <c r="P587" i="568"/>
  <c r="R587" i="568" s="1"/>
  <c r="T483" i="568"/>
  <c r="U483" i="568" s="1"/>
  <c r="S483" i="568"/>
  <c r="Q483" i="568" s="1"/>
  <c r="S299" i="567"/>
  <c r="R25" i="461"/>
  <c r="J24" i="461"/>
  <c r="N300" i="75"/>
  <c r="P254" i="75"/>
  <c r="R24" i="466"/>
  <c r="J23" i="466"/>
  <c r="P144" i="75"/>
  <c r="R28" i="465"/>
  <c r="R26" i="467"/>
  <c r="R40" i="464"/>
  <c r="P587" i="75"/>
  <c r="R587" i="75" s="1"/>
  <c r="T587" i="75" s="1"/>
  <c r="R12" i="460"/>
  <c r="R25" i="463"/>
  <c r="R24" i="463"/>
  <c r="R26" i="459"/>
  <c r="J23" i="459"/>
  <c r="C10" i="459"/>
  <c r="B10" i="459"/>
  <c r="C30" i="459"/>
  <c r="C31" i="459" s="1"/>
  <c r="S25" i="459"/>
  <c r="S24" i="459"/>
  <c r="S23" i="459"/>
  <c r="R12" i="459"/>
  <c r="L9" i="459"/>
  <c r="J9" i="459"/>
  <c r="C9" i="459"/>
  <c r="L8" i="459"/>
  <c r="J8" i="459"/>
  <c r="C8" i="459"/>
  <c r="L7" i="459"/>
  <c r="J7" i="459"/>
  <c r="L6" i="459"/>
  <c r="J6" i="459"/>
  <c r="C6" i="459"/>
  <c r="R26" i="458"/>
  <c r="J23" i="458"/>
  <c r="C10" i="458"/>
  <c r="B10" i="458"/>
  <c r="C30" i="458"/>
  <c r="C31" i="458" s="1"/>
  <c r="S25" i="458"/>
  <c r="S24" i="458"/>
  <c r="S23" i="458"/>
  <c r="R12" i="458"/>
  <c r="L9" i="458"/>
  <c r="J9" i="458"/>
  <c r="C9" i="458"/>
  <c r="L8" i="458"/>
  <c r="J8" i="458"/>
  <c r="C8" i="458"/>
  <c r="L7" i="458"/>
  <c r="J7" i="458"/>
  <c r="L6" i="458"/>
  <c r="J6" i="458"/>
  <c r="C6" i="458"/>
  <c r="R26" i="457"/>
  <c r="J23" i="457"/>
  <c r="C10" i="457"/>
  <c r="B10" i="457"/>
  <c r="C30" i="457"/>
  <c r="C31" i="457" s="1"/>
  <c r="S25" i="457"/>
  <c r="S24" i="457"/>
  <c r="S23" i="457"/>
  <c r="R12" i="457"/>
  <c r="L9" i="457"/>
  <c r="J9" i="457"/>
  <c r="C9" i="457"/>
  <c r="L8" i="457"/>
  <c r="J8" i="457"/>
  <c r="C8" i="457"/>
  <c r="L7" i="457"/>
  <c r="J7" i="457"/>
  <c r="L6" i="457"/>
  <c r="J6" i="457"/>
  <c r="C6" i="457"/>
  <c r="L23" i="456"/>
  <c r="S25" i="456" s="1"/>
  <c r="R26" i="456"/>
  <c r="J23" i="456"/>
  <c r="C10" i="456"/>
  <c r="B10" i="456"/>
  <c r="C30" i="456"/>
  <c r="C31" i="456" s="1"/>
  <c r="R12" i="456"/>
  <c r="L9" i="456"/>
  <c r="J9" i="456"/>
  <c r="C9" i="456"/>
  <c r="L8" i="456"/>
  <c r="J8" i="456"/>
  <c r="C8" i="456"/>
  <c r="L7" i="456"/>
  <c r="J7" i="456"/>
  <c r="L6" i="456"/>
  <c r="J6" i="456"/>
  <c r="C6" i="456"/>
  <c r="R13" i="385"/>
  <c r="R14" i="385"/>
  <c r="R15" i="385"/>
  <c r="R12" i="385"/>
  <c r="R14" i="397"/>
  <c r="R22" i="455"/>
  <c r="J19" i="455"/>
  <c r="L12" i="455"/>
  <c r="R12" i="455" s="1"/>
  <c r="R20" i="455" s="1"/>
  <c r="C10" i="455"/>
  <c r="B10" i="455"/>
  <c r="C26" i="455"/>
  <c r="C27" i="455" s="1"/>
  <c r="S21" i="455"/>
  <c r="S20" i="455"/>
  <c r="S19" i="455"/>
  <c r="L9" i="455"/>
  <c r="J9" i="455"/>
  <c r="C9" i="455"/>
  <c r="L8" i="455"/>
  <c r="J8" i="455"/>
  <c r="C8" i="455"/>
  <c r="L7" i="455"/>
  <c r="J7" i="455"/>
  <c r="L6" i="455"/>
  <c r="J6" i="455"/>
  <c r="C6" i="455"/>
  <c r="P369" i="75"/>
  <c r="P368" i="75"/>
  <c r="P367" i="75"/>
  <c r="R26" i="454"/>
  <c r="J23" i="454"/>
  <c r="C10" i="454"/>
  <c r="B10" i="454"/>
  <c r="C30" i="454"/>
  <c r="C31" i="454" s="1"/>
  <c r="S25" i="454"/>
  <c r="S24" i="454"/>
  <c r="S23" i="454"/>
  <c r="R12" i="454"/>
  <c r="L9" i="454"/>
  <c r="J9" i="454"/>
  <c r="C9" i="454"/>
  <c r="L8" i="454"/>
  <c r="J8" i="454"/>
  <c r="C8" i="454"/>
  <c r="L7" i="454"/>
  <c r="J7" i="454"/>
  <c r="L6" i="454"/>
  <c r="J6" i="454"/>
  <c r="C6" i="454"/>
  <c r="J23" i="453"/>
  <c r="K13" i="453" s="1"/>
  <c r="R13" i="453" s="1"/>
  <c r="R26" i="453"/>
  <c r="C10" i="453"/>
  <c r="B10" i="453"/>
  <c r="C30" i="453"/>
  <c r="C31" i="453" s="1"/>
  <c r="S25" i="453"/>
  <c r="S24" i="453"/>
  <c r="S23" i="453"/>
  <c r="L9" i="453"/>
  <c r="J9" i="453"/>
  <c r="C9" i="453"/>
  <c r="L8" i="453"/>
  <c r="J8" i="453"/>
  <c r="C8" i="453"/>
  <c r="L7" i="453"/>
  <c r="J7" i="453"/>
  <c r="L6" i="453"/>
  <c r="J6" i="453"/>
  <c r="C6" i="453"/>
  <c r="R19" i="356"/>
  <c r="R19" i="355"/>
  <c r="R18" i="354"/>
  <c r="V146" i="567" l="1"/>
  <c r="W146" i="567" s="1"/>
  <c r="U597" i="567"/>
  <c r="S597" i="567" s="1"/>
  <c r="P492" i="567"/>
  <c r="Q492" i="567" s="1"/>
  <c r="N482" i="568"/>
  <c r="O482" i="568" s="1"/>
  <c r="V260" i="567"/>
  <c r="W260" i="567" s="1"/>
  <c r="R307" i="567"/>
  <c r="T307" i="567" s="1"/>
  <c r="V307" i="567" s="1"/>
  <c r="W307" i="567" s="1"/>
  <c r="P300" i="568"/>
  <c r="R300" i="568" s="1"/>
  <c r="S587" i="568"/>
  <c r="Q587" i="568" s="1"/>
  <c r="T587" i="568"/>
  <c r="U587" i="568" s="1"/>
  <c r="T292" i="568"/>
  <c r="U292" i="568" s="1"/>
  <c r="S292" i="568"/>
  <c r="P144" i="567"/>
  <c r="Q144" i="567" s="1"/>
  <c r="N142" i="568"/>
  <c r="R259" i="567"/>
  <c r="T259" i="567" s="1"/>
  <c r="U259" i="567" s="1"/>
  <c r="P253" i="568"/>
  <c r="R253" i="568" s="1"/>
  <c r="T254" i="568"/>
  <c r="U254" i="568" s="1"/>
  <c r="S254" i="568"/>
  <c r="Q254" i="568" s="1"/>
  <c r="T144" i="568"/>
  <c r="U144" i="568" s="1"/>
  <c r="S144" i="568"/>
  <c r="Q144" i="568" s="1"/>
  <c r="R27" i="461"/>
  <c r="P300" i="75"/>
  <c r="N142" i="75"/>
  <c r="R26" i="463"/>
  <c r="R26" i="385"/>
  <c r="R25" i="385"/>
  <c r="R23" i="457"/>
  <c r="J24" i="457" s="1"/>
  <c r="R24" i="457"/>
  <c r="R23" i="459"/>
  <c r="J24" i="459" s="1"/>
  <c r="R24" i="459"/>
  <c r="R23" i="460"/>
  <c r="J24" i="460" s="1"/>
  <c r="R24" i="460"/>
  <c r="R23" i="458"/>
  <c r="J24" i="458" s="1"/>
  <c r="R24" i="458"/>
  <c r="R26" i="466"/>
  <c r="P253" i="75"/>
  <c r="R23" i="454"/>
  <c r="J24" i="454" s="1"/>
  <c r="R24" i="454"/>
  <c r="R23" i="456"/>
  <c r="R24" i="456"/>
  <c r="R23" i="453"/>
  <c r="J24" i="453" s="1"/>
  <c r="R24" i="453"/>
  <c r="N482" i="75"/>
  <c r="O482" i="75" s="1"/>
  <c r="R19" i="455"/>
  <c r="U587" i="75"/>
  <c r="S587" i="75"/>
  <c r="J25" i="463"/>
  <c r="S23" i="456"/>
  <c r="S24" i="456"/>
  <c r="R22" i="399"/>
  <c r="R15" i="399"/>
  <c r="R14" i="399"/>
  <c r="R13" i="399"/>
  <c r="K12" i="445"/>
  <c r="B10" i="430"/>
  <c r="K12" i="444"/>
  <c r="R12" i="446"/>
  <c r="R24" i="446" s="1"/>
  <c r="R26" i="446"/>
  <c r="J23" i="446"/>
  <c r="C10" i="446"/>
  <c r="B10" i="446"/>
  <c r="R26" i="451"/>
  <c r="J23" i="451"/>
  <c r="C10" i="451"/>
  <c r="S23" i="451"/>
  <c r="S25" i="451"/>
  <c r="R12" i="451"/>
  <c r="B10" i="451"/>
  <c r="L9" i="451"/>
  <c r="J9" i="451"/>
  <c r="C9" i="451"/>
  <c r="L8" i="451"/>
  <c r="J8" i="451"/>
  <c r="C8" i="451"/>
  <c r="L7" i="451"/>
  <c r="J7" i="451"/>
  <c r="L6" i="451"/>
  <c r="J6" i="451"/>
  <c r="C6" i="451"/>
  <c r="J23" i="450"/>
  <c r="C10" i="450"/>
  <c r="B10" i="450"/>
  <c r="R26" i="450"/>
  <c r="L23" i="450"/>
  <c r="S25" i="450" s="1"/>
  <c r="R12" i="450"/>
  <c r="L9" i="450"/>
  <c r="J9" i="450"/>
  <c r="C9" i="450"/>
  <c r="L8" i="450"/>
  <c r="J8" i="450"/>
  <c r="C8" i="450"/>
  <c r="L7" i="450"/>
  <c r="J7" i="450"/>
  <c r="L6" i="450"/>
  <c r="J6" i="450"/>
  <c r="C6" i="450"/>
  <c r="K12" i="435"/>
  <c r="R12" i="449"/>
  <c r="S12" i="449"/>
  <c r="L23" i="449"/>
  <c r="S25" i="449" s="1"/>
  <c r="R26" i="449"/>
  <c r="J23" i="449"/>
  <c r="C10" i="449"/>
  <c r="B10" i="449"/>
  <c r="C30" i="449"/>
  <c r="C31" i="449" s="1"/>
  <c r="L9" i="449"/>
  <c r="J9" i="449"/>
  <c r="C9" i="449"/>
  <c r="L8" i="449"/>
  <c r="J8" i="449"/>
  <c r="C8" i="449"/>
  <c r="L7" i="449"/>
  <c r="J7" i="449"/>
  <c r="L6" i="449"/>
  <c r="J6" i="449"/>
  <c r="C6" i="449"/>
  <c r="R12" i="448"/>
  <c r="L23" i="448"/>
  <c r="S23" i="448" s="1"/>
  <c r="S12" i="448"/>
  <c r="R26" i="448"/>
  <c r="J23" i="448"/>
  <c r="C10" i="448"/>
  <c r="B10" i="448"/>
  <c r="C30" i="448"/>
  <c r="C31" i="448" s="1"/>
  <c r="L9" i="448"/>
  <c r="J9" i="448"/>
  <c r="C9" i="448"/>
  <c r="L8" i="448"/>
  <c r="J8" i="448"/>
  <c r="C8" i="448"/>
  <c r="L7" i="448"/>
  <c r="J7" i="448"/>
  <c r="L6" i="448"/>
  <c r="J6" i="448"/>
  <c r="C6" i="448"/>
  <c r="R26" i="447"/>
  <c r="J23" i="447"/>
  <c r="C10" i="447"/>
  <c r="B10" i="447"/>
  <c r="C30" i="447"/>
  <c r="C31" i="447" s="1"/>
  <c r="L23" i="447"/>
  <c r="S23" i="447" s="1"/>
  <c r="R12" i="447"/>
  <c r="L9" i="447"/>
  <c r="J9" i="447"/>
  <c r="C9" i="447"/>
  <c r="L8" i="447"/>
  <c r="J8" i="447"/>
  <c r="C8" i="447"/>
  <c r="L7" i="447"/>
  <c r="J7" i="447"/>
  <c r="L6" i="447"/>
  <c r="J6" i="447"/>
  <c r="C6" i="447"/>
  <c r="V259" i="567" l="1"/>
  <c r="W259" i="567" s="1"/>
  <c r="W258" i="567" s="1"/>
  <c r="P289" i="567"/>
  <c r="Q289" i="567" s="1"/>
  <c r="N283" i="568"/>
  <c r="O283" i="568" s="1"/>
  <c r="P306" i="567"/>
  <c r="Q306" i="567" s="1"/>
  <c r="N299" i="568"/>
  <c r="O299" i="568" s="1"/>
  <c r="P490" i="567"/>
  <c r="Q490" i="567" s="1"/>
  <c r="N480" i="568"/>
  <c r="P304" i="567"/>
  <c r="Q304" i="567" s="1"/>
  <c r="N297" i="568"/>
  <c r="O297" i="568" s="1"/>
  <c r="U307" i="567"/>
  <c r="S307" i="567" s="1"/>
  <c r="T253" i="568"/>
  <c r="U253" i="568" s="1"/>
  <c r="U252" i="568" s="1"/>
  <c r="S253" i="568"/>
  <c r="T300" i="568"/>
  <c r="U300" i="568" s="1"/>
  <c r="S300" i="568"/>
  <c r="Q300" i="568" s="1"/>
  <c r="P285" i="567"/>
  <c r="Q285" i="567" s="1"/>
  <c r="N279" i="568"/>
  <c r="O279" i="568" s="1"/>
  <c r="P305" i="567"/>
  <c r="Q305" i="567" s="1"/>
  <c r="N298" i="568"/>
  <c r="O298" i="568" s="1"/>
  <c r="P287" i="567"/>
  <c r="Q287" i="567" s="1"/>
  <c r="N281" i="568"/>
  <c r="O281" i="568" s="1"/>
  <c r="R144" i="567"/>
  <c r="T144" i="567" s="1"/>
  <c r="U144" i="567" s="1"/>
  <c r="S144" i="567" s="1"/>
  <c r="P142" i="568"/>
  <c r="R142" i="568" s="1"/>
  <c r="O142" i="568"/>
  <c r="P71" i="567"/>
  <c r="Q71" i="567" s="1"/>
  <c r="Q70" i="567" s="1"/>
  <c r="Q65" i="567" s="1"/>
  <c r="N70" i="568"/>
  <c r="O70" i="568" s="1"/>
  <c r="O69" i="568" s="1"/>
  <c r="O64" i="568" s="1"/>
  <c r="S259" i="567"/>
  <c r="S258" i="567" s="1"/>
  <c r="U258" i="567"/>
  <c r="R28" i="463"/>
  <c r="R25" i="460"/>
  <c r="R25" i="457"/>
  <c r="N70" i="75"/>
  <c r="P142" i="75"/>
  <c r="N298" i="75"/>
  <c r="N480" i="75"/>
  <c r="O480" i="75" s="1"/>
  <c r="N299" i="75"/>
  <c r="R25" i="458"/>
  <c r="N281" i="75"/>
  <c r="N297" i="75"/>
  <c r="R28" i="399"/>
  <c r="R25" i="459"/>
  <c r="R25" i="456"/>
  <c r="N283" i="75"/>
  <c r="N279" i="75"/>
  <c r="R25" i="454"/>
  <c r="J24" i="456"/>
  <c r="R27" i="399"/>
  <c r="R25" i="453"/>
  <c r="R21" i="455"/>
  <c r="R23" i="447"/>
  <c r="J24" i="447" s="1"/>
  <c r="R24" i="447"/>
  <c r="R23" i="448"/>
  <c r="J24" i="448" s="1"/>
  <c r="R24" i="448"/>
  <c r="R23" i="450"/>
  <c r="J24" i="450" s="1"/>
  <c r="R24" i="450"/>
  <c r="R23" i="449"/>
  <c r="R24" i="449"/>
  <c r="R23" i="451"/>
  <c r="R24" i="451"/>
  <c r="J20" i="455"/>
  <c r="S24" i="451"/>
  <c r="S23" i="450"/>
  <c r="S24" i="450"/>
  <c r="S24" i="449"/>
  <c r="S23" i="449"/>
  <c r="S24" i="448"/>
  <c r="S25" i="448"/>
  <c r="S24" i="447"/>
  <c r="S25" i="447"/>
  <c r="R23" i="446"/>
  <c r="C30" i="446"/>
  <c r="C31" i="446" s="1"/>
  <c r="S25" i="446"/>
  <c r="S24" i="446"/>
  <c r="S23" i="446"/>
  <c r="L9" i="446"/>
  <c r="J9" i="446"/>
  <c r="C9" i="446"/>
  <c r="L8" i="446"/>
  <c r="J8" i="446"/>
  <c r="C8" i="446"/>
  <c r="L7" i="446"/>
  <c r="J7" i="446"/>
  <c r="L6" i="446"/>
  <c r="J6" i="446"/>
  <c r="C6" i="446"/>
  <c r="V144" i="567" l="1"/>
  <c r="W144" i="567" s="1"/>
  <c r="P39" i="567"/>
  <c r="Q39" i="567" s="1"/>
  <c r="N38" i="568"/>
  <c r="O38" i="568" s="1"/>
  <c r="Q253" i="568"/>
  <c r="Q252" i="568" s="1"/>
  <c r="S252" i="568"/>
  <c r="R305" i="567"/>
  <c r="T305" i="567" s="1"/>
  <c r="U305" i="567" s="1"/>
  <c r="S305" i="567" s="1"/>
  <c r="P298" i="568"/>
  <c r="R298" i="568" s="1"/>
  <c r="S142" i="568"/>
  <c r="Q142" i="568" s="1"/>
  <c r="T142" i="568"/>
  <c r="U142" i="568" s="1"/>
  <c r="R285" i="567"/>
  <c r="T285" i="567" s="1"/>
  <c r="P279" i="568"/>
  <c r="R289" i="567"/>
  <c r="T289" i="567" s="1"/>
  <c r="V289" i="567" s="1"/>
  <c r="W289" i="567" s="1"/>
  <c r="P283" i="568"/>
  <c r="P288" i="567"/>
  <c r="Q288" i="567" s="1"/>
  <c r="N282" i="568"/>
  <c r="O282" i="568" s="1"/>
  <c r="P286" i="567"/>
  <c r="Q286" i="567" s="1"/>
  <c r="N280" i="568"/>
  <c r="O280" i="568" s="1"/>
  <c r="R304" i="567"/>
  <c r="T304" i="567" s="1"/>
  <c r="U304" i="567" s="1"/>
  <c r="P297" i="568"/>
  <c r="R297" i="568" s="1"/>
  <c r="R256" i="567"/>
  <c r="T256" i="567" s="1"/>
  <c r="U256" i="567" s="1"/>
  <c r="P250" i="568"/>
  <c r="P574" i="567"/>
  <c r="Q574" i="567" s="1"/>
  <c r="N564" i="568"/>
  <c r="O564" i="568" s="1"/>
  <c r="P573" i="567"/>
  <c r="Q573" i="567" s="1"/>
  <c r="N563" i="568"/>
  <c r="O563" i="568" s="1"/>
  <c r="R287" i="567"/>
  <c r="T287" i="567" s="1"/>
  <c r="V287" i="567" s="1"/>
  <c r="W287" i="567" s="1"/>
  <c r="P281" i="568"/>
  <c r="O480" i="568"/>
  <c r="P575" i="567"/>
  <c r="Q575" i="567" s="1"/>
  <c r="N565" i="568"/>
  <c r="O565" i="568" s="1"/>
  <c r="R492" i="567"/>
  <c r="T492" i="567" s="1"/>
  <c r="V492" i="567" s="1"/>
  <c r="W492" i="567" s="1"/>
  <c r="P482" i="568"/>
  <c r="R482" i="568" s="1"/>
  <c r="R306" i="567"/>
  <c r="T306" i="567" s="1"/>
  <c r="U306" i="567" s="1"/>
  <c r="S306" i="567" s="1"/>
  <c r="P299" i="568"/>
  <c r="R299" i="568" s="1"/>
  <c r="R27" i="456"/>
  <c r="N38" i="75"/>
  <c r="R27" i="458"/>
  <c r="R27" i="457"/>
  <c r="R27" i="460"/>
  <c r="P250" i="75"/>
  <c r="R29" i="399"/>
  <c r="R25" i="447"/>
  <c r="P297" i="75"/>
  <c r="R297" i="75" s="1"/>
  <c r="R25" i="450"/>
  <c r="N564" i="75"/>
  <c r="N563" i="75"/>
  <c r="N282" i="75"/>
  <c r="P299" i="75"/>
  <c r="N565" i="75"/>
  <c r="R27" i="459"/>
  <c r="N280" i="75"/>
  <c r="R25" i="451"/>
  <c r="P298" i="75"/>
  <c r="R298" i="75" s="1"/>
  <c r="P281" i="75"/>
  <c r="P482" i="75"/>
  <c r="R482" i="75" s="1"/>
  <c r="P279" i="75"/>
  <c r="Q279" i="75" s="1"/>
  <c r="R25" i="449"/>
  <c r="P283" i="75"/>
  <c r="R27" i="454"/>
  <c r="R27" i="453"/>
  <c r="R23" i="455"/>
  <c r="R25" i="448"/>
  <c r="J24" i="451"/>
  <c r="J24" i="449"/>
  <c r="R25" i="446"/>
  <c r="J24" i="446"/>
  <c r="R26" i="445"/>
  <c r="J23" i="445"/>
  <c r="C10" i="445"/>
  <c r="B10" i="445"/>
  <c r="C30" i="445"/>
  <c r="C31" i="445" s="1"/>
  <c r="S25" i="445"/>
  <c r="S24" i="445"/>
  <c r="S23" i="445"/>
  <c r="L9" i="445"/>
  <c r="J9" i="445"/>
  <c r="C9" i="445"/>
  <c r="L8" i="445"/>
  <c r="J8" i="445"/>
  <c r="C8" i="445"/>
  <c r="L7" i="445"/>
  <c r="J7" i="445"/>
  <c r="L6" i="445"/>
  <c r="J6" i="445"/>
  <c r="C6" i="445"/>
  <c r="R12" i="444"/>
  <c r="R23" i="444"/>
  <c r="R13" i="444"/>
  <c r="C10" i="444"/>
  <c r="B10" i="444"/>
  <c r="C27" i="444"/>
  <c r="C28" i="444" s="1"/>
  <c r="S20" i="444"/>
  <c r="S22" i="444"/>
  <c r="L9" i="444"/>
  <c r="J9" i="444"/>
  <c r="C9" i="444"/>
  <c r="L8" i="444"/>
  <c r="J8" i="444"/>
  <c r="C8" i="444"/>
  <c r="L7" i="444"/>
  <c r="J7" i="444"/>
  <c r="L6" i="444"/>
  <c r="J6" i="444"/>
  <c r="C6" i="444"/>
  <c r="R12" i="443"/>
  <c r="R28" i="443"/>
  <c r="J25" i="443"/>
  <c r="C10" i="443"/>
  <c r="B10" i="443"/>
  <c r="S27" i="443"/>
  <c r="L9" i="443"/>
  <c r="J9" i="443"/>
  <c r="C9" i="443"/>
  <c r="L8" i="443"/>
  <c r="J8" i="443"/>
  <c r="C8" i="443"/>
  <c r="L7" i="443"/>
  <c r="J7" i="443"/>
  <c r="L6" i="443"/>
  <c r="J6" i="443"/>
  <c r="C6" i="443"/>
  <c r="R12" i="442"/>
  <c r="L25" i="442"/>
  <c r="S27" i="442" s="1"/>
  <c r="R28" i="442"/>
  <c r="J25" i="442"/>
  <c r="C10" i="442"/>
  <c r="B10" i="442"/>
  <c r="L9" i="442"/>
  <c r="J9" i="442"/>
  <c r="C9" i="442"/>
  <c r="L8" i="442"/>
  <c r="J8" i="442"/>
  <c r="C8" i="442"/>
  <c r="L7" i="442"/>
  <c r="J7" i="442"/>
  <c r="L6" i="442"/>
  <c r="J6" i="442"/>
  <c r="C6" i="442"/>
  <c r="R28" i="441"/>
  <c r="J25" i="441"/>
  <c r="C10" i="441"/>
  <c r="B10" i="441"/>
  <c r="L25" i="441"/>
  <c r="S27" i="441" s="1"/>
  <c r="S12" i="441"/>
  <c r="R12" i="441"/>
  <c r="R25" i="441" s="1"/>
  <c r="L9" i="441"/>
  <c r="J9" i="441"/>
  <c r="C9" i="441"/>
  <c r="L8" i="441"/>
  <c r="J8" i="441"/>
  <c r="C8" i="441"/>
  <c r="L7" i="441"/>
  <c r="J7" i="441"/>
  <c r="L6" i="441"/>
  <c r="J6" i="441"/>
  <c r="C6" i="441"/>
  <c r="R12" i="440"/>
  <c r="R29" i="440"/>
  <c r="J26" i="440"/>
  <c r="C10" i="440"/>
  <c r="B10" i="440"/>
  <c r="L26" i="440"/>
  <c r="S28" i="440" s="1"/>
  <c r="L9" i="440"/>
  <c r="J9" i="440"/>
  <c r="C9" i="440"/>
  <c r="L8" i="440"/>
  <c r="J8" i="440"/>
  <c r="C8" i="440"/>
  <c r="L7" i="440"/>
  <c r="J7" i="440"/>
  <c r="L6" i="440"/>
  <c r="J6" i="440"/>
  <c r="C6" i="440"/>
  <c r="B10" i="439"/>
  <c r="R22" i="439"/>
  <c r="L19" i="439"/>
  <c r="S21" i="439" s="1"/>
  <c r="J19" i="439"/>
  <c r="R14" i="439"/>
  <c r="R13" i="439"/>
  <c r="C10" i="439"/>
  <c r="L9" i="439"/>
  <c r="J9" i="439"/>
  <c r="C9" i="439"/>
  <c r="L8" i="439"/>
  <c r="J8" i="439"/>
  <c r="C8" i="439"/>
  <c r="L7" i="439"/>
  <c r="J7" i="439"/>
  <c r="L6" i="439"/>
  <c r="J6" i="439"/>
  <c r="C6" i="439"/>
  <c r="M12" i="438"/>
  <c r="M13" i="438" s="1"/>
  <c r="R13" i="438" s="1"/>
  <c r="C10" i="438"/>
  <c r="B10" i="438"/>
  <c r="R27" i="438"/>
  <c r="L24" i="438"/>
  <c r="S26" i="438" s="1"/>
  <c r="L9" i="438"/>
  <c r="J9" i="438"/>
  <c r="C9" i="438"/>
  <c r="L8" i="438"/>
  <c r="J8" i="438"/>
  <c r="C8" i="438"/>
  <c r="L7" i="438"/>
  <c r="J7" i="438"/>
  <c r="L6" i="438"/>
  <c r="J6" i="438"/>
  <c r="C6" i="438"/>
  <c r="B10" i="437"/>
  <c r="R27" i="437"/>
  <c r="L24" i="437"/>
  <c r="S26" i="437" s="1"/>
  <c r="J24" i="437"/>
  <c r="R12" i="437"/>
  <c r="R25" i="437" s="1"/>
  <c r="C10" i="437"/>
  <c r="L9" i="437"/>
  <c r="J9" i="437"/>
  <c r="C9" i="437"/>
  <c r="L8" i="437"/>
  <c r="J8" i="437"/>
  <c r="C8" i="437"/>
  <c r="L7" i="437"/>
  <c r="J7" i="437"/>
  <c r="L6" i="437"/>
  <c r="J6" i="437"/>
  <c r="C6" i="437"/>
  <c r="C10" i="436"/>
  <c r="B10" i="436"/>
  <c r="R27" i="436"/>
  <c r="L24" i="436"/>
  <c r="S26" i="436" s="1"/>
  <c r="L9" i="436"/>
  <c r="J9" i="436"/>
  <c r="C9" i="436"/>
  <c r="L8" i="436"/>
  <c r="J8" i="436"/>
  <c r="C8" i="436"/>
  <c r="L7" i="436"/>
  <c r="J7" i="436"/>
  <c r="L6" i="436"/>
  <c r="J6" i="436"/>
  <c r="C6" i="436"/>
  <c r="Q283" i="567" l="1"/>
  <c r="V256" i="567"/>
  <c r="W256" i="567" s="1"/>
  <c r="W255" i="567" s="1"/>
  <c r="V304" i="567"/>
  <c r="W304" i="567" s="1"/>
  <c r="S285" i="567"/>
  <c r="V306" i="567"/>
  <c r="W306" i="567" s="1"/>
  <c r="Q572" i="567"/>
  <c r="Q568" i="567" s="1"/>
  <c r="V305" i="567"/>
  <c r="W305" i="567" s="1"/>
  <c r="U287" i="567"/>
  <c r="S287" i="567" s="1"/>
  <c r="U289" i="567"/>
  <c r="S289" i="567" s="1"/>
  <c r="O277" i="568"/>
  <c r="P143" i="567"/>
  <c r="Q143" i="567" s="1"/>
  <c r="N141" i="568"/>
  <c r="O141" i="568" s="1"/>
  <c r="R573" i="567"/>
  <c r="T573" i="567" s="1"/>
  <c r="V573" i="567" s="1"/>
  <c r="W573" i="567" s="1"/>
  <c r="P563" i="568"/>
  <c r="R563" i="568" s="1"/>
  <c r="O562" i="568"/>
  <c r="O558" i="568" s="1"/>
  <c r="R490" i="567"/>
  <c r="T490" i="567" s="1"/>
  <c r="U490" i="567" s="1"/>
  <c r="S490" i="567" s="1"/>
  <c r="P480" i="568"/>
  <c r="R480" i="568" s="1"/>
  <c r="R575" i="567"/>
  <c r="T575" i="567" s="1"/>
  <c r="V575" i="567" s="1"/>
  <c r="W575" i="567" s="1"/>
  <c r="P565" i="568"/>
  <c r="R565" i="568" s="1"/>
  <c r="R39" i="567"/>
  <c r="T39" i="567" s="1"/>
  <c r="U39" i="567" s="1"/>
  <c r="S39" i="567" s="1"/>
  <c r="P38" i="568"/>
  <c r="R38" i="568" s="1"/>
  <c r="T298" i="568"/>
  <c r="U298" i="568" s="1"/>
  <c r="S298" i="568"/>
  <c r="Q298" i="568" s="1"/>
  <c r="R250" i="568"/>
  <c r="Q250" i="568"/>
  <c r="Q249" i="568" s="1"/>
  <c r="Q283" i="568"/>
  <c r="R283" i="568"/>
  <c r="U492" i="567"/>
  <c r="S492" i="567" s="1"/>
  <c r="R574" i="567"/>
  <c r="T574" i="567" s="1"/>
  <c r="V574" i="567" s="1"/>
  <c r="W574" i="567" s="1"/>
  <c r="P564" i="568"/>
  <c r="R564" i="568" s="1"/>
  <c r="T299" i="568"/>
  <c r="U299" i="568" s="1"/>
  <c r="S299" i="568"/>
  <c r="Q299" i="568" s="1"/>
  <c r="Q281" i="568"/>
  <c r="R281" i="568"/>
  <c r="S297" i="568"/>
  <c r="T297" i="568"/>
  <c r="U297" i="568" s="1"/>
  <c r="R279" i="568"/>
  <c r="Q279" i="568"/>
  <c r="R288" i="567"/>
  <c r="T288" i="567" s="1"/>
  <c r="U288" i="567" s="1"/>
  <c r="S288" i="567" s="1"/>
  <c r="P282" i="568"/>
  <c r="R286" i="567"/>
  <c r="T286" i="567" s="1"/>
  <c r="U286" i="567" s="1"/>
  <c r="S286" i="567" s="1"/>
  <c r="P280" i="568"/>
  <c r="T482" i="568"/>
  <c r="U482" i="568" s="1"/>
  <c r="S482" i="568"/>
  <c r="Q482" i="568" s="1"/>
  <c r="S304" i="567"/>
  <c r="U285" i="567"/>
  <c r="V285" i="567"/>
  <c r="W285" i="567" s="1"/>
  <c r="S256" i="567"/>
  <c r="S255" i="567" s="1"/>
  <c r="U255" i="567"/>
  <c r="R27" i="449"/>
  <c r="P282" i="75"/>
  <c r="R27" i="447"/>
  <c r="P38" i="75"/>
  <c r="R38" i="75" s="1"/>
  <c r="T38" i="75" s="1"/>
  <c r="R27" i="451"/>
  <c r="P563" i="75"/>
  <c r="R279" i="75"/>
  <c r="R27" i="448"/>
  <c r="P480" i="75"/>
  <c r="N141" i="75"/>
  <c r="R21" i="444"/>
  <c r="P564" i="75"/>
  <c r="P565" i="75"/>
  <c r="P280" i="75"/>
  <c r="R27" i="450"/>
  <c r="R12" i="438"/>
  <c r="R25" i="438" s="1"/>
  <c r="R24" i="437"/>
  <c r="R26" i="437" s="1"/>
  <c r="R20" i="444"/>
  <c r="R20" i="439"/>
  <c r="R12" i="445"/>
  <c r="K13" i="445"/>
  <c r="R13" i="445" s="1"/>
  <c r="R25" i="442"/>
  <c r="J26" i="442" s="1"/>
  <c r="R26" i="442"/>
  <c r="R25" i="443"/>
  <c r="J26" i="443" s="1"/>
  <c r="R26" i="443"/>
  <c r="R26" i="440"/>
  <c r="J27" i="440" s="1"/>
  <c r="R27" i="440"/>
  <c r="S26" i="441"/>
  <c r="R19" i="439"/>
  <c r="D12" i="436"/>
  <c r="R12" i="436" s="1"/>
  <c r="R27" i="446"/>
  <c r="S21" i="444"/>
  <c r="S25" i="443"/>
  <c r="S26" i="443"/>
  <c r="S25" i="442"/>
  <c r="S26" i="442"/>
  <c r="J26" i="441"/>
  <c r="R27" i="441"/>
  <c r="S25" i="441"/>
  <c r="S26" i="440"/>
  <c r="S27" i="440"/>
  <c r="S19" i="439"/>
  <c r="S20" i="439"/>
  <c r="S24" i="438"/>
  <c r="S25" i="438"/>
  <c r="S25" i="437"/>
  <c r="S24" i="437"/>
  <c r="S24" i="436"/>
  <c r="S25" i="436"/>
  <c r="C10" i="435"/>
  <c r="B10" i="435"/>
  <c r="R26" i="435"/>
  <c r="L23" i="435"/>
  <c r="S25" i="435" s="1"/>
  <c r="R12" i="435"/>
  <c r="L9" i="435"/>
  <c r="J9" i="435"/>
  <c r="C9" i="435"/>
  <c r="L8" i="435"/>
  <c r="J8" i="435"/>
  <c r="C8" i="435"/>
  <c r="L7" i="435"/>
  <c r="J7" i="435"/>
  <c r="L6" i="435"/>
  <c r="J6" i="435"/>
  <c r="C6" i="435"/>
  <c r="U574" i="567" l="1"/>
  <c r="S574" i="567" s="1"/>
  <c r="V39" i="567"/>
  <c r="W39" i="567" s="1"/>
  <c r="V490" i="567"/>
  <c r="W490" i="567" s="1"/>
  <c r="U573" i="567"/>
  <c r="S573" i="567" s="1"/>
  <c r="U575" i="567"/>
  <c r="S575" i="567" s="1"/>
  <c r="S283" i="567"/>
  <c r="P275" i="567"/>
  <c r="Q275" i="567" s="1"/>
  <c r="Q270" i="567" s="1"/>
  <c r="N269" i="568"/>
  <c r="O269" i="568" s="1"/>
  <c r="O264" i="568" s="1"/>
  <c r="P161" i="567"/>
  <c r="Q161" i="567" s="1"/>
  <c r="Q160" i="567" s="1"/>
  <c r="N157" i="568"/>
  <c r="O157" i="568" s="1"/>
  <c r="O156" i="568" s="1"/>
  <c r="P488" i="567"/>
  <c r="Q488" i="567" s="1"/>
  <c r="N478" i="568"/>
  <c r="O478" i="568" s="1"/>
  <c r="V286" i="567"/>
  <c r="W286" i="567" s="1"/>
  <c r="R280" i="568"/>
  <c r="Q280" i="568"/>
  <c r="T281" i="568"/>
  <c r="U281" i="568" s="1"/>
  <c r="S281" i="568"/>
  <c r="V288" i="567"/>
  <c r="W288" i="567" s="1"/>
  <c r="T480" i="568"/>
  <c r="U480" i="568" s="1"/>
  <c r="S480" i="568"/>
  <c r="Q480" i="568" s="1"/>
  <c r="P281" i="567"/>
  <c r="Q281" i="567" s="1"/>
  <c r="N275" i="568"/>
  <c r="O275" i="568" s="1"/>
  <c r="R143" i="567"/>
  <c r="T143" i="567" s="1"/>
  <c r="V143" i="567" s="1"/>
  <c r="W143" i="567" s="1"/>
  <c r="P141" i="568"/>
  <c r="R141" i="568" s="1"/>
  <c r="Q282" i="568"/>
  <c r="R282" i="568"/>
  <c r="S250" i="568"/>
  <c r="S249" i="568" s="1"/>
  <c r="T250" i="568"/>
  <c r="U250" i="568" s="1"/>
  <c r="U249" i="568" s="1"/>
  <c r="P145" i="567"/>
  <c r="Q145" i="567" s="1"/>
  <c r="N143" i="568"/>
  <c r="O143" i="568" s="1"/>
  <c r="P280" i="567"/>
  <c r="Q280" i="567" s="1"/>
  <c r="N274" i="568"/>
  <c r="O274" i="568" s="1"/>
  <c r="W572" i="567"/>
  <c r="W568" i="567" s="1"/>
  <c r="T564" i="568"/>
  <c r="U564" i="568" s="1"/>
  <c r="S564" i="568"/>
  <c r="Q564" i="568" s="1"/>
  <c r="T563" i="568"/>
  <c r="U563" i="568" s="1"/>
  <c r="S563" i="568"/>
  <c r="T279" i="568"/>
  <c r="U279" i="568" s="1"/>
  <c r="S279" i="568"/>
  <c r="S38" i="568"/>
  <c r="Q38" i="568" s="1"/>
  <c r="T38" i="568"/>
  <c r="U38" i="568" s="1"/>
  <c r="Q297" i="568"/>
  <c r="T283" i="568"/>
  <c r="U283" i="568" s="1"/>
  <c r="S283" i="568"/>
  <c r="T565" i="568"/>
  <c r="U565" i="568" s="1"/>
  <c r="S565" i="568"/>
  <c r="Q565" i="568" s="1"/>
  <c r="U283" i="567"/>
  <c r="N478" i="75"/>
  <c r="R22" i="444"/>
  <c r="J25" i="437"/>
  <c r="P141" i="75"/>
  <c r="R28" i="437"/>
  <c r="N275" i="75"/>
  <c r="N157" i="75"/>
  <c r="N274" i="75"/>
  <c r="N269" i="75"/>
  <c r="N143" i="75"/>
  <c r="R28" i="440"/>
  <c r="R24" i="445"/>
  <c r="R27" i="443"/>
  <c r="R24" i="435"/>
  <c r="R23" i="435"/>
  <c r="J24" i="435" s="1"/>
  <c r="R21" i="439"/>
  <c r="R27" i="442"/>
  <c r="J21" i="444"/>
  <c r="R23" i="445"/>
  <c r="D13" i="436"/>
  <c r="R13" i="436" s="1"/>
  <c r="R24" i="436" s="1"/>
  <c r="R29" i="441"/>
  <c r="J20" i="439"/>
  <c r="S23" i="435"/>
  <c r="S24" i="435"/>
  <c r="U143" i="567" l="1"/>
  <c r="S143" i="567" s="1"/>
  <c r="Q277" i="568"/>
  <c r="W283" i="567"/>
  <c r="S572" i="567"/>
  <c r="S568" i="567" s="1"/>
  <c r="U572" i="567"/>
  <c r="U568" i="567" s="1"/>
  <c r="Q563" i="568"/>
  <c r="Q562" i="568" s="1"/>
  <c r="Q558" i="568" s="1"/>
  <c r="S562" i="568"/>
  <c r="S558" i="568" s="1"/>
  <c r="T280" i="568"/>
  <c r="U280" i="568" s="1"/>
  <c r="S280" i="568"/>
  <c r="P141" i="567"/>
  <c r="Q141" i="567" s="1"/>
  <c r="N139" i="568"/>
  <c r="O139" i="568" s="1"/>
  <c r="R281" i="567"/>
  <c r="T281" i="567" s="1"/>
  <c r="V281" i="567" s="1"/>
  <c r="W281" i="567" s="1"/>
  <c r="P275" i="568"/>
  <c r="P489" i="567"/>
  <c r="Q489" i="567" s="1"/>
  <c r="Q487" i="567" s="1"/>
  <c r="Q486" i="567" s="1"/>
  <c r="Q399" i="567" s="1"/>
  <c r="N479" i="568"/>
  <c r="O479" i="568" s="1"/>
  <c r="O477" i="568" s="1"/>
  <c r="O476" i="568" s="1"/>
  <c r="O389" i="568" s="1"/>
  <c r="R275" i="567"/>
  <c r="T275" i="567" s="1"/>
  <c r="U275" i="567" s="1"/>
  <c r="P269" i="568"/>
  <c r="R269" i="568" s="1"/>
  <c r="T282" i="568"/>
  <c r="U282" i="568" s="1"/>
  <c r="S282" i="568"/>
  <c r="R488" i="567"/>
  <c r="T488" i="567" s="1"/>
  <c r="U488" i="567" s="1"/>
  <c r="P478" i="568"/>
  <c r="R478" i="568" s="1"/>
  <c r="R280" i="567"/>
  <c r="T280" i="567" s="1"/>
  <c r="V280" i="567" s="1"/>
  <c r="W280" i="567" s="1"/>
  <c r="P274" i="568"/>
  <c r="U562" i="568"/>
  <c r="U558" i="568" s="1"/>
  <c r="T141" i="568"/>
  <c r="U141" i="568" s="1"/>
  <c r="S141" i="568"/>
  <c r="Q141" i="568" s="1"/>
  <c r="R161" i="567"/>
  <c r="T161" i="567" s="1"/>
  <c r="U161" i="567" s="1"/>
  <c r="P157" i="568"/>
  <c r="R157" i="568" s="1"/>
  <c r="R30" i="440"/>
  <c r="R24" i="444"/>
  <c r="P478" i="75"/>
  <c r="R478" i="75" s="1"/>
  <c r="T478" i="75" s="1"/>
  <c r="P269" i="75"/>
  <c r="R25" i="435"/>
  <c r="N479" i="75"/>
  <c r="P275" i="75"/>
  <c r="R23" i="439"/>
  <c r="N139" i="75"/>
  <c r="P274" i="75"/>
  <c r="R29" i="442"/>
  <c r="P157" i="75"/>
  <c r="R29" i="443"/>
  <c r="J25" i="436"/>
  <c r="R25" i="436"/>
  <c r="R25" i="445"/>
  <c r="J24" i="445"/>
  <c r="R21" i="401"/>
  <c r="R15" i="401"/>
  <c r="R21" i="400"/>
  <c r="R15" i="400"/>
  <c r="R15" i="398"/>
  <c r="R20" i="398"/>
  <c r="R18" i="356"/>
  <c r="R18" i="355"/>
  <c r="R17" i="354"/>
  <c r="R18" i="352"/>
  <c r="S277" i="568" l="1"/>
  <c r="V161" i="567"/>
  <c r="W161" i="567" s="1"/>
  <c r="W160" i="567" s="1"/>
  <c r="V275" i="567"/>
  <c r="W275" i="567" s="1"/>
  <c r="W270" i="567" s="1"/>
  <c r="U277" i="568"/>
  <c r="V488" i="567"/>
  <c r="Q275" i="568"/>
  <c r="R275" i="568"/>
  <c r="U281" i="567"/>
  <c r="S281" i="567" s="1"/>
  <c r="T269" i="568"/>
  <c r="U269" i="568" s="1"/>
  <c r="U264" i="568" s="1"/>
  <c r="S269" i="568"/>
  <c r="P142" i="567"/>
  <c r="Q142" i="567" s="1"/>
  <c r="Q140" i="567" s="1"/>
  <c r="Q139" i="567" s="1"/>
  <c r="N140" i="568"/>
  <c r="O140" i="568" s="1"/>
  <c r="O138" i="568" s="1"/>
  <c r="O137" i="568" s="1"/>
  <c r="U280" i="567"/>
  <c r="S280" i="567" s="1"/>
  <c r="R141" i="567"/>
  <c r="T141" i="567" s="1"/>
  <c r="U141" i="567" s="1"/>
  <c r="S141" i="567" s="1"/>
  <c r="P139" i="568"/>
  <c r="R139" i="568" s="1"/>
  <c r="S139" i="568" s="1"/>
  <c r="R274" i="568"/>
  <c r="Q274" i="568"/>
  <c r="T157" i="568"/>
  <c r="U157" i="568" s="1"/>
  <c r="U156" i="568" s="1"/>
  <c r="S157" i="568"/>
  <c r="S478" i="568"/>
  <c r="T478" i="568"/>
  <c r="R489" i="567"/>
  <c r="T489" i="567" s="1"/>
  <c r="U489" i="567" s="1"/>
  <c r="S489" i="567" s="1"/>
  <c r="P479" i="568"/>
  <c r="R479" i="568" s="1"/>
  <c r="S488" i="567"/>
  <c r="U160" i="567"/>
  <c r="S161" i="567"/>
  <c r="S160" i="567" s="1"/>
  <c r="S275" i="567"/>
  <c r="S270" i="567" s="1"/>
  <c r="U270" i="567"/>
  <c r="R27" i="435"/>
  <c r="P139" i="75"/>
  <c r="R139" i="75" s="1"/>
  <c r="S139" i="75" s="1"/>
  <c r="N140" i="75"/>
  <c r="R26" i="436"/>
  <c r="R27" i="445"/>
  <c r="P479" i="75"/>
  <c r="R479" i="75" s="1"/>
  <c r="R26" i="433"/>
  <c r="J23" i="433"/>
  <c r="C10" i="433"/>
  <c r="C30" i="433"/>
  <c r="C31" i="433" s="1"/>
  <c r="S25" i="433"/>
  <c r="S24" i="433"/>
  <c r="S23" i="433"/>
  <c r="B10" i="433"/>
  <c r="L9" i="433"/>
  <c r="J9" i="433"/>
  <c r="C9" i="433"/>
  <c r="L8" i="433"/>
  <c r="J8" i="433"/>
  <c r="C8" i="433"/>
  <c r="L7" i="433"/>
  <c r="J7" i="433"/>
  <c r="L6" i="433"/>
  <c r="J6" i="433"/>
  <c r="C6" i="433"/>
  <c r="R26" i="432"/>
  <c r="J23" i="432"/>
  <c r="C10" i="432"/>
  <c r="B10" i="432"/>
  <c r="C30" i="432"/>
  <c r="C31" i="432" s="1"/>
  <c r="S25" i="432"/>
  <c r="S24" i="432"/>
  <c r="S23" i="432"/>
  <c r="R12" i="432"/>
  <c r="R23" i="432" s="1"/>
  <c r="R25" i="432" s="1"/>
  <c r="L9" i="432"/>
  <c r="J9" i="432"/>
  <c r="C9" i="432"/>
  <c r="L8" i="432"/>
  <c r="J8" i="432"/>
  <c r="C8" i="432"/>
  <c r="L7" i="432"/>
  <c r="J7" i="432"/>
  <c r="L6" i="432"/>
  <c r="J6" i="432"/>
  <c r="C6" i="432"/>
  <c r="R26" i="431"/>
  <c r="J23" i="431"/>
  <c r="R23" i="431" s="1"/>
  <c r="C10" i="431"/>
  <c r="B10" i="431"/>
  <c r="C30" i="431"/>
  <c r="C31" i="431" s="1"/>
  <c r="S25" i="431"/>
  <c r="S24" i="431"/>
  <c r="S23" i="431"/>
  <c r="L9" i="431"/>
  <c r="J9" i="431"/>
  <c r="C9" i="431"/>
  <c r="L8" i="431"/>
  <c r="J8" i="431"/>
  <c r="C8" i="431"/>
  <c r="L7" i="431"/>
  <c r="J7" i="431"/>
  <c r="L6" i="431"/>
  <c r="J6" i="431"/>
  <c r="C6" i="431"/>
  <c r="R26" i="430"/>
  <c r="J23" i="430"/>
  <c r="C10" i="430"/>
  <c r="C30" i="430"/>
  <c r="C31" i="430" s="1"/>
  <c r="R12" i="430"/>
  <c r="L9" i="430"/>
  <c r="J9" i="430"/>
  <c r="C9" i="430"/>
  <c r="L8" i="430"/>
  <c r="J8" i="430"/>
  <c r="C8" i="430"/>
  <c r="L7" i="430"/>
  <c r="J7" i="430"/>
  <c r="L6" i="430"/>
  <c r="J6" i="430"/>
  <c r="C6" i="430"/>
  <c r="V489" i="567" l="1"/>
  <c r="W489" i="567" s="1"/>
  <c r="W487" i="567" s="1"/>
  <c r="R142" i="567"/>
  <c r="T142" i="567" s="1"/>
  <c r="V142" i="567" s="1"/>
  <c r="W142" i="567" s="1"/>
  <c r="P140" i="568"/>
  <c r="R140" i="568" s="1"/>
  <c r="Q478" i="568"/>
  <c r="S156" i="568"/>
  <c r="Q157" i="568"/>
  <c r="Q156" i="568" s="1"/>
  <c r="Q269" i="568"/>
  <c r="Q264" i="568" s="1"/>
  <c r="S264" i="568"/>
  <c r="T274" i="568"/>
  <c r="U274" i="568" s="1"/>
  <c r="S274" i="568"/>
  <c r="T479" i="568"/>
  <c r="U479" i="568" s="1"/>
  <c r="U477" i="568" s="1"/>
  <c r="U476" i="568" s="1"/>
  <c r="U389" i="568" s="1"/>
  <c r="S479" i="568"/>
  <c r="Q479" i="568" s="1"/>
  <c r="T275" i="568"/>
  <c r="U275" i="568" s="1"/>
  <c r="S275" i="568"/>
  <c r="Q139" i="568"/>
  <c r="U487" i="567"/>
  <c r="S487" i="567"/>
  <c r="P140" i="75"/>
  <c r="R140" i="75" s="1"/>
  <c r="R28" i="436"/>
  <c r="R23" i="430"/>
  <c r="R24" i="430"/>
  <c r="R12" i="433"/>
  <c r="R23" i="433" s="1"/>
  <c r="J24" i="433" s="1"/>
  <c r="R27" i="432"/>
  <c r="J24" i="432"/>
  <c r="R25" i="431"/>
  <c r="R27" i="431" s="1"/>
  <c r="J24" i="431"/>
  <c r="U142" i="567" l="1"/>
  <c r="S142" i="567" s="1"/>
  <c r="P53" i="567"/>
  <c r="Q53" i="567" s="1"/>
  <c r="Q52" i="567" s="1"/>
  <c r="Q51" i="567" s="1"/>
  <c r="Q50" i="567" s="1"/>
  <c r="I762" i="567" s="1"/>
  <c r="N52" i="568"/>
  <c r="O52" i="568" s="1"/>
  <c r="O51" i="568" s="1"/>
  <c r="O50" i="568" s="1"/>
  <c r="O49" i="568" s="1"/>
  <c r="H748" i="568" s="1"/>
  <c r="S477" i="568"/>
  <c r="S476" i="568" s="1"/>
  <c r="S389" i="568" s="1"/>
  <c r="T140" i="568"/>
  <c r="U140" i="568" s="1"/>
  <c r="S140" i="568"/>
  <c r="Q477" i="568"/>
  <c r="Q476" i="568" s="1"/>
  <c r="Q389" i="568" s="1"/>
  <c r="N52" i="75"/>
  <c r="R25" i="430"/>
  <c r="J24" i="430"/>
  <c r="R25" i="433"/>
  <c r="R27" i="433" s="1"/>
  <c r="R53" i="567" l="1"/>
  <c r="T53" i="567" s="1"/>
  <c r="U53" i="567" s="1"/>
  <c r="P52" i="568"/>
  <c r="R52" i="568" s="1"/>
  <c r="Q140" i="568"/>
  <c r="R27" i="430"/>
  <c r="P52" i="75"/>
  <c r="R52" i="75" s="1"/>
  <c r="R12" i="429"/>
  <c r="R25" i="429" s="1"/>
  <c r="R27" i="429" s="1"/>
  <c r="R28" i="429"/>
  <c r="J25" i="429"/>
  <c r="C10" i="429"/>
  <c r="B10" i="429"/>
  <c r="S27" i="429"/>
  <c r="S26" i="429"/>
  <c r="S25" i="429"/>
  <c r="L9" i="429"/>
  <c r="J9" i="429"/>
  <c r="C9" i="429"/>
  <c r="L8" i="429"/>
  <c r="J8" i="429"/>
  <c r="C8" i="429"/>
  <c r="L7" i="429"/>
  <c r="J7" i="429"/>
  <c r="L6" i="429"/>
  <c r="J6" i="429"/>
  <c r="C6" i="429"/>
  <c r="R12" i="428"/>
  <c r="R28" i="428"/>
  <c r="J25" i="428"/>
  <c r="C10" i="428"/>
  <c r="B10" i="428"/>
  <c r="S27" i="428"/>
  <c r="S26" i="428"/>
  <c r="S25" i="428"/>
  <c r="L9" i="428"/>
  <c r="J9" i="428"/>
  <c r="C9" i="428"/>
  <c r="L8" i="428"/>
  <c r="J8" i="428"/>
  <c r="C8" i="428"/>
  <c r="L7" i="428"/>
  <c r="J7" i="428"/>
  <c r="L6" i="428"/>
  <c r="J6" i="428"/>
  <c r="C6" i="428"/>
  <c r="V53" i="567" l="1"/>
  <c r="W53" i="567" s="1"/>
  <c r="W52" i="567" s="1"/>
  <c r="W51" i="567" s="1"/>
  <c r="T52" i="568"/>
  <c r="U52" i="568" s="1"/>
  <c r="U51" i="568" s="1"/>
  <c r="U50" i="568" s="1"/>
  <c r="S52" i="568"/>
  <c r="U52" i="567"/>
  <c r="U51" i="567" s="1"/>
  <c r="S53" i="567"/>
  <c r="S52" i="567" s="1"/>
  <c r="S51" i="567" s="1"/>
  <c r="R25" i="428"/>
  <c r="R26" i="428"/>
  <c r="R29" i="429"/>
  <c r="J26" i="429"/>
  <c r="P278" i="567" l="1"/>
  <c r="Q278" i="567" s="1"/>
  <c r="Q277" i="567" s="1"/>
  <c r="N272" i="568"/>
  <c r="O272" i="568" s="1"/>
  <c r="O271" i="568" s="1"/>
  <c r="S51" i="568"/>
  <c r="S50" i="568" s="1"/>
  <c r="Q52" i="568"/>
  <c r="Q51" i="568" s="1"/>
  <c r="Q50" i="568" s="1"/>
  <c r="R27" i="428"/>
  <c r="J26" i="428"/>
  <c r="N272" i="75"/>
  <c r="R12" i="427"/>
  <c r="R25" i="427" s="1"/>
  <c r="R28" i="427"/>
  <c r="J25" i="427"/>
  <c r="C10" i="427"/>
  <c r="B10" i="427"/>
  <c r="S26" i="427"/>
  <c r="S25" i="427"/>
  <c r="S27" i="427"/>
  <c r="L9" i="427"/>
  <c r="J9" i="427"/>
  <c r="C9" i="427"/>
  <c r="L8" i="427"/>
  <c r="J8" i="427"/>
  <c r="C8" i="427"/>
  <c r="L7" i="427"/>
  <c r="J7" i="427"/>
  <c r="L6" i="427"/>
  <c r="J6" i="427"/>
  <c r="C6" i="427"/>
  <c r="R26" i="426"/>
  <c r="J23" i="426"/>
  <c r="C10" i="426"/>
  <c r="B10" i="426"/>
  <c r="C30" i="426"/>
  <c r="C31" i="426" s="1"/>
  <c r="L23" i="426"/>
  <c r="S25" i="426" s="1"/>
  <c r="R12" i="426"/>
  <c r="R23" i="426" s="1"/>
  <c r="L9" i="426"/>
  <c r="J9" i="426"/>
  <c r="C9" i="426"/>
  <c r="L8" i="426"/>
  <c r="J8" i="426"/>
  <c r="C8" i="426"/>
  <c r="L7" i="426"/>
  <c r="J7" i="426"/>
  <c r="L6" i="426"/>
  <c r="J6" i="426"/>
  <c r="C6" i="426"/>
  <c r="R26" i="425"/>
  <c r="J23" i="425"/>
  <c r="C10" i="425"/>
  <c r="B10" i="425"/>
  <c r="C30" i="425"/>
  <c r="C31" i="425" s="1"/>
  <c r="S25" i="425"/>
  <c r="S24" i="425"/>
  <c r="S23" i="425"/>
  <c r="R12" i="425"/>
  <c r="R23" i="425" s="1"/>
  <c r="R25" i="425" s="1"/>
  <c r="L9" i="425"/>
  <c r="J9" i="425"/>
  <c r="C9" i="425"/>
  <c r="L8" i="425"/>
  <c r="J8" i="425"/>
  <c r="C8" i="425"/>
  <c r="L7" i="425"/>
  <c r="J7" i="425"/>
  <c r="L6" i="425"/>
  <c r="J6" i="425"/>
  <c r="C6" i="425"/>
  <c r="R28" i="424"/>
  <c r="J25" i="424"/>
  <c r="C10" i="424"/>
  <c r="B10" i="424"/>
  <c r="L25" i="424"/>
  <c r="S27" i="424" s="1"/>
  <c r="R12" i="424"/>
  <c r="R25" i="424" s="1"/>
  <c r="R27" i="424" s="1"/>
  <c r="L9" i="424"/>
  <c r="J9" i="424"/>
  <c r="C9" i="424"/>
  <c r="L8" i="424"/>
  <c r="J8" i="424"/>
  <c r="C8" i="424"/>
  <c r="L7" i="424"/>
  <c r="J7" i="424"/>
  <c r="L6" i="424"/>
  <c r="J6" i="424"/>
  <c r="C6" i="424"/>
  <c r="R28" i="423"/>
  <c r="J25" i="423"/>
  <c r="C10" i="423"/>
  <c r="B10" i="423"/>
  <c r="L25" i="423"/>
  <c r="S27" i="423" s="1"/>
  <c r="R25" i="423"/>
  <c r="L9" i="423"/>
  <c r="J9" i="423"/>
  <c r="C9" i="423"/>
  <c r="L8" i="423"/>
  <c r="J8" i="423"/>
  <c r="C8" i="423"/>
  <c r="L7" i="423"/>
  <c r="J7" i="423"/>
  <c r="L6" i="423"/>
  <c r="J6" i="423"/>
  <c r="C6" i="423"/>
  <c r="R12" i="422"/>
  <c r="R25" i="422" s="1"/>
  <c r="L25" i="422"/>
  <c r="S27" i="422" s="1"/>
  <c r="R28" i="422"/>
  <c r="J25" i="422"/>
  <c r="B10" i="422"/>
  <c r="C10" i="422"/>
  <c r="L9" i="422"/>
  <c r="J9" i="422"/>
  <c r="C9" i="422"/>
  <c r="L8" i="422"/>
  <c r="J8" i="422"/>
  <c r="C8" i="422"/>
  <c r="L7" i="422"/>
  <c r="J7" i="422"/>
  <c r="L6" i="422"/>
  <c r="J6" i="422"/>
  <c r="C6" i="422"/>
  <c r="R28" i="421"/>
  <c r="J25" i="421"/>
  <c r="L25" i="421"/>
  <c r="S27" i="421" s="1"/>
  <c r="C10" i="421"/>
  <c r="R12" i="421"/>
  <c r="R25" i="421" s="1"/>
  <c r="B10" i="421"/>
  <c r="L9" i="421"/>
  <c r="J9" i="421"/>
  <c r="C9" i="421"/>
  <c r="L8" i="421"/>
  <c r="J8" i="421"/>
  <c r="C8" i="421"/>
  <c r="L7" i="421"/>
  <c r="J7" i="421"/>
  <c r="L6" i="421"/>
  <c r="J6" i="421"/>
  <c r="C6" i="421"/>
  <c r="R278" i="567" l="1"/>
  <c r="T278" i="567" s="1"/>
  <c r="V278" i="567" s="1"/>
  <c r="W278" i="567" s="1"/>
  <c r="W277" i="567" s="1"/>
  <c r="P272" i="568"/>
  <c r="P272" i="75"/>
  <c r="R29" i="428"/>
  <c r="S25" i="423"/>
  <c r="S23" i="426"/>
  <c r="S24" i="426"/>
  <c r="R27" i="427"/>
  <c r="R29" i="427" s="1"/>
  <c r="J26" i="427"/>
  <c r="J24" i="426"/>
  <c r="R25" i="426"/>
  <c r="R27" i="425"/>
  <c r="J24" i="425"/>
  <c r="J26" i="424"/>
  <c r="R29" i="424"/>
  <c r="S25" i="424"/>
  <c r="S26" i="424"/>
  <c r="R27" i="423"/>
  <c r="J26" i="423"/>
  <c r="S26" i="423"/>
  <c r="S26" i="422"/>
  <c r="R27" i="422"/>
  <c r="J26" i="422"/>
  <c r="S25" i="422"/>
  <c r="S26" i="421"/>
  <c r="J26" i="421"/>
  <c r="R27" i="421"/>
  <c r="S25" i="421"/>
  <c r="U278" i="567" l="1"/>
  <c r="U277" i="567" s="1"/>
  <c r="R272" i="568"/>
  <c r="Q272" i="568"/>
  <c r="Q271" i="568" s="1"/>
  <c r="R29" i="421"/>
  <c r="R29" i="423"/>
  <c r="R29" i="422"/>
  <c r="R27" i="426"/>
  <c r="S278" i="567" l="1"/>
  <c r="S277" i="567" s="1"/>
  <c r="T272" i="568"/>
  <c r="U272" i="568" s="1"/>
  <c r="U271" i="568" s="1"/>
  <c r="S272" i="568"/>
  <c r="S271" i="568" s="1"/>
  <c r="R26" i="420"/>
  <c r="J23" i="420"/>
  <c r="C10" i="420"/>
  <c r="B10" i="420"/>
  <c r="C30" i="420"/>
  <c r="C31" i="420" s="1"/>
  <c r="L23" i="420"/>
  <c r="S23" i="420" s="1"/>
  <c r="R12" i="420"/>
  <c r="R23" i="420" s="1"/>
  <c r="L9" i="420"/>
  <c r="J9" i="420"/>
  <c r="C9" i="420"/>
  <c r="L8" i="420"/>
  <c r="J8" i="420"/>
  <c r="C8" i="420"/>
  <c r="L7" i="420"/>
  <c r="J7" i="420"/>
  <c r="L6" i="420"/>
  <c r="J6" i="420"/>
  <c r="C6" i="420"/>
  <c r="J23" i="419"/>
  <c r="R26" i="419"/>
  <c r="C10" i="419"/>
  <c r="B10" i="419"/>
  <c r="C30" i="419"/>
  <c r="C31" i="419" s="1"/>
  <c r="L23" i="419"/>
  <c r="S24" i="419" s="1"/>
  <c r="R12" i="419"/>
  <c r="R23" i="419" s="1"/>
  <c r="L9" i="419"/>
  <c r="J9" i="419"/>
  <c r="C9" i="419"/>
  <c r="L8" i="419"/>
  <c r="J8" i="419"/>
  <c r="C8" i="419"/>
  <c r="L7" i="419"/>
  <c r="J7" i="419"/>
  <c r="L6" i="419"/>
  <c r="J6" i="419"/>
  <c r="C6" i="419"/>
  <c r="R26" i="418"/>
  <c r="C10" i="418"/>
  <c r="B10" i="418"/>
  <c r="C30" i="418"/>
  <c r="C31" i="418" s="1"/>
  <c r="L23" i="418"/>
  <c r="S25" i="418" s="1"/>
  <c r="J23" i="418"/>
  <c r="R12" i="418"/>
  <c r="R23" i="418" s="1"/>
  <c r="L9" i="418"/>
  <c r="J9" i="418"/>
  <c r="C9" i="418"/>
  <c r="L8" i="418"/>
  <c r="J8" i="418"/>
  <c r="C8" i="418"/>
  <c r="L7" i="418"/>
  <c r="J7" i="418"/>
  <c r="L6" i="418"/>
  <c r="J6" i="418"/>
  <c r="C6" i="418"/>
  <c r="R12" i="417"/>
  <c r="R24" i="417" s="1"/>
  <c r="L23" i="417"/>
  <c r="S23" i="417" s="1"/>
  <c r="R26" i="417"/>
  <c r="C10" i="417"/>
  <c r="B10" i="417"/>
  <c r="C30" i="417"/>
  <c r="C31" i="417" s="1"/>
  <c r="L9" i="417"/>
  <c r="J9" i="417"/>
  <c r="C9" i="417"/>
  <c r="L8" i="417"/>
  <c r="J8" i="417"/>
  <c r="C8" i="417"/>
  <c r="L7" i="417"/>
  <c r="J7" i="417"/>
  <c r="L6" i="417"/>
  <c r="J6" i="417"/>
  <c r="C6" i="417"/>
  <c r="R25" i="416"/>
  <c r="C10" i="416"/>
  <c r="B10" i="416"/>
  <c r="S24" i="416"/>
  <c r="S23" i="416"/>
  <c r="S22" i="416"/>
  <c r="L9" i="416"/>
  <c r="J9" i="416"/>
  <c r="C9" i="416"/>
  <c r="L8" i="416"/>
  <c r="J8" i="416"/>
  <c r="C8" i="416"/>
  <c r="L7" i="416"/>
  <c r="J7" i="416"/>
  <c r="L6" i="416"/>
  <c r="J6" i="416"/>
  <c r="C6" i="416"/>
  <c r="R12" i="415"/>
  <c r="R24" i="415" s="1"/>
  <c r="C10" i="415"/>
  <c r="R26" i="415"/>
  <c r="L23" i="415"/>
  <c r="S24" i="415" s="1"/>
  <c r="B10" i="415"/>
  <c r="C30" i="415"/>
  <c r="C31" i="415" s="1"/>
  <c r="L9" i="415"/>
  <c r="J9" i="415"/>
  <c r="C9" i="415"/>
  <c r="L8" i="415"/>
  <c r="J8" i="415"/>
  <c r="C8" i="415"/>
  <c r="L7" i="415"/>
  <c r="J7" i="415"/>
  <c r="L6" i="415"/>
  <c r="J6" i="415"/>
  <c r="C6" i="415"/>
  <c r="R12" i="414"/>
  <c r="J23" i="414"/>
  <c r="R26" i="414"/>
  <c r="L23" i="414"/>
  <c r="S23" i="414" s="1"/>
  <c r="C10" i="414"/>
  <c r="B10" i="414"/>
  <c r="C30" i="414"/>
  <c r="C31" i="414" s="1"/>
  <c r="L9" i="414"/>
  <c r="J9" i="414"/>
  <c r="C9" i="414"/>
  <c r="L8" i="414"/>
  <c r="J8" i="414"/>
  <c r="C8" i="414"/>
  <c r="L7" i="414"/>
  <c r="J7" i="414"/>
  <c r="L6" i="414"/>
  <c r="J6" i="414"/>
  <c r="C6" i="414"/>
  <c r="R14" i="391"/>
  <c r="R26" i="413"/>
  <c r="R12" i="413"/>
  <c r="R23" i="413" s="1"/>
  <c r="R26" i="379"/>
  <c r="L23" i="379"/>
  <c r="J23" i="379"/>
  <c r="L12" i="379"/>
  <c r="R12" i="379" s="1"/>
  <c r="R13" i="379"/>
  <c r="R24" i="379"/>
  <c r="C10" i="413"/>
  <c r="B10" i="413"/>
  <c r="C30" i="413"/>
  <c r="C31" i="413" s="1"/>
  <c r="S25" i="413"/>
  <c r="L9" i="413"/>
  <c r="J9" i="413"/>
  <c r="C9" i="413"/>
  <c r="L8" i="413"/>
  <c r="J8" i="413"/>
  <c r="C8" i="413"/>
  <c r="L7" i="413"/>
  <c r="J7" i="413"/>
  <c r="L6" i="413"/>
  <c r="J6" i="413"/>
  <c r="C6" i="413"/>
  <c r="R12" i="412"/>
  <c r="L25" i="412"/>
  <c r="S27" i="412" s="1"/>
  <c r="R28" i="412"/>
  <c r="J25" i="412"/>
  <c r="C10" i="412"/>
  <c r="B10" i="412"/>
  <c r="L9" i="412"/>
  <c r="J9" i="412"/>
  <c r="C9" i="412"/>
  <c r="L8" i="412"/>
  <c r="J8" i="412"/>
  <c r="C8" i="412"/>
  <c r="L7" i="412"/>
  <c r="J7" i="412"/>
  <c r="L6" i="412"/>
  <c r="J6" i="412"/>
  <c r="C6" i="412"/>
  <c r="R28" i="411"/>
  <c r="J25" i="411"/>
  <c r="C10" i="411"/>
  <c r="B10" i="411"/>
  <c r="L25" i="411"/>
  <c r="S27" i="411" s="1"/>
  <c r="R12" i="411"/>
  <c r="R25" i="411" s="1"/>
  <c r="R27" i="411" s="1"/>
  <c r="L9" i="411"/>
  <c r="J9" i="411"/>
  <c r="C9" i="411"/>
  <c r="L8" i="411"/>
  <c r="J8" i="411"/>
  <c r="C8" i="411"/>
  <c r="L7" i="411"/>
  <c r="J7" i="411"/>
  <c r="L6" i="411"/>
  <c r="J6" i="411"/>
  <c r="C6" i="411"/>
  <c r="J25" i="410"/>
  <c r="R28" i="410"/>
  <c r="C10" i="410"/>
  <c r="B10" i="410"/>
  <c r="L25" i="410"/>
  <c r="S27" i="410" s="1"/>
  <c r="R12" i="410"/>
  <c r="R25" i="410" s="1"/>
  <c r="R27" i="410" s="1"/>
  <c r="L9" i="410"/>
  <c r="J9" i="410"/>
  <c r="C9" i="410"/>
  <c r="L8" i="410"/>
  <c r="J8" i="410"/>
  <c r="C8" i="410"/>
  <c r="L7" i="410"/>
  <c r="J7" i="410"/>
  <c r="L6" i="410"/>
  <c r="J6" i="410"/>
  <c r="C6" i="410"/>
  <c r="J25" i="409"/>
  <c r="R28" i="409"/>
  <c r="L25" i="409"/>
  <c r="S27" i="409" s="1"/>
  <c r="C10" i="409"/>
  <c r="B10" i="409"/>
  <c r="R12" i="409"/>
  <c r="R25" i="409" s="1"/>
  <c r="R27" i="409" s="1"/>
  <c r="L9" i="409"/>
  <c r="J9" i="409"/>
  <c r="C9" i="409"/>
  <c r="L8" i="409"/>
  <c r="J8" i="409"/>
  <c r="C8" i="409"/>
  <c r="L7" i="409"/>
  <c r="J7" i="409"/>
  <c r="L6" i="409"/>
  <c r="J6" i="409"/>
  <c r="C6" i="409"/>
  <c r="R28" i="408"/>
  <c r="J25" i="408"/>
  <c r="C10" i="408"/>
  <c r="B10" i="408"/>
  <c r="L25" i="408"/>
  <c r="S27" i="408" s="1"/>
  <c r="R12" i="408"/>
  <c r="R25" i="408" s="1"/>
  <c r="L9" i="408"/>
  <c r="J9" i="408"/>
  <c r="C9" i="408"/>
  <c r="L8" i="408"/>
  <c r="J8" i="408"/>
  <c r="C8" i="408"/>
  <c r="L7" i="408"/>
  <c r="J7" i="408"/>
  <c r="L6" i="408"/>
  <c r="J6" i="408"/>
  <c r="C6" i="408"/>
  <c r="R12" i="407"/>
  <c r="R25" i="407" s="1"/>
  <c r="R28" i="407"/>
  <c r="J25" i="407"/>
  <c r="L25" i="407"/>
  <c r="S26" i="407" s="1"/>
  <c r="C10" i="407"/>
  <c r="B10" i="407"/>
  <c r="R26" i="407"/>
  <c r="L9" i="407"/>
  <c r="J9" i="407"/>
  <c r="C9" i="407"/>
  <c r="L8" i="407"/>
  <c r="J8" i="407"/>
  <c r="C8" i="407"/>
  <c r="L7" i="407"/>
  <c r="J7" i="407"/>
  <c r="L6" i="407"/>
  <c r="J6" i="407"/>
  <c r="C6" i="407"/>
  <c r="R21" i="402"/>
  <c r="R20" i="402"/>
  <c r="R19" i="402"/>
  <c r="R18" i="402"/>
  <c r="R20" i="401"/>
  <c r="R14" i="401"/>
  <c r="R20" i="400"/>
  <c r="R14" i="400"/>
  <c r="R19" i="398"/>
  <c r="R14" i="398"/>
  <c r="R17" i="356"/>
  <c r="R17" i="355"/>
  <c r="R16" i="354"/>
  <c r="R17" i="352"/>
  <c r="R24" i="414"/>
  <c r="N649" i="75"/>
  <c r="P593" i="567" l="1"/>
  <c r="Q593" i="567" s="1"/>
  <c r="N583" i="568"/>
  <c r="O583" i="568" s="1"/>
  <c r="P579" i="567"/>
  <c r="Q579" i="567" s="1"/>
  <c r="Q578" i="567" s="1"/>
  <c r="Q577" i="567" s="1"/>
  <c r="N569" i="568"/>
  <c r="O569" i="568" s="1"/>
  <c r="O568" i="568" s="1"/>
  <c r="O567" i="568" s="1"/>
  <c r="N569" i="75"/>
  <c r="R23" i="417"/>
  <c r="R25" i="417" s="1"/>
  <c r="R23" i="415"/>
  <c r="R25" i="412"/>
  <c r="R26" i="412"/>
  <c r="R12" i="416"/>
  <c r="R13" i="416"/>
  <c r="R29" i="409"/>
  <c r="S25" i="415"/>
  <c r="R23" i="414"/>
  <c r="J24" i="414" s="1"/>
  <c r="S24" i="420"/>
  <c r="S23" i="415"/>
  <c r="S24" i="418"/>
  <c r="S25" i="411"/>
  <c r="S23" i="419"/>
  <c r="S26" i="408"/>
  <c r="S25" i="419"/>
  <c r="S25" i="407"/>
  <c r="S23" i="418"/>
  <c r="S24" i="417"/>
  <c r="S25" i="408"/>
  <c r="R25" i="420"/>
  <c r="J24" i="420"/>
  <c r="S25" i="420"/>
  <c r="R25" i="419"/>
  <c r="J24" i="419"/>
  <c r="R25" i="418"/>
  <c r="J24" i="418"/>
  <c r="S25" i="417"/>
  <c r="S24" i="414"/>
  <c r="S25" i="414"/>
  <c r="J24" i="413"/>
  <c r="S23" i="413"/>
  <c r="S24" i="413"/>
  <c r="R25" i="413"/>
  <c r="R27" i="413" s="1"/>
  <c r="S25" i="412"/>
  <c r="S26" i="412"/>
  <c r="R29" i="411"/>
  <c r="J26" i="411"/>
  <c r="S26" i="411"/>
  <c r="R29" i="410"/>
  <c r="S25" i="410"/>
  <c r="J26" i="410"/>
  <c r="S26" i="410"/>
  <c r="S25" i="409"/>
  <c r="J26" i="409"/>
  <c r="S26" i="409"/>
  <c r="R27" i="408"/>
  <c r="J26" i="408"/>
  <c r="S27" i="407"/>
  <c r="R27" i="407"/>
  <c r="R29" i="407" s="1"/>
  <c r="J26" i="407"/>
  <c r="R579" i="567" l="1"/>
  <c r="T579" i="567" s="1"/>
  <c r="U579" i="567" s="1"/>
  <c r="U578" i="567" s="1"/>
  <c r="U577" i="567" s="1"/>
  <c r="P569" i="568"/>
  <c r="R27" i="417"/>
  <c r="J24" i="417"/>
  <c r="R27" i="412"/>
  <c r="R29" i="412" s="1"/>
  <c r="J26" i="412"/>
  <c r="R23" i="416"/>
  <c r="P569" i="75"/>
  <c r="Q569" i="75" s="1"/>
  <c r="J24" i="415"/>
  <c r="R22" i="416"/>
  <c r="N583" i="75"/>
  <c r="R25" i="415"/>
  <c r="R25" i="414"/>
  <c r="R27" i="414" s="1"/>
  <c r="R27" i="420"/>
  <c r="R27" i="419"/>
  <c r="R27" i="418"/>
  <c r="R29" i="408"/>
  <c r="S579" i="567" l="1"/>
  <c r="S578" i="567" s="1"/>
  <c r="S577" i="567" s="1"/>
  <c r="R593" i="567"/>
  <c r="T593" i="567" s="1"/>
  <c r="P583" i="568"/>
  <c r="P594" i="567"/>
  <c r="Q594" i="567" s="1"/>
  <c r="Q587" i="567" s="1"/>
  <c r="Q582" i="567" s="1"/>
  <c r="N584" i="568"/>
  <c r="O584" i="568" s="1"/>
  <c r="O577" i="568" s="1"/>
  <c r="O572" i="568" s="1"/>
  <c r="R569" i="568"/>
  <c r="S569" i="568" s="1"/>
  <c r="S568" i="568" s="1"/>
  <c r="S567" i="568" s="1"/>
  <c r="Q569" i="568"/>
  <c r="Q568" i="568" s="1"/>
  <c r="Q567" i="568" s="1"/>
  <c r="P583" i="75"/>
  <c r="Q583" i="75" s="1"/>
  <c r="J23" i="416"/>
  <c r="R24" i="416"/>
  <c r="R27" i="415"/>
  <c r="N228" i="75"/>
  <c r="N227" i="75"/>
  <c r="D12" i="397"/>
  <c r="I12" i="393"/>
  <c r="R12" i="406"/>
  <c r="R25" i="406" s="1"/>
  <c r="L24" i="406"/>
  <c r="S24" i="406" s="1"/>
  <c r="C10" i="406"/>
  <c r="B10" i="406"/>
  <c r="R27" i="406"/>
  <c r="L9" i="406"/>
  <c r="J9" i="406"/>
  <c r="C9" i="406"/>
  <c r="L8" i="406"/>
  <c r="J8" i="406"/>
  <c r="C8" i="406"/>
  <c r="L7" i="406"/>
  <c r="J7" i="406"/>
  <c r="L6" i="406"/>
  <c r="J6" i="406"/>
  <c r="C6" i="406"/>
  <c r="C10" i="405"/>
  <c r="B10" i="405"/>
  <c r="R28" i="405"/>
  <c r="L25" i="405"/>
  <c r="S12" i="405" s="1"/>
  <c r="R12" i="405"/>
  <c r="L9" i="405"/>
  <c r="J9" i="405"/>
  <c r="C9" i="405"/>
  <c r="L8" i="405"/>
  <c r="J8" i="405"/>
  <c r="C8" i="405"/>
  <c r="L7" i="405"/>
  <c r="J7" i="405"/>
  <c r="L6" i="405"/>
  <c r="J6" i="405"/>
  <c r="C6" i="405"/>
  <c r="R12" i="404"/>
  <c r="L25" i="404"/>
  <c r="S27" i="404" s="1"/>
  <c r="S12" i="404"/>
  <c r="C10" i="404"/>
  <c r="B10" i="404"/>
  <c r="R28" i="404"/>
  <c r="L9" i="404"/>
  <c r="J9" i="404"/>
  <c r="C9" i="404"/>
  <c r="L8" i="404"/>
  <c r="J8" i="404"/>
  <c r="C8" i="404"/>
  <c r="L7" i="404"/>
  <c r="J7" i="404"/>
  <c r="L6" i="404"/>
  <c r="J6" i="404"/>
  <c r="C6" i="404"/>
  <c r="R12" i="403"/>
  <c r="S12" i="403"/>
  <c r="C10" i="403"/>
  <c r="B10" i="403"/>
  <c r="R27" i="403"/>
  <c r="L24" i="403"/>
  <c r="S26" i="403" s="1"/>
  <c r="L9" i="403"/>
  <c r="J9" i="403"/>
  <c r="C9" i="403"/>
  <c r="L8" i="403"/>
  <c r="J8" i="403"/>
  <c r="C8" i="403"/>
  <c r="L7" i="403"/>
  <c r="J7" i="403"/>
  <c r="L6" i="403"/>
  <c r="J6" i="403"/>
  <c r="C6" i="403"/>
  <c r="S593" i="567" l="1"/>
  <c r="R594" i="567"/>
  <c r="S594" i="567" s="1"/>
  <c r="P584" i="568"/>
  <c r="R583" i="568"/>
  <c r="Q583" i="568"/>
  <c r="P250" i="567"/>
  <c r="Q250" i="567" s="1"/>
  <c r="N244" i="568"/>
  <c r="O244" i="568" s="1"/>
  <c r="U593" i="567"/>
  <c r="V593" i="567"/>
  <c r="W593" i="567" s="1"/>
  <c r="R583" i="75"/>
  <c r="S583" i="75" s="1"/>
  <c r="N244" i="75"/>
  <c r="R25" i="405"/>
  <c r="R26" i="405"/>
  <c r="R25" i="403"/>
  <c r="R24" i="403"/>
  <c r="R26" i="404"/>
  <c r="R25" i="404"/>
  <c r="R24" i="406"/>
  <c r="J25" i="406" s="1"/>
  <c r="S27" i="405"/>
  <c r="S26" i="406"/>
  <c r="S25" i="406"/>
  <c r="S25" i="405"/>
  <c r="S26" i="405"/>
  <c r="S25" i="404"/>
  <c r="S26" i="404"/>
  <c r="S24" i="403"/>
  <c r="S25" i="403"/>
  <c r="S587" i="567" l="1"/>
  <c r="S582" i="567" s="1"/>
  <c r="T594" i="567"/>
  <c r="V594" i="567" s="1"/>
  <c r="W594" i="567" s="1"/>
  <c r="W587" i="567" s="1"/>
  <c r="W582" i="567" s="1"/>
  <c r="P248" i="567"/>
  <c r="Q248" i="567" s="1"/>
  <c r="N242" i="568"/>
  <c r="O242" i="568" s="1"/>
  <c r="S583" i="568"/>
  <c r="T583" i="568"/>
  <c r="U583" i="568" s="1"/>
  <c r="P246" i="567"/>
  <c r="Q246" i="567" s="1"/>
  <c r="N240" i="568"/>
  <c r="O240" i="568" s="1"/>
  <c r="R584" i="568"/>
  <c r="Q584" i="568"/>
  <c r="Q577" i="568" s="1"/>
  <c r="Q572" i="568" s="1"/>
  <c r="P245" i="567"/>
  <c r="Q245" i="567" s="1"/>
  <c r="N239" i="568"/>
  <c r="O239" i="568" s="1"/>
  <c r="R26" i="403"/>
  <c r="T583" i="75"/>
  <c r="U583" i="75" s="1"/>
  <c r="R27" i="404"/>
  <c r="R27" i="405"/>
  <c r="N240" i="75"/>
  <c r="N242" i="75"/>
  <c r="J26" i="404"/>
  <c r="N239" i="75"/>
  <c r="J26" i="405"/>
  <c r="R26" i="406"/>
  <c r="J25" i="403"/>
  <c r="R12" i="396"/>
  <c r="R28" i="396"/>
  <c r="C10" i="396"/>
  <c r="B10" i="396"/>
  <c r="R16" i="402"/>
  <c r="R15" i="402"/>
  <c r="R14" i="402"/>
  <c r="L29" i="402"/>
  <c r="S31" i="402" s="1"/>
  <c r="R32" i="402"/>
  <c r="C10" i="402"/>
  <c r="B10" i="402"/>
  <c r="R13" i="402"/>
  <c r="L9" i="402"/>
  <c r="J9" i="402"/>
  <c r="C9" i="402"/>
  <c r="L8" i="402"/>
  <c r="J8" i="402"/>
  <c r="C8" i="402"/>
  <c r="L7" i="402"/>
  <c r="J7" i="402"/>
  <c r="L6" i="402"/>
  <c r="J6" i="402"/>
  <c r="C6" i="402"/>
  <c r="R34" i="401"/>
  <c r="C10" i="401"/>
  <c r="B10" i="401"/>
  <c r="L31" i="401"/>
  <c r="S33" i="401" s="1"/>
  <c r="R13" i="401"/>
  <c r="R32" i="401" s="1"/>
  <c r="L9" i="401"/>
  <c r="J9" i="401"/>
  <c r="C9" i="401"/>
  <c r="L8" i="401"/>
  <c r="J8" i="401"/>
  <c r="C8" i="401"/>
  <c r="L7" i="401"/>
  <c r="J7" i="401"/>
  <c r="L6" i="401"/>
  <c r="J6" i="401"/>
  <c r="C6" i="401"/>
  <c r="R32" i="400"/>
  <c r="C10" i="400"/>
  <c r="B10" i="400"/>
  <c r="L29" i="400"/>
  <c r="S31" i="400" s="1"/>
  <c r="R13" i="400"/>
  <c r="R30" i="400" s="1"/>
  <c r="L9" i="400"/>
  <c r="J9" i="400"/>
  <c r="C9" i="400"/>
  <c r="L8" i="400"/>
  <c r="J8" i="400"/>
  <c r="C8" i="400"/>
  <c r="L7" i="400"/>
  <c r="J7" i="400"/>
  <c r="L6" i="400"/>
  <c r="J6" i="400"/>
  <c r="C6" i="400"/>
  <c r="R30" i="399"/>
  <c r="C10" i="399"/>
  <c r="B10" i="399"/>
  <c r="L27" i="399"/>
  <c r="S29" i="399" s="1"/>
  <c r="L9" i="399"/>
  <c r="J9" i="399"/>
  <c r="C9" i="399"/>
  <c r="L8" i="399"/>
  <c r="J8" i="399"/>
  <c r="C8" i="399"/>
  <c r="L7" i="399"/>
  <c r="J7" i="399"/>
  <c r="L6" i="399"/>
  <c r="J6" i="399"/>
  <c r="C6" i="399"/>
  <c r="R31" i="398"/>
  <c r="C10" i="398"/>
  <c r="B10" i="398"/>
  <c r="L28" i="398"/>
  <c r="S30" i="398" s="1"/>
  <c r="R13" i="398"/>
  <c r="R29" i="398" s="1"/>
  <c r="L9" i="398"/>
  <c r="J9" i="398"/>
  <c r="C9" i="398"/>
  <c r="L8" i="398"/>
  <c r="J8" i="398"/>
  <c r="C8" i="398"/>
  <c r="L7" i="398"/>
  <c r="J7" i="398"/>
  <c r="L6" i="398"/>
  <c r="J6" i="398"/>
  <c r="C6" i="398"/>
  <c r="R12" i="397"/>
  <c r="R30" i="397"/>
  <c r="L27" i="397"/>
  <c r="S29" i="397" s="1"/>
  <c r="C10" i="397"/>
  <c r="B10" i="397"/>
  <c r="L9" i="397"/>
  <c r="J9" i="397"/>
  <c r="C9" i="397"/>
  <c r="L8" i="397"/>
  <c r="J8" i="397"/>
  <c r="C8" i="397"/>
  <c r="L7" i="397"/>
  <c r="J7" i="397"/>
  <c r="L6" i="397"/>
  <c r="J6" i="397"/>
  <c r="C6" i="397"/>
  <c r="L25" i="396"/>
  <c r="S27" i="396" s="1"/>
  <c r="L9" i="396"/>
  <c r="J9" i="396"/>
  <c r="C9" i="396"/>
  <c r="L8" i="396"/>
  <c r="J8" i="396"/>
  <c r="C8" i="396"/>
  <c r="L7" i="396"/>
  <c r="J7" i="396"/>
  <c r="L6" i="396"/>
  <c r="J6" i="396"/>
  <c r="C6" i="396"/>
  <c r="R12" i="395"/>
  <c r="L25" i="395"/>
  <c r="S27" i="395" s="1"/>
  <c r="J25" i="395"/>
  <c r="C10" i="395"/>
  <c r="R28" i="395"/>
  <c r="R26" i="395"/>
  <c r="B10" i="395"/>
  <c r="L9" i="395"/>
  <c r="J9" i="395"/>
  <c r="C9" i="395"/>
  <c r="L8" i="395"/>
  <c r="J8" i="395"/>
  <c r="C8" i="395"/>
  <c r="L7" i="395"/>
  <c r="J7" i="395"/>
  <c r="L6" i="395"/>
  <c r="J6" i="395"/>
  <c r="C6" i="395"/>
  <c r="R15" i="373"/>
  <c r="R16" i="372"/>
  <c r="R12" i="386"/>
  <c r="R23" i="393"/>
  <c r="U594" i="567" l="1"/>
  <c r="U587" i="567" s="1"/>
  <c r="U582" i="567" s="1"/>
  <c r="R250" i="567"/>
  <c r="T250" i="567" s="1"/>
  <c r="U250" i="567" s="1"/>
  <c r="P244" i="568"/>
  <c r="S584" i="568"/>
  <c r="S577" i="568" s="1"/>
  <c r="S572" i="568" s="1"/>
  <c r="T584" i="568"/>
  <c r="U584" i="568" s="1"/>
  <c r="U577" i="568" s="1"/>
  <c r="U572" i="568" s="1"/>
  <c r="U557" i="568" s="1"/>
  <c r="R245" i="567"/>
  <c r="S245" i="567" s="1"/>
  <c r="P239" i="568"/>
  <c r="P40" i="567"/>
  <c r="Q40" i="567" s="1"/>
  <c r="N39" i="568"/>
  <c r="O39" i="568" s="1"/>
  <c r="P41" i="567"/>
  <c r="Q41" i="567" s="1"/>
  <c r="N40" i="568"/>
  <c r="O40" i="568" s="1"/>
  <c r="P38" i="567"/>
  <c r="Q38" i="567" s="1"/>
  <c r="N37" i="568"/>
  <c r="O37" i="568" s="1"/>
  <c r="R248" i="567"/>
  <c r="T248" i="567" s="1"/>
  <c r="P242" i="568"/>
  <c r="R246" i="567"/>
  <c r="T246" i="567" s="1"/>
  <c r="P240" i="568"/>
  <c r="R29" i="405"/>
  <c r="P240" i="75"/>
  <c r="Q240" i="75" s="1"/>
  <c r="R28" i="403"/>
  <c r="R30" i="402"/>
  <c r="R29" i="404"/>
  <c r="P239" i="75"/>
  <c r="Q239" i="75" s="1"/>
  <c r="P242" i="75"/>
  <c r="R242" i="75" s="1"/>
  <c r="T242" i="75" s="1"/>
  <c r="N39" i="75"/>
  <c r="R28" i="406"/>
  <c r="P244" i="75"/>
  <c r="R29" i="400"/>
  <c r="R29" i="402"/>
  <c r="R26" i="396"/>
  <c r="R25" i="396"/>
  <c r="J26" i="396" s="1"/>
  <c r="R28" i="397"/>
  <c r="R27" i="397"/>
  <c r="R31" i="401"/>
  <c r="R33" i="401" s="1"/>
  <c r="N37" i="75"/>
  <c r="R28" i="398"/>
  <c r="N40" i="75"/>
  <c r="R31" i="399"/>
  <c r="S13" i="402"/>
  <c r="S12" i="396"/>
  <c r="S29" i="402"/>
  <c r="S30" i="402"/>
  <c r="S31" i="401"/>
  <c r="S29" i="400"/>
  <c r="S32" i="401"/>
  <c r="S30" i="400"/>
  <c r="S27" i="399"/>
  <c r="S28" i="399"/>
  <c r="S28" i="398"/>
  <c r="S29" i="398"/>
  <c r="S27" i="397"/>
  <c r="S28" i="397"/>
  <c r="S26" i="396"/>
  <c r="S25" i="396"/>
  <c r="R25" i="395"/>
  <c r="J26" i="395" s="1"/>
  <c r="S25" i="395"/>
  <c r="S26" i="395"/>
  <c r="S250" i="567" l="1"/>
  <c r="T245" i="567"/>
  <c r="U245" i="567" s="1"/>
  <c r="S248" i="567"/>
  <c r="S246" i="567"/>
  <c r="P42" i="567"/>
  <c r="Q42" i="567" s="1"/>
  <c r="N41" i="568"/>
  <c r="O41" i="568" s="1"/>
  <c r="Q239" i="568"/>
  <c r="R239" i="568"/>
  <c r="T41" i="567"/>
  <c r="V41" i="567" s="1"/>
  <c r="W41" i="567" s="1"/>
  <c r="P40" i="568"/>
  <c r="R40" i="568" s="1"/>
  <c r="T40" i="567"/>
  <c r="V40" i="567" s="1"/>
  <c r="W40" i="567" s="1"/>
  <c r="R39" i="568"/>
  <c r="R244" i="568"/>
  <c r="S244" i="568" s="1"/>
  <c r="Q244" i="568"/>
  <c r="P37" i="567"/>
  <c r="Q37" i="567" s="1"/>
  <c r="N36" i="568"/>
  <c r="O36" i="568" s="1"/>
  <c r="R240" i="568"/>
  <c r="Q240" i="568"/>
  <c r="P247" i="567"/>
  <c r="Q247" i="567" s="1"/>
  <c r="N241" i="568"/>
  <c r="O241" i="568" s="1"/>
  <c r="R242" i="568"/>
  <c r="Q242" i="568"/>
  <c r="U246" i="567"/>
  <c r="V246" i="567"/>
  <c r="U248" i="567"/>
  <c r="V248" i="567"/>
  <c r="R240" i="75"/>
  <c r="N41" i="75"/>
  <c r="R31" i="400"/>
  <c r="R33" i="400" s="1"/>
  <c r="Q242" i="75"/>
  <c r="R239" i="75"/>
  <c r="T239" i="75" s="1"/>
  <c r="N36" i="75"/>
  <c r="O36" i="75" s="1"/>
  <c r="N241" i="75"/>
  <c r="R39" i="75"/>
  <c r="T39" i="75" s="1"/>
  <c r="P40" i="75"/>
  <c r="R40" i="75" s="1"/>
  <c r="T40" i="75" s="1"/>
  <c r="R31" i="402"/>
  <c r="R29" i="397"/>
  <c r="R244" i="75"/>
  <c r="Q244" i="75"/>
  <c r="R30" i="398"/>
  <c r="J29" i="398"/>
  <c r="J32" i="401"/>
  <c r="J30" i="400"/>
  <c r="J28" i="399"/>
  <c r="R35" i="401"/>
  <c r="J30" i="402"/>
  <c r="J28" i="397"/>
  <c r="R27" i="396"/>
  <c r="R27" i="395"/>
  <c r="R29" i="395" s="1"/>
  <c r="R25" i="393"/>
  <c r="J22" i="393"/>
  <c r="C10" i="393"/>
  <c r="C29" i="393"/>
  <c r="C30" i="393" s="1"/>
  <c r="L22" i="393"/>
  <c r="S22" i="393" s="1"/>
  <c r="L9" i="393"/>
  <c r="J9" i="393"/>
  <c r="C9" i="393"/>
  <c r="L8" i="393"/>
  <c r="J8" i="393"/>
  <c r="C8" i="393"/>
  <c r="L7" i="393"/>
  <c r="J7" i="393"/>
  <c r="L6" i="393"/>
  <c r="J6" i="393"/>
  <c r="C6" i="393"/>
  <c r="R13" i="391"/>
  <c r="R13" i="383"/>
  <c r="R16" i="356"/>
  <c r="R16" i="355"/>
  <c r="R15" i="354"/>
  <c r="R16" i="352"/>
  <c r="V245" i="567" l="1"/>
  <c r="Q36" i="567"/>
  <c r="U41" i="567"/>
  <c r="S41" i="567" s="1"/>
  <c r="U40" i="567"/>
  <c r="O35" i="568"/>
  <c r="S40" i="568"/>
  <c r="Q40" i="568" s="1"/>
  <c r="T40" i="568"/>
  <c r="U40" i="568" s="1"/>
  <c r="S240" i="568"/>
  <c r="T240" i="568"/>
  <c r="R247" i="567"/>
  <c r="S247" i="567" s="1"/>
  <c r="P241" i="568"/>
  <c r="S239" i="568"/>
  <c r="T239" i="568"/>
  <c r="T38" i="567"/>
  <c r="V38" i="567" s="1"/>
  <c r="W38" i="567" s="1"/>
  <c r="P37" i="568"/>
  <c r="R37" i="568" s="1"/>
  <c r="R37" i="567"/>
  <c r="T37" i="567" s="1"/>
  <c r="V37" i="567" s="1"/>
  <c r="W37" i="567" s="1"/>
  <c r="P36" i="568"/>
  <c r="R36" i="568" s="1"/>
  <c r="S242" i="568"/>
  <c r="T242" i="568"/>
  <c r="R42" i="567"/>
  <c r="T42" i="567" s="1"/>
  <c r="U42" i="567" s="1"/>
  <c r="S42" i="567" s="1"/>
  <c r="P41" i="568"/>
  <c r="R41" i="568" s="1"/>
  <c r="S39" i="568"/>
  <c r="T39" i="568"/>
  <c r="U39" i="568" s="1"/>
  <c r="R31" i="397"/>
  <c r="P41" i="75"/>
  <c r="R41" i="75" s="1"/>
  <c r="P36" i="75"/>
  <c r="R36" i="75" s="1"/>
  <c r="T36" i="75" s="1"/>
  <c r="U36" i="75" s="1"/>
  <c r="R29" i="396"/>
  <c r="P241" i="75"/>
  <c r="R33" i="402"/>
  <c r="R32" i="398"/>
  <c r="P37" i="75"/>
  <c r="L12" i="393"/>
  <c r="R12" i="393" s="1"/>
  <c r="S23" i="393"/>
  <c r="S24" i="393"/>
  <c r="U38" i="567" l="1"/>
  <c r="S38" i="567" s="1"/>
  <c r="U37" i="567"/>
  <c r="S37" i="567" s="1"/>
  <c r="S41" i="568"/>
  <c r="Q41" i="568" s="1"/>
  <c r="T41" i="568"/>
  <c r="U41" i="568" s="1"/>
  <c r="V42" i="567"/>
  <c r="W42" i="567" s="1"/>
  <c r="W36" i="567" s="1"/>
  <c r="R241" i="568"/>
  <c r="Q241" i="568"/>
  <c r="S36" i="568"/>
  <c r="T36" i="568"/>
  <c r="U36" i="568" s="1"/>
  <c r="S37" i="568"/>
  <c r="Q37" i="568" s="1"/>
  <c r="T37" i="568"/>
  <c r="U37" i="568" s="1"/>
  <c r="T247" i="567"/>
  <c r="U247" i="567" s="1"/>
  <c r="S36" i="75"/>
  <c r="Q36" i="75" s="1"/>
  <c r="R241" i="75"/>
  <c r="Q241" i="75"/>
  <c r="R29" i="364"/>
  <c r="R28" i="364"/>
  <c r="R27" i="364"/>
  <c r="R26" i="364"/>
  <c r="R25" i="364"/>
  <c r="C30" i="391"/>
  <c r="C31" i="391" s="1"/>
  <c r="R26" i="391"/>
  <c r="R24" i="391"/>
  <c r="L23" i="391"/>
  <c r="S23" i="391" s="1"/>
  <c r="J23" i="391"/>
  <c r="R12" i="391"/>
  <c r="R23" i="391" s="1"/>
  <c r="C10" i="391"/>
  <c r="B10" i="391"/>
  <c r="L9" i="391"/>
  <c r="J9" i="391"/>
  <c r="C9" i="391"/>
  <c r="L8" i="391"/>
  <c r="J8" i="391"/>
  <c r="C8" i="391"/>
  <c r="L7" i="391"/>
  <c r="J7" i="391"/>
  <c r="L6" i="391"/>
  <c r="J6" i="391"/>
  <c r="C6" i="391"/>
  <c r="R12" i="390"/>
  <c r="R24" i="390" s="1"/>
  <c r="R27" i="390"/>
  <c r="R25" i="390"/>
  <c r="L24" i="390"/>
  <c r="S26" i="390" s="1"/>
  <c r="J24" i="390"/>
  <c r="C10" i="390"/>
  <c r="B10" i="390"/>
  <c r="L9" i="390"/>
  <c r="J9" i="390"/>
  <c r="C9" i="390"/>
  <c r="L8" i="390"/>
  <c r="J8" i="390"/>
  <c r="C8" i="390"/>
  <c r="L7" i="390"/>
  <c r="J7" i="390"/>
  <c r="L6" i="390"/>
  <c r="J6" i="390"/>
  <c r="C6" i="390"/>
  <c r="R26" i="389"/>
  <c r="L23" i="389"/>
  <c r="S25" i="389" s="1"/>
  <c r="R12" i="389"/>
  <c r="C10" i="389"/>
  <c r="B10" i="389"/>
  <c r="L9" i="389"/>
  <c r="J9" i="389"/>
  <c r="C9" i="389"/>
  <c r="L8" i="389"/>
  <c r="J8" i="389"/>
  <c r="C8" i="389"/>
  <c r="L7" i="389"/>
  <c r="J7" i="389"/>
  <c r="L6" i="389"/>
  <c r="J6" i="389"/>
  <c r="C6" i="389"/>
  <c r="R21" i="388"/>
  <c r="R19" i="388"/>
  <c r="R18" i="388"/>
  <c r="L18" i="388"/>
  <c r="S20" i="388" s="1"/>
  <c r="J18" i="388"/>
  <c r="C10" i="388"/>
  <c r="B10" i="388"/>
  <c r="L9" i="388"/>
  <c r="J9" i="388"/>
  <c r="C9" i="388"/>
  <c r="L8" i="388"/>
  <c r="J8" i="388"/>
  <c r="C8" i="388"/>
  <c r="L7" i="388"/>
  <c r="J7" i="388"/>
  <c r="L6" i="388"/>
  <c r="J6" i="388"/>
  <c r="C6" i="388"/>
  <c r="C30" i="379"/>
  <c r="C31" i="379" s="1"/>
  <c r="R29" i="387"/>
  <c r="L26" i="387"/>
  <c r="S28" i="387" s="1"/>
  <c r="C10" i="387"/>
  <c r="B10" i="387"/>
  <c r="L9" i="387"/>
  <c r="J9" i="387"/>
  <c r="C9" i="387"/>
  <c r="L8" i="387"/>
  <c r="J8" i="387"/>
  <c r="C8" i="387"/>
  <c r="L7" i="387"/>
  <c r="J7" i="387"/>
  <c r="L6" i="387"/>
  <c r="J6" i="387"/>
  <c r="C6" i="387"/>
  <c r="R28" i="386"/>
  <c r="R26" i="386"/>
  <c r="R25" i="386"/>
  <c r="L25" i="386"/>
  <c r="S27" i="386" s="1"/>
  <c r="J25" i="386"/>
  <c r="C10" i="386"/>
  <c r="B10" i="386"/>
  <c r="L9" i="386"/>
  <c r="J9" i="386"/>
  <c r="C9" i="386"/>
  <c r="L8" i="386"/>
  <c r="J8" i="386"/>
  <c r="C8" i="386"/>
  <c r="L7" i="386"/>
  <c r="J7" i="386"/>
  <c r="L6" i="386"/>
  <c r="J6" i="386"/>
  <c r="C6" i="386"/>
  <c r="R28" i="385"/>
  <c r="L25" i="385"/>
  <c r="S27" i="385" s="1"/>
  <c r="J25" i="385"/>
  <c r="C10" i="385"/>
  <c r="B10" i="385"/>
  <c r="L9" i="385"/>
  <c r="J9" i="385"/>
  <c r="C9" i="385"/>
  <c r="L8" i="385"/>
  <c r="J8" i="385"/>
  <c r="C8" i="385"/>
  <c r="L7" i="385"/>
  <c r="J7" i="385"/>
  <c r="L6" i="385"/>
  <c r="J6" i="385"/>
  <c r="C6" i="385"/>
  <c r="R16" i="360"/>
  <c r="R15" i="360"/>
  <c r="R14" i="360"/>
  <c r="R17" i="357"/>
  <c r="R15" i="356"/>
  <c r="R15" i="355"/>
  <c r="R14" i="354"/>
  <c r="R14" i="353"/>
  <c r="R15" i="352"/>
  <c r="R12" i="380"/>
  <c r="R12" i="375"/>
  <c r="U36" i="567" l="1"/>
  <c r="U35" i="568"/>
  <c r="V247" i="567"/>
  <c r="Q36" i="568"/>
  <c r="Q35" i="568" s="1"/>
  <c r="S35" i="568"/>
  <c r="T241" i="568"/>
  <c r="S241" i="568"/>
  <c r="R23" i="389"/>
  <c r="J24" i="389" s="1"/>
  <c r="R24" i="389"/>
  <c r="J27" i="387"/>
  <c r="J26" i="386"/>
  <c r="J24" i="391"/>
  <c r="R25" i="391"/>
  <c r="S24" i="391"/>
  <c r="S25" i="391"/>
  <c r="R26" i="390"/>
  <c r="J25" i="390"/>
  <c r="S24" i="390"/>
  <c r="S25" i="390"/>
  <c r="S23" i="389"/>
  <c r="S24" i="389"/>
  <c r="R20" i="388"/>
  <c r="S18" i="388"/>
  <c r="J19" i="388"/>
  <c r="S19" i="388"/>
  <c r="S26" i="387"/>
  <c r="S27" i="387"/>
  <c r="R27" i="386"/>
  <c r="S25" i="386"/>
  <c r="S26" i="386"/>
  <c r="R27" i="385"/>
  <c r="J26" i="385"/>
  <c r="S25" i="385"/>
  <c r="S26" i="385"/>
  <c r="R12" i="383"/>
  <c r="R24" i="383" s="1"/>
  <c r="R12" i="384"/>
  <c r="R24" i="384" s="1"/>
  <c r="R27" i="384"/>
  <c r="R25" i="384"/>
  <c r="L24" i="384"/>
  <c r="S26" i="384" s="1"/>
  <c r="J24" i="384"/>
  <c r="C10" i="384"/>
  <c r="B10" i="384"/>
  <c r="L9" i="384"/>
  <c r="J9" i="384"/>
  <c r="C9" i="384"/>
  <c r="L8" i="384"/>
  <c r="J8" i="384"/>
  <c r="C8" i="384"/>
  <c r="L7" i="384"/>
  <c r="J7" i="384"/>
  <c r="L6" i="384"/>
  <c r="J6" i="384"/>
  <c r="C6" i="384"/>
  <c r="R27" i="383"/>
  <c r="R25" i="383"/>
  <c r="L24" i="383"/>
  <c r="S26" i="383" s="1"/>
  <c r="J24" i="383"/>
  <c r="C10" i="383"/>
  <c r="B10" i="383"/>
  <c r="L9" i="383"/>
  <c r="J9" i="383"/>
  <c r="C9" i="383"/>
  <c r="L8" i="383"/>
  <c r="J8" i="383"/>
  <c r="C8" i="383"/>
  <c r="L7" i="383"/>
  <c r="J7" i="383"/>
  <c r="L6" i="383"/>
  <c r="J6" i="383"/>
  <c r="C6" i="383"/>
  <c r="R12" i="381"/>
  <c r="R24" i="381" s="1"/>
  <c r="R26" i="382"/>
  <c r="R24" i="382"/>
  <c r="L23" i="382"/>
  <c r="S25" i="382" s="1"/>
  <c r="J23" i="382"/>
  <c r="R12" i="382"/>
  <c r="R23" i="382" s="1"/>
  <c r="C10" i="382"/>
  <c r="B10" i="382"/>
  <c r="L9" i="382"/>
  <c r="J9" i="382"/>
  <c r="C9" i="382"/>
  <c r="L8" i="382"/>
  <c r="J8" i="382"/>
  <c r="C8" i="382"/>
  <c r="L7" i="382"/>
  <c r="J7" i="382"/>
  <c r="L6" i="382"/>
  <c r="J6" i="382"/>
  <c r="C6" i="382"/>
  <c r="R27" i="381"/>
  <c r="R25" i="381"/>
  <c r="L24" i="381"/>
  <c r="S26" i="381" s="1"/>
  <c r="J24" i="381"/>
  <c r="C10" i="381"/>
  <c r="B10" i="381"/>
  <c r="L9" i="381"/>
  <c r="J9" i="381"/>
  <c r="C9" i="381"/>
  <c r="L8" i="381"/>
  <c r="J8" i="381"/>
  <c r="C8" i="381"/>
  <c r="L7" i="381"/>
  <c r="J7" i="381"/>
  <c r="L6" i="381"/>
  <c r="J6" i="381"/>
  <c r="C6" i="381"/>
  <c r="R27" i="380"/>
  <c r="R25" i="380"/>
  <c r="L24" i="380"/>
  <c r="S26" i="380" s="1"/>
  <c r="J24" i="380"/>
  <c r="R24" i="380"/>
  <c r="C10" i="380"/>
  <c r="B10" i="380"/>
  <c r="L9" i="380"/>
  <c r="J9" i="380"/>
  <c r="C9" i="380"/>
  <c r="L8" i="380"/>
  <c r="J8" i="380"/>
  <c r="C8" i="380"/>
  <c r="L7" i="380"/>
  <c r="J7" i="380"/>
  <c r="L6" i="380"/>
  <c r="J6" i="380"/>
  <c r="C6" i="380"/>
  <c r="S25" i="379"/>
  <c r="R23" i="379"/>
  <c r="C10" i="379"/>
  <c r="B10" i="379"/>
  <c r="L9" i="379"/>
  <c r="J9" i="379"/>
  <c r="C9" i="379"/>
  <c r="L8" i="379"/>
  <c r="J8" i="379"/>
  <c r="C8" i="379"/>
  <c r="L7" i="379"/>
  <c r="J7" i="379"/>
  <c r="L6" i="379"/>
  <c r="J6" i="379"/>
  <c r="C6" i="379"/>
  <c r="R27" i="378"/>
  <c r="R25" i="378"/>
  <c r="L24" i="378"/>
  <c r="S26" i="378" s="1"/>
  <c r="J24" i="378"/>
  <c r="R12" i="378"/>
  <c r="R24" i="378" s="1"/>
  <c r="C10" i="378"/>
  <c r="B10" i="378"/>
  <c r="L9" i="378"/>
  <c r="J9" i="378"/>
  <c r="C9" i="378"/>
  <c r="L8" i="378"/>
  <c r="J8" i="378"/>
  <c r="C8" i="378"/>
  <c r="L7" i="378"/>
  <c r="J7" i="378"/>
  <c r="L6" i="378"/>
  <c r="J6" i="378"/>
  <c r="C6" i="378"/>
  <c r="R12" i="374"/>
  <c r="R19" i="377"/>
  <c r="L16" i="377"/>
  <c r="S18" i="377" s="1"/>
  <c r="R12" i="377"/>
  <c r="R17" i="377" s="1"/>
  <c r="C10" i="377"/>
  <c r="B10" i="377"/>
  <c r="L9" i="377"/>
  <c r="J9" i="377"/>
  <c r="C9" i="377"/>
  <c r="L8" i="377"/>
  <c r="J8" i="377"/>
  <c r="C8" i="377"/>
  <c r="L7" i="377"/>
  <c r="J7" i="377"/>
  <c r="L6" i="377"/>
  <c r="J6" i="377"/>
  <c r="C6" i="377"/>
  <c r="R12" i="376"/>
  <c r="R23" i="376" s="1"/>
  <c r="R26" i="376"/>
  <c r="R24" i="376"/>
  <c r="L23" i="376"/>
  <c r="S25" i="376" s="1"/>
  <c r="J23" i="376"/>
  <c r="C10" i="376"/>
  <c r="B10" i="376"/>
  <c r="L9" i="376"/>
  <c r="J9" i="376"/>
  <c r="C9" i="376"/>
  <c r="L8" i="376"/>
  <c r="J8" i="376"/>
  <c r="C8" i="376"/>
  <c r="L7" i="376"/>
  <c r="J7" i="376"/>
  <c r="L6" i="376"/>
  <c r="J6" i="376"/>
  <c r="C6" i="376"/>
  <c r="R14" i="368"/>
  <c r="R13" i="368"/>
  <c r="P313" i="567" l="1"/>
  <c r="T313" i="567" s="1"/>
  <c r="N306" i="568"/>
  <c r="P659" i="567"/>
  <c r="Q659" i="567" s="1"/>
  <c r="N648" i="568"/>
  <c r="O648" i="568" s="1"/>
  <c r="O647" i="568" s="1"/>
  <c r="O646" i="568" s="1"/>
  <c r="O557" i="568" s="1"/>
  <c r="H746" i="568" s="1"/>
  <c r="R71" i="567"/>
  <c r="T71" i="567" s="1"/>
  <c r="V71" i="567" s="1"/>
  <c r="W71" i="567" s="1"/>
  <c r="W70" i="567" s="1"/>
  <c r="W65" i="567" s="1"/>
  <c r="P70" i="568"/>
  <c r="R70" i="568" s="1"/>
  <c r="J25" i="383"/>
  <c r="N648" i="75"/>
  <c r="R25" i="389"/>
  <c r="R16" i="377"/>
  <c r="R18" i="377" s="1"/>
  <c r="N306" i="75"/>
  <c r="R306" i="75" s="1"/>
  <c r="T306" i="75" s="1"/>
  <c r="P70" i="75"/>
  <c r="R70" i="75" s="1"/>
  <c r="R28" i="387"/>
  <c r="R27" i="391"/>
  <c r="R28" i="390"/>
  <c r="R22" i="388"/>
  <c r="R29" i="386"/>
  <c r="R29" i="385"/>
  <c r="J25" i="384"/>
  <c r="R26" i="384"/>
  <c r="S24" i="384"/>
  <c r="S25" i="384"/>
  <c r="R26" i="383"/>
  <c r="S24" i="383"/>
  <c r="S25" i="383"/>
  <c r="R25" i="382"/>
  <c r="S23" i="382"/>
  <c r="J24" i="382"/>
  <c r="S24" i="382"/>
  <c r="R26" i="381"/>
  <c r="S24" i="381"/>
  <c r="J25" i="381"/>
  <c r="S25" i="381"/>
  <c r="R26" i="380"/>
  <c r="J25" i="380"/>
  <c r="S24" i="380"/>
  <c r="S25" i="380"/>
  <c r="R25" i="379"/>
  <c r="S23" i="379"/>
  <c r="J24" i="379"/>
  <c r="S24" i="379"/>
  <c r="R26" i="378"/>
  <c r="S24" i="378"/>
  <c r="J25" i="378"/>
  <c r="S25" i="378"/>
  <c r="S16" i="377"/>
  <c r="S17" i="377"/>
  <c r="R25" i="376"/>
  <c r="S23" i="376"/>
  <c r="J24" i="376"/>
  <c r="S24" i="376"/>
  <c r="Q313" i="567" l="1"/>
  <c r="Q312" i="567" s="1"/>
  <c r="Q311" i="567" s="1"/>
  <c r="U71" i="567"/>
  <c r="U70" i="567" s="1"/>
  <c r="U65" i="567" s="1"/>
  <c r="R659" i="567"/>
  <c r="T659" i="567" s="1"/>
  <c r="U659" i="567" s="1"/>
  <c r="S659" i="567" s="1"/>
  <c r="S657" i="567" s="1"/>
  <c r="P648" i="568"/>
  <c r="S70" i="568"/>
  <c r="T70" i="568"/>
  <c r="U70" i="568" s="1"/>
  <c r="U69" i="568" s="1"/>
  <c r="U64" i="568" s="1"/>
  <c r="R228" i="567"/>
  <c r="S228" i="567" s="1"/>
  <c r="S226" i="567" s="1"/>
  <c r="S222" i="567" s="1"/>
  <c r="P222" i="568"/>
  <c r="O306" i="568"/>
  <c r="O305" i="568" s="1"/>
  <c r="O304" i="568" s="1"/>
  <c r="R306" i="568"/>
  <c r="Q658" i="567"/>
  <c r="Q657" i="567" s="1"/>
  <c r="Q567" i="567" s="1"/>
  <c r="I760" i="567" s="1"/>
  <c r="V313" i="567"/>
  <c r="U313" i="567"/>
  <c r="U312" i="567" s="1"/>
  <c r="U311" i="567" s="1"/>
  <c r="P648" i="75"/>
  <c r="R648" i="75" s="1"/>
  <c r="P222" i="75"/>
  <c r="R27" i="389"/>
  <c r="J17" i="377"/>
  <c r="Q306" i="75"/>
  <c r="R30" i="387"/>
  <c r="R28" i="384"/>
  <c r="R28" i="383"/>
  <c r="R28" i="381"/>
  <c r="R27" i="382"/>
  <c r="R27" i="379"/>
  <c r="R28" i="380"/>
  <c r="R28" i="378"/>
  <c r="R20" i="377"/>
  <c r="R27" i="376"/>
  <c r="U658" i="567" l="1"/>
  <c r="U657" i="567" s="1"/>
  <c r="S71" i="567"/>
  <c r="S70" i="567" s="1"/>
  <c r="S65" i="567" s="1"/>
  <c r="T228" i="567"/>
  <c r="U228" i="567" s="1"/>
  <c r="U226" i="567" s="1"/>
  <c r="U222" i="567" s="1"/>
  <c r="Q222" i="568"/>
  <c r="Q220" i="568" s="1"/>
  <c r="Q216" i="568" s="1"/>
  <c r="R222" i="568"/>
  <c r="S222" i="568" s="1"/>
  <c r="S220" i="568" s="1"/>
  <c r="S216" i="568" s="1"/>
  <c r="Q70" i="568"/>
  <c r="Q69" i="568" s="1"/>
  <c r="Q64" i="568" s="1"/>
  <c r="S69" i="568"/>
  <c r="S64" i="568" s="1"/>
  <c r="R648" i="568"/>
  <c r="S648" i="568" s="1"/>
  <c r="S647" i="568" s="1"/>
  <c r="S646" i="568" s="1"/>
  <c r="S557" i="568" s="1"/>
  <c r="Q648" i="568"/>
  <c r="Q647" i="568" s="1"/>
  <c r="Q646" i="568" s="1"/>
  <c r="Q557" i="568" s="1"/>
  <c r="D735" i="568" s="1"/>
  <c r="T306" i="568"/>
  <c r="S306" i="568"/>
  <c r="S305" i="568" s="1"/>
  <c r="S304" i="568" s="1"/>
  <c r="R222" i="75"/>
  <c r="Q222" i="75"/>
  <c r="R16" i="357"/>
  <c r="R14" i="356"/>
  <c r="R14" i="355"/>
  <c r="R13" i="354"/>
  <c r="R28" i="354" s="1"/>
  <c r="R13" i="353"/>
  <c r="R28" i="353" s="1"/>
  <c r="R14" i="352"/>
  <c r="L14" i="373"/>
  <c r="R14" i="373" s="1"/>
  <c r="K14" i="373"/>
  <c r="L13" i="373"/>
  <c r="R13" i="373" s="1"/>
  <c r="K13" i="373"/>
  <c r="K14" i="372"/>
  <c r="K13" i="372"/>
  <c r="R27" i="375"/>
  <c r="R25" i="375"/>
  <c r="L24" i="375"/>
  <c r="S26" i="375" s="1"/>
  <c r="J24" i="375"/>
  <c r="R24" i="375"/>
  <c r="C10" i="375"/>
  <c r="B10" i="375"/>
  <c r="L9" i="375"/>
  <c r="J9" i="375"/>
  <c r="C9" i="375"/>
  <c r="L8" i="375"/>
  <c r="J8" i="375"/>
  <c r="C8" i="375"/>
  <c r="L7" i="375"/>
  <c r="J7" i="375"/>
  <c r="L6" i="375"/>
  <c r="J6" i="375"/>
  <c r="C6" i="375"/>
  <c r="P25" i="567" l="1"/>
  <c r="Q25" i="567" s="1"/>
  <c r="N24" i="568"/>
  <c r="O24" i="568" s="1"/>
  <c r="E735" i="568"/>
  <c r="I746" i="568"/>
  <c r="J746" i="568" s="1"/>
  <c r="K746" i="568" s="1"/>
  <c r="P26" i="567"/>
  <c r="Q26" i="567" s="1"/>
  <c r="N25" i="568"/>
  <c r="R27" i="353"/>
  <c r="R29" i="353" s="1"/>
  <c r="R27" i="354"/>
  <c r="N25" i="75"/>
  <c r="R26" i="375"/>
  <c r="J25" i="375"/>
  <c r="S24" i="375"/>
  <c r="S25" i="375"/>
  <c r="R24" i="374"/>
  <c r="R27" i="374"/>
  <c r="R25" i="374"/>
  <c r="L24" i="374"/>
  <c r="S26" i="374" s="1"/>
  <c r="J24" i="374"/>
  <c r="C10" i="374"/>
  <c r="B10" i="374"/>
  <c r="L9" i="374"/>
  <c r="J9" i="374"/>
  <c r="C9" i="374"/>
  <c r="L8" i="374"/>
  <c r="J8" i="374"/>
  <c r="C8" i="374"/>
  <c r="L7" i="374"/>
  <c r="J7" i="374"/>
  <c r="L6" i="374"/>
  <c r="J6" i="374"/>
  <c r="C6" i="374"/>
  <c r="L14" i="372"/>
  <c r="R14" i="372" s="1"/>
  <c r="L13" i="372"/>
  <c r="R13" i="372" s="1"/>
  <c r="R28" i="373"/>
  <c r="R26" i="373"/>
  <c r="L25" i="373"/>
  <c r="S27" i="373" s="1"/>
  <c r="J25" i="373"/>
  <c r="C10" i="373"/>
  <c r="B10" i="373"/>
  <c r="L9" i="373"/>
  <c r="J9" i="373"/>
  <c r="C9" i="373"/>
  <c r="L8" i="373"/>
  <c r="J8" i="373"/>
  <c r="C8" i="373"/>
  <c r="L7" i="373"/>
  <c r="J7" i="373"/>
  <c r="L6" i="373"/>
  <c r="J6" i="373"/>
  <c r="C6" i="373"/>
  <c r="R29" i="372"/>
  <c r="R27" i="372"/>
  <c r="L26" i="372"/>
  <c r="S28" i="372" s="1"/>
  <c r="J26" i="372"/>
  <c r="C10" i="372"/>
  <c r="B10" i="372"/>
  <c r="L9" i="372"/>
  <c r="J9" i="372"/>
  <c r="C9" i="372"/>
  <c r="L8" i="372"/>
  <c r="J8" i="372"/>
  <c r="C8" i="372"/>
  <c r="L7" i="372"/>
  <c r="J7" i="372"/>
  <c r="L6" i="372"/>
  <c r="J6" i="372"/>
  <c r="C6" i="372"/>
  <c r="R31" i="369"/>
  <c r="R29" i="369"/>
  <c r="R28" i="369"/>
  <c r="L28" i="369"/>
  <c r="S30" i="369" s="1"/>
  <c r="J28" i="369"/>
  <c r="C10" i="369"/>
  <c r="B10" i="369"/>
  <c r="L9" i="369"/>
  <c r="J9" i="369"/>
  <c r="C9" i="369"/>
  <c r="L8" i="369"/>
  <c r="J8" i="369"/>
  <c r="C8" i="369"/>
  <c r="L7" i="369"/>
  <c r="J7" i="369"/>
  <c r="L6" i="369"/>
  <c r="J6" i="369"/>
  <c r="C6" i="369"/>
  <c r="R28" i="368"/>
  <c r="R26" i="368"/>
  <c r="L25" i="368"/>
  <c r="S27" i="368" s="1"/>
  <c r="J25" i="368"/>
  <c r="C10" i="368"/>
  <c r="B10" i="368"/>
  <c r="L9" i="368"/>
  <c r="J9" i="368"/>
  <c r="C9" i="368"/>
  <c r="L8" i="368"/>
  <c r="J8" i="368"/>
  <c r="C8" i="368"/>
  <c r="L7" i="368"/>
  <c r="J7" i="368"/>
  <c r="L6" i="368"/>
  <c r="J6" i="368"/>
  <c r="C6" i="368"/>
  <c r="R13" i="362"/>
  <c r="R14" i="362"/>
  <c r="R13" i="365"/>
  <c r="R14" i="365"/>
  <c r="R23" i="364"/>
  <c r="R22" i="364"/>
  <c r="R21" i="364"/>
  <c r="R20" i="364"/>
  <c r="R19" i="364"/>
  <c r="R17" i="364"/>
  <c r="R16" i="364"/>
  <c r="R15" i="364"/>
  <c r="R14" i="364"/>
  <c r="R13" i="364"/>
  <c r="R13" i="360"/>
  <c r="R12" i="360"/>
  <c r="K13" i="359"/>
  <c r="R13" i="359" s="1"/>
  <c r="R28" i="359" s="1"/>
  <c r="K13" i="358"/>
  <c r="R13" i="358" s="1"/>
  <c r="R28" i="358" s="1"/>
  <c r="R15" i="357"/>
  <c r="R14" i="357"/>
  <c r="R13" i="357"/>
  <c r="R13" i="356"/>
  <c r="R29" i="356" s="1"/>
  <c r="R13" i="355"/>
  <c r="R29" i="355" s="1"/>
  <c r="R13" i="352"/>
  <c r="R29" i="352" s="1"/>
  <c r="R12" i="351"/>
  <c r="R28" i="351" s="1"/>
  <c r="R135" i="75"/>
  <c r="T135" i="75" s="1"/>
  <c r="U135" i="75" s="1"/>
  <c r="R134" i="75"/>
  <c r="P133" i="75"/>
  <c r="R133" i="75" s="1"/>
  <c r="R132" i="75"/>
  <c r="S132" i="75" s="1"/>
  <c r="R131" i="75"/>
  <c r="S131" i="75" s="1"/>
  <c r="R130" i="75"/>
  <c r="R129" i="75"/>
  <c r="R128" i="75"/>
  <c r="S128" i="75" s="1"/>
  <c r="P127" i="75"/>
  <c r="R127" i="75" s="1"/>
  <c r="P126" i="75"/>
  <c r="R126" i="75" s="1"/>
  <c r="P125" i="75"/>
  <c r="R125" i="75" s="1"/>
  <c r="T125" i="75" s="1"/>
  <c r="U125" i="75" s="1"/>
  <c r="R122" i="75"/>
  <c r="S122" i="75" s="1"/>
  <c r="R121" i="75"/>
  <c r="S121" i="75" s="1"/>
  <c r="R120" i="75"/>
  <c r="R119" i="75"/>
  <c r="R116" i="75"/>
  <c r="R115" i="75"/>
  <c r="R114" i="75"/>
  <c r="R113" i="75"/>
  <c r="S113" i="75" s="1"/>
  <c r="R112" i="75"/>
  <c r="R111" i="75"/>
  <c r="R108" i="75"/>
  <c r="R107" i="75"/>
  <c r="R106" i="75"/>
  <c r="T106" i="75" s="1"/>
  <c r="U106" i="75" s="1"/>
  <c r="R105" i="75"/>
  <c r="R102" i="75"/>
  <c r="R101" i="75"/>
  <c r="R100" i="75"/>
  <c r="R99" i="75"/>
  <c r="T99" i="75" s="1"/>
  <c r="U99" i="75" s="1"/>
  <c r="R98" i="75"/>
  <c r="R95" i="75"/>
  <c r="R94" i="75"/>
  <c r="R93" i="75"/>
  <c r="R92" i="75"/>
  <c r="R91" i="75"/>
  <c r="R88" i="75"/>
  <c r="R87" i="75"/>
  <c r="T87" i="75" s="1"/>
  <c r="U87" i="75" s="1"/>
  <c r="R86" i="75"/>
  <c r="S86" i="75" s="1"/>
  <c r="R83" i="75"/>
  <c r="R80" i="75"/>
  <c r="T80" i="75" s="1"/>
  <c r="R79" i="75"/>
  <c r="T79" i="75" s="1"/>
  <c r="R78" i="75"/>
  <c r="R77" i="75"/>
  <c r="T77" i="75" s="1"/>
  <c r="R75" i="75"/>
  <c r="T75" i="75" s="1"/>
  <c r="R74" i="75"/>
  <c r="R73" i="75"/>
  <c r="T73" i="75" s="1"/>
  <c r="R72" i="75"/>
  <c r="T72" i="75" s="1"/>
  <c r="R66" i="75"/>
  <c r="R63" i="75"/>
  <c r="R62" i="75"/>
  <c r="T62" i="75" s="1"/>
  <c r="U62" i="75" s="1"/>
  <c r="R61" i="75"/>
  <c r="R60" i="75"/>
  <c r="R56" i="75"/>
  <c r="R55" i="75"/>
  <c r="T41" i="75"/>
  <c r="U41" i="75" s="1"/>
  <c r="U40" i="75"/>
  <c r="U38" i="75"/>
  <c r="R37" i="75"/>
  <c r="T37" i="75" s="1"/>
  <c r="U37" i="75" s="1"/>
  <c r="R19" i="366"/>
  <c r="L19" i="366"/>
  <c r="S21" i="366" s="1"/>
  <c r="J19" i="366"/>
  <c r="C10" i="366"/>
  <c r="B10" i="366"/>
  <c r="L9" i="366"/>
  <c r="J9" i="366"/>
  <c r="C9" i="366"/>
  <c r="L8" i="366"/>
  <c r="J8" i="366"/>
  <c r="C8" i="366"/>
  <c r="L7" i="366"/>
  <c r="J7" i="366"/>
  <c r="L6" i="366"/>
  <c r="J6" i="366"/>
  <c r="C6" i="366"/>
  <c r="R28" i="365"/>
  <c r="R26" i="365"/>
  <c r="L25" i="365"/>
  <c r="S27" i="365" s="1"/>
  <c r="J25" i="365"/>
  <c r="C10" i="365"/>
  <c r="B10" i="365"/>
  <c r="L9" i="365"/>
  <c r="J9" i="365"/>
  <c r="C9" i="365"/>
  <c r="L8" i="365"/>
  <c r="J8" i="365"/>
  <c r="C8" i="365"/>
  <c r="L7" i="365"/>
  <c r="J7" i="365"/>
  <c r="L6" i="365"/>
  <c r="J6" i="365"/>
  <c r="C6" i="365"/>
  <c r="R36" i="364"/>
  <c r="L33" i="364"/>
  <c r="S35" i="364" s="1"/>
  <c r="J33" i="364"/>
  <c r="C10" i="364"/>
  <c r="B10" i="364"/>
  <c r="L9" i="364"/>
  <c r="J9" i="364"/>
  <c r="C9" i="364"/>
  <c r="L8" i="364"/>
  <c r="J8" i="364"/>
  <c r="C8" i="364"/>
  <c r="L7" i="364"/>
  <c r="J7" i="364"/>
  <c r="L6" i="364"/>
  <c r="J6" i="364"/>
  <c r="C6" i="364"/>
  <c r="R23" i="363"/>
  <c r="R20" i="363"/>
  <c r="L20" i="363"/>
  <c r="S22" i="363" s="1"/>
  <c r="J20" i="363"/>
  <c r="C10" i="363"/>
  <c r="B10" i="363"/>
  <c r="L9" i="363"/>
  <c r="J9" i="363"/>
  <c r="C9" i="363"/>
  <c r="L8" i="363"/>
  <c r="J8" i="363"/>
  <c r="C8" i="363"/>
  <c r="L7" i="363"/>
  <c r="J7" i="363"/>
  <c r="L6" i="363"/>
  <c r="J6" i="363"/>
  <c r="C6" i="363"/>
  <c r="R31" i="362"/>
  <c r="R29" i="362"/>
  <c r="L28" i="362"/>
  <c r="S30" i="362" s="1"/>
  <c r="J28" i="362"/>
  <c r="C10" i="362"/>
  <c r="B10" i="362"/>
  <c r="L9" i="362"/>
  <c r="J9" i="362"/>
  <c r="C9" i="362"/>
  <c r="L8" i="362"/>
  <c r="J8" i="362"/>
  <c r="C8" i="362"/>
  <c r="L7" i="362"/>
  <c r="J7" i="362"/>
  <c r="L6" i="362"/>
  <c r="J6" i="362"/>
  <c r="C6" i="362"/>
  <c r="R31" i="361"/>
  <c r="R29" i="361"/>
  <c r="R28" i="361"/>
  <c r="L28" i="361"/>
  <c r="S30" i="361" s="1"/>
  <c r="J28" i="361"/>
  <c r="C10" i="361"/>
  <c r="B10" i="361"/>
  <c r="L9" i="361"/>
  <c r="J9" i="361"/>
  <c r="C9" i="361"/>
  <c r="L8" i="361"/>
  <c r="J8" i="361"/>
  <c r="C8" i="361"/>
  <c r="L7" i="361"/>
  <c r="J7" i="361"/>
  <c r="L6" i="361"/>
  <c r="J6" i="361"/>
  <c r="C6" i="361"/>
  <c r="R27" i="360"/>
  <c r="L24" i="360"/>
  <c r="S26" i="360" s="1"/>
  <c r="J24" i="360"/>
  <c r="C10" i="360"/>
  <c r="B10" i="360"/>
  <c r="L9" i="360"/>
  <c r="J9" i="360"/>
  <c r="C9" i="360"/>
  <c r="L8" i="360"/>
  <c r="J8" i="360"/>
  <c r="C8" i="360"/>
  <c r="L7" i="360"/>
  <c r="J7" i="360"/>
  <c r="L6" i="360"/>
  <c r="J6" i="360"/>
  <c r="C6" i="360"/>
  <c r="R31" i="359"/>
  <c r="R29" i="359"/>
  <c r="L28" i="359"/>
  <c r="S30" i="359" s="1"/>
  <c r="J28" i="359"/>
  <c r="C10" i="359"/>
  <c r="B10" i="359"/>
  <c r="L9" i="359"/>
  <c r="J9" i="359"/>
  <c r="C9" i="359"/>
  <c r="L8" i="359"/>
  <c r="J8" i="359"/>
  <c r="C8" i="359"/>
  <c r="L7" i="359"/>
  <c r="J7" i="359"/>
  <c r="L6" i="359"/>
  <c r="J6" i="359"/>
  <c r="C6" i="359"/>
  <c r="R31" i="358"/>
  <c r="R29" i="358"/>
  <c r="L28" i="358"/>
  <c r="S30" i="358" s="1"/>
  <c r="J28" i="358"/>
  <c r="C10" i="358"/>
  <c r="B10" i="358"/>
  <c r="L9" i="358"/>
  <c r="J9" i="358"/>
  <c r="C9" i="358"/>
  <c r="L8" i="358"/>
  <c r="J8" i="358"/>
  <c r="C8" i="358"/>
  <c r="L7" i="358"/>
  <c r="J7" i="358"/>
  <c r="L6" i="358"/>
  <c r="J6" i="358"/>
  <c r="C6" i="358"/>
  <c r="R29" i="357"/>
  <c r="L26" i="357"/>
  <c r="S28" i="357" s="1"/>
  <c r="J26" i="357"/>
  <c r="C10" i="357"/>
  <c r="B10" i="357"/>
  <c r="L9" i="357"/>
  <c r="J9" i="357"/>
  <c r="C9" i="357"/>
  <c r="L8" i="357"/>
  <c r="J8" i="357"/>
  <c r="C8" i="357"/>
  <c r="L7" i="357"/>
  <c r="J7" i="357"/>
  <c r="L6" i="357"/>
  <c r="J6" i="357"/>
  <c r="C6" i="357"/>
  <c r="R31" i="356"/>
  <c r="L28" i="356"/>
  <c r="S30" i="356" s="1"/>
  <c r="J28" i="356"/>
  <c r="C10" i="356"/>
  <c r="B10" i="356"/>
  <c r="L9" i="356"/>
  <c r="J9" i="356"/>
  <c r="C9" i="356"/>
  <c r="L8" i="356"/>
  <c r="J8" i="356"/>
  <c r="C8" i="356"/>
  <c r="L7" i="356"/>
  <c r="J7" i="356"/>
  <c r="L6" i="356"/>
  <c r="J6" i="356"/>
  <c r="C6" i="356"/>
  <c r="R31" i="355"/>
  <c r="L28" i="355"/>
  <c r="S30" i="355" s="1"/>
  <c r="J28" i="355"/>
  <c r="C10" i="355"/>
  <c r="B10" i="355"/>
  <c r="L9" i="355"/>
  <c r="J9" i="355"/>
  <c r="C9" i="355"/>
  <c r="L8" i="355"/>
  <c r="J8" i="355"/>
  <c r="C8" i="355"/>
  <c r="L7" i="355"/>
  <c r="J7" i="355"/>
  <c r="L6" i="355"/>
  <c r="J6" i="355"/>
  <c r="C6" i="355"/>
  <c r="R30" i="354"/>
  <c r="L27" i="354"/>
  <c r="S29" i="354" s="1"/>
  <c r="J27" i="354"/>
  <c r="C10" i="354"/>
  <c r="B10" i="354"/>
  <c r="L9" i="354"/>
  <c r="J9" i="354"/>
  <c r="C9" i="354"/>
  <c r="L8" i="354"/>
  <c r="J8" i="354"/>
  <c r="C8" i="354"/>
  <c r="L7" i="354"/>
  <c r="J7" i="354"/>
  <c r="L6" i="354"/>
  <c r="J6" i="354"/>
  <c r="C6" i="354"/>
  <c r="R30" i="353"/>
  <c r="L27" i="353"/>
  <c r="S29" i="353" s="1"/>
  <c r="J27" i="353"/>
  <c r="C10" i="353"/>
  <c r="B10" i="353"/>
  <c r="L9" i="353"/>
  <c r="J9" i="353"/>
  <c r="C9" i="353"/>
  <c r="L8" i="353"/>
  <c r="J8" i="353"/>
  <c r="C8" i="353"/>
  <c r="L7" i="353"/>
  <c r="J7" i="353"/>
  <c r="L6" i="353"/>
  <c r="J6" i="353"/>
  <c r="C6" i="353"/>
  <c r="R31" i="352"/>
  <c r="L28" i="352"/>
  <c r="S30" i="352" s="1"/>
  <c r="J28" i="352"/>
  <c r="C10" i="352"/>
  <c r="B10" i="352"/>
  <c r="L9" i="352"/>
  <c r="J9" i="352"/>
  <c r="C9" i="352"/>
  <c r="L8" i="352"/>
  <c r="J8" i="352"/>
  <c r="C8" i="352"/>
  <c r="L7" i="352"/>
  <c r="J7" i="352"/>
  <c r="L6" i="352"/>
  <c r="J6" i="352"/>
  <c r="C6" i="352"/>
  <c r="R31" i="351"/>
  <c r="R29" i="351"/>
  <c r="L28" i="351"/>
  <c r="S30" i="351" s="1"/>
  <c r="J28" i="351"/>
  <c r="C10" i="351"/>
  <c r="B10" i="351"/>
  <c r="L9" i="351"/>
  <c r="J9" i="351"/>
  <c r="C9" i="351"/>
  <c r="L8" i="351"/>
  <c r="J8" i="351"/>
  <c r="C8" i="351"/>
  <c r="L7" i="351"/>
  <c r="J7" i="351"/>
  <c r="L6" i="351"/>
  <c r="J6" i="351"/>
  <c r="C6" i="351"/>
  <c r="R570" i="75"/>
  <c r="O570" i="75"/>
  <c r="R728" i="75"/>
  <c r="T728" i="75" s="1"/>
  <c r="U728" i="75" s="1"/>
  <c r="O728" i="75"/>
  <c r="R727" i="75"/>
  <c r="S727" i="75" s="1"/>
  <c r="O727" i="75"/>
  <c r="R726" i="75"/>
  <c r="S726" i="75" s="1"/>
  <c r="O726" i="75"/>
  <c r="R725" i="75"/>
  <c r="O725" i="75"/>
  <c r="R724" i="75"/>
  <c r="T724" i="75" s="1"/>
  <c r="U724" i="75" s="1"/>
  <c r="O724" i="75"/>
  <c r="T723" i="75"/>
  <c r="T722" i="75"/>
  <c r="R720" i="75"/>
  <c r="S720" i="75" s="1"/>
  <c r="O720" i="75"/>
  <c r="R719" i="75"/>
  <c r="O719" i="75"/>
  <c r="R718" i="75"/>
  <c r="T718" i="75" s="1"/>
  <c r="U718" i="75" s="1"/>
  <c r="O718" i="75"/>
  <c r="R717" i="75"/>
  <c r="S717" i="75" s="1"/>
  <c r="O717" i="75"/>
  <c r="T716" i="75"/>
  <c r="O714" i="75"/>
  <c r="T713" i="75"/>
  <c r="U713" i="75" s="1"/>
  <c r="O713" i="75"/>
  <c r="S712" i="75"/>
  <c r="O712" i="75"/>
  <c r="S711" i="75"/>
  <c r="O711" i="75"/>
  <c r="O710" i="75"/>
  <c r="R709" i="75"/>
  <c r="O709" i="75"/>
  <c r="R708" i="75"/>
  <c r="O708" i="75"/>
  <c r="R707" i="75"/>
  <c r="S707" i="75" s="1"/>
  <c r="O707" i="75"/>
  <c r="R706" i="75"/>
  <c r="S706" i="75" s="1"/>
  <c r="O706" i="75"/>
  <c r="R705" i="75"/>
  <c r="S705" i="75" s="1"/>
  <c r="O705" i="75"/>
  <c r="R704" i="75"/>
  <c r="O704" i="75"/>
  <c r="R703" i="75"/>
  <c r="O703" i="75"/>
  <c r="R702" i="75"/>
  <c r="S702" i="75" s="1"/>
  <c r="O702" i="75"/>
  <c r="R701" i="75"/>
  <c r="O701" i="75"/>
  <c r="R700" i="75"/>
  <c r="O700" i="75"/>
  <c r="R699" i="75"/>
  <c r="O699" i="75"/>
  <c r="R698" i="75"/>
  <c r="O698" i="75"/>
  <c r="R697" i="75"/>
  <c r="O697" i="75"/>
  <c r="R696" i="75"/>
  <c r="O696" i="75"/>
  <c r="T695" i="75"/>
  <c r="T694" i="75"/>
  <c r="P691" i="75"/>
  <c r="R691" i="75" s="1"/>
  <c r="O691" i="75"/>
  <c r="P690" i="75"/>
  <c r="R690" i="75" s="1"/>
  <c r="S690" i="75" s="1"/>
  <c r="O690" i="75"/>
  <c r="O689" i="75"/>
  <c r="T688" i="75"/>
  <c r="T687" i="75"/>
  <c r="P685" i="75"/>
  <c r="R685" i="75" s="1"/>
  <c r="O685" i="75"/>
  <c r="O684" i="75" s="1"/>
  <c r="T684" i="75"/>
  <c r="P679" i="75"/>
  <c r="R679" i="75" s="1"/>
  <c r="T679" i="75" s="1"/>
  <c r="U679" i="75" s="1"/>
  <c r="O679" i="75"/>
  <c r="P678" i="75"/>
  <c r="R678" i="75" s="1"/>
  <c r="T678" i="75" s="1"/>
  <c r="O678" i="75"/>
  <c r="P677" i="75"/>
  <c r="R677" i="75" s="1"/>
  <c r="O677" i="75"/>
  <c r="P676" i="75"/>
  <c r="R676" i="75" s="1"/>
  <c r="O676" i="75"/>
  <c r="P675" i="75"/>
  <c r="R675" i="75" s="1"/>
  <c r="O675" i="75"/>
  <c r="P674" i="75"/>
  <c r="R674" i="75" s="1"/>
  <c r="T674" i="75" s="1"/>
  <c r="O674" i="75"/>
  <c r="P673" i="75"/>
  <c r="R673" i="75" s="1"/>
  <c r="T673" i="75" s="1"/>
  <c r="O673" i="75"/>
  <c r="P672" i="75"/>
  <c r="R672" i="75" s="1"/>
  <c r="T672" i="75" s="1"/>
  <c r="O672" i="75"/>
  <c r="P671" i="75"/>
  <c r="R671" i="75" s="1"/>
  <c r="T671" i="75" s="1"/>
  <c r="O671" i="75"/>
  <c r="T670" i="75"/>
  <c r="U670" i="75" s="1"/>
  <c r="O670" i="75"/>
  <c r="P669" i="75"/>
  <c r="R669" i="75" s="1"/>
  <c r="O669" i="75"/>
  <c r="R668" i="75"/>
  <c r="P667" i="75"/>
  <c r="R667" i="75" s="1"/>
  <c r="T667" i="75" s="1"/>
  <c r="O667" i="75"/>
  <c r="O666" i="75"/>
  <c r="T665" i="75"/>
  <c r="P663" i="75"/>
  <c r="R663" i="75" s="1"/>
  <c r="O663" i="75"/>
  <c r="O662" i="75" s="1"/>
  <c r="T662" i="75"/>
  <c r="R659" i="75"/>
  <c r="O659" i="75"/>
  <c r="R658" i="75"/>
  <c r="S658" i="75" s="1"/>
  <c r="O658" i="75"/>
  <c r="R657" i="75"/>
  <c r="O657" i="75"/>
  <c r="P656" i="75"/>
  <c r="R656" i="75" s="1"/>
  <c r="S656" i="75" s="1"/>
  <c r="O656" i="75"/>
  <c r="R655" i="75"/>
  <c r="T655" i="75" s="1"/>
  <c r="O655" i="75"/>
  <c r="R654" i="75"/>
  <c r="S654" i="75" s="1"/>
  <c r="O654" i="75"/>
  <c r="R653" i="75"/>
  <c r="S653" i="75" s="1"/>
  <c r="O653" i="75"/>
  <c r="R652" i="75"/>
  <c r="O652" i="75"/>
  <c r="R651" i="75"/>
  <c r="T651" i="75" s="1"/>
  <c r="U651" i="75" s="1"/>
  <c r="O651" i="75"/>
  <c r="R650" i="75"/>
  <c r="S650" i="75" s="1"/>
  <c r="O650" i="75"/>
  <c r="R649" i="75"/>
  <c r="O649" i="75"/>
  <c r="S648" i="75"/>
  <c r="O648" i="75"/>
  <c r="T647" i="75"/>
  <c r="T646" i="75"/>
  <c r="R644" i="75"/>
  <c r="T644" i="75" s="1"/>
  <c r="U644" i="75" s="1"/>
  <c r="O644" i="75"/>
  <c r="R643" i="75"/>
  <c r="O643" i="75"/>
  <c r="R642" i="75"/>
  <c r="O642" i="75"/>
  <c r="R641" i="75"/>
  <c r="O641" i="75"/>
  <c r="R640" i="75"/>
  <c r="O640" i="75"/>
  <c r="R639" i="75"/>
  <c r="O639" i="75"/>
  <c r="R638" i="75"/>
  <c r="O638" i="75"/>
  <c r="R637" i="75"/>
  <c r="O637" i="75"/>
  <c r="R636" i="75"/>
  <c r="T636" i="75" s="1"/>
  <c r="U636" i="75" s="1"/>
  <c r="O636" i="75"/>
  <c r="R635" i="75"/>
  <c r="O635" i="75"/>
  <c r="O634" i="75"/>
  <c r="T633" i="75"/>
  <c r="R631" i="75"/>
  <c r="O631" i="75"/>
  <c r="R630" i="75"/>
  <c r="O630" i="75"/>
  <c r="R629" i="75"/>
  <c r="O629" i="75"/>
  <c r="R628" i="75"/>
  <c r="O628" i="75"/>
  <c r="T627" i="75"/>
  <c r="R625" i="75"/>
  <c r="S625" i="75" s="1"/>
  <c r="O625" i="75"/>
  <c r="R624" i="75"/>
  <c r="O624" i="75"/>
  <c r="R623" i="75"/>
  <c r="O623" i="75"/>
  <c r="R622" i="75"/>
  <c r="O622" i="75"/>
  <c r="R621" i="75"/>
  <c r="S621" i="75" s="1"/>
  <c r="O621" i="75"/>
  <c r="R620" i="75"/>
  <c r="T619" i="75"/>
  <c r="R617" i="75"/>
  <c r="O617" i="75"/>
  <c r="R616" i="75"/>
  <c r="S616" i="75" s="1"/>
  <c r="O616" i="75"/>
  <c r="R615" i="75"/>
  <c r="O615" i="75"/>
  <c r="R614" i="75"/>
  <c r="T614" i="75" s="1"/>
  <c r="U614" i="75" s="1"/>
  <c r="O614" i="75"/>
  <c r="T613" i="75"/>
  <c r="R611" i="75"/>
  <c r="S611" i="75" s="1"/>
  <c r="O611" i="75"/>
  <c r="R610" i="75"/>
  <c r="T610" i="75" s="1"/>
  <c r="U610" i="75" s="1"/>
  <c r="O610" i="75"/>
  <c r="R609" i="75"/>
  <c r="O609" i="75"/>
  <c r="R608" i="75"/>
  <c r="O608" i="75"/>
  <c r="R607" i="75"/>
  <c r="S607" i="75" s="1"/>
  <c r="O607" i="75"/>
  <c r="T606" i="75"/>
  <c r="R604" i="75"/>
  <c r="O604" i="75"/>
  <c r="R603" i="75"/>
  <c r="T603" i="75" s="1"/>
  <c r="U603" i="75" s="1"/>
  <c r="O603" i="75"/>
  <c r="R602" i="75"/>
  <c r="S602" i="75" s="1"/>
  <c r="O602" i="75"/>
  <c r="R601" i="75"/>
  <c r="O601" i="75"/>
  <c r="R600" i="75"/>
  <c r="T600" i="75" s="1"/>
  <c r="U600" i="75" s="1"/>
  <c r="O600" i="75"/>
  <c r="T599" i="75"/>
  <c r="S597" i="75"/>
  <c r="O597" i="75"/>
  <c r="R596" i="75"/>
  <c r="O596" i="75"/>
  <c r="R595" i="75"/>
  <c r="T595" i="75" s="1"/>
  <c r="U595" i="75" s="1"/>
  <c r="O595" i="75"/>
  <c r="T594" i="75"/>
  <c r="R592" i="75"/>
  <c r="O591" i="75"/>
  <c r="T591" i="75"/>
  <c r="P588" i="75"/>
  <c r="R588" i="75" s="1"/>
  <c r="T588" i="75" s="1"/>
  <c r="U588" i="75" s="1"/>
  <c r="O588" i="75"/>
  <c r="O587" i="75"/>
  <c r="R586" i="75"/>
  <c r="O586" i="75"/>
  <c r="R585" i="75"/>
  <c r="S585" i="75" s="1"/>
  <c r="O585" i="75"/>
  <c r="O583" i="75"/>
  <c r="P582" i="75"/>
  <c r="R582" i="75" s="1"/>
  <c r="O582" i="75"/>
  <c r="R581" i="75"/>
  <c r="O581" i="75"/>
  <c r="P580" i="75"/>
  <c r="R580" i="75" s="1"/>
  <c r="O580" i="75"/>
  <c r="P579" i="75"/>
  <c r="R579" i="75" s="1"/>
  <c r="O579" i="75"/>
  <c r="O578" i="75"/>
  <c r="T577" i="75"/>
  <c r="R574" i="75"/>
  <c r="O574" i="75"/>
  <c r="O573" i="75" s="1"/>
  <c r="T573" i="75"/>
  <c r="T572" i="75"/>
  <c r="R571" i="75"/>
  <c r="O571" i="75"/>
  <c r="R569" i="75"/>
  <c r="S569" i="75" s="1"/>
  <c r="O569" i="75"/>
  <c r="T568" i="75"/>
  <c r="T567" i="75"/>
  <c r="R565" i="75"/>
  <c r="O565" i="75"/>
  <c r="R564" i="75"/>
  <c r="O564" i="75"/>
  <c r="R563" i="75"/>
  <c r="S563" i="75" s="1"/>
  <c r="O563" i="75"/>
  <c r="T562" i="75"/>
  <c r="R560" i="75"/>
  <c r="O560" i="75"/>
  <c r="O559" i="75" s="1"/>
  <c r="T559" i="75"/>
  <c r="T558" i="75"/>
  <c r="T557" i="75"/>
  <c r="P396" i="75"/>
  <c r="R396" i="75" s="1"/>
  <c r="O396" i="75"/>
  <c r="P555" i="75"/>
  <c r="R555" i="75" s="1"/>
  <c r="T555" i="75" s="1"/>
  <c r="U555" i="75" s="1"/>
  <c r="O555" i="75"/>
  <c r="P554" i="75"/>
  <c r="R554" i="75" s="1"/>
  <c r="S554" i="75" s="1"/>
  <c r="O554" i="75"/>
  <c r="P553" i="75"/>
  <c r="R553" i="75" s="1"/>
  <c r="S553" i="75" s="1"/>
  <c r="O553" i="75"/>
  <c r="P552" i="75"/>
  <c r="R552" i="75" s="1"/>
  <c r="O552" i="75"/>
  <c r="P551" i="75"/>
  <c r="R551" i="75" s="1"/>
  <c r="O551" i="75"/>
  <c r="T550" i="75"/>
  <c r="P547" i="75"/>
  <c r="R547" i="75" s="1"/>
  <c r="O547" i="75"/>
  <c r="P546" i="75"/>
  <c r="R546" i="75" s="1"/>
  <c r="O546" i="75"/>
  <c r="P545" i="75"/>
  <c r="R545" i="75" s="1"/>
  <c r="T545" i="75" s="1"/>
  <c r="U545" i="75" s="1"/>
  <c r="O545" i="75"/>
  <c r="P544" i="75"/>
  <c r="R544" i="75" s="1"/>
  <c r="O544" i="75"/>
  <c r="T543" i="75"/>
  <c r="U542" i="75"/>
  <c r="T542" i="75"/>
  <c r="P541" i="75"/>
  <c r="R541" i="75" s="1"/>
  <c r="O541" i="75"/>
  <c r="P540" i="75"/>
  <c r="R540" i="75" s="1"/>
  <c r="O540" i="75"/>
  <c r="P539" i="75"/>
  <c r="R539" i="75" s="1"/>
  <c r="S539" i="75" s="1"/>
  <c r="O539" i="75"/>
  <c r="P538" i="75"/>
  <c r="R538" i="75" s="1"/>
  <c r="O538" i="75"/>
  <c r="P537" i="75"/>
  <c r="R537" i="75" s="1"/>
  <c r="O537" i="75"/>
  <c r="P536" i="75"/>
  <c r="R536" i="75" s="1"/>
  <c r="T536" i="75" s="1"/>
  <c r="U536" i="75" s="1"/>
  <c r="O536" i="75"/>
  <c r="P535" i="75"/>
  <c r="R535" i="75" s="1"/>
  <c r="O535" i="75"/>
  <c r="P534" i="75"/>
  <c r="R534" i="75" s="1"/>
  <c r="O534" i="75"/>
  <c r="P533" i="75"/>
  <c r="R533" i="75" s="1"/>
  <c r="O533" i="75"/>
  <c r="P532" i="75"/>
  <c r="R532" i="75" s="1"/>
  <c r="O532" i="75"/>
  <c r="P531" i="75"/>
  <c r="R531" i="75" s="1"/>
  <c r="O531" i="75"/>
  <c r="P530" i="75"/>
  <c r="R530" i="75" s="1"/>
  <c r="S530" i="75" s="1"/>
  <c r="O530" i="75"/>
  <c r="P529" i="75"/>
  <c r="R529" i="75" s="1"/>
  <c r="O529" i="75"/>
  <c r="P528" i="75"/>
  <c r="R528" i="75" s="1"/>
  <c r="O528" i="75"/>
  <c r="P527" i="75"/>
  <c r="R527" i="75" s="1"/>
  <c r="O527" i="75"/>
  <c r="P526" i="75"/>
  <c r="R526" i="75" s="1"/>
  <c r="O526" i="75"/>
  <c r="P525" i="75"/>
  <c r="R525" i="75" s="1"/>
  <c r="O525" i="75"/>
  <c r="P524" i="75"/>
  <c r="R524" i="75" s="1"/>
  <c r="O524" i="75"/>
  <c r="P523" i="75"/>
  <c r="R523" i="75" s="1"/>
  <c r="S523" i="75" s="1"/>
  <c r="O523" i="75"/>
  <c r="T522" i="75"/>
  <c r="T521" i="75"/>
  <c r="R519" i="75"/>
  <c r="O519" i="75"/>
  <c r="P518" i="75"/>
  <c r="R518" i="75" s="1"/>
  <c r="O518" i="75"/>
  <c r="P517" i="75"/>
  <c r="R517" i="75" s="1"/>
  <c r="O517" i="75"/>
  <c r="R516" i="75"/>
  <c r="S516" i="75" s="1"/>
  <c r="O516" i="75"/>
  <c r="T515" i="75"/>
  <c r="T514" i="75"/>
  <c r="P512" i="75"/>
  <c r="R512" i="75" s="1"/>
  <c r="T512" i="75" s="1"/>
  <c r="U512" i="75" s="1"/>
  <c r="U511" i="75" s="1"/>
  <c r="O512" i="75"/>
  <c r="O511" i="75" s="1"/>
  <c r="T511" i="75"/>
  <c r="P509" i="75"/>
  <c r="R509" i="75" s="1"/>
  <c r="O509" i="75"/>
  <c r="P508" i="75"/>
  <c r="R508" i="75" s="1"/>
  <c r="O508" i="75"/>
  <c r="P507" i="75"/>
  <c r="R507" i="75" s="1"/>
  <c r="O507" i="75"/>
  <c r="R506" i="75"/>
  <c r="S506" i="75" s="1"/>
  <c r="O506" i="75"/>
  <c r="R505" i="75"/>
  <c r="O505" i="75"/>
  <c r="R504" i="75"/>
  <c r="S504" i="75" s="1"/>
  <c r="O504" i="75"/>
  <c r="R503" i="75"/>
  <c r="S503" i="75" s="1"/>
  <c r="O503" i="75"/>
  <c r="R502" i="75"/>
  <c r="O502" i="75"/>
  <c r="R501" i="75"/>
  <c r="O501" i="75"/>
  <c r="R500" i="75"/>
  <c r="O500" i="75"/>
  <c r="R499" i="75"/>
  <c r="O499" i="75"/>
  <c r="R498" i="75"/>
  <c r="O498" i="75"/>
  <c r="S497" i="75"/>
  <c r="O497" i="75"/>
  <c r="O496" i="75"/>
  <c r="T495" i="75"/>
  <c r="P493" i="75"/>
  <c r="R493" i="75" s="1"/>
  <c r="O493" i="75"/>
  <c r="O492" i="75" s="1"/>
  <c r="T492" i="75"/>
  <c r="R489" i="75"/>
  <c r="O489" i="75"/>
  <c r="P488" i="75"/>
  <c r="R488" i="75" s="1"/>
  <c r="O488" i="75"/>
  <c r="P487" i="75"/>
  <c r="R487" i="75" s="1"/>
  <c r="O487" i="75"/>
  <c r="P486" i="75"/>
  <c r="R486" i="75" s="1"/>
  <c r="S486" i="75" s="1"/>
  <c r="O486" i="75"/>
  <c r="R485" i="75"/>
  <c r="S485" i="75" s="1"/>
  <c r="O485" i="75"/>
  <c r="P484" i="75"/>
  <c r="R484" i="75" s="1"/>
  <c r="T484" i="75" s="1"/>
  <c r="U484" i="75" s="1"/>
  <c r="O484" i="75"/>
  <c r="R483" i="75"/>
  <c r="S483" i="75" s="1"/>
  <c r="O483" i="75"/>
  <c r="O481" i="75"/>
  <c r="R480" i="75"/>
  <c r="O479" i="75"/>
  <c r="S478" i="75"/>
  <c r="O478" i="75"/>
  <c r="T477" i="75"/>
  <c r="T476" i="75"/>
  <c r="P474" i="75"/>
  <c r="R474" i="75" s="1"/>
  <c r="O474" i="75"/>
  <c r="P473" i="75"/>
  <c r="R473" i="75" s="1"/>
  <c r="O473" i="75"/>
  <c r="P472" i="75"/>
  <c r="R472" i="75" s="1"/>
  <c r="O472" i="75"/>
  <c r="P471" i="75"/>
  <c r="R471" i="75" s="1"/>
  <c r="O471" i="75"/>
  <c r="P470" i="75"/>
  <c r="R470" i="75" s="1"/>
  <c r="O470" i="75"/>
  <c r="P469" i="75"/>
  <c r="R469" i="75" s="1"/>
  <c r="S469" i="75" s="1"/>
  <c r="O469" i="75"/>
  <c r="P468" i="75"/>
  <c r="R468" i="75" s="1"/>
  <c r="S468" i="75" s="1"/>
  <c r="O468" i="75"/>
  <c r="P467" i="75"/>
  <c r="R467" i="75" s="1"/>
  <c r="T467" i="75" s="1"/>
  <c r="U467" i="75" s="1"/>
  <c r="O467" i="75"/>
  <c r="P466" i="75"/>
  <c r="R466" i="75" s="1"/>
  <c r="T466" i="75" s="1"/>
  <c r="U466" i="75" s="1"/>
  <c r="O466" i="75"/>
  <c r="P465" i="75"/>
  <c r="R465" i="75" s="1"/>
  <c r="S465" i="75" s="1"/>
  <c r="O465" i="75"/>
  <c r="P464" i="75"/>
  <c r="R464" i="75" s="1"/>
  <c r="S464" i="75" s="1"/>
  <c r="O464" i="75"/>
  <c r="T463" i="75"/>
  <c r="P461" i="75"/>
  <c r="R461" i="75" s="1"/>
  <c r="T461" i="75" s="1"/>
  <c r="U461" i="75" s="1"/>
  <c r="O461" i="75"/>
  <c r="P460" i="75"/>
  <c r="R460" i="75" s="1"/>
  <c r="S460" i="75" s="1"/>
  <c r="O460" i="75"/>
  <c r="P459" i="75"/>
  <c r="R459" i="75" s="1"/>
  <c r="S459" i="75" s="1"/>
  <c r="O459" i="75"/>
  <c r="P458" i="75"/>
  <c r="R458" i="75" s="1"/>
  <c r="S458" i="75" s="1"/>
  <c r="O458" i="75"/>
  <c r="T457" i="75"/>
  <c r="P455" i="75"/>
  <c r="R455" i="75" s="1"/>
  <c r="O455" i="75"/>
  <c r="P454" i="75"/>
  <c r="R454" i="75" s="1"/>
  <c r="T454" i="75" s="1"/>
  <c r="U454" i="75" s="1"/>
  <c r="O454" i="75"/>
  <c r="P453" i="75"/>
  <c r="R453" i="75" s="1"/>
  <c r="S453" i="75" s="1"/>
  <c r="O453" i="75"/>
  <c r="P452" i="75"/>
  <c r="R452" i="75" s="1"/>
  <c r="O452" i="75"/>
  <c r="P451" i="75"/>
  <c r="R451" i="75" s="1"/>
  <c r="T451" i="75" s="1"/>
  <c r="U451" i="75" s="1"/>
  <c r="O451" i="75"/>
  <c r="P450" i="75"/>
  <c r="R450" i="75" s="1"/>
  <c r="T450" i="75" s="1"/>
  <c r="U450" i="75" s="1"/>
  <c r="O450" i="75"/>
  <c r="T449" i="75"/>
  <c r="P447" i="75"/>
  <c r="R447" i="75" s="1"/>
  <c r="O447" i="75"/>
  <c r="P446" i="75"/>
  <c r="R446" i="75" s="1"/>
  <c r="T446" i="75" s="1"/>
  <c r="U446" i="75" s="1"/>
  <c r="O446" i="75"/>
  <c r="P445" i="75"/>
  <c r="R445" i="75" s="1"/>
  <c r="T445" i="75" s="1"/>
  <c r="U445" i="75" s="1"/>
  <c r="O445" i="75"/>
  <c r="P444" i="75"/>
  <c r="R444" i="75" s="1"/>
  <c r="S444" i="75" s="1"/>
  <c r="O444" i="75"/>
  <c r="T443" i="75"/>
  <c r="P441" i="75"/>
  <c r="R441" i="75" s="1"/>
  <c r="O441" i="75"/>
  <c r="P440" i="75"/>
  <c r="R440" i="75" s="1"/>
  <c r="T440" i="75" s="1"/>
  <c r="U440" i="75" s="1"/>
  <c r="O440" i="75"/>
  <c r="P439" i="75"/>
  <c r="R439" i="75" s="1"/>
  <c r="O439" i="75"/>
  <c r="P438" i="75"/>
  <c r="R438" i="75" s="1"/>
  <c r="O438" i="75"/>
  <c r="P437" i="75"/>
  <c r="R437" i="75" s="1"/>
  <c r="T437" i="75" s="1"/>
  <c r="U437" i="75" s="1"/>
  <c r="O437" i="75"/>
  <c r="T436" i="75"/>
  <c r="U435" i="75"/>
  <c r="T435" i="75"/>
  <c r="P434" i="75"/>
  <c r="R434" i="75" s="1"/>
  <c r="O434" i="75"/>
  <c r="P433" i="75"/>
  <c r="R433" i="75" s="1"/>
  <c r="O433" i="75"/>
  <c r="P432" i="75"/>
  <c r="R432" i="75" s="1"/>
  <c r="T432" i="75" s="1"/>
  <c r="U432" i="75" s="1"/>
  <c r="O432" i="75"/>
  <c r="P431" i="75"/>
  <c r="R431" i="75" s="1"/>
  <c r="T431" i="75" s="1"/>
  <c r="U431" i="75" s="1"/>
  <c r="O431" i="75"/>
  <c r="P430" i="75"/>
  <c r="R430" i="75" s="1"/>
  <c r="T430" i="75" s="1"/>
  <c r="U430" i="75" s="1"/>
  <c r="O430" i="75"/>
  <c r="T429" i="75"/>
  <c r="U428" i="75"/>
  <c r="T428" i="75"/>
  <c r="P427" i="75"/>
  <c r="R427" i="75" s="1"/>
  <c r="O427" i="75"/>
  <c r="P426" i="75"/>
  <c r="R426" i="75" s="1"/>
  <c r="S426" i="75" s="1"/>
  <c r="O426" i="75"/>
  <c r="P425" i="75"/>
  <c r="R425" i="75" s="1"/>
  <c r="T425" i="75" s="1"/>
  <c r="U425" i="75" s="1"/>
  <c r="O425" i="75"/>
  <c r="T424" i="75"/>
  <c r="U423" i="75"/>
  <c r="T423" i="75"/>
  <c r="R422" i="75"/>
  <c r="O422" i="75"/>
  <c r="O421" i="75" s="1"/>
  <c r="T421" i="75"/>
  <c r="P419" i="75"/>
  <c r="R419" i="75" s="1"/>
  <c r="T419" i="75" s="1"/>
  <c r="O419" i="75"/>
  <c r="P418" i="75"/>
  <c r="R418" i="75" s="1"/>
  <c r="T418" i="75" s="1"/>
  <c r="U418" i="75" s="1"/>
  <c r="O418" i="75"/>
  <c r="P417" i="75"/>
  <c r="R417" i="75" s="1"/>
  <c r="S417" i="75" s="1"/>
  <c r="O417" i="75"/>
  <c r="P416" i="75"/>
  <c r="R416" i="75" s="1"/>
  <c r="T416" i="75" s="1"/>
  <c r="U416" i="75" s="1"/>
  <c r="O416" i="75"/>
  <c r="P415" i="75"/>
  <c r="R415" i="75" s="1"/>
  <c r="T415" i="75" s="1"/>
  <c r="U415" i="75" s="1"/>
  <c r="O415" i="75"/>
  <c r="P414" i="75"/>
  <c r="R414" i="75" s="1"/>
  <c r="T414" i="75" s="1"/>
  <c r="U414" i="75" s="1"/>
  <c r="O414" i="75"/>
  <c r="P413" i="75"/>
  <c r="R413" i="75" s="1"/>
  <c r="O413" i="75"/>
  <c r="P412" i="75"/>
  <c r="R412" i="75" s="1"/>
  <c r="O412" i="75"/>
  <c r="P411" i="75"/>
  <c r="R411" i="75" s="1"/>
  <c r="S411" i="75" s="1"/>
  <c r="O411" i="75"/>
  <c r="P410" i="75"/>
  <c r="R410" i="75" s="1"/>
  <c r="O410" i="75"/>
  <c r="R409" i="75"/>
  <c r="O409" i="75"/>
  <c r="T408" i="75"/>
  <c r="U407" i="75"/>
  <c r="T407" i="75"/>
  <c r="P405" i="75"/>
  <c r="R405" i="75" s="1"/>
  <c r="T405" i="75" s="1"/>
  <c r="U405" i="75" s="1"/>
  <c r="U404" i="75" s="1"/>
  <c r="O405" i="75"/>
  <c r="O404" i="75" s="1"/>
  <c r="T404" i="75"/>
  <c r="T403" i="75"/>
  <c r="O402" i="75"/>
  <c r="O401" i="75"/>
  <c r="T400" i="75"/>
  <c r="T399" i="75"/>
  <c r="P397" i="75"/>
  <c r="R397" i="75" s="1"/>
  <c r="T397" i="75" s="1"/>
  <c r="U397" i="75" s="1"/>
  <c r="O397" i="75"/>
  <c r="P395" i="75"/>
  <c r="R395" i="75" s="1"/>
  <c r="S395" i="75" s="1"/>
  <c r="O395" i="75"/>
  <c r="T394" i="75"/>
  <c r="R392" i="75"/>
  <c r="O392" i="75"/>
  <c r="O391" i="75" s="1"/>
  <c r="T391" i="75"/>
  <c r="T390" i="75"/>
  <c r="T389" i="75"/>
  <c r="R350" i="75"/>
  <c r="T350" i="75" s="1"/>
  <c r="U350" i="75" s="1"/>
  <c r="O350" i="75"/>
  <c r="R330" i="75"/>
  <c r="T330" i="75" s="1"/>
  <c r="U330" i="75" s="1"/>
  <c r="O330" i="75"/>
  <c r="P329" i="75"/>
  <c r="R329" i="75" s="1"/>
  <c r="O329" i="75"/>
  <c r="R387" i="75"/>
  <c r="O387" i="75"/>
  <c r="R386" i="75"/>
  <c r="S386" i="75" s="1"/>
  <c r="O386" i="75"/>
  <c r="R385" i="75"/>
  <c r="S385" i="75" s="1"/>
  <c r="O385" i="75"/>
  <c r="R384" i="75"/>
  <c r="O384" i="75"/>
  <c r="R383" i="75"/>
  <c r="O383" i="75"/>
  <c r="T382" i="75"/>
  <c r="T381" i="75"/>
  <c r="R379" i="75"/>
  <c r="O379" i="75"/>
  <c r="R378" i="75"/>
  <c r="O378" i="75"/>
  <c r="R377" i="75"/>
  <c r="O377" i="75"/>
  <c r="R376" i="75"/>
  <c r="S376" i="75" s="1"/>
  <c r="O376" i="75"/>
  <c r="T375" i="75"/>
  <c r="R373" i="75"/>
  <c r="O373" i="75"/>
  <c r="R372" i="75"/>
  <c r="T372" i="75" s="1"/>
  <c r="O372" i="75"/>
  <c r="R371" i="75"/>
  <c r="S371" i="75" s="1"/>
  <c r="O371" i="75"/>
  <c r="R370" i="75"/>
  <c r="S370" i="75" s="1"/>
  <c r="O370" i="75"/>
  <c r="R369" i="75"/>
  <c r="O369" i="75"/>
  <c r="R368" i="75"/>
  <c r="O368" i="75"/>
  <c r="R367" i="75"/>
  <c r="O367" i="75"/>
  <c r="R366" i="75"/>
  <c r="S366" i="75" s="1"/>
  <c r="O366" i="75"/>
  <c r="R365" i="75"/>
  <c r="S365" i="75" s="1"/>
  <c r="O365" i="75"/>
  <c r="R364" i="75"/>
  <c r="O364" i="75"/>
  <c r="R363" i="75"/>
  <c r="O363" i="75"/>
  <c r="R362" i="75"/>
  <c r="S362" i="75" s="1"/>
  <c r="O362" i="75"/>
  <c r="R361" i="75"/>
  <c r="S361" i="75" s="1"/>
  <c r="O361" i="75"/>
  <c r="R360" i="75"/>
  <c r="O360" i="75"/>
  <c r="R359" i="75"/>
  <c r="O359" i="75"/>
  <c r="R358" i="75"/>
  <c r="S358" i="75" s="1"/>
  <c r="O358" i="75"/>
  <c r="R357" i="75"/>
  <c r="S357" i="75" s="1"/>
  <c r="O357" i="75"/>
  <c r="R356" i="75"/>
  <c r="O356" i="75"/>
  <c r="R355" i="75"/>
  <c r="O355" i="75"/>
  <c r="T354" i="75"/>
  <c r="T353" i="75"/>
  <c r="R351" i="75"/>
  <c r="O351" i="75"/>
  <c r="R349" i="75"/>
  <c r="O349" i="75"/>
  <c r="T347" i="75"/>
  <c r="T346" i="75"/>
  <c r="R344" i="75"/>
  <c r="S344" i="75" s="1"/>
  <c r="S343" i="75" s="1"/>
  <c r="O344" i="75"/>
  <c r="O343" i="75" s="1"/>
  <c r="T343" i="75"/>
  <c r="R337" i="75"/>
  <c r="O337" i="75"/>
  <c r="P336" i="75"/>
  <c r="R336" i="75" s="1"/>
  <c r="O336" i="75"/>
  <c r="R335" i="75"/>
  <c r="O335" i="75"/>
  <c r="P334" i="75"/>
  <c r="R334" i="75" s="1"/>
  <c r="O334" i="75"/>
  <c r="P333" i="75"/>
  <c r="R333" i="75" s="1"/>
  <c r="S333" i="75" s="1"/>
  <c r="O333" i="75"/>
  <c r="P332" i="75"/>
  <c r="R332" i="75" s="1"/>
  <c r="O332" i="75"/>
  <c r="P331" i="75"/>
  <c r="R331" i="75" s="1"/>
  <c r="O331" i="75"/>
  <c r="R328" i="75"/>
  <c r="T328" i="75" s="1"/>
  <c r="U328" i="75" s="1"/>
  <c r="O328" i="75"/>
  <c r="P327" i="75"/>
  <c r="R327" i="75" s="1"/>
  <c r="S327" i="75" s="1"/>
  <c r="O327" i="75"/>
  <c r="R326" i="75"/>
  <c r="T326" i="75" s="1"/>
  <c r="U326" i="75" s="1"/>
  <c r="O326" i="75"/>
  <c r="P325" i="75"/>
  <c r="R325" i="75" s="1"/>
  <c r="O325" i="75"/>
  <c r="O324" i="75"/>
  <c r="T323" i="75"/>
  <c r="R321" i="75"/>
  <c r="O321" i="75"/>
  <c r="O320" i="75" s="1"/>
  <c r="T320" i="75"/>
  <c r="R317" i="75"/>
  <c r="O317" i="75"/>
  <c r="R316" i="75"/>
  <c r="O316" i="75"/>
  <c r="R315" i="75"/>
  <c r="S315" i="75" s="1"/>
  <c r="O315" i="75"/>
  <c r="R314" i="75"/>
  <c r="O314" i="75"/>
  <c r="R313" i="75"/>
  <c r="O313" i="75"/>
  <c r="T312" i="75"/>
  <c r="O312" i="75"/>
  <c r="R311" i="75"/>
  <c r="S311" i="75" s="1"/>
  <c r="O311" i="75"/>
  <c r="R310" i="75"/>
  <c r="O310" i="75"/>
  <c r="R309" i="75"/>
  <c r="O309" i="75"/>
  <c r="O308" i="75"/>
  <c r="O307" i="75"/>
  <c r="O306" i="75"/>
  <c r="T305" i="75"/>
  <c r="T304" i="75"/>
  <c r="R302" i="75"/>
  <c r="O302" i="75"/>
  <c r="R300" i="75"/>
  <c r="S300" i="75" s="1"/>
  <c r="O300" i="75"/>
  <c r="R299" i="75"/>
  <c r="S299" i="75" s="1"/>
  <c r="O299" i="75"/>
  <c r="S298" i="75"/>
  <c r="O298" i="75"/>
  <c r="O297" i="75"/>
  <c r="O296" i="75"/>
  <c r="R295" i="75"/>
  <c r="S295" i="75" s="1"/>
  <c r="O295" i="75"/>
  <c r="R294" i="75"/>
  <c r="O294" i="75"/>
  <c r="R293" i="75"/>
  <c r="O293" i="75"/>
  <c r="R292" i="75"/>
  <c r="O292" i="75"/>
  <c r="T291" i="75"/>
  <c r="R289" i="75"/>
  <c r="S289" i="75" s="1"/>
  <c r="O289" i="75"/>
  <c r="R288" i="75"/>
  <c r="O288" i="75"/>
  <c r="R287" i="75"/>
  <c r="O287" i="75"/>
  <c r="O286" i="75"/>
  <c r="T285" i="75"/>
  <c r="R283" i="75"/>
  <c r="S283" i="75" s="1"/>
  <c r="O283" i="75"/>
  <c r="R282" i="75"/>
  <c r="T282" i="75" s="1"/>
  <c r="U282" i="75" s="1"/>
  <c r="O282" i="75"/>
  <c r="R281" i="75"/>
  <c r="O281" i="75"/>
  <c r="R280" i="75"/>
  <c r="T280" i="75" s="1"/>
  <c r="U280" i="75" s="1"/>
  <c r="O280" i="75"/>
  <c r="O279" i="75"/>
  <c r="R278" i="75"/>
  <c r="S278" i="75" s="1"/>
  <c r="O278" i="75"/>
  <c r="T277" i="75"/>
  <c r="R275" i="75"/>
  <c r="T275" i="75" s="1"/>
  <c r="U275" i="75" s="1"/>
  <c r="O275" i="75"/>
  <c r="R274" i="75"/>
  <c r="O274" i="75"/>
  <c r="R273" i="75"/>
  <c r="S273" i="75" s="1"/>
  <c r="O273" i="75"/>
  <c r="R272" i="75"/>
  <c r="O272" i="75"/>
  <c r="T271" i="75"/>
  <c r="R269" i="75"/>
  <c r="O269" i="75"/>
  <c r="R268" i="75"/>
  <c r="T268" i="75" s="1"/>
  <c r="U268" i="75" s="1"/>
  <c r="O268" i="75"/>
  <c r="R267" i="75"/>
  <c r="O267" i="75"/>
  <c r="R266" i="75"/>
  <c r="T266" i="75" s="1"/>
  <c r="U266" i="75" s="1"/>
  <c r="O266" i="75"/>
  <c r="R265" i="75"/>
  <c r="O265" i="75"/>
  <c r="T264" i="75"/>
  <c r="R262" i="75"/>
  <c r="O262" i="75"/>
  <c r="R261" i="75"/>
  <c r="T261" i="75" s="1"/>
  <c r="U261" i="75" s="1"/>
  <c r="O261" i="75"/>
  <c r="R260" i="75"/>
  <c r="O260" i="75"/>
  <c r="R259" i="75"/>
  <c r="T259" i="75" s="1"/>
  <c r="U259" i="75" s="1"/>
  <c r="O259" i="75"/>
  <c r="R258" i="75"/>
  <c r="O258" i="75"/>
  <c r="T257" i="75"/>
  <c r="R255" i="75"/>
  <c r="O255" i="75"/>
  <c r="R254" i="75"/>
  <c r="T254" i="75" s="1"/>
  <c r="U254" i="75" s="1"/>
  <c r="O254" i="75"/>
  <c r="R253" i="75"/>
  <c r="O253" i="75"/>
  <c r="T252" i="75"/>
  <c r="R250" i="75"/>
  <c r="O250" i="75"/>
  <c r="O249" i="75" s="1"/>
  <c r="T249" i="75"/>
  <c r="R245" i="75"/>
  <c r="T245" i="75" s="1"/>
  <c r="O245" i="75"/>
  <c r="O244" i="75"/>
  <c r="P243" i="75"/>
  <c r="R243" i="75" s="1"/>
  <c r="O243" i="75"/>
  <c r="O242" i="75"/>
  <c r="T241" i="75"/>
  <c r="O241" i="75"/>
  <c r="T240" i="75"/>
  <c r="O240" i="75"/>
  <c r="S239" i="75"/>
  <c r="O239" i="75"/>
  <c r="P238" i="75"/>
  <c r="R238" i="75" s="1"/>
  <c r="O238" i="75"/>
  <c r="P237" i="75"/>
  <c r="R237" i="75" s="1"/>
  <c r="O237" i="75"/>
  <c r="P236" i="75"/>
  <c r="R236" i="75" s="1"/>
  <c r="S236" i="75" s="1"/>
  <c r="O236" i="75"/>
  <c r="T234" i="75"/>
  <c r="R231" i="75"/>
  <c r="S231" i="75" s="1"/>
  <c r="S230" i="75" s="1"/>
  <c r="O231" i="75"/>
  <c r="O230" i="75" s="1"/>
  <c r="T230" i="75"/>
  <c r="T229" i="75"/>
  <c r="O228" i="75"/>
  <c r="O227" i="75"/>
  <c r="T226" i="75"/>
  <c r="T225" i="75"/>
  <c r="S222" i="75"/>
  <c r="O222" i="75"/>
  <c r="O221" i="75"/>
  <c r="T220" i="75"/>
  <c r="R218" i="75"/>
  <c r="T218" i="75" s="1"/>
  <c r="U218" i="75" s="1"/>
  <c r="O218" i="75"/>
  <c r="O217" i="75" s="1"/>
  <c r="T217" i="75"/>
  <c r="T216" i="75"/>
  <c r="T215" i="75"/>
  <c r="T207" i="75"/>
  <c r="P197" i="75"/>
  <c r="R197" i="75" s="1"/>
  <c r="T197" i="75" s="1"/>
  <c r="U197" i="75" s="1"/>
  <c r="O197" i="75"/>
  <c r="P196" i="75"/>
  <c r="R196" i="75" s="1"/>
  <c r="O196" i="75"/>
  <c r="P195" i="75"/>
  <c r="R195" i="75" s="1"/>
  <c r="O195" i="75"/>
  <c r="P194" i="75"/>
  <c r="R194" i="75" s="1"/>
  <c r="O194" i="75"/>
  <c r="P193" i="75"/>
  <c r="R193" i="75" s="1"/>
  <c r="T193" i="75" s="1"/>
  <c r="U193" i="75" s="1"/>
  <c r="O193" i="75"/>
  <c r="P192" i="75"/>
  <c r="R192" i="75" s="1"/>
  <c r="O192" i="75"/>
  <c r="P191" i="75"/>
  <c r="R191" i="75" s="1"/>
  <c r="O191" i="75"/>
  <c r="P190" i="75"/>
  <c r="R190" i="75" s="1"/>
  <c r="O190" i="75"/>
  <c r="P189" i="75"/>
  <c r="R189" i="75" s="1"/>
  <c r="T189" i="75" s="1"/>
  <c r="U189" i="75" s="1"/>
  <c r="O189" i="75"/>
  <c r="P188" i="75"/>
  <c r="R188" i="75" s="1"/>
  <c r="T188" i="75" s="1"/>
  <c r="U188" i="75" s="1"/>
  <c r="O188" i="75"/>
  <c r="P187" i="75"/>
  <c r="R187" i="75" s="1"/>
  <c r="O187" i="75"/>
  <c r="P186" i="75"/>
  <c r="R186" i="75" s="1"/>
  <c r="O186" i="75"/>
  <c r="P185" i="75"/>
  <c r="R185" i="75" s="1"/>
  <c r="T185" i="75" s="1"/>
  <c r="U185" i="75" s="1"/>
  <c r="O185" i="75"/>
  <c r="P184" i="75"/>
  <c r="R184" i="75" s="1"/>
  <c r="O184" i="75"/>
  <c r="P183" i="75"/>
  <c r="R183" i="75" s="1"/>
  <c r="O183" i="75"/>
  <c r="P182" i="75"/>
  <c r="R182" i="75" s="1"/>
  <c r="O182" i="75"/>
  <c r="T179" i="75"/>
  <c r="T173" i="75"/>
  <c r="R167" i="75"/>
  <c r="T167" i="75" s="1"/>
  <c r="O167" i="75"/>
  <c r="R166" i="75"/>
  <c r="T166" i="75" s="1"/>
  <c r="O166" i="75"/>
  <c r="R165" i="75"/>
  <c r="T165" i="75" s="1"/>
  <c r="O165" i="75"/>
  <c r="R164" i="75"/>
  <c r="T164" i="75" s="1"/>
  <c r="O164" i="75"/>
  <c r="R163" i="75"/>
  <c r="T163" i="75" s="1"/>
  <c r="O163" i="75"/>
  <c r="R162" i="75"/>
  <c r="T162" i="75" s="1"/>
  <c r="O162" i="75"/>
  <c r="R161" i="75"/>
  <c r="T161" i="75" s="1"/>
  <c r="O161" i="75"/>
  <c r="R160" i="75"/>
  <c r="T160" i="75" s="1"/>
  <c r="O160" i="75"/>
  <c r="O159" i="75"/>
  <c r="O158" i="75"/>
  <c r="R149" i="75"/>
  <c r="T149" i="75" s="1"/>
  <c r="O149" i="75"/>
  <c r="O148" i="75"/>
  <c r="R147" i="75"/>
  <c r="S147" i="75" s="1"/>
  <c r="O147" i="75"/>
  <c r="R146" i="75"/>
  <c r="O146" i="75"/>
  <c r="R145" i="75"/>
  <c r="O145" i="75"/>
  <c r="R144" i="75"/>
  <c r="O144" i="75"/>
  <c r="O143" i="75"/>
  <c r="R142" i="75"/>
  <c r="S142" i="75" s="1"/>
  <c r="O142" i="75"/>
  <c r="R141" i="75"/>
  <c r="O141" i="75"/>
  <c r="T140" i="75"/>
  <c r="U140" i="75" s="1"/>
  <c r="O140" i="75"/>
  <c r="T137" i="75"/>
  <c r="O134" i="75"/>
  <c r="O133" i="75"/>
  <c r="O132" i="75"/>
  <c r="O131" i="75"/>
  <c r="O130" i="75"/>
  <c r="O129" i="75"/>
  <c r="O128" i="75"/>
  <c r="O115" i="75"/>
  <c r="O114" i="75"/>
  <c r="O113" i="75"/>
  <c r="U214" i="75"/>
  <c r="T214" i="75"/>
  <c r="P213" i="75"/>
  <c r="R213" i="75" s="1"/>
  <c r="T213" i="75" s="1"/>
  <c r="U213" i="75" s="1"/>
  <c r="O213" i="75"/>
  <c r="P212" i="75"/>
  <c r="R212" i="75" s="1"/>
  <c r="S212" i="75" s="1"/>
  <c r="O212" i="75"/>
  <c r="P211" i="75"/>
  <c r="R211" i="75" s="1"/>
  <c r="O211" i="75"/>
  <c r="P210" i="75"/>
  <c r="R210" i="75" s="1"/>
  <c r="O210" i="75"/>
  <c r="P209" i="75"/>
  <c r="R209" i="75" s="1"/>
  <c r="T209" i="75" s="1"/>
  <c r="U209" i="75" s="1"/>
  <c r="O209" i="75"/>
  <c r="T208" i="75"/>
  <c r="P205" i="75"/>
  <c r="R205" i="75" s="1"/>
  <c r="O205" i="75"/>
  <c r="P204" i="75"/>
  <c r="R204" i="75" s="1"/>
  <c r="O204" i="75"/>
  <c r="P203" i="75"/>
  <c r="R203" i="75" s="1"/>
  <c r="O203" i="75"/>
  <c r="P202" i="75"/>
  <c r="R202" i="75" s="1"/>
  <c r="T202" i="75" s="1"/>
  <c r="U202" i="75" s="1"/>
  <c r="O202" i="75"/>
  <c r="T201" i="75"/>
  <c r="P199" i="75"/>
  <c r="R199" i="75" s="1"/>
  <c r="S199" i="75" s="1"/>
  <c r="O199" i="75"/>
  <c r="P198" i="75"/>
  <c r="R198" i="75" s="1"/>
  <c r="O198" i="75"/>
  <c r="P181" i="75"/>
  <c r="R181" i="75" s="1"/>
  <c r="S181" i="75" s="1"/>
  <c r="O181" i="75"/>
  <c r="T180" i="75"/>
  <c r="O177" i="75"/>
  <c r="P176" i="75"/>
  <c r="R176" i="75" s="1"/>
  <c r="O176" i="75"/>
  <c r="O175" i="75"/>
  <c r="T174" i="75"/>
  <c r="U172" i="75"/>
  <c r="T172" i="75"/>
  <c r="R171" i="75"/>
  <c r="O171" i="75"/>
  <c r="O170" i="75" s="1"/>
  <c r="T170" i="75"/>
  <c r="P168" i="75"/>
  <c r="R168" i="75" s="1"/>
  <c r="T168" i="75" s="1"/>
  <c r="U168" i="75" s="1"/>
  <c r="O168" i="75"/>
  <c r="O157" i="75"/>
  <c r="R154" i="75"/>
  <c r="T154" i="75" s="1"/>
  <c r="U154" i="75" s="1"/>
  <c r="U153" i="75" s="1"/>
  <c r="O154" i="75"/>
  <c r="O153" i="75" s="1"/>
  <c r="T153" i="75"/>
  <c r="R150" i="75"/>
  <c r="T150" i="75" s="1"/>
  <c r="U150" i="75" s="1"/>
  <c r="O150" i="75"/>
  <c r="O139" i="75"/>
  <c r="T138" i="75"/>
  <c r="O135" i="75"/>
  <c r="O127" i="75"/>
  <c r="O126" i="75"/>
  <c r="O125" i="75"/>
  <c r="T124" i="75"/>
  <c r="O122" i="75"/>
  <c r="O121" i="75"/>
  <c r="O120" i="75"/>
  <c r="O119" i="75"/>
  <c r="T118" i="75"/>
  <c r="O116" i="75"/>
  <c r="O112" i="75"/>
  <c r="O111" i="75"/>
  <c r="T110" i="75"/>
  <c r="O108" i="75"/>
  <c r="O107" i="75"/>
  <c r="O106" i="75"/>
  <c r="O105" i="75"/>
  <c r="T104" i="75"/>
  <c r="O102" i="75"/>
  <c r="O101" i="75"/>
  <c r="O100" i="75"/>
  <c r="O99" i="75"/>
  <c r="O98" i="75"/>
  <c r="T97" i="75"/>
  <c r="O94" i="75"/>
  <c r="O93" i="75"/>
  <c r="O95" i="75"/>
  <c r="O92" i="75"/>
  <c r="O91" i="75"/>
  <c r="T90" i="75"/>
  <c r="O88" i="75"/>
  <c r="O87" i="75"/>
  <c r="O86" i="75"/>
  <c r="T85" i="75"/>
  <c r="O83" i="75"/>
  <c r="O82" i="75" s="1"/>
  <c r="T82" i="75"/>
  <c r="O78" i="75"/>
  <c r="O77" i="75"/>
  <c r="O75" i="75"/>
  <c r="O74" i="75"/>
  <c r="O73" i="75"/>
  <c r="O72" i="75"/>
  <c r="O80" i="75"/>
  <c r="O79" i="75"/>
  <c r="O71" i="75"/>
  <c r="Q71" i="75" s="1"/>
  <c r="O70" i="75"/>
  <c r="T69" i="75"/>
  <c r="O66" i="75"/>
  <c r="O65" i="75" s="1"/>
  <c r="T65" i="75"/>
  <c r="T64" i="75"/>
  <c r="O63" i="75"/>
  <c r="O62" i="75"/>
  <c r="O61" i="75"/>
  <c r="O60" i="75"/>
  <c r="T59" i="75"/>
  <c r="T58" i="75"/>
  <c r="O56" i="75"/>
  <c r="O55" i="75"/>
  <c r="T54" i="75"/>
  <c r="O52" i="75"/>
  <c r="O51" i="75" s="1"/>
  <c r="T51" i="75"/>
  <c r="T50" i="75"/>
  <c r="T49" i="75"/>
  <c r="T47" i="75"/>
  <c r="T46" i="75"/>
  <c r="O41" i="75"/>
  <c r="O40" i="75"/>
  <c r="O39" i="75"/>
  <c r="O38" i="75"/>
  <c r="O37" i="75"/>
  <c r="T21" i="75"/>
  <c r="T17" i="75"/>
  <c r="T16" i="75"/>
  <c r="P24" i="567" l="1"/>
  <c r="Q24" i="567" s="1"/>
  <c r="N23" i="568"/>
  <c r="O23" i="568" s="1"/>
  <c r="P27" i="567"/>
  <c r="Q27" i="567" s="1"/>
  <c r="N26" i="568"/>
  <c r="O26" i="568" s="1"/>
  <c r="O25" i="568"/>
  <c r="P28" i="567"/>
  <c r="Q28" i="567" s="1"/>
  <c r="N27" i="568"/>
  <c r="O27" i="568" s="1"/>
  <c r="R25" i="567"/>
  <c r="T25" i="567" s="1"/>
  <c r="V25" i="567" s="1"/>
  <c r="W25" i="567" s="1"/>
  <c r="P24" i="568"/>
  <c r="R24" i="568" s="1"/>
  <c r="R28" i="356"/>
  <c r="J29" i="356" s="1"/>
  <c r="Q712" i="75"/>
  <c r="Q711" i="75"/>
  <c r="R25" i="360"/>
  <c r="R27" i="357"/>
  <c r="T620" i="75"/>
  <c r="U620" i="75" s="1"/>
  <c r="U175" i="75"/>
  <c r="S164" i="75"/>
  <c r="Q164" i="75" s="1"/>
  <c r="S161" i="75"/>
  <c r="Q161" i="75" s="1"/>
  <c r="S165" i="75"/>
  <c r="Q165" i="75" s="1"/>
  <c r="P24" i="75"/>
  <c r="N24" i="75"/>
  <c r="S337" i="75"/>
  <c r="Q337" i="75" s="1"/>
  <c r="T337" i="75"/>
  <c r="U337" i="75" s="1"/>
  <c r="N27" i="75"/>
  <c r="R34" i="364"/>
  <c r="R28" i="352"/>
  <c r="J29" i="352" s="1"/>
  <c r="R28" i="355"/>
  <c r="J29" i="355" s="1"/>
  <c r="N26" i="75"/>
  <c r="O348" i="75"/>
  <c r="O347" i="75" s="1"/>
  <c r="O346" i="75" s="1"/>
  <c r="U39" i="75"/>
  <c r="U35" i="75" s="1"/>
  <c r="T709" i="75"/>
  <c r="U709" i="75" s="1"/>
  <c r="T74" i="75"/>
  <c r="U74" i="75" s="1"/>
  <c r="T78" i="75"/>
  <c r="U78" i="75" s="1"/>
  <c r="O48" i="75"/>
  <c r="O47" i="75" s="1"/>
  <c r="O46" i="75" s="1"/>
  <c r="R24" i="360"/>
  <c r="O305" i="75"/>
  <c r="O477" i="75"/>
  <c r="S669" i="75"/>
  <c r="Q669" i="75" s="1"/>
  <c r="T669" i="75"/>
  <c r="O665" i="75"/>
  <c r="S668" i="75"/>
  <c r="Q668" i="75" s="1"/>
  <c r="T668" i="75"/>
  <c r="U668" i="75" s="1"/>
  <c r="S675" i="75"/>
  <c r="Q675" i="75" s="1"/>
  <c r="T675" i="75"/>
  <c r="S676" i="75"/>
  <c r="Q676" i="75" s="1"/>
  <c r="T676" i="75"/>
  <c r="O35" i="75"/>
  <c r="Q483" i="75"/>
  <c r="N23" i="75"/>
  <c r="Q653" i="75"/>
  <c r="R28" i="362"/>
  <c r="R30" i="362" s="1"/>
  <c r="R33" i="364"/>
  <c r="O400" i="75"/>
  <c r="O399" i="75" s="1"/>
  <c r="O568" i="75"/>
  <c r="O567" i="75" s="1"/>
  <c r="O220" i="75"/>
  <c r="O216" i="75" s="1"/>
  <c r="O226" i="75"/>
  <c r="O225" i="75" s="1"/>
  <c r="O138" i="75"/>
  <c r="O457" i="75"/>
  <c r="O562" i="75"/>
  <c r="O558" i="75" s="1"/>
  <c r="Q602" i="75"/>
  <c r="O606" i="75"/>
  <c r="O619" i="75"/>
  <c r="O716" i="75"/>
  <c r="O694" i="75" s="1"/>
  <c r="O723" i="75"/>
  <c r="O722" i="75" s="1"/>
  <c r="O436" i="75"/>
  <c r="O449" i="75"/>
  <c r="O515" i="75"/>
  <c r="O514" i="75" s="1"/>
  <c r="O271" i="75"/>
  <c r="O85" i="75"/>
  <c r="O118" i="75"/>
  <c r="O124" i="75"/>
  <c r="Q597" i="75"/>
  <c r="O201" i="75"/>
  <c r="O594" i="75"/>
  <c r="O695" i="75"/>
  <c r="O59" i="75"/>
  <c r="O58" i="75" s="1"/>
  <c r="O110" i="75"/>
  <c r="O382" i="75"/>
  <c r="O381" i="75" s="1"/>
  <c r="R26" i="357"/>
  <c r="O69" i="75"/>
  <c r="O156" i="75"/>
  <c r="O208" i="75"/>
  <c r="O207" i="75" s="1"/>
  <c r="O264" i="75"/>
  <c r="O277" i="75"/>
  <c r="O180" i="75"/>
  <c r="O424" i="75"/>
  <c r="O90" i="75"/>
  <c r="O252" i="75"/>
  <c r="O429" i="75"/>
  <c r="O633" i="75"/>
  <c r="O647" i="75"/>
  <c r="O495" i="75"/>
  <c r="O174" i="75"/>
  <c r="O173" i="75" s="1"/>
  <c r="O257" i="75"/>
  <c r="O522" i="75"/>
  <c r="O443" i="75"/>
  <c r="O543" i="75"/>
  <c r="O394" i="75"/>
  <c r="O390" i="75" s="1"/>
  <c r="J20" i="366"/>
  <c r="O323" i="75"/>
  <c r="O354" i="75"/>
  <c r="O627" i="75"/>
  <c r="Q506" i="75"/>
  <c r="Q607" i="75"/>
  <c r="R28" i="375"/>
  <c r="R307" i="75"/>
  <c r="S307" i="75" s="1"/>
  <c r="Q307" i="75" s="1"/>
  <c r="R26" i="374"/>
  <c r="J25" i="374"/>
  <c r="S24" i="374"/>
  <c r="S25" i="374"/>
  <c r="R25" i="373"/>
  <c r="J26" i="373" s="1"/>
  <c r="R26" i="372"/>
  <c r="R28" i="372" s="1"/>
  <c r="S25" i="373"/>
  <c r="S26" i="372"/>
  <c r="S26" i="373"/>
  <c r="S27" i="372"/>
  <c r="O54" i="75"/>
  <c r="O50" i="75" s="1"/>
  <c r="O688" i="75"/>
  <c r="O687" i="75" s="1"/>
  <c r="O375" i="75"/>
  <c r="O550" i="75"/>
  <c r="O549" i="75" s="1"/>
  <c r="O285" i="75"/>
  <c r="O408" i="75"/>
  <c r="O463" i="75"/>
  <c r="O599" i="75"/>
  <c r="O613" i="75"/>
  <c r="O97" i="75"/>
  <c r="O104" i="75"/>
  <c r="J28" i="353"/>
  <c r="R25" i="368"/>
  <c r="R27" i="368" s="1"/>
  <c r="J21" i="363"/>
  <c r="R21" i="366"/>
  <c r="R30" i="358"/>
  <c r="R30" i="369"/>
  <c r="S28" i="369"/>
  <c r="J29" i="369"/>
  <c r="S29" i="369"/>
  <c r="S25" i="368"/>
  <c r="S26" i="368"/>
  <c r="R25" i="365"/>
  <c r="R27" i="365" s="1"/>
  <c r="J29" i="359"/>
  <c r="J29" i="358"/>
  <c r="J28" i="354"/>
  <c r="S25" i="365"/>
  <c r="S19" i="366"/>
  <c r="S20" i="366"/>
  <c r="S26" i="365"/>
  <c r="S33" i="364"/>
  <c r="S34" i="364"/>
  <c r="R22" i="363"/>
  <c r="T703" i="567" s="1"/>
  <c r="S20" i="363"/>
  <c r="S21" i="363"/>
  <c r="S28" i="362"/>
  <c r="S29" i="362"/>
  <c r="R30" i="361"/>
  <c r="S28" i="361"/>
  <c r="S29" i="361"/>
  <c r="J29" i="361"/>
  <c r="S24" i="360"/>
  <c r="S25" i="360"/>
  <c r="R30" i="359"/>
  <c r="S28" i="359"/>
  <c r="S29" i="359"/>
  <c r="S28" i="358"/>
  <c r="S29" i="358"/>
  <c r="S26" i="357"/>
  <c r="S27" i="357"/>
  <c r="S28" i="356"/>
  <c r="S27" i="354"/>
  <c r="S29" i="356"/>
  <c r="S28" i="355"/>
  <c r="S29" i="355"/>
  <c r="R29" i="354"/>
  <c r="S28" i="354"/>
  <c r="S27" i="353"/>
  <c r="S28" i="353"/>
  <c r="S28" i="352"/>
  <c r="S29" i="352"/>
  <c r="J29" i="351"/>
  <c r="R30" i="351"/>
  <c r="S28" i="351"/>
  <c r="S29" i="351"/>
  <c r="Q530" i="75"/>
  <c r="Q706" i="75"/>
  <c r="Q690" i="75"/>
  <c r="T570" i="75"/>
  <c r="U570" i="75" s="1"/>
  <c r="S570" i="75"/>
  <c r="Q460" i="75"/>
  <c r="Q650" i="75"/>
  <c r="Q658" i="75"/>
  <c r="Q465" i="75"/>
  <c r="T617" i="75"/>
  <c r="U617" i="75" s="1"/>
  <c r="S617" i="75"/>
  <c r="Q648" i="75"/>
  <c r="S713" i="75"/>
  <c r="Q713" i="75" s="1"/>
  <c r="T607" i="75"/>
  <c r="U607" i="75" s="1"/>
  <c r="T706" i="75"/>
  <c r="U706" i="75" s="1"/>
  <c r="T602" i="75"/>
  <c r="U602" i="75" s="1"/>
  <c r="T616" i="75"/>
  <c r="U616" i="75" s="1"/>
  <c r="S601" i="75"/>
  <c r="Q601" i="75" s="1"/>
  <c r="T601" i="75"/>
  <c r="U601" i="75" s="1"/>
  <c r="T609" i="75"/>
  <c r="U609" i="75" s="1"/>
  <c r="S609" i="75"/>
  <c r="T623" i="75"/>
  <c r="U623" i="75" s="1"/>
  <c r="S623" i="75"/>
  <c r="Q654" i="75"/>
  <c r="T659" i="75"/>
  <c r="U659" i="75" s="1"/>
  <c r="S659" i="75"/>
  <c r="S663" i="75"/>
  <c r="T663" i="75"/>
  <c r="U663" i="75" s="1"/>
  <c r="U662" i="75" s="1"/>
  <c r="S698" i="75"/>
  <c r="T698" i="75"/>
  <c r="U698" i="75" s="1"/>
  <c r="S596" i="75"/>
  <c r="Q596" i="75" s="1"/>
  <c r="T596" i="75"/>
  <c r="U596" i="75" s="1"/>
  <c r="S652" i="75"/>
  <c r="T652" i="75"/>
  <c r="U652" i="75" s="1"/>
  <c r="S667" i="75"/>
  <c r="S657" i="75"/>
  <c r="Q657" i="75" s="1"/>
  <c r="T657" i="75"/>
  <c r="U657" i="75" s="1"/>
  <c r="S725" i="75"/>
  <c r="T725" i="75"/>
  <c r="U725" i="75" s="1"/>
  <c r="U655" i="75"/>
  <c r="S655" i="75"/>
  <c r="Q655" i="75" s="1"/>
  <c r="S670" i="75"/>
  <c r="S677" i="75"/>
  <c r="T677" i="75"/>
  <c r="U677" i="75" s="1"/>
  <c r="S574" i="75"/>
  <c r="S573" i="75" s="1"/>
  <c r="T574" i="75"/>
  <c r="U574" i="75" s="1"/>
  <c r="U573" i="75" s="1"/>
  <c r="T608" i="75"/>
  <c r="U608" i="75" s="1"/>
  <c r="S608" i="75"/>
  <c r="S622" i="75"/>
  <c r="T622" i="75"/>
  <c r="U622" i="75" s="1"/>
  <c r="T628" i="75"/>
  <c r="U628" i="75" s="1"/>
  <c r="S628" i="75"/>
  <c r="S697" i="75"/>
  <c r="Q697" i="75" s="1"/>
  <c r="T697" i="75"/>
  <c r="U697" i="75" s="1"/>
  <c r="S649" i="75"/>
  <c r="Q649" i="75" s="1"/>
  <c r="T649" i="75"/>
  <c r="U649" i="75" s="1"/>
  <c r="Q656" i="75"/>
  <c r="T705" i="75"/>
  <c r="U705" i="75" s="1"/>
  <c r="U585" i="75"/>
  <c r="S603" i="75"/>
  <c r="T653" i="75"/>
  <c r="U653" i="75" s="1"/>
  <c r="T690" i="75"/>
  <c r="U690" i="75" s="1"/>
  <c r="Q702" i="75"/>
  <c r="T656" i="75"/>
  <c r="U656" i="75" s="1"/>
  <c r="U597" i="75"/>
  <c r="Q625" i="75"/>
  <c r="T702" i="75"/>
  <c r="U702" i="75" s="1"/>
  <c r="S709" i="75"/>
  <c r="S724" i="75"/>
  <c r="S610" i="75"/>
  <c r="S651" i="75"/>
  <c r="Q651" i="75" s="1"/>
  <c r="Q616" i="75"/>
  <c r="S579" i="75"/>
  <c r="S586" i="75"/>
  <c r="U586" i="75" s="1"/>
  <c r="T624" i="75"/>
  <c r="U624" i="75" s="1"/>
  <c r="S624" i="75"/>
  <c r="S629" i="75"/>
  <c r="T629" i="75"/>
  <c r="U629" i="75" s="1"/>
  <c r="S635" i="75"/>
  <c r="T635" i="75"/>
  <c r="U635" i="75" s="1"/>
  <c r="S642" i="75"/>
  <c r="T642" i="75"/>
  <c r="U642" i="75" s="1"/>
  <c r="T640" i="75"/>
  <c r="U640" i="75" s="1"/>
  <c r="S640" i="75"/>
  <c r="T685" i="75"/>
  <c r="U685" i="75" s="1"/>
  <c r="U684" i="75" s="1"/>
  <c r="S685" i="75"/>
  <c r="T565" i="75"/>
  <c r="U565" i="75" s="1"/>
  <c r="S565" i="75"/>
  <c r="S582" i="75"/>
  <c r="S592" i="75"/>
  <c r="S591" i="75" s="1"/>
  <c r="T592" i="75"/>
  <c r="U592" i="75" s="1"/>
  <c r="U591" i="75" s="1"/>
  <c r="S630" i="75"/>
  <c r="T630" i="75"/>
  <c r="U630" i="75" s="1"/>
  <c r="S638" i="75"/>
  <c r="T638" i="75"/>
  <c r="U638" i="75" s="1"/>
  <c r="S643" i="75"/>
  <c r="T643" i="75"/>
  <c r="U643" i="75" s="1"/>
  <c r="Q563" i="75"/>
  <c r="T560" i="75"/>
  <c r="U560" i="75" s="1"/>
  <c r="U559" i="75" s="1"/>
  <c r="S560" i="75"/>
  <c r="Q585" i="75"/>
  <c r="T604" i="75"/>
  <c r="U604" i="75" s="1"/>
  <c r="S604" i="75"/>
  <c r="T615" i="75"/>
  <c r="U615" i="75" s="1"/>
  <c r="S615" i="75"/>
  <c r="S634" i="75"/>
  <c r="U634" i="75"/>
  <c r="S672" i="75"/>
  <c r="U672" i="75" s="1"/>
  <c r="T571" i="75"/>
  <c r="U571" i="75" s="1"/>
  <c r="S571" i="75"/>
  <c r="T631" i="75"/>
  <c r="U631" i="75" s="1"/>
  <c r="S631" i="75"/>
  <c r="S639" i="75"/>
  <c r="T639" i="75"/>
  <c r="U639" i="75" s="1"/>
  <c r="T701" i="75"/>
  <c r="U701" i="75" s="1"/>
  <c r="S701" i="75"/>
  <c r="T564" i="75"/>
  <c r="U564" i="75" s="1"/>
  <c r="S564" i="75"/>
  <c r="T621" i="75"/>
  <c r="U621" i="75" s="1"/>
  <c r="T563" i="75"/>
  <c r="U563" i="75" s="1"/>
  <c r="S580" i="75"/>
  <c r="U580" i="75" s="1"/>
  <c r="S588" i="75"/>
  <c r="S620" i="75"/>
  <c r="T637" i="75"/>
  <c r="U637" i="75" s="1"/>
  <c r="S637" i="75"/>
  <c r="S671" i="75"/>
  <c r="U671" i="75" s="1"/>
  <c r="S678" i="75"/>
  <c r="U678" i="75" s="1"/>
  <c r="Q727" i="75"/>
  <c r="S581" i="75"/>
  <c r="Q611" i="75"/>
  <c r="S614" i="75"/>
  <c r="S673" i="75"/>
  <c r="U673" i="75" s="1"/>
  <c r="Q485" i="75"/>
  <c r="T691" i="75"/>
  <c r="U691" i="75" s="1"/>
  <c r="S691" i="75"/>
  <c r="S696" i="75"/>
  <c r="T696" i="75"/>
  <c r="U696" i="75" s="1"/>
  <c r="S699" i="75"/>
  <c r="T699" i="75"/>
  <c r="U699" i="75" s="1"/>
  <c r="Q705" i="75"/>
  <c r="T710" i="75"/>
  <c r="U710" i="75" s="1"/>
  <c r="S710" i="75"/>
  <c r="Q710" i="75" s="1"/>
  <c r="S595" i="75"/>
  <c r="S600" i="75"/>
  <c r="T611" i="75"/>
  <c r="U611" i="75" s="1"/>
  <c r="S636" i="75"/>
  <c r="S644" i="75"/>
  <c r="S679" i="75"/>
  <c r="S708" i="75"/>
  <c r="T708" i="75"/>
  <c r="U708" i="75" s="1"/>
  <c r="T641" i="75"/>
  <c r="U641" i="75" s="1"/>
  <c r="S641" i="75"/>
  <c r="Q720" i="75"/>
  <c r="Q621" i="75"/>
  <c r="S674" i="75"/>
  <c r="S700" i="75"/>
  <c r="T700" i="75"/>
  <c r="U700" i="75" s="1"/>
  <c r="S718" i="75"/>
  <c r="T625" i="75"/>
  <c r="U625" i="75" s="1"/>
  <c r="S704" i="75"/>
  <c r="T704" i="75"/>
  <c r="U704" i="75" s="1"/>
  <c r="T650" i="75"/>
  <c r="U650" i="75" s="1"/>
  <c r="T654" i="75"/>
  <c r="U654" i="75" s="1"/>
  <c r="T658" i="75"/>
  <c r="U658" i="75" s="1"/>
  <c r="Q707" i="75"/>
  <c r="T714" i="75"/>
  <c r="U714" i="75" s="1"/>
  <c r="S714" i="75"/>
  <c r="Q714" i="75" s="1"/>
  <c r="Q726" i="75"/>
  <c r="Q717" i="75"/>
  <c r="T719" i="75"/>
  <c r="U719" i="75" s="1"/>
  <c r="S719" i="75"/>
  <c r="S703" i="75"/>
  <c r="T703" i="75"/>
  <c r="U703" i="75" s="1"/>
  <c r="S728" i="75"/>
  <c r="T707" i="75"/>
  <c r="U707" i="75" s="1"/>
  <c r="T711" i="75"/>
  <c r="U711" i="75" s="1"/>
  <c r="T720" i="75"/>
  <c r="U720" i="75" s="1"/>
  <c r="T726" i="75"/>
  <c r="U726" i="75" s="1"/>
  <c r="T712" i="75"/>
  <c r="U712" i="75" s="1"/>
  <c r="T717" i="75"/>
  <c r="U717" i="75" s="1"/>
  <c r="T727" i="75"/>
  <c r="U727" i="75" s="1"/>
  <c r="T396" i="75"/>
  <c r="U396" i="75" s="1"/>
  <c r="S396" i="75"/>
  <c r="Q459" i="75"/>
  <c r="Q468" i="75"/>
  <c r="Q554" i="75"/>
  <c r="Q503" i="75"/>
  <c r="S418" i="75"/>
  <c r="S440" i="75"/>
  <c r="Q440" i="75" s="1"/>
  <c r="S461" i="75"/>
  <c r="Q461" i="75" s="1"/>
  <c r="T485" i="75"/>
  <c r="U485" i="75" s="1"/>
  <c r="S484" i="75"/>
  <c r="Q484" i="75" s="1"/>
  <c r="T469" i="75"/>
  <c r="U469" i="75" s="1"/>
  <c r="S454" i="75"/>
  <c r="Q454" i="75" s="1"/>
  <c r="T528" i="75"/>
  <c r="U528" i="75" s="1"/>
  <c r="S528" i="75"/>
  <c r="S531" i="75"/>
  <c r="T531" i="75"/>
  <c r="U531" i="75" s="1"/>
  <c r="S470" i="75"/>
  <c r="T470" i="75"/>
  <c r="U470" i="75" s="1"/>
  <c r="Q539" i="75"/>
  <c r="S425" i="75"/>
  <c r="S431" i="75"/>
  <c r="T453" i="75"/>
  <c r="U453" i="75" s="1"/>
  <c r="S445" i="75"/>
  <c r="Q445" i="75" s="1"/>
  <c r="T412" i="75"/>
  <c r="U412" i="75" s="1"/>
  <c r="S412" i="75"/>
  <c r="S551" i="75"/>
  <c r="T551" i="75"/>
  <c r="U551" i="75" s="1"/>
  <c r="T455" i="75"/>
  <c r="U455" i="75" s="1"/>
  <c r="S455" i="75"/>
  <c r="Q455" i="75" s="1"/>
  <c r="T410" i="75"/>
  <c r="U410" i="75" s="1"/>
  <c r="S410" i="75"/>
  <c r="S547" i="75"/>
  <c r="T547" i="75"/>
  <c r="U547" i="75" s="1"/>
  <c r="S439" i="75"/>
  <c r="T439" i="75"/>
  <c r="U439" i="75" s="1"/>
  <c r="T441" i="75"/>
  <c r="U441" i="75" s="1"/>
  <c r="S441" i="75"/>
  <c r="T427" i="75"/>
  <c r="U427" i="75" s="1"/>
  <c r="S427" i="75"/>
  <c r="Q427" i="75" s="1"/>
  <c r="S498" i="75"/>
  <c r="Q498" i="75" s="1"/>
  <c r="T498" i="75"/>
  <c r="U498" i="75" s="1"/>
  <c r="S538" i="75"/>
  <c r="T538" i="75"/>
  <c r="U538" i="75" s="1"/>
  <c r="Q464" i="75"/>
  <c r="T459" i="75"/>
  <c r="U459" i="75" s="1"/>
  <c r="S467" i="75"/>
  <c r="Q467" i="75" s="1"/>
  <c r="T504" i="75"/>
  <c r="U504" i="75" s="1"/>
  <c r="T506" i="75"/>
  <c r="U506" i="75" s="1"/>
  <c r="T516" i="75"/>
  <c r="U516" i="75" s="1"/>
  <c r="T530" i="75"/>
  <c r="U530" i="75" s="1"/>
  <c r="S536" i="75"/>
  <c r="Q536" i="75" s="1"/>
  <c r="T539" i="75"/>
  <c r="U539" i="75" s="1"/>
  <c r="T554" i="75"/>
  <c r="U554" i="75" s="1"/>
  <c r="S466" i="75"/>
  <c r="Q466" i="75" s="1"/>
  <c r="T503" i="75"/>
  <c r="U503" i="75" s="1"/>
  <c r="S545" i="75"/>
  <c r="Q417" i="75"/>
  <c r="T460" i="75"/>
  <c r="U460" i="75" s="1"/>
  <c r="T468" i="75"/>
  <c r="U468" i="75" s="1"/>
  <c r="T422" i="75"/>
  <c r="U422" i="75" s="1"/>
  <c r="U421" i="75" s="1"/>
  <c r="S422" i="75"/>
  <c r="T480" i="75"/>
  <c r="U480" i="75" s="1"/>
  <c r="S480" i="75"/>
  <c r="S434" i="75"/>
  <c r="T434" i="75"/>
  <c r="U434" i="75" s="1"/>
  <c r="T409" i="75"/>
  <c r="S409" i="75"/>
  <c r="Q411" i="75"/>
  <c r="T413" i="75"/>
  <c r="U413" i="75" s="1"/>
  <c r="S413" i="75"/>
  <c r="S527" i="75"/>
  <c r="T527" i="75"/>
  <c r="U527" i="75" s="1"/>
  <c r="S535" i="75"/>
  <c r="T535" i="75"/>
  <c r="U535" i="75" s="1"/>
  <c r="Q395" i="75"/>
  <c r="Q426" i="75"/>
  <c r="T474" i="75"/>
  <c r="U474" i="75" s="1"/>
  <c r="S474" i="75"/>
  <c r="T392" i="75"/>
  <c r="U392" i="75" s="1"/>
  <c r="U391" i="75" s="1"/>
  <c r="S392" i="75"/>
  <c r="T433" i="75"/>
  <c r="U433" i="75" s="1"/>
  <c r="S433" i="75"/>
  <c r="S472" i="75"/>
  <c r="T472" i="75"/>
  <c r="U472" i="75" s="1"/>
  <c r="T488" i="75"/>
  <c r="U488" i="75" s="1"/>
  <c r="S488" i="75"/>
  <c r="S482" i="75"/>
  <c r="T482" i="75"/>
  <c r="U482" i="75" s="1"/>
  <c r="T438" i="75"/>
  <c r="U438" i="75" s="1"/>
  <c r="S438" i="75"/>
  <c r="Q458" i="75"/>
  <c r="S489" i="75"/>
  <c r="T489" i="75"/>
  <c r="U489" i="75" s="1"/>
  <c r="T518" i="75"/>
  <c r="U518" i="75" s="1"/>
  <c r="S518" i="75"/>
  <c r="S525" i="75"/>
  <c r="T525" i="75"/>
  <c r="U525" i="75" s="1"/>
  <c r="S529" i="75"/>
  <c r="T529" i="75"/>
  <c r="U529" i="75" s="1"/>
  <c r="T532" i="75"/>
  <c r="U532" i="75" s="1"/>
  <c r="S532" i="75"/>
  <c r="T552" i="75"/>
  <c r="U552" i="75" s="1"/>
  <c r="S552" i="75"/>
  <c r="S397" i="75"/>
  <c r="S405" i="75"/>
  <c r="S404" i="75" s="1"/>
  <c r="T411" i="75"/>
  <c r="U411" i="75" s="1"/>
  <c r="S414" i="75"/>
  <c r="S419" i="75"/>
  <c r="S430" i="75"/>
  <c r="S437" i="75"/>
  <c r="Q444" i="75"/>
  <c r="S446" i="75"/>
  <c r="T452" i="75"/>
  <c r="U452" i="75" s="1"/>
  <c r="S452" i="75"/>
  <c r="Q497" i="75"/>
  <c r="S508" i="75"/>
  <c r="T508" i="75"/>
  <c r="U508" i="75" s="1"/>
  <c r="Q523" i="75"/>
  <c r="T395" i="75"/>
  <c r="U395" i="75" s="1"/>
  <c r="S415" i="75"/>
  <c r="S416" i="75"/>
  <c r="T426" i="75"/>
  <c r="U426" i="75" s="1"/>
  <c r="S432" i="75"/>
  <c r="S450" i="75"/>
  <c r="T458" i="75"/>
  <c r="U458" i="75" s="1"/>
  <c r="S493" i="75"/>
  <c r="T493" i="75"/>
  <c r="U493" i="75" s="1"/>
  <c r="U492" i="75" s="1"/>
  <c r="U497" i="75"/>
  <c r="T499" i="75"/>
  <c r="U499" i="75" s="1"/>
  <c r="S499" i="75"/>
  <c r="S501" i="75"/>
  <c r="T501" i="75"/>
  <c r="U501" i="75" s="1"/>
  <c r="S512" i="75"/>
  <c r="T523" i="75"/>
  <c r="U523" i="75" s="1"/>
  <c r="T444" i="75"/>
  <c r="U444" i="75" s="1"/>
  <c r="S451" i="75"/>
  <c r="T465" i="75"/>
  <c r="U465" i="75" s="1"/>
  <c r="Q469" i="75"/>
  <c r="S526" i="75"/>
  <c r="T526" i="75"/>
  <c r="U526" i="75" s="1"/>
  <c r="S533" i="75"/>
  <c r="T533" i="75"/>
  <c r="U533" i="75" s="1"/>
  <c r="S537" i="75"/>
  <c r="T537" i="75"/>
  <c r="U537" i="75" s="1"/>
  <c r="T540" i="75"/>
  <c r="U540" i="75" s="1"/>
  <c r="S540" i="75"/>
  <c r="T417" i="75"/>
  <c r="U417" i="75" s="1"/>
  <c r="T464" i="75"/>
  <c r="U464" i="75" s="1"/>
  <c r="T483" i="75"/>
  <c r="U483" i="75" s="1"/>
  <c r="S517" i="75"/>
  <c r="T517" i="75"/>
  <c r="U517" i="75" s="1"/>
  <c r="Q453" i="75"/>
  <c r="S471" i="75"/>
  <c r="T471" i="75"/>
  <c r="U471" i="75" s="1"/>
  <c r="S473" i="75"/>
  <c r="T473" i="75"/>
  <c r="U473" i="75" s="1"/>
  <c r="S500" i="75"/>
  <c r="T500" i="75"/>
  <c r="U500" i="75" s="1"/>
  <c r="S519" i="75"/>
  <c r="T519" i="75"/>
  <c r="U519" i="75" s="1"/>
  <c r="T524" i="75"/>
  <c r="U524" i="75" s="1"/>
  <c r="S524" i="75"/>
  <c r="S479" i="75"/>
  <c r="T479" i="75"/>
  <c r="U479" i="75" s="1"/>
  <c r="S502" i="75"/>
  <c r="T502" i="75"/>
  <c r="U502" i="75" s="1"/>
  <c r="S505" i="75"/>
  <c r="T505" i="75"/>
  <c r="U505" i="75" s="1"/>
  <c r="T507" i="75"/>
  <c r="U507" i="75" s="1"/>
  <c r="S507" i="75"/>
  <c r="S509" i="75"/>
  <c r="T509" i="75"/>
  <c r="U509" i="75" s="1"/>
  <c r="S534" i="75"/>
  <c r="T534" i="75"/>
  <c r="U534" i="75" s="1"/>
  <c r="S541" i="75"/>
  <c r="T541" i="75"/>
  <c r="U541" i="75" s="1"/>
  <c r="S544" i="75"/>
  <c r="T544" i="75"/>
  <c r="U544" i="75" s="1"/>
  <c r="T447" i="75"/>
  <c r="U447" i="75" s="1"/>
  <c r="S447" i="75"/>
  <c r="S481" i="75"/>
  <c r="T481" i="75"/>
  <c r="U481" i="75" s="1"/>
  <c r="S487" i="75"/>
  <c r="T487" i="75"/>
  <c r="U487" i="75" s="1"/>
  <c r="S546" i="75"/>
  <c r="T546" i="75"/>
  <c r="U546" i="75" s="1"/>
  <c r="Q478" i="75"/>
  <c r="Q486" i="75"/>
  <c r="Q516" i="75"/>
  <c r="S555" i="75"/>
  <c r="T486" i="75"/>
  <c r="U486" i="75" s="1"/>
  <c r="Q504" i="75"/>
  <c r="Q553" i="75"/>
  <c r="T553" i="75"/>
  <c r="U553" i="75" s="1"/>
  <c r="S350" i="75"/>
  <c r="Q298" i="75"/>
  <c r="S329" i="75"/>
  <c r="S330" i="75"/>
  <c r="Q371" i="75"/>
  <c r="Q311" i="75"/>
  <c r="Q362" i="75"/>
  <c r="Q358" i="75"/>
  <c r="Q366" i="75"/>
  <c r="Q299" i="75"/>
  <c r="Q315" i="75"/>
  <c r="Q236" i="75"/>
  <c r="Q300" i="75"/>
  <c r="Q357" i="75"/>
  <c r="Q295" i="75"/>
  <c r="S282" i="75"/>
  <c r="S240" i="75"/>
  <c r="S244" i="75"/>
  <c r="S296" i="75"/>
  <c r="Q296" i="75" s="1"/>
  <c r="T296" i="75"/>
  <c r="U296" i="75" s="1"/>
  <c r="S294" i="75"/>
  <c r="T294" i="75"/>
  <c r="U294" i="75" s="1"/>
  <c r="Q333" i="75"/>
  <c r="S379" i="75"/>
  <c r="T379" i="75"/>
  <c r="S302" i="75"/>
  <c r="T302" i="75"/>
  <c r="U302" i="75" s="1"/>
  <c r="S243" i="75"/>
  <c r="U243" i="75" s="1"/>
  <c r="Q327" i="75"/>
  <c r="T273" i="75"/>
  <c r="U273" i="75" s="1"/>
  <c r="T278" i="75"/>
  <c r="U278" i="75" s="1"/>
  <c r="S268" i="75"/>
  <c r="T366" i="75"/>
  <c r="T370" i="75"/>
  <c r="T362" i="75"/>
  <c r="S259" i="75"/>
  <c r="S261" i="75"/>
  <c r="T357" i="75"/>
  <c r="T385" i="75"/>
  <c r="U385" i="75" s="1"/>
  <c r="S218" i="75"/>
  <c r="T298" i="75"/>
  <c r="U298" i="75" s="1"/>
  <c r="T300" i="75"/>
  <c r="U300" i="75" s="1"/>
  <c r="S221" i="75"/>
  <c r="S220" i="75" s="1"/>
  <c r="S293" i="75"/>
  <c r="T293" i="75"/>
  <c r="U293" i="75" s="1"/>
  <c r="S255" i="75"/>
  <c r="T255" i="75"/>
  <c r="U255" i="75" s="1"/>
  <c r="T272" i="75"/>
  <c r="U272" i="75" s="1"/>
  <c r="S272" i="75"/>
  <c r="T289" i="75"/>
  <c r="U289" i="75" s="1"/>
  <c r="S314" i="75"/>
  <c r="T314" i="75"/>
  <c r="U314" i="75" s="1"/>
  <c r="S316" i="75"/>
  <c r="T316" i="75"/>
  <c r="U316" i="75" s="1"/>
  <c r="S332" i="75"/>
  <c r="S334" i="75"/>
  <c r="S351" i="75"/>
  <c r="T351" i="75"/>
  <c r="U351" i="75" s="1"/>
  <c r="S356" i="75"/>
  <c r="T356" i="75"/>
  <c r="S241" i="75"/>
  <c r="S250" i="75"/>
  <c r="T250" i="75"/>
  <c r="U250" i="75" s="1"/>
  <c r="U249" i="75" s="1"/>
  <c r="T267" i="75"/>
  <c r="U267" i="75" s="1"/>
  <c r="S267" i="75"/>
  <c r="T364" i="75"/>
  <c r="S364" i="75"/>
  <c r="Q386" i="75"/>
  <c r="S326" i="75"/>
  <c r="S328" i="75"/>
  <c r="S310" i="75"/>
  <c r="T310" i="75"/>
  <c r="S312" i="75"/>
  <c r="U312" i="75"/>
  <c r="Q231" i="75"/>
  <c r="Q230" i="75" s="1"/>
  <c r="S238" i="75"/>
  <c r="S254" i="75"/>
  <c r="T262" i="75"/>
  <c r="U262" i="75" s="1"/>
  <c r="S262" i="75"/>
  <c r="S274" i="75"/>
  <c r="T274" i="75"/>
  <c r="U274" i="75" s="1"/>
  <c r="S275" i="75"/>
  <c r="S279" i="75"/>
  <c r="T279" i="75"/>
  <c r="U279" i="75" s="1"/>
  <c r="S280" i="75"/>
  <c r="Q283" i="75"/>
  <c r="S286" i="75"/>
  <c r="T286" i="75"/>
  <c r="U286" i="75" s="1"/>
  <c r="S288" i="75"/>
  <c r="T288" i="75"/>
  <c r="U288" i="75" s="1"/>
  <c r="S317" i="75"/>
  <c r="T317" i="75"/>
  <c r="S335" i="75"/>
  <c r="T335" i="75"/>
  <c r="U335" i="75" s="1"/>
  <c r="U236" i="75"/>
  <c r="U245" i="75"/>
  <c r="S245" i="75"/>
  <c r="T258" i="75"/>
  <c r="U258" i="75" s="1"/>
  <c r="S258" i="75"/>
  <c r="S269" i="75"/>
  <c r="Q269" i="75" s="1"/>
  <c r="T269" i="75"/>
  <c r="U269" i="75" s="1"/>
  <c r="T283" i="75"/>
  <c r="U283" i="75" s="1"/>
  <c r="S306" i="75"/>
  <c r="S321" i="75"/>
  <c r="T321" i="75"/>
  <c r="U321" i="75" s="1"/>
  <c r="U320" i="75" s="1"/>
  <c r="T369" i="75"/>
  <c r="S369" i="75"/>
  <c r="T231" i="75"/>
  <c r="U231" i="75" s="1"/>
  <c r="U230" i="75" s="1"/>
  <c r="T253" i="75"/>
  <c r="U253" i="75" s="1"/>
  <c r="S253" i="75"/>
  <c r="S265" i="75"/>
  <c r="T265" i="75"/>
  <c r="U265" i="75" s="1"/>
  <c r="S266" i="75"/>
  <c r="S313" i="75"/>
  <c r="T313" i="75"/>
  <c r="S331" i="75"/>
  <c r="S349" i="75"/>
  <c r="T349" i="75"/>
  <c r="U349" i="75" s="1"/>
  <c r="S355" i="75"/>
  <c r="T355" i="75"/>
  <c r="U355" i="75" s="1"/>
  <c r="S367" i="75"/>
  <c r="T367" i="75"/>
  <c r="Q273" i="75"/>
  <c r="Q278" i="75"/>
  <c r="S297" i="75"/>
  <c r="T297" i="75"/>
  <c r="U297" i="75" s="1"/>
  <c r="S336" i="75"/>
  <c r="S237" i="75"/>
  <c r="S242" i="75"/>
  <c r="S260" i="75"/>
  <c r="T260" i="75"/>
  <c r="U260" i="75" s="1"/>
  <c r="T281" i="75"/>
  <c r="U281" i="75" s="1"/>
  <c r="S281" i="75"/>
  <c r="S287" i="75"/>
  <c r="T287" i="75"/>
  <c r="U287" i="75" s="1"/>
  <c r="Q289" i="75"/>
  <c r="S292" i="75"/>
  <c r="T292" i="75"/>
  <c r="U292" i="75" s="1"/>
  <c r="S309" i="75"/>
  <c r="T309" i="75"/>
  <c r="S325" i="75"/>
  <c r="T311" i="75"/>
  <c r="T315" i="75"/>
  <c r="U315" i="75" s="1"/>
  <c r="T373" i="75"/>
  <c r="U373" i="75" s="1"/>
  <c r="S373" i="75"/>
  <c r="Q376" i="75"/>
  <c r="T378" i="75"/>
  <c r="S378" i="75"/>
  <c r="S359" i="75"/>
  <c r="T359" i="75"/>
  <c r="Q361" i="75"/>
  <c r="T361" i="75"/>
  <c r="Q385" i="75"/>
  <c r="Q344" i="75"/>
  <c r="Q343" i="75" s="1"/>
  <c r="Q370" i="75"/>
  <c r="T383" i="75"/>
  <c r="U383" i="75" s="1"/>
  <c r="S383" i="75"/>
  <c r="S363" i="75"/>
  <c r="T363" i="75"/>
  <c r="Q365" i="75"/>
  <c r="T368" i="75"/>
  <c r="S368" i="75"/>
  <c r="T387" i="75"/>
  <c r="U387" i="75" s="1"/>
  <c r="S387" i="75"/>
  <c r="T295" i="75"/>
  <c r="U295" i="75" s="1"/>
  <c r="T299" i="75"/>
  <c r="U299" i="75" s="1"/>
  <c r="T344" i="75"/>
  <c r="U344" i="75" s="1"/>
  <c r="U343" i="75" s="1"/>
  <c r="T358" i="75"/>
  <c r="T365" i="75"/>
  <c r="U372" i="75"/>
  <c r="S372" i="75"/>
  <c r="T377" i="75"/>
  <c r="S377" i="75"/>
  <c r="T360" i="75"/>
  <c r="S360" i="75"/>
  <c r="T384" i="75"/>
  <c r="U384" i="75" s="1"/>
  <c r="S384" i="75"/>
  <c r="T371" i="75"/>
  <c r="T376" i="75"/>
  <c r="T386" i="75"/>
  <c r="U386" i="75" s="1"/>
  <c r="T192" i="75"/>
  <c r="U192" i="75" s="1"/>
  <c r="S192" i="75"/>
  <c r="Q192" i="75" s="1"/>
  <c r="T195" i="75"/>
  <c r="U195" i="75" s="1"/>
  <c r="S195" i="75"/>
  <c r="Q195" i="75" s="1"/>
  <c r="T196" i="75"/>
  <c r="U196" i="75" s="1"/>
  <c r="S196" i="75"/>
  <c r="Q196" i="75" s="1"/>
  <c r="T191" i="75"/>
  <c r="U191" i="75" s="1"/>
  <c r="S191" i="75"/>
  <c r="Q191" i="75" s="1"/>
  <c r="T184" i="75"/>
  <c r="U184" i="75" s="1"/>
  <c r="S184" i="75"/>
  <c r="Q184" i="75" s="1"/>
  <c r="S188" i="75"/>
  <c r="Q188" i="75" s="1"/>
  <c r="S182" i="75"/>
  <c r="T182" i="75"/>
  <c r="U182" i="75" s="1"/>
  <c r="S194" i="75"/>
  <c r="T194" i="75"/>
  <c r="U194" i="75" s="1"/>
  <c r="S187" i="75"/>
  <c r="T187" i="75"/>
  <c r="U187" i="75" s="1"/>
  <c r="S183" i="75"/>
  <c r="T183" i="75"/>
  <c r="U183" i="75" s="1"/>
  <c r="S190" i="75"/>
  <c r="T190" i="75"/>
  <c r="U190" i="75" s="1"/>
  <c r="S186" i="75"/>
  <c r="T186" i="75"/>
  <c r="U186" i="75" s="1"/>
  <c r="S185" i="75"/>
  <c r="S189" i="75"/>
  <c r="S193" i="75"/>
  <c r="S197" i="75"/>
  <c r="S160" i="75"/>
  <c r="U160" i="75"/>
  <c r="U164" i="75"/>
  <c r="U163" i="75"/>
  <c r="S163" i="75"/>
  <c r="U159" i="75"/>
  <c r="S159" i="75"/>
  <c r="U166" i="75"/>
  <c r="S166" i="75"/>
  <c r="U162" i="75"/>
  <c r="S162" i="75"/>
  <c r="U158" i="75"/>
  <c r="S158" i="75"/>
  <c r="U167" i="75"/>
  <c r="S167" i="75"/>
  <c r="U161" i="75"/>
  <c r="U165" i="75"/>
  <c r="T148" i="75"/>
  <c r="U148" i="75" s="1"/>
  <c r="S148" i="75"/>
  <c r="Q148" i="75" s="1"/>
  <c r="T144" i="75"/>
  <c r="U144" i="75" s="1"/>
  <c r="S144" i="75"/>
  <c r="Q144" i="75" s="1"/>
  <c r="S146" i="75"/>
  <c r="T146" i="75"/>
  <c r="U146" i="75" s="1"/>
  <c r="S140" i="75"/>
  <c r="T142" i="75"/>
  <c r="U142" i="75" s="1"/>
  <c r="Q147" i="75"/>
  <c r="U149" i="75"/>
  <c r="S149" i="75"/>
  <c r="Q142" i="75"/>
  <c r="T141" i="75"/>
  <c r="U141" i="75" s="1"/>
  <c r="S141" i="75"/>
  <c r="T145" i="75"/>
  <c r="U145" i="75" s="1"/>
  <c r="S145" i="75"/>
  <c r="T147" i="75"/>
  <c r="U147" i="75" s="1"/>
  <c r="T131" i="75"/>
  <c r="U131" i="75" s="1"/>
  <c r="T130" i="75"/>
  <c r="U130" i="75" s="1"/>
  <c r="S130" i="75"/>
  <c r="Q132" i="75"/>
  <c r="Q131" i="75"/>
  <c r="T133" i="75"/>
  <c r="U133" i="75" s="1"/>
  <c r="S133" i="75"/>
  <c r="Q128" i="75"/>
  <c r="T129" i="75"/>
  <c r="U129" i="75" s="1"/>
  <c r="S129" i="75"/>
  <c r="T134" i="75"/>
  <c r="U134" i="75" s="1"/>
  <c r="S134" i="75"/>
  <c r="T128" i="75"/>
  <c r="U128" i="75" s="1"/>
  <c r="T132" i="75"/>
  <c r="U132" i="75" s="1"/>
  <c r="T115" i="75"/>
  <c r="U115" i="75" s="1"/>
  <c r="S115" i="75"/>
  <c r="T114" i="75"/>
  <c r="U114" i="75" s="1"/>
  <c r="S114" i="75"/>
  <c r="Q113" i="75"/>
  <c r="T113" i="75"/>
  <c r="U113" i="75" s="1"/>
  <c r="S211" i="75"/>
  <c r="T211" i="75"/>
  <c r="U211" i="75" s="1"/>
  <c r="Q212" i="75"/>
  <c r="T205" i="75"/>
  <c r="U205" i="75" s="1"/>
  <c r="S205" i="75"/>
  <c r="Q205" i="75" s="1"/>
  <c r="T204" i="75"/>
  <c r="U204" i="75" s="1"/>
  <c r="S204" i="75"/>
  <c r="T210" i="75"/>
  <c r="U210" i="75" s="1"/>
  <c r="S210" i="75"/>
  <c r="S209" i="75"/>
  <c r="S213" i="75"/>
  <c r="T212" i="75"/>
  <c r="U212" i="75" s="1"/>
  <c r="S202" i="75"/>
  <c r="T203" i="75"/>
  <c r="U203" i="75" s="1"/>
  <c r="S203" i="75"/>
  <c r="S177" i="75"/>
  <c r="T177" i="75"/>
  <c r="U177" i="75" s="1"/>
  <c r="T198" i="75"/>
  <c r="U198" i="75" s="1"/>
  <c r="S198" i="75"/>
  <c r="Q181" i="75"/>
  <c r="Q199" i="75"/>
  <c r="T181" i="75"/>
  <c r="U181" i="75" s="1"/>
  <c r="T199" i="75"/>
  <c r="U199" i="75" s="1"/>
  <c r="T171" i="75"/>
  <c r="U171" i="75" s="1"/>
  <c r="U170" i="75" s="1"/>
  <c r="S171" i="75"/>
  <c r="T176" i="75"/>
  <c r="U176" i="75" s="1"/>
  <c r="S176" i="75"/>
  <c r="S175" i="75"/>
  <c r="S168" i="75"/>
  <c r="S154" i="75"/>
  <c r="S127" i="75"/>
  <c r="T127" i="75"/>
  <c r="U127" i="75" s="1"/>
  <c r="S150" i="75"/>
  <c r="T126" i="75"/>
  <c r="U126" i="75" s="1"/>
  <c r="S126" i="75"/>
  <c r="S120" i="75"/>
  <c r="T120" i="75"/>
  <c r="U120" i="75" s="1"/>
  <c r="S125" i="75"/>
  <c r="S135" i="75"/>
  <c r="S107" i="75"/>
  <c r="Q107" i="75" s="1"/>
  <c r="T107" i="75"/>
  <c r="U107" i="75" s="1"/>
  <c r="Q121" i="75"/>
  <c r="Q122" i="75"/>
  <c r="S112" i="75"/>
  <c r="T112" i="75"/>
  <c r="U112" i="75" s="1"/>
  <c r="T119" i="75"/>
  <c r="U119" i="75" s="1"/>
  <c r="S119" i="75"/>
  <c r="T121" i="75"/>
  <c r="U121" i="75" s="1"/>
  <c r="T122" i="75"/>
  <c r="U122" i="75" s="1"/>
  <c r="T111" i="75"/>
  <c r="U111" i="75" s="1"/>
  <c r="S111" i="75"/>
  <c r="T116" i="75"/>
  <c r="U116" i="75" s="1"/>
  <c r="S116" i="75"/>
  <c r="T105" i="75"/>
  <c r="U105" i="75" s="1"/>
  <c r="S105" i="75"/>
  <c r="S108" i="75"/>
  <c r="T108" i="75"/>
  <c r="U108" i="75" s="1"/>
  <c r="S106" i="75"/>
  <c r="S101" i="75"/>
  <c r="Q101" i="75" s="1"/>
  <c r="T101" i="75"/>
  <c r="U101" i="75" s="1"/>
  <c r="S98" i="75"/>
  <c r="T98" i="75"/>
  <c r="U98" i="75" s="1"/>
  <c r="S100" i="75"/>
  <c r="T100" i="75"/>
  <c r="U100" i="75" s="1"/>
  <c r="S102" i="75"/>
  <c r="T102" i="75"/>
  <c r="U102" i="75" s="1"/>
  <c r="S99" i="75"/>
  <c r="T93" i="75"/>
  <c r="U93" i="75" s="1"/>
  <c r="S93" i="75"/>
  <c r="Q93" i="75" s="1"/>
  <c r="T94" i="75"/>
  <c r="U94" i="75" s="1"/>
  <c r="S94" i="75"/>
  <c r="T91" i="75"/>
  <c r="U91" i="75" s="1"/>
  <c r="S91" i="75"/>
  <c r="T92" i="75"/>
  <c r="U92" i="75" s="1"/>
  <c r="S92" i="75"/>
  <c r="Q92" i="75" s="1"/>
  <c r="T95" i="75"/>
  <c r="U95" i="75" s="1"/>
  <c r="S95" i="75"/>
  <c r="Q86" i="75"/>
  <c r="T88" i="75"/>
  <c r="U88" i="75" s="1"/>
  <c r="S88" i="75"/>
  <c r="S87" i="75"/>
  <c r="T86" i="75"/>
  <c r="U86" i="75" s="1"/>
  <c r="T83" i="75"/>
  <c r="U83" i="75" s="1"/>
  <c r="U82" i="75" s="1"/>
  <c r="S83" i="75"/>
  <c r="U73" i="75"/>
  <c r="S73" i="75"/>
  <c r="Q73" i="75" s="1"/>
  <c r="S77" i="75"/>
  <c r="Q77" i="75" s="1"/>
  <c r="S72" i="75"/>
  <c r="U72" i="75"/>
  <c r="S75" i="75"/>
  <c r="S74" i="75"/>
  <c r="S78" i="75"/>
  <c r="T70" i="75"/>
  <c r="U70" i="75" s="1"/>
  <c r="S70" i="75"/>
  <c r="U80" i="75"/>
  <c r="S80" i="75"/>
  <c r="S79" i="75"/>
  <c r="T66" i="75"/>
  <c r="U66" i="75" s="1"/>
  <c r="S66" i="75"/>
  <c r="S60" i="75"/>
  <c r="T60" i="75"/>
  <c r="U60" i="75" s="1"/>
  <c r="T63" i="75"/>
  <c r="U63" i="75" s="1"/>
  <c r="S63" i="75"/>
  <c r="S61" i="75"/>
  <c r="T61" i="75"/>
  <c r="U61" i="75" s="1"/>
  <c r="S62" i="75"/>
  <c r="T55" i="75"/>
  <c r="U55" i="75" s="1"/>
  <c r="S55" i="75"/>
  <c r="T56" i="75"/>
  <c r="U56" i="75" s="1"/>
  <c r="S56" i="75"/>
  <c r="T52" i="75"/>
  <c r="U52" i="75" s="1"/>
  <c r="U51" i="75" s="1"/>
  <c r="S52" i="75"/>
  <c r="S51" i="75" s="1"/>
  <c r="S38" i="75"/>
  <c r="S41" i="75"/>
  <c r="S39" i="75"/>
  <c r="S37" i="75"/>
  <c r="S40" i="75"/>
  <c r="U323" i="75" l="1"/>
  <c r="Q22" i="567"/>
  <c r="Q16" i="567" s="1"/>
  <c r="Q15" i="567" s="1"/>
  <c r="I759" i="567" s="1"/>
  <c r="U25" i="567"/>
  <c r="S25" i="567" s="1"/>
  <c r="R26" i="567"/>
  <c r="T26" i="567" s="1"/>
  <c r="U26" i="567" s="1"/>
  <c r="S26" i="567" s="1"/>
  <c r="P25" i="568"/>
  <c r="R25" i="568" s="1"/>
  <c r="R357" i="567"/>
  <c r="T357" i="567" s="1"/>
  <c r="V357" i="567" s="1"/>
  <c r="W357" i="567" s="1"/>
  <c r="W356" i="567" s="1"/>
  <c r="W355" i="567" s="1"/>
  <c r="P348" i="568"/>
  <c r="R348" i="568" s="1"/>
  <c r="O21" i="568"/>
  <c r="O16" i="568" s="1"/>
  <c r="O15" i="568" s="1"/>
  <c r="P241" i="567"/>
  <c r="Q241" i="567" s="1"/>
  <c r="Q240" i="567" s="1"/>
  <c r="N235" i="568"/>
  <c r="O235" i="568" s="1"/>
  <c r="O234" i="568" s="1"/>
  <c r="T24" i="568"/>
  <c r="U24" i="568" s="1"/>
  <c r="S24" i="568"/>
  <c r="Q24" i="568" s="1"/>
  <c r="U703" i="567"/>
  <c r="V703" i="567"/>
  <c r="W703" i="567" s="1"/>
  <c r="W702" i="567" s="1"/>
  <c r="W701" i="567" s="1"/>
  <c r="W567" i="567" s="1"/>
  <c r="U354" i="75"/>
  <c r="U353" i="75" s="1"/>
  <c r="R30" i="356"/>
  <c r="P27" i="568" s="1"/>
  <c r="R27" i="568" s="1"/>
  <c r="P689" i="75"/>
  <c r="R689" i="75" s="1"/>
  <c r="P348" i="75"/>
  <c r="R348" i="75" s="1"/>
  <c r="S348" i="75" s="1"/>
  <c r="Q348" i="75" s="1"/>
  <c r="R28" i="357"/>
  <c r="R30" i="357" s="1"/>
  <c r="R30" i="355"/>
  <c r="P26" i="568" s="1"/>
  <c r="R26" i="568" s="1"/>
  <c r="J25" i="360"/>
  <c r="R26" i="360"/>
  <c r="Q28" i="75"/>
  <c r="R28" i="75"/>
  <c r="T28" i="75" s="1"/>
  <c r="U429" i="75"/>
  <c r="N235" i="75"/>
  <c r="O235" i="75" s="1"/>
  <c r="O234" i="75" s="1"/>
  <c r="P25" i="75"/>
  <c r="R25" i="75" s="1"/>
  <c r="T25" i="75" s="1"/>
  <c r="R35" i="364"/>
  <c r="R24" i="75"/>
  <c r="S24" i="75" s="1"/>
  <c r="S633" i="75"/>
  <c r="U633" i="75" s="1"/>
  <c r="U252" i="75"/>
  <c r="S477" i="75"/>
  <c r="U77" i="75"/>
  <c r="U75" i="75"/>
  <c r="U79" i="75"/>
  <c r="U675" i="75"/>
  <c r="U669" i="75"/>
  <c r="U201" i="75"/>
  <c r="U424" i="75"/>
  <c r="U449" i="75"/>
  <c r="U208" i="75"/>
  <c r="U207" i="75" s="1"/>
  <c r="U394" i="75"/>
  <c r="U264" i="75"/>
  <c r="U594" i="75"/>
  <c r="U436" i="75"/>
  <c r="U723" i="75"/>
  <c r="U722" i="75" s="1"/>
  <c r="S568" i="75"/>
  <c r="S567" i="75" s="1"/>
  <c r="U174" i="75"/>
  <c r="U173" i="75" s="1"/>
  <c r="U477" i="75"/>
  <c r="U457" i="75"/>
  <c r="U627" i="75"/>
  <c r="U599" i="75"/>
  <c r="U271" i="75"/>
  <c r="U562" i="75"/>
  <c r="U558" i="75" s="1"/>
  <c r="U613" i="75"/>
  <c r="U543" i="75"/>
  <c r="U550" i="75"/>
  <c r="U549" i="75" s="1"/>
  <c r="U180" i="75"/>
  <c r="U277" i="75"/>
  <c r="U647" i="75"/>
  <c r="U515" i="75"/>
  <c r="U514" i="75" s="1"/>
  <c r="S647" i="75"/>
  <c r="U382" i="75"/>
  <c r="U381" i="75" s="1"/>
  <c r="U463" i="75"/>
  <c r="U257" i="75"/>
  <c r="U606" i="75"/>
  <c r="U285" i="75"/>
  <c r="U522" i="75"/>
  <c r="U716" i="75"/>
  <c r="U694" i="75" s="1"/>
  <c r="U695" i="75"/>
  <c r="U568" i="75"/>
  <c r="U567" i="75" s="1"/>
  <c r="S35" i="75"/>
  <c r="Q140" i="75"/>
  <c r="S69" i="75"/>
  <c r="U85" i="75"/>
  <c r="U59" i="75"/>
  <c r="U58" i="75" s="1"/>
  <c r="Q329" i="75"/>
  <c r="U676" i="75"/>
  <c r="R30" i="352"/>
  <c r="Q482" i="75"/>
  <c r="Q316" i="75"/>
  <c r="J29" i="362"/>
  <c r="O137" i="75"/>
  <c r="J26" i="368"/>
  <c r="J34" i="364"/>
  <c r="R157" i="75"/>
  <c r="T157" i="75" s="1"/>
  <c r="R496" i="75"/>
  <c r="O521" i="75"/>
  <c r="O304" i="75"/>
  <c r="O64" i="75"/>
  <c r="O179" i="75"/>
  <c r="O353" i="75"/>
  <c r="O403" i="75"/>
  <c r="O646" i="75"/>
  <c r="O476" i="75"/>
  <c r="J27" i="357"/>
  <c r="R27" i="373"/>
  <c r="R227" i="75"/>
  <c r="T307" i="75"/>
  <c r="U307" i="75" s="1"/>
  <c r="U305" i="75" s="1"/>
  <c r="R32" i="358"/>
  <c r="R308" i="75"/>
  <c r="R28" i="374"/>
  <c r="P402" i="75"/>
  <c r="R402" i="75" s="1"/>
  <c r="R30" i="372"/>
  <c r="P401" i="75"/>
  <c r="R401" i="75" s="1"/>
  <c r="J27" i="372"/>
  <c r="R23" i="366"/>
  <c r="R48" i="75"/>
  <c r="R32" i="369"/>
  <c r="R29" i="368"/>
  <c r="J26" i="365"/>
  <c r="R24" i="363"/>
  <c r="R32" i="362"/>
  <c r="R666" i="75"/>
  <c r="S666" i="75" s="1"/>
  <c r="R32" i="361"/>
  <c r="R578" i="75"/>
  <c r="R29" i="365"/>
  <c r="R324" i="75"/>
  <c r="R32" i="359"/>
  <c r="R31" i="354"/>
  <c r="R31" i="353"/>
  <c r="R32" i="351"/>
  <c r="S594" i="75"/>
  <c r="Q724" i="75"/>
  <c r="S723" i="75"/>
  <c r="S722" i="75" s="1"/>
  <c r="S716" i="75"/>
  <c r="S695" i="75"/>
  <c r="S684" i="75"/>
  <c r="S662" i="75"/>
  <c r="S627" i="75"/>
  <c r="S619" i="75"/>
  <c r="S613" i="75"/>
  <c r="S606" i="75"/>
  <c r="S599" i="75"/>
  <c r="S562" i="75"/>
  <c r="S559" i="75"/>
  <c r="Q551" i="75"/>
  <c r="S550" i="75"/>
  <c r="S549" i="75" s="1"/>
  <c r="S543" i="75"/>
  <c r="S522" i="75"/>
  <c r="S515" i="75"/>
  <c r="S514" i="75" s="1"/>
  <c r="S511" i="75"/>
  <c r="S492" i="75"/>
  <c r="S463" i="75"/>
  <c r="S457" i="75"/>
  <c r="Q457" i="75"/>
  <c r="S449" i="75"/>
  <c r="S436" i="75"/>
  <c r="S443" i="75"/>
  <c r="S429" i="75"/>
  <c r="Q425" i="75"/>
  <c r="Q424" i="75" s="1"/>
  <c r="S424" i="75"/>
  <c r="S421" i="75"/>
  <c r="S408" i="75"/>
  <c r="S394" i="75"/>
  <c r="S391" i="75"/>
  <c r="S375" i="75"/>
  <c r="S382" i="75"/>
  <c r="S354" i="75"/>
  <c r="S320" i="75"/>
  <c r="S285" i="75"/>
  <c r="S277" i="75"/>
  <c r="S271" i="75"/>
  <c r="S264" i="75"/>
  <c r="S257" i="75"/>
  <c r="S252" i="75"/>
  <c r="S249" i="75"/>
  <c r="U217" i="75"/>
  <c r="U216" i="75" s="1"/>
  <c r="S217" i="75"/>
  <c r="S208" i="75"/>
  <c r="S207" i="75" s="1"/>
  <c r="S201" i="75"/>
  <c r="S180" i="75"/>
  <c r="S174" i="75"/>
  <c r="S173" i="75" s="1"/>
  <c r="Q171" i="75"/>
  <c r="Q170" i="75" s="1"/>
  <c r="S170" i="75"/>
  <c r="S153" i="75"/>
  <c r="S124" i="75"/>
  <c r="S118" i="75"/>
  <c r="S110" i="75"/>
  <c r="S104" i="75"/>
  <c r="S97" i="75"/>
  <c r="S90" i="75"/>
  <c r="S85" i="75"/>
  <c r="S82" i="75"/>
  <c r="U65" i="75"/>
  <c r="S65" i="75"/>
  <c r="S59" i="75"/>
  <c r="S58" i="75" s="1"/>
  <c r="S54" i="75"/>
  <c r="S50" i="75" s="1"/>
  <c r="Q608" i="75"/>
  <c r="Q570" i="75"/>
  <c r="Q623" i="75"/>
  <c r="Q709" i="75"/>
  <c r="Q622" i="75"/>
  <c r="Q698" i="75"/>
  <c r="Q677" i="75"/>
  <c r="Q628" i="75"/>
  <c r="Q603" i="75"/>
  <c r="Q574" i="75"/>
  <c r="Q573" i="75" s="1"/>
  <c r="Q725" i="75"/>
  <c r="Q617" i="75"/>
  <c r="Q670" i="75"/>
  <c r="Q610" i="75"/>
  <c r="Q609" i="75"/>
  <c r="Q663" i="75"/>
  <c r="Q662" i="75" s="1"/>
  <c r="Q667" i="75"/>
  <c r="U667" i="75"/>
  <c r="Q659" i="75"/>
  <c r="Q652" i="75"/>
  <c r="Q728" i="75"/>
  <c r="Q719" i="75"/>
  <c r="Q700" i="75"/>
  <c r="Q581" i="75"/>
  <c r="Q615" i="75"/>
  <c r="U581" i="75"/>
  <c r="Q643" i="75"/>
  <c r="Q592" i="75"/>
  <c r="Q591" i="75" s="1"/>
  <c r="Q696" i="75"/>
  <c r="U579" i="75"/>
  <c r="Q679" i="75"/>
  <c r="Q691" i="75"/>
  <c r="Q671" i="75"/>
  <c r="Q620" i="75"/>
  <c r="Q639" i="75"/>
  <c r="Q571" i="75"/>
  <c r="Q638" i="75"/>
  <c r="Q587" i="75"/>
  <c r="Q565" i="75"/>
  <c r="Q642" i="75"/>
  <c r="Q586" i="75"/>
  <c r="Q600" i="75"/>
  <c r="Q588" i="75"/>
  <c r="Q631" i="75"/>
  <c r="Q604" i="75"/>
  <c r="Q674" i="75"/>
  <c r="Q595" i="75"/>
  <c r="Q594" i="75" s="1"/>
  <c r="Q614" i="75"/>
  <c r="Q580" i="75"/>
  <c r="Q630" i="75"/>
  <c r="Q582" i="75"/>
  <c r="Q635" i="75"/>
  <c r="Q579" i="75"/>
  <c r="Q703" i="75"/>
  <c r="Q704" i="75"/>
  <c r="Q673" i="75"/>
  <c r="Q564" i="75"/>
  <c r="Q672" i="75"/>
  <c r="Q560" i="75"/>
  <c r="Q559" i="75" s="1"/>
  <c r="Q685" i="75"/>
  <c r="Q684" i="75" s="1"/>
  <c r="U582" i="75"/>
  <c r="Q718" i="75"/>
  <c r="Q644" i="75"/>
  <c r="Q637" i="75"/>
  <c r="Q629" i="75"/>
  <c r="U674" i="75"/>
  <c r="Q641" i="75"/>
  <c r="Q708" i="75"/>
  <c r="Q636" i="75"/>
  <c r="Q699" i="75"/>
  <c r="Q678" i="75"/>
  <c r="Q701" i="75"/>
  <c r="Q634" i="75"/>
  <c r="Q640" i="75"/>
  <c r="Q624" i="75"/>
  <c r="Q431" i="75"/>
  <c r="Q528" i="75"/>
  <c r="Q418" i="75"/>
  <c r="Q470" i="75"/>
  <c r="Q396" i="75"/>
  <c r="Q410" i="75"/>
  <c r="Q531" i="75"/>
  <c r="Q545" i="75"/>
  <c r="Q538" i="75"/>
  <c r="Q439" i="75"/>
  <c r="Q441" i="75"/>
  <c r="Q412" i="75"/>
  <c r="Q547" i="75"/>
  <c r="Q541" i="75"/>
  <c r="Q508" i="75"/>
  <c r="Q472" i="75"/>
  <c r="Q527" i="75"/>
  <c r="Q473" i="75"/>
  <c r="Q526" i="75"/>
  <c r="Q501" i="75"/>
  <c r="Q529" i="75"/>
  <c r="Q433" i="75"/>
  <c r="Q474" i="75"/>
  <c r="Q413" i="75"/>
  <c r="Q487" i="75"/>
  <c r="Q447" i="75"/>
  <c r="Q534" i="75"/>
  <c r="Q505" i="75"/>
  <c r="Q540" i="75"/>
  <c r="Q499" i="75"/>
  <c r="Q450" i="75"/>
  <c r="Q437" i="75"/>
  <c r="Q405" i="75"/>
  <c r="Q404" i="75" s="1"/>
  <c r="Q434" i="75"/>
  <c r="Q524" i="75"/>
  <c r="Q500" i="75"/>
  <c r="Q471" i="75"/>
  <c r="Q416" i="75"/>
  <c r="Q452" i="75"/>
  <c r="Q430" i="75"/>
  <c r="Q397" i="75"/>
  <c r="Q525" i="75"/>
  <c r="Q480" i="75"/>
  <c r="Q481" i="75"/>
  <c r="Q502" i="75"/>
  <c r="Q517" i="75"/>
  <c r="Q415" i="75"/>
  <c r="Q552" i="75"/>
  <c r="Q518" i="75"/>
  <c r="Q555" i="75"/>
  <c r="Q546" i="75"/>
  <c r="Q537" i="75"/>
  <c r="Q432" i="75"/>
  <c r="Q446" i="75"/>
  <c r="Q438" i="75"/>
  <c r="Q488" i="75"/>
  <c r="Q544" i="75"/>
  <c r="Q509" i="75"/>
  <c r="Q479" i="75"/>
  <c r="Q519" i="75"/>
  <c r="Q451" i="75"/>
  <c r="Q493" i="75"/>
  <c r="Q492" i="75" s="1"/>
  <c r="Q419" i="75"/>
  <c r="U419" i="75"/>
  <c r="U408" i="75" s="1"/>
  <c r="Q532" i="75"/>
  <c r="Q535" i="75"/>
  <c r="Q409" i="75"/>
  <c r="Q422" i="75"/>
  <c r="Q421" i="75" s="1"/>
  <c r="Q507" i="75"/>
  <c r="Q533" i="75"/>
  <c r="Q512" i="75"/>
  <c r="Q511" i="75" s="1"/>
  <c r="Q414" i="75"/>
  <c r="Q489" i="75"/>
  <c r="Q392" i="75"/>
  <c r="Q391" i="75" s="1"/>
  <c r="Q350" i="75"/>
  <c r="Q330" i="75"/>
  <c r="Q282" i="75"/>
  <c r="Q259" i="75"/>
  <c r="Q243" i="75"/>
  <c r="Q218" i="75"/>
  <c r="Q217" i="75" s="1"/>
  <c r="Q268" i="75"/>
  <c r="Q294" i="75"/>
  <c r="Q379" i="75"/>
  <c r="Q261" i="75"/>
  <c r="Q302" i="75"/>
  <c r="Q360" i="75"/>
  <c r="Q359" i="75"/>
  <c r="Q281" i="75"/>
  <c r="Q260" i="75"/>
  <c r="Q336" i="75"/>
  <c r="Q355" i="75"/>
  <c r="Q335" i="75"/>
  <c r="Q286" i="75"/>
  <c r="Q274" i="75"/>
  <c r="Q312" i="75"/>
  <c r="Q351" i="75"/>
  <c r="Q314" i="75"/>
  <c r="Q383" i="75"/>
  <c r="Q372" i="75"/>
  <c r="Q387" i="75"/>
  <c r="Q309" i="75"/>
  <c r="Q321" i="75"/>
  <c r="Q320" i="75" s="1"/>
  <c r="Q328" i="75"/>
  <c r="Q364" i="75"/>
  <c r="Q220" i="75"/>
  <c r="Q373" i="75"/>
  <c r="Q325" i="75"/>
  <c r="Q265" i="75"/>
  <c r="Q384" i="75"/>
  <c r="Q349" i="75"/>
  <c r="Q253" i="75"/>
  <c r="Q262" i="75"/>
  <c r="Q310" i="75"/>
  <c r="Q334" i="75"/>
  <c r="Q378" i="75"/>
  <c r="Q292" i="75"/>
  <c r="U237" i="75"/>
  <c r="Q237" i="75"/>
  <c r="Q297" i="75"/>
  <c r="Q258" i="75"/>
  <c r="Q317" i="75"/>
  <c r="Q280" i="75"/>
  <c r="Q326" i="75"/>
  <c r="Q267" i="75"/>
  <c r="Q272" i="75"/>
  <c r="Q363" i="75"/>
  <c r="Q331" i="75"/>
  <c r="Q369" i="75"/>
  <c r="Q332" i="75"/>
  <c r="Q254" i="75"/>
  <c r="Q266" i="75"/>
  <c r="Q245" i="75"/>
  <c r="Q377" i="75"/>
  <c r="Q368" i="75"/>
  <c r="Q367" i="75"/>
  <c r="Q288" i="75"/>
  <c r="Q275" i="75"/>
  <c r="Q238" i="75"/>
  <c r="U238" i="75"/>
  <c r="Q356" i="75"/>
  <c r="Q255" i="75"/>
  <c r="Q287" i="75"/>
  <c r="Q313" i="75"/>
  <c r="Q250" i="75"/>
  <c r="Q249" i="75" s="1"/>
  <c r="Q293" i="75"/>
  <c r="Q182" i="75"/>
  <c r="Q197" i="75"/>
  <c r="Q183" i="75"/>
  <c r="Q193" i="75"/>
  <c r="Q189" i="75"/>
  <c r="Q187" i="75"/>
  <c r="Q194" i="75"/>
  <c r="Q185" i="75"/>
  <c r="Q186" i="75"/>
  <c r="Q190" i="75"/>
  <c r="Q160" i="75"/>
  <c r="Q158" i="75"/>
  <c r="Q166" i="75"/>
  <c r="Q167" i="75"/>
  <c r="Q162" i="75"/>
  <c r="Q159" i="75"/>
  <c r="Q163" i="75"/>
  <c r="Q146" i="75"/>
  <c r="Q141" i="75"/>
  <c r="Q145" i="75"/>
  <c r="Q149" i="75"/>
  <c r="Q129" i="75"/>
  <c r="Q134" i="75"/>
  <c r="Q133" i="75"/>
  <c r="Q130" i="75"/>
  <c r="Q114" i="75"/>
  <c r="Q115" i="75"/>
  <c r="Q204" i="75"/>
  <c r="Q211" i="75"/>
  <c r="Q213" i="75"/>
  <c r="Q209" i="75"/>
  <c r="Q177" i="75"/>
  <c r="Q210" i="75"/>
  <c r="Q202" i="75"/>
  <c r="Q203" i="75"/>
  <c r="Q198" i="75"/>
  <c r="Q176" i="75"/>
  <c r="Q175" i="75"/>
  <c r="Q168" i="75"/>
  <c r="Q154" i="75"/>
  <c r="Q153" i="75" s="1"/>
  <c r="Q127" i="75"/>
  <c r="Q150" i="75"/>
  <c r="Q139" i="75"/>
  <c r="Q120" i="75"/>
  <c r="Q125" i="75"/>
  <c r="Q135" i="75"/>
  <c r="Q112" i="75"/>
  <c r="Q126" i="75"/>
  <c r="Q119" i="75"/>
  <c r="U118" i="75"/>
  <c r="Q111" i="75"/>
  <c r="Q116" i="75"/>
  <c r="U110" i="75"/>
  <c r="Q108" i="75"/>
  <c r="Q105" i="75"/>
  <c r="Q106" i="75"/>
  <c r="Q100" i="75"/>
  <c r="Q98" i="75"/>
  <c r="Q99" i="75"/>
  <c r="Q102" i="75"/>
  <c r="U90" i="75"/>
  <c r="Q94" i="75"/>
  <c r="Q91" i="75"/>
  <c r="Q95" i="75"/>
  <c r="Q87" i="75"/>
  <c r="Q88" i="75"/>
  <c r="Q83" i="75"/>
  <c r="Q82" i="75" s="1"/>
  <c r="Q78" i="75"/>
  <c r="Q75" i="75"/>
  <c r="Q74" i="75"/>
  <c r="Q72" i="75"/>
  <c r="Q70" i="75"/>
  <c r="Q79" i="75"/>
  <c r="Q80" i="75"/>
  <c r="Q66" i="75"/>
  <c r="Q65" i="75" s="1"/>
  <c r="Q60" i="75"/>
  <c r="Q61" i="75"/>
  <c r="Q62" i="75"/>
  <c r="Q63" i="75"/>
  <c r="Q56" i="75"/>
  <c r="Q55" i="75"/>
  <c r="Q52" i="75"/>
  <c r="Q51" i="75" s="1"/>
  <c r="Q38" i="75"/>
  <c r="Q40" i="75"/>
  <c r="Q41" i="75"/>
  <c r="Q37" i="75"/>
  <c r="P26" i="75" l="1"/>
  <c r="R26" i="75" s="1"/>
  <c r="T26" i="75" s="1"/>
  <c r="U304" i="75"/>
  <c r="V26" i="567"/>
  <c r="W26" i="567" s="1"/>
  <c r="U357" i="567"/>
  <c r="S357" i="567" s="1"/>
  <c r="S356" i="567" s="1"/>
  <c r="S355" i="567" s="1"/>
  <c r="R241" i="567"/>
  <c r="T241" i="567" s="1"/>
  <c r="U241" i="567" s="1"/>
  <c r="P235" i="568"/>
  <c r="R235" i="568" s="1"/>
  <c r="S26" i="568"/>
  <c r="Q26" i="568" s="1"/>
  <c r="T26" i="568"/>
  <c r="U26" i="568" s="1"/>
  <c r="H745" i="568"/>
  <c r="T348" i="568"/>
  <c r="U348" i="568" s="1"/>
  <c r="U347" i="568" s="1"/>
  <c r="U346" i="568" s="1"/>
  <c r="S348" i="568"/>
  <c r="R24" i="567"/>
  <c r="T24" i="567" s="1"/>
  <c r="U24" i="567" s="1"/>
  <c r="P23" i="568"/>
  <c r="R23" i="568" s="1"/>
  <c r="S27" i="568"/>
  <c r="Q27" i="568" s="1"/>
  <c r="T27" i="568"/>
  <c r="U27" i="568" s="1"/>
  <c r="S25" i="568"/>
  <c r="Q25" i="568" s="1"/>
  <c r="T25" i="568"/>
  <c r="U25" i="568" s="1"/>
  <c r="R32" i="355"/>
  <c r="R27" i="567"/>
  <c r="T27" i="567" s="1"/>
  <c r="P27" i="75"/>
  <c r="R27" i="75" s="1"/>
  <c r="S27" i="75" s="1"/>
  <c r="R28" i="567"/>
  <c r="T28" i="567" s="1"/>
  <c r="S703" i="567"/>
  <c r="U702" i="567"/>
  <c r="U701" i="567" s="1"/>
  <c r="U567" i="567" s="1"/>
  <c r="R32" i="356"/>
  <c r="R37" i="364"/>
  <c r="P235" i="75"/>
  <c r="R235" i="75" s="1"/>
  <c r="T235" i="75" s="1"/>
  <c r="U235" i="75" s="1"/>
  <c r="U234" i="75" s="1"/>
  <c r="S25" i="75"/>
  <c r="S28" i="75"/>
  <c r="R32" i="352"/>
  <c r="P23" i="75"/>
  <c r="R23" i="75" s="1"/>
  <c r="S23" i="75" s="1"/>
  <c r="U69" i="75"/>
  <c r="U179" i="75"/>
  <c r="Q354" i="75"/>
  <c r="Q568" i="75"/>
  <c r="Q567" i="75" s="1"/>
  <c r="Q647" i="75"/>
  <c r="U521" i="75"/>
  <c r="Q35" i="75"/>
  <c r="U124" i="75"/>
  <c r="U104" i="75"/>
  <c r="U97" i="75"/>
  <c r="S381" i="75"/>
  <c r="Q257" i="75"/>
  <c r="R29" i="373"/>
  <c r="R228" i="75"/>
  <c r="S228" i="75" s="1"/>
  <c r="S227" i="75"/>
  <c r="T227" i="75"/>
  <c r="U227" i="75" s="1"/>
  <c r="S308" i="75"/>
  <c r="S305" i="75" s="1"/>
  <c r="T308" i="75"/>
  <c r="T402" i="75"/>
  <c r="U402" i="75" s="1"/>
  <c r="S402" i="75"/>
  <c r="T401" i="75"/>
  <c r="U401" i="75" s="1"/>
  <c r="S401" i="75"/>
  <c r="S347" i="75"/>
  <c r="S346" i="75" s="1"/>
  <c r="T348" i="75"/>
  <c r="U348" i="75" s="1"/>
  <c r="U347" i="75" s="1"/>
  <c r="U346" i="75" s="1"/>
  <c r="R28" i="360"/>
  <c r="S496" i="75"/>
  <c r="T496" i="75"/>
  <c r="U496" i="75" s="1"/>
  <c r="U495" i="75" s="1"/>
  <c r="U476" i="75" s="1"/>
  <c r="U157" i="75"/>
  <c r="U156" i="75" s="1"/>
  <c r="S157" i="75"/>
  <c r="S689" i="75"/>
  <c r="T689" i="75"/>
  <c r="U689" i="75" s="1"/>
  <c r="U688" i="75" s="1"/>
  <c r="U687" i="75" s="1"/>
  <c r="T666" i="75"/>
  <c r="U666" i="75" s="1"/>
  <c r="U665" i="75" s="1"/>
  <c r="U646" i="75" s="1"/>
  <c r="S578" i="75"/>
  <c r="T578" i="75"/>
  <c r="U578" i="75" s="1"/>
  <c r="S324" i="75"/>
  <c r="S323" i="75" s="1"/>
  <c r="T324" i="75"/>
  <c r="Q723" i="75"/>
  <c r="Q722" i="75" s="1"/>
  <c r="Q716" i="75"/>
  <c r="Q694" i="75" s="1"/>
  <c r="S694" i="75"/>
  <c r="Q695" i="75"/>
  <c r="Q633" i="75"/>
  <c r="Q627" i="75"/>
  <c r="Q619" i="75"/>
  <c r="Q613" i="75"/>
  <c r="Q606" i="75"/>
  <c r="Q599" i="75"/>
  <c r="Q562" i="75"/>
  <c r="Q558" i="75" s="1"/>
  <c r="S521" i="75"/>
  <c r="S558" i="75"/>
  <c r="Q550" i="75"/>
  <c r="Q549" i="75" s="1"/>
  <c r="Q543" i="75"/>
  <c r="Q522" i="75"/>
  <c r="Q515" i="75"/>
  <c r="Q514" i="75" s="1"/>
  <c r="Q477" i="75"/>
  <c r="Q463" i="75"/>
  <c r="Q449" i="75"/>
  <c r="Q443" i="75"/>
  <c r="Q436" i="75"/>
  <c r="Q429" i="75"/>
  <c r="Q408" i="75"/>
  <c r="S403" i="75"/>
  <c r="Q394" i="75"/>
  <c r="Q390" i="75" s="1"/>
  <c r="S390" i="75"/>
  <c r="Q382" i="75"/>
  <c r="Q381" i="75" s="1"/>
  <c r="Q375" i="75"/>
  <c r="S353" i="75"/>
  <c r="Q347" i="75"/>
  <c r="Q346" i="75" s="1"/>
  <c r="Q285" i="75"/>
  <c r="Q277" i="75"/>
  <c r="Q271" i="75"/>
  <c r="Q264" i="75"/>
  <c r="Q252" i="75"/>
  <c r="S216" i="75"/>
  <c r="Q216" i="75"/>
  <c r="Q201" i="75"/>
  <c r="Q208" i="75"/>
  <c r="Q207" i="75" s="1"/>
  <c r="S179" i="75"/>
  <c r="Q180" i="75"/>
  <c r="Q174" i="75"/>
  <c r="Q173" i="75" s="1"/>
  <c r="Q124" i="75"/>
  <c r="Q118" i="75"/>
  <c r="Q110" i="75"/>
  <c r="Q104" i="75"/>
  <c r="Q97" i="75"/>
  <c r="Q90" i="75"/>
  <c r="Q85" i="75"/>
  <c r="Q69" i="75"/>
  <c r="S64" i="75"/>
  <c r="Q59" i="75"/>
  <c r="Q58" i="75" s="1"/>
  <c r="Q54" i="75"/>
  <c r="Q50" i="75" s="1"/>
  <c r="U619" i="75"/>
  <c r="U390" i="75"/>
  <c r="U443" i="75"/>
  <c r="U403" i="75" s="1"/>
  <c r="U54" i="75"/>
  <c r="U50" i="75" s="1"/>
  <c r="S26" i="75" l="1"/>
  <c r="S21" i="75" s="1"/>
  <c r="T27" i="75"/>
  <c r="U356" i="567"/>
  <c r="U355" i="567" s="1"/>
  <c r="V241" i="567"/>
  <c r="W241" i="567" s="1"/>
  <c r="W240" i="567" s="1"/>
  <c r="V24" i="567"/>
  <c r="W24" i="567" s="1"/>
  <c r="S23" i="568"/>
  <c r="T23" i="568"/>
  <c r="U23" i="568" s="1"/>
  <c r="U21" i="568" s="1"/>
  <c r="U16" i="568" s="1"/>
  <c r="U15" i="568" s="1"/>
  <c r="S235" i="568"/>
  <c r="T235" i="568"/>
  <c r="U235" i="568" s="1"/>
  <c r="U234" i="568" s="1"/>
  <c r="Q348" i="568"/>
  <c r="Q347" i="568" s="1"/>
  <c r="Q346" i="568" s="1"/>
  <c r="S347" i="568"/>
  <c r="S346" i="568" s="1"/>
  <c r="S24" i="567"/>
  <c r="U27" i="567"/>
  <c r="S27" i="567" s="1"/>
  <c r="V27" i="567"/>
  <c r="W27" i="567" s="1"/>
  <c r="S702" i="567"/>
  <c r="S701" i="567" s="1"/>
  <c r="S567" i="567" s="1"/>
  <c r="V28" i="567"/>
  <c r="W28" i="567" s="1"/>
  <c r="U28" i="567"/>
  <c r="S28" i="567" s="1"/>
  <c r="S241" i="567"/>
  <c r="S240" i="567" s="1"/>
  <c r="U240" i="567"/>
  <c r="S235" i="75"/>
  <c r="S234" i="75" s="1"/>
  <c r="S226" i="75"/>
  <c r="U400" i="75"/>
  <c r="U399" i="75" s="1"/>
  <c r="T48" i="75"/>
  <c r="U48" i="75" s="1"/>
  <c r="U47" i="75" s="1"/>
  <c r="U46" i="75" s="1"/>
  <c r="T228" i="75"/>
  <c r="U228" i="75" s="1"/>
  <c r="U226" i="75" s="1"/>
  <c r="U225" i="75" s="1"/>
  <c r="Q228" i="75"/>
  <c r="Q227" i="75"/>
  <c r="Q308" i="75"/>
  <c r="Q305" i="75" s="1"/>
  <c r="Q402" i="75"/>
  <c r="Q401" i="75"/>
  <c r="S400" i="75"/>
  <c r="Q496" i="75"/>
  <c r="Q495" i="75" s="1"/>
  <c r="Q476" i="75" s="1"/>
  <c r="S495" i="75"/>
  <c r="Q157" i="75"/>
  <c r="Q156" i="75" s="1"/>
  <c r="S156" i="75"/>
  <c r="S688" i="75"/>
  <c r="Q689" i="75"/>
  <c r="Q688" i="75" s="1"/>
  <c r="Q687" i="75" s="1"/>
  <c r="S665" i="75"/>
  <c r="Q666" i="75"/>
  <c r="Q665" i="75" s="1"/>
  <c r="Q578" i="75"/>
  <c r="Q324" i="75"/>
  <c r="Q323" i="75" s="1"/>
  <c r="Q521" i="75"/>
  <c r="Q403" i="75"/>
  <c r="Q353" i="75"/>
  <c r="Q179" i="75"/>
  <c r="Q64" i="75"/>
  <c r="D750" i="567" l="1"/>
  <c r="Q235" i="568"/>
  <c r="Q234" i="568" s="1"/>
  <c r="S234" i="568"/>
  <c r="W22" i="567"/>
  <c r="W16" i="567" s="1"/>
  <c r="W15" i="567" s="1"/>
  <c r="Q23" i="568"/>
  <c r="Q21" i="568" s="1"/>
  <c r="Q16" i="568" s="1"/>
  <c r="Q15" i="568" s="1"/>
  <c r="S21" i="568"/>
  <c r="S16" i="568" s="1"/>
  <c r="S15" i="568" s="1"/>
  <c r="U22" i="567"/>
  <c r="U16" i="567" s="1"/>
  <c r="U15" i="567" s="1"/>
  <c r="S22" i="567"/>
  <c r="S16" i="567" s="1"/>
  <c r="S15" i="567" s="1"/>
  <c r="Q235" i="75"/>
  <c r="Q234" i="75" s="1"/>
  <c r="Q646" i="75"/>
  <c r="S48" i="75"/>
  <c r="Q400" i="75"/>
  <c r="Q399" i="75" s="1"/>
  <c r="Q226" i="75"/>
  <c r="Q225" i="75" s="1"/>
  <c r="S225" i="75"/>
  <c r="Q304" i="75"/>
  <c r="S399" i="75"/>
  <c r="S476" i="75"/>
  <c r="S687" i="75"/>
  <c r="S646" i="75"/>
  <c r="S304" i="75"/>
  <c r="T15" i="75"/>
  <c r="J760" i="567" l="1"/>
  <c r="K760" i="567" s="1"/>
  <c r="L760" i="567" s="1"/>
  <c r="E750" i="567"/>
  <c r="I745" i="568"/>
  <c r="D734" i="568"/>
  <c r="J759" i="567"/>
  <c r="D749" i="567"/>
  <c r="S47" i="75"/>
  <c r="S46" i="75" s="1"/>
  <c r="Q48" i="75"/>
  <c r="Q47" i="75" s="1"/>
  <c r="Q46" i="75" s="1"/>
  <c r="O29" i="75"/>
  <c r="O28" i="75"/>
  <c r="O25" i="75"/>
  <c r="E749" i="567" l="1"/>
  <c r="E734" i="568"/>
  <c r="J745" i="568"/>
  <c r="K759" i="567"/>
  <c r="O26" i="75"/>
  <c r="O27" i="75"/>
  <c r="O30" i="75"/>
  <c r="O24" i="75"/>
  <c r="O23" i="75"/>
  <c r="O19" i="75"/>
  <c r="B10" i="237"/>
  <c r="K745" i="568" l="1"/>
  <c r="L759" i="567"/>
  <c r="O18" i="75"/>
  <c r="O17" i="75" s="1"/>
  <c r="T29" i="75" l="1"/>
  <c r="U29" i="75" s="1"/>
  <c r="Q29" i="75" l="1"/>
  <c r="R31" i="237"/>
  <c r="O22" i="75" l="1"/>
  <c r="O21" i="75" l="1"/>
  <c r="O16" i="75" s="1"/>
  <c r="O15" i="75" s="1"/>
  <c r="R29" i="237"/>
  <c r="R28" i="237"/>
  <c r="L28" i="237"/>
  <c r="J28" i="237"/>
  <c r="C10" i="237"/>
  <c r="L9" i="237"/>
  <c r="J9" i="237"/>
  <c r="C9" i="237"/>
  <c r="L8" i="237"/>
  <c r="J8" i="237"/>
  <c r="C8" i="237"/>
  <c r="L7" i="237"/>
  <c r="J7" i="237"/>
  <c r="L6" i="237"/>
  <c r="J6" i="237"/>
  <c r="C6" i="237"/>
  <c r="H745" i="75" l="1"/>
  <c r="S30" i="237"/>
  <c r="R30" i="237"/>
  <c r="R18" i="75" s="1"/>
  <c r="S18" i="75" s="1"/>
  <c r="J29" i="237"/>
  <c r="S29" i="237"/>
  <c r="S28" i="237"/>
  <c r="R32" i="237" l="1"/>
  <c r="T30" i="75" l="1"/>
  <c r="U30" i="75" s="1"/>
  <c r="S19" i="75"/>
  <c r="S17" i="75" s="1"/>
  <c r="U19" i="75"/>
  <c r="U17" i="75" s="1"/>
  <c r="U27" i="75"/>
  <c r="U28" i="75"/>
  <c r="U26" i="75"/>
  <c r="Q26" i="75" l="1"/>
  <c r="Q27" i="75"/>
  <c r="Q19" i="75"/>
  <c r="T18" i="75"/>
  <c r="Q30" i="75"/>
  <c r="Q18" i="75" l="1"/>
  <c r="Q17" i="75" l="1"/>
  <c r="U25" i="75"/>
  <c r="Q25" i="75" l="1"/>
  <c r="U64" i="75" l="1"/>
  <c r="T24" i="75" l="1"/>
  <c r="U24" i="75" l="1"/>
  <c r="T23" i="75"/>
  <c r="U23" i="75" s="1"/>
  <c r="Q24" i="75" l="1"/>
  <c r="Q23" i="75"/>
  <c r="T22" i="75" l="1"/>
  <c r="U22" i="75" l="1"/>
  <c r="U21" i="75" s="1"/>
  <c r="S16" i="75"/>
  <c r="Q22" i="75"/>
  <c r="Q21" i="75" s="1"/>
  <c r="S15" i="75" l="1"/>
  <c r="Q16" i="75"/>
  <c r="Q15" i="75" s="1"/>
  <c r="I745" i="75" s="1"/>
  <c r="U16" i="75"/>
  <c r="U15" i="75" s="1"/>
  <c r="D734" i="75" l="1"/>
  <c r="O49" i="75"/>
  <c r="J745" i="75" l="1"/>
  <c r="K745" i="75" s="1"/>
  <c r="E734" i="75"/>
  <c r="O389" i="75" l="1"/>
  <c r="Q389" i="75"/>
  <c r="U389" i="75"/>
  <c r="S389" i="75"/>
  <c r="H748" i="75" l="1"/>
  <c r="R22" i="393" l="1"/>
  <c r="R24" i="393" s="1"/>
  <c r="R26" i="393" s="1"/>
  <c r="J23" i="393" l="1"/>
  <c r="G746" i="75" l="1"/>
  <c r="G749" i="75" l="1"/>
  <c r="R26" i="416"/>
  <c r="N584" i="75"/>
  <c r="O584" i="75" s="1"/>
  <c r="O577" i="75" s="1"/>
  <c r="O572" i="75" s="1"/>
  <c r="O557" i="75" s="1"/>
  <c r="H746" i="75" l="1"/>
  <c r="P584" i="75"/>
  <c r="Q584" i="75" l="1"/>
  <c r="Q577" i="75" s="1"/>
  <c r="Q572" i="75" s="1"/>
  <c r="Q557" i="75" s="1"/>
  <c r="R584" i="75"/>
  <c r="D735" i="75" l="1"/>
  <c r="S584" i="75"/>
  <c r="S577" i="75" s="1"/>
  <c r="S572" i="75" s="1"/>
  <c r="S557" i="75" s="1"/>
  <c r="T584" i="75"/>
  <c r="U584" i="75" l="1"/>
  <c r="U577" i="75" s="1"/>
  <c r="U572" i="75" s="1"/>
  <c r="U557" i="75" s="1"/>
  <c r="E735" i="75"/>
  <c r="I746" i="75"/>
  <c r="J746" i="75" l="1"/>
  <c r="K746" i="75" s="1"/>
  <c r="R24" i="438"/>
  <c r="R26" i="438" s="1"/>
  <c r="R145" i="567" l="1"/>
  <c r="T145" i="567" s="1"/>
  <c r="U145" i="567" s="1"/>
  <c r="P143" i="568"/>
  <c r="R143" i="568" s="1"/>
  <c r="P143" i="75"/>
  <c r="R143" i="75" s="1"/>
  <c r="R28" i="438"/>
  <c r="J25" i="438"/>
  <c r="V145" i="567" l="1"/>
  <c r="W145" i="567" s="1"/>
  <c r="W140" i="567" s="1"/>
  <c r="W139" i="567" s="1"/>
  <c r="W50" i="567" s="1"/>
  <c r="S143" i="568"/>
  <c r="T143" i="568"/>
  <c r="U143" i="568" s="1"/>
  <c r="U138" i="568" s="1"/>
  <c r="U137" i="568" s="1"/>
  <c r="U49" i="568" s="1"/>
  <c r="S145" i="567"/>
  <c r="S140" i="567" s="1"/>
  <c r="S139" i="567" s="1"/>
  <c r="S50" i="567" s="1"/>
  <c r="U140" i="567"/>
  <c r="U139" i="567" s="1"/>
  <c r="U50" i="567" s="1"/>
  <c r="S143" i="75"/>
  <c r="T143" i="75"/>
  <c r="U143" i="75" s="1"/>
  <c r="U138" i="75" s="1"/>
  <c r="U137" i="75" s="1"/>
  <c r="U49" i="75" s="1"/>
  <c r="Q143" i="568" l="1"/>
  <c r="Q138" i="568" s="1"/>
  <c r="Q137" i="568" s="1"/>
  <c r="Q49" i="568" s="1"/>
  <c r="S138" i="568"/>
  <c r="S137" i="568" s="1"/>
  <c r="S49" i="568" s="1"/>
  <c r="Q143" i="75"/>
  <c r="Q138" i="75" s="1"/>
  <c r="Q137" i="75" s="1"/>
  <c r="Q49" i="75" s="1"/>
  <c r="S138" i="75"/>
  <c r="S137" i="75" s="1"/>
  <c r="S49" i="75" s="1"/>
  <c r="D737" i="568" l="1"/>
  <c r="D737" i="75"/>
  <c r="I748" i="568" l="1"/>
  <c r="J748" i="568" s="1"/>
  <c r="K748" i="568" s="1"/>
  <c r="E737" i="568"/>
  <c r="E737" i="75"/>
  <c r="I748" i="75"/>
  <c r="J748" i="75" l="1"/>
  <c r="K748" i="75" l="1"/>
  <c r="J13" i="469" l="1"/>
  <c r="R13" i="469" s="1"/>
  <c r="R23" i="469" s="1"/>
  <c r="P308" i="567" l="1"/>
  <c r="Q308" i="567" s="1"/>
  <c r="Q298" i="567" s="1"/>
  <c r="Q235" i="567" s="1"/>
  <c r="Q221" i="567" s="1"/>
  <c r="I761" i="567" s="1"/>
  <c r="I763" i="567" s="1"/>
  <c r="N301" i="568"/>
  <c r="O301" i="568" s="1"/>
  <c r="O291" i="568" s="1"/>
  <c r="O229" i="568" s="1"/>
  <c r="O215" i="568" s="1"/>
  <c r="L13" i="469"/>
  <c r="R22" i="469"/>
  <c r="R24" i="469" s="1"/>
  <c r="N301" i="75"/>
  <c r="O301" i="75" s="1"/>
  <c r="O291" i="75" s="1"/>
  <c r="O229" i="75" s="1"/>
  <c r="O215" i="75" s="1"/>
  <c r="R308" i="567" l="1"/>
  <c r="T308" i="567" s="1"/>
  <c r="U308" i="567" s="1"/>
  <c r="P301" i="568"/>
  <c r="R301" i="568" s="1"/>
  <c r="Q745" i="567"/>
  <c r="H747" i="568"/>
  <c r="O730" i="568"/>
  <c r="P301" i="75"/>
  <c r="R301" i="75" s="1"/>
  <c r="R26" i="469"/>
  <c r="J23" i="469"/>
  <c r="H747" i="75"/>
  <c r="H749" i="75" s="1"/>
  <c r="O730" i="75"/>
  <c r="V308" i="567" l="1"/>
  <c r="W308" i="567" s="1"/>
  <c r="H749" i="568"/>
  <c r="T301" i="568"/>
  <c r="U301" i="568" s="1"/>
  <c r="U291" i="568" s="1"/>
  <c r="U229" i="568" s="1"/>
  <c r="U215" i="568" s="1"/>
  <c r="U730" i="568" s="1"/>
  <c r="S301" i="568"/>
  <c r="S308" i="567"/>
  <c r="S298" i="567" s="1"/>
  <c r="S235" i="567" s="1"/>
  <c r="S221" i="567" s="1"/>
  <c r="U298" i="567"/>
  <c r="U235" i="567" s="1"/>
  <c r="U221" i="567" s="1"/>
  <c r="S301" i="75"/>
  <c r="T301" i="75"/>
  <c r="U301" i="75" s="1"/>
  <c r="U291" i="75" s="1"/>
  <c r="U229" i="75" s="1"/>
  <c r="U215" i="75" s="1"/>
  <c r="W298" i="567" l="1"/>
  <c r="W235" i="567" s="1"/>
  <c r="W221" i="567" s="1"/>
  <c r="Q301" i="568"/>
  <c r="Q291" i="568" s="1"/>
  <c r="Q229" i="568" s="1"/>
  <c r="Q215" i="568" s="1"/>
  <c r="S291" i="568"/>
  <c r="S229" i="568" s="1"/>
  <c r="S215" i="568" s="1"/>
  <c r="D751" i="567"/>
  <c r="S291" i="75"/>
  <c r="S229" i="75" s="1"/>
  <c r="S215" i="75" s="1"/>
  <c r="Q301" i="75"/>
  <c r="Q291" i="75" s="1"/>
  <c r="Q229" i="75" s="1"/>
  <c r="Q215" i="75" s="1"/>
  <c r="E751" i="567" l="1"/>
  <c r="D736" i="568"/>
  <c r="Q730" i="568"/>
  <c r="S730" i="568" s="1"/>
  <c r="T735" i="568" s="1"/>
  <c r="J761" i="567"/>
  <c r="D736" i="75"/>
  <c r="D738" i="75" s="1"/>
  <c r="Q730" i="75"/>
  <c r="S730" i="75" s="1"/>
  <c r="U730" i="75" s="1"/>
  <c r="F751" i="567" l="1"/>
  <c r="E736" i="568"/>
  <c r="E738" i="568" s="1"/>
  <c r="I747" i="568"/>
  <c r="D738" i="568"/>
  <c r="K761" i="567"/>
  <c r="E736" i="75"/>
  <c r="I747" i="75"/>
  <c r="D739" i="568" l="1"/>
  <c r="I749" i="568"/>
  <c r="J747" i="568"/>
  <c r="L761" i="567"/>
  <c r="E738" i="75"/>
  <c r="D739" i="75" s="1"/>
  <c r="I749" i="75"/>
  <c r="J747" i="75"/>
  <c r="K747" i="568" l="1"/>
  <c r="J749" i="568"/>
  <c r="K749" i="568" s="1"/>
  <c r="K747" i="75"/>
  <c r="J749" i="75"/>
  <c r="K749" i="75" s="1"/>
  <c r="N16" i="588"/>
  <c r="J17" i="588" s="1"/>
  <c r="N18" i="588" l="1"/>
  <c r="N20" i="588" l="1"/>
  <c r="T522" i="567"/>
  <c r="U522" i="567" l="1"/>
  <c r="V522" i="567"/>
  <c r="W522" i="567" s="1"/>
  <c r="W521" i="567" s="1"/>
  <c r="W486" i="567" s="1"/>
  <c r="W399" i="567" s="1"/>
  <c r="W745" i="567" s="1"/>
  <c r="S522" i="567" l="1"/>
  <c r="S521" i="567" s="1"/>
  <c r="S486" i="567" s="1"/>
  <c r="S399" i="567" s="1"/>
  <c r="S745" i="567" s="1"/>
  <c r="U521" i="567"/>
  <c r="U486" i="567" s="1"/>
  <c r="U399" i="567" s="1"/>
  <c r="D752" i="567" l="1"/>
  <c r="U745" i="567"/>
  <c r="D753" i="567" l="1"/>
  <c r="E752" i="567"/>
  <c r="E753" i="567" s="1"/>
  <c r="J762" i="567"/>
  <c r="F752" i="567" l="1"/>
  <c r="K762" i="567"/>
  <c r="J763" i="567"/>
  <c r="F753" i="567"/>
  <c r="L762" i="567" l="1"/>
  <c r="K763" i="567"/>
  <c r="L763" i="56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C12" authorId="0" shapeId="0" xr:uid="{48C24358-4463-4A95-A02A-AD8CE74E2A4E}">
      <text>
        <r>
          <rPr>
            <b/>
            <sz val="9"/>
            <color indexed="81"/>
            <rFont val="Segoe UI"/>
            <family val="2"/>
          </rPr>
          <t>Master:</t>
        </r>
        <r>
          <rPr>
            <sz val="9"/>
            <color indexed="81"/>
            <rFont val="Segoe UI"/>
            <family val="2"/>
          </rPr>
          <t xml:space="preserve">
</t>
        </r>
        <r>
          <rPr>
            <sz val="20"/>
            <color indexed="81"/>
            <rFont val="Segoe UI"/>
            <family val="2"/>
          </rPr>
          <t>Valor cobrado pro cada ponto R$ 1050,00, logo, nos 3 terminais =
R$ 1050,00 x 3 x 1,2993 x 0,905 = R$ 3.703,98</t>
        </r>
      </text>
    </comment>
  </commentList>
</comments>
</file>

<file path=xl/sharedStrings.xml><?xml version="1.0" encoding="utf-8"?>
<sst xmlns="http://schemas.openxmlformats.org/spreadsheetml/2006/main" count="17162" uniqueCount="1536">
  <si>
    <t>3.1</t>
  </si>
  <si>
    <t>4.1</t>
  </si>
  <si>
    <t>CÓDIGO</t>
  </si>
  <si>
    <t>TOTAL</t>
  </si>
  <si>
    <t>DESCRIÇÃO:</t>
  </si>
  <si>
    <t>INFORMAÇÕES GERAIS DA MEDIÇÃO</t>
  </si>
  <si>
    <t>CONTRATO DE EMPREITEIRA</t>
  </si>
  <si>
    <t>MEDIÇÃO:</t>
  </si>
  <si>
    <t>PERÍODO:</t>
  </si>
  <si>
    <t>QUANT.</t>
  </si>
  <si>
    <t>UND</t>
  </si>
  <si>
    <t>QUANTIDADE CONTRATUAL</t>
  </si>
  <si>
    <t xml:space="preserve">QUANTIDADE TOTAL ACUMULADA </t>
  </si>
  <si>
    <t>AVANÇO</t>
  </si>
  <si>
    <t>MEDIÇÃO LÍQUIDA</t>
  </si>
  <si>
    <t>PLANILHA FINANCEIRA</t>
  </si>
  <si>
    <t>SERVIÇO</t>
  </si>
  <si>
    <t>CONTRATUAL</t>
  </si>
  <si>
    <t>PREÇO UNIT.</t>
  </si>
  <si>
    <t>1.1</t>
  </si>
  <si>
    <t>1.2</t>
  </si>
  <si>
    <t>2.1</t>
  </si>
  <si>
    <t>2.2</t>
  </si>
  <si>
    <t>2.3</t>
  </si>
  <si>
    <t>2.4</t>
  </si>
  <si>
    <t>2.5</t>
  </si>
  <si>
    <t>2.6</t>
  </si>
  <si>
    <t>4.2</t>
  </si>
  <si>
    <t>5.1</t>
  </si>
  <si>
    <t>kg</t>
  </si>
  <si>
    <t>ITEM</t>
  </si>
  <si>
    <t>ACUMULADO ANTERIOR</t>
  </si>
  <si>
    <t>TOTAL DA OBRA</t>
  </si>
  <si>
    <t>LARGURA (m)</t>
  </si>
  <si>
    <t>ACUMULADA ANTERIOR</t>
  </si>
  <si>
    <t>OBSERVAÇÕES</t>
  </si>
  <si>
    <t>ACUMULADO TOTAL</t>
  </si>
  <si>
    <t>4.1.1</t>
  </si>
  <si>
    <t>4.1.2</t>
  </si>
  <si>
    <t>4.2.1</t>
  </si>
  <si>
    <t>1.1.1</t>
  </si>
  <si>
    <t>1.1.2</t>
  </si>
  <si>
    <t>1.1.3</t>
  </si>
  <si>
    <t>1.2.1</t>
  </si>
  <si>
    <t xml:space="preserve">EMPREITEIRA:  </t>
  </si>
  <si>
    <t xml:space="preserve">CONTRATO N°: </t>
  </si>
  <si>
    <t xml:space="preserve">ASSINATURA: </t>
  </si>
  <si>
    <t xml:space="preserve">INÍCIO DOS SERVIÇOS: </t>
  </si>
  <si>
    <t>AMF Engenharia e Serviços Ltda.</t>
  </si>
  <si>
    <t>m³</t>
  </si>
  <si>
    <t>m²</t>
  </si>
  <si>
    <t>m</t>
  </si>
  <si>
    <t>mês</t>
  </si>
  <si>
    <t>PREÇO UNITÁRIO</t>
  </si>
  <si>
    <t>VALOR DA MEDIÇÃO</t>
  </si>
  <si>
    <t>R$</t>
  </si>
  <si>
    <t>TERRAPLENAGEM</t>
  </si>
  <si>
    <t>m2</t>
  </si>
  <si>
    <t>m3</t>
  </si>
  <si>
    <t>und</t>
  </si>
  <si>
    <t>M</t>
  </si>
  <si>
    <t>Mobilização e Desmobilização</t>
  </si>
  <si>
    <t>QUANT. (und)</t>
  </si>
  <si>
    <t>SALDO</t>
  </si>
  <si>
    <r>
      <t xml:space="preserve">GOVERNO DO ESTADO DO ESPÍRITO SANTO
</t>
    </r>
    <r>
      <rPr>
        <sz val="10"/>
        <rFont val="Arial"/>
        <family val="2"/>
      </rPr>
      <t xml:space="preserve">Secretaria do Estado de Mobilidade e Infraestrutura - SEMOBI
</t>
    </r>
  </si>
  <si>
    <t>Serviços Preliminares</t>
  </si>
  <si>
    <t>1.1.1.1</t>
  </si>
  <si>
    <t>1.1.1.2</t>
  </si>
  <si>
    <t>COMP1A</t>
  </si>
  <si>
    <t>COMP1B</t>
  </si>
  <si>
    <t>MOBILIZAÇÃO E DESMOBILIZAÇÃO DE EQUIPAMENTOS DE PEQUENO E GRANDE PORTE</t>
  </si>
  <si>
    <t>MOBILIZAÇÃO E DESMOBILIZAÇÃO DE EQUIPAMENTOS AUTOPROPELIDOS</t>
  </si>
  <si>
    <t>un</t>
  </si>
  <si>
    <t>Canteiro de Obras</t>
  </si>
  <si>
    <t>1.1.2.1</t>
  </si>
  <si>
    <t>1.1.2.2</t>
  </si>
  <si>
    <t>1.1.2.3</t>
  </si>
  <si>
    <t>1.1.2.4</t>
  </si>
  <si>
    <t>1.1.2.5</t>
  </si>
  <si>
    <t>1.1.2.6</t>
  </si>
  <si>
    <t>1.1.2.7</t>
  </si>
  <si>
    <t>1.1.2.8</t>
  </si>
  <si>
    <t>1.1.2.9</t>
  </si>
  <si>
    <t>Tapume Telha Metálica Ondulada 0,50mm Branca h=2,20m, incl. montagem estr. mad. 8"x8", c/adesivo "IOPES" 60x60cm a cada 10m, incl. faixas pint. esmalte sint. cores azul c/ h=30cm e
rosa c/ h=10cm (Reaproveitamento 2x)</t>
  </si>
  <si>
    <t>Aluguel mensal container para escritório, sem banheiro, dim. 6.00x2.40m, incl. porta, 2 janelas, abert p/ ar cond., 2 pt iluminação, 2 tomadas elét. e 1 tomada telef. Isolamento térmico (teto e paredes), piso em comp. Naval, cert. NR18, incl. laudo descontaminação.</t>
  </si>
  <si>
    <t>ms</t>
  </si>
  <si>
    <t>Aluguel mensal container para vestiário, incl. porta, venezianas de circulação, 1 pt iluminação, Isolamento térmico (teto), piso em comp. Naval pintado, cert. NR18, incl. Laudo descontaminação.</t>
  </si>
  <si>
    <t>Aluguel mensal container sanitário, incl porta, básc, 2 ptos luz, 1 pto aterram., 3vasos, 3lavatórios, calha mictório, 6 chuveiros (1 eletrico), torn.,registros, piso comp. Naval pintado, cert NR18 e laudo descontaminação</t>
  </si>
  <si>
    <t>Aluguel mensal container para almoxarifado, incl. porta, 2 janelas, 1 pt iluminação, Isolamento térmico (teto), piso em comp. Naval pintado, cert. NR18, incl. laudo descontaminação.</t>
  </si>
  <si>
    <t>Mobilização e desmobilização de conteiner locado para barracão de obra</t>
  </si>
  <si>
    <t>CANTEIRO DE OBRAS - IMPLANTAÇÃO DE PLATAFORMAS</t>
  </si>
  <si>
    <t>1.1.3.1</t>
  </si>
  <si>
    <t>1.1.3.2</t>
  </si>
  <si>
    <t>1.1.3.3</t>
  </si>
  <si>
    <t>1.1.3.4</t>
  </si>
  <si>
    <t>1.1.3.5</t>
  </si>
  <si>
    <t>1.1.3.6</t>
  </si>
  <si>
    <t>Aluguel mensal container para refeitorio, incl. porta, 2 janelas, abert p/ ar cond., 2 pt iluminação, 2 tomadas elét. e 1 tomada telef. Isolamento térmico (paredes e teto), piso em comp. Naval pintado, cert. NR18, incl. laudo descontaminação.</t>
  </si>
  <si>
    <t>LOCAÇÃO DA OBRA</t>
  </si>
  <si>
    <t>1.2.1.1</t>
  </si>
  <si>
    <t>2.1.1</t>
  </si>
  <si>
    <t>PLACA DE OBRA</t>
  </si>
  <si>
    <t>2.1.1.1</t>
  </si>
  <si>
    <t>Placa de obra nas dimensões de 2.0 x 4.0 m, padrão IOPES</t>
  </si>
  <si>
    <t>2.1.2</t>
  </si>
  <si>
    <t>PREPARO DO TERRENO</t>
  </si>
  <si>
    <t>2.1.2.1</t>
  </si>
  <si>
    <t>2.1.2.2</t>
  </si>
  <si>
    <t>Raspagem e limpeza do terreno (manual)</t>
  </si>
  <si>
    <t>Índice de preço para remoção de entulho decorrente da execução de obras (Classe A CONAMA - NBR 10.004 - Classe II-B), incluindo aluguel da caçamba, carga, transporte e descarga em área licenciada</t>
  </si>
  <si>
    <t>2.2.1</t>
  </si>
  <si>
    <t>MOVIMENTOS DE TERRA</t>
  </si>
  <si>
    <t>2.2.1.1</t>
  </si>
  <si>
    <t>2.2.1.2</t>
  </si>
  <si>
    <t>2.2.1.3</t>
  </si>
  <si>
    <t>2.2.1.4</t>
  </si>
  <si>
    <t>Escavação mecânica em material de 1a. categoria</t>
  </si>
  <si>
    <t>Aterro compactado utilizando compactador de placa vibratória com reaproveitamento do material</t>
  </si>
  <si>
    <t>Corte e destocamento de árvores com diâmetro superior a 30 cm</t>
  </si>
  <si>
    <t>SALA DE ESPERA</t>
  </si>
  <si>
    <t>2.3.1.1</t>
  </si>
  <si>
    <t>2.3.1</t>
  </si>
  <si>
    <t>Locação de obra com gabarito de madeira</t>
  </si>
  <si>
    <t>2.3.2</t>
  </si>
  <si>
    <t>INFRAESTRUTURA</t>
  </si>
  <si>
    <t>2.3.2.1</t>
  </si>
  <si>
    <t>2.3.2.2</t>
  </si>
  <si>
    <t>2.3.2.3</t>
  </si>
  <si>
    <t>2.3.2.4</t>
  </si>
  <si>
    <t>2.3.2.5</t>
  </si>
  <si>
    <t>2.3.2.6</t>
  </si>
  <si>
    <t>2.3.2.7</t>
  </si>
  <si>
    <t>2.3.2.8</t>
  </si>
  <si>
    <t>2.3.2.9</t>
  </si>
  <si>
    <t>2.3.2.10</t>
  </si>
  <si>
    <t>2.3.2.11</t>
  </si>
  <si>
    <t>COT14</t>
  </si>
  <si>
    <t>COMP4</t>
  </si>
  <si>
    <t>COMP23</t>
  </si>
  <si>
    <t>COMP24</t>
  </si>
  <si>
    <t>COMP5</t>
  </si>
  <si>
    <t>SONDAGEM A PERCUSSÃO COM ENSAIO SPT - INCLUSIVE MOBILIZAÇÃO E DESMOBILIZAÇÃO DE EQUIPAMENTO</t>
  </si>
  <si>
    <t>Estaca hélice contínua - confecção</t>
  </si>
  <si>
    <t>Corte e dobra de aço CA-50, diâmetro de 6,3 mm, utilizado em estribo contínuo helicoidal</t>
  </si>
  <si>
    <t>Montagem de armadura longitudinal/transversal de estacas de seção circular, diâmetro = 12,5 mm.</t>
  </si>
  <si>
    <t>Escavação manual em material de 1a. categoria, até 1.50 m de profundidade</t>
  </si>
  <si>
    <t>Forma de chapas madeira compensada resinada, esp. 12mm, levando-se em conta a utilização 3 vezes, reforçadas com sarrafos de madeira de 2.5 x 10.0cm (incl material, corte, montagem,
escoras em eucalipto e desforma)</t>
  </si>
  <si>
    <t>Fornecimento, dobragem e colocação em fôrma, de armadura CA-50 A média, diâmetro de 6.3 a 10.0 mm</t>
  </si>
  <si>
    <t>Fornecimento, dobragem e colocação em fôrma, de armadura CA-50 A grossa diâmetro de 12.5 a 25.0 mm (1/2 a 1")</t>
  </si>
  <si>
    <t>Fornecimento, dobragem e colocação em fôrma, de armadura CA-60 B fina, diâmetro de 4.0 a 7.0mm</t>
  </si>
  <si>
    <t>FORNECIMENTO E APLICAÇÃO DE CONCRETO USINADO FCK=40 MPA - CONSIDERANDO BOMBEAMENTO (5% DE PERDAS JÁ INCLUÍDO NO CUSTO) (6% DE TAXA P/CONCR. BOMBEAVEL)</t>
  </si>
  <si>
    <t>Impermeabilização de estrutura com Sika Top 107 ou equivalente</t>
  </si>
  <si>
    <t>2.3.3</t>
  </si>
  <si>
    <t>PISO</t>
  </si>
  <si>
    <t>2.3.3.1</t>
  </si>
  <si>
    <t>COMP11</t>
  </si>
  <si>
    <t>Lastro regularizado e impermeabilizado de concreto, espessura de 10 cm , com armação em tela Q-61</t>
  </si>
  <si>
    <t>2.3.4</t>
  </si>
  <si>
    <t>RAMPAS E ESCADA</t>
  </si>
  <si>
    <t>2.3.4.1</t>
  </si>
  <si>
    <t>2.3.4.2</t>
  </si>
  <si>
    <t>2.3.4.3</t>
  </si>
  <si>
    <t>Fornecimento e espalhamento de pó de pedra</t>
  </si>
  <si>
    <t>2.3.5</t>
  </si>
  <si>
    <t>PILARES</t>
  </si>
  <si>
    <t>2.3.5.1</t>
  </si>
  <si>
    <t>2.3.5.2</t>
  </si>
  <si>
    <t>2.3.5.3</t>
  </si>
  <si>
    <t>2.3.5.4</t>
  </si>
  <si>
    <t>2.3.5.5</t>
  </si>
  <si>
    <t>2.3.6</t>
  </si>
  <si>
    <t>VIGAS SUPERIORES</t>
  </si>
  <si>
    <t>2.3.6.1</t>
  </si>
  <si>
    <t>2.3.6.2</t>
  </si>
  <si>
    <t>2.3.6.3</t>
  </si>
  <si>
    <t>2.3.6.4</t>
  </si>
  <si>
    <t>2.3.6.5</t>
  </si>
  <si>
    <t>FORNECIMENTO E APLICAÇÃO DE CONCRETO USINADO FCK=40 MPA - CONSIDERANDO BOMBEAMENTO (5% DE PERDAS JÁ INCLUÍDO NO CUSTO) (6% DE TAXA P/CONCR.
BOMBEAVEL)</t>
  </si>
  <si>
    <t>2.3.7</t>
  </si>
  <si>
    <t>LAJE</t>
  </si>
  <si>
    <t>2.3.7.1</t>
  </si>
  <si>
    <t>2.3.7.2</t>
  </si>
  <si>
    <t>2.3.7.3</t>
  </si>
  <si>
    <t>2.3.7.4</t>
  </si>
  <si>
    <t>Forma de chapas madeira compensada resinada, esp. 12mm, levando-se em conta a utilização 3 vezes, reforçadas com sarrafos de madeira de 2.5 x 10.0cm (incl material, corte, montagem, escoras em eucalipto e desforma)</t>
  </si>
  <si>
    <t>Laje pré-fabricada treliçada, sobrecarga 300 Kg/m2, vão de 3.5m a 4.3m, capeamento 4cm, esp. 12cm, Fck = 150 Kg/cm2</t>
  </si>
  <si>
    <t>2.3.8</t>
  </si>
  <si>
    <t>COBERTURA</t>
  </si>
  <si>
    <t>2.3.8.1</t>
  </si>
  <si>
    <t>2.3.8.2</t>
  </si>
  <si>
    <t>2.3.8.3</t>
  </si>
  <si>
    <t>2.3.8.4</t>
  </si>
  <si>
    <t>2.3.8.5</t>
  </si>
  <si>
    <t>2.3.8.6</t>
  </si>
  <si>
    <t>Estrutura de madeira de lei tipo Paraju, peroba mica, angelim pedra ou equivalente para telhado de telha ondulada de fibrocimento esp. 6mm, com pontaletes e caibros, inclusive
tratamento com cupinicida, exclusive telhas</t>
  </si>
  <si>
    <t>Cobertura em telha termoacustica tipo telha/telha em aço galvanizado trapez. 40, e=0.43mm, pint. face. sup. e infer. cor branca, incl. acess. fix. nucleo em poliuretano (injeção contínua),
e=30mm, ref. Isoeste, Sto André, Panissol, Metform ou equi</t>
  </si>
  <si>
    <t>Forma de chapas madeira compensada resinada, esp. 12mm, levando-se em conta a utilização 3 vezes, reforçadas com sarrafos de madeira de 2.5 x 10.0cm (incl material, corte, montagem,
escoras em eucalipto e desforma) (Platibanda)</t>
  </si>
  <si>
    <t>Fornecimento, dobragem e colocação em fôrma, de armadura CA-50 A média, diâmetro de 6.3 a 10.0 mm (Platibanda)</t>
  </si>
  <si>
    <t>FORNECIMENTO E APLICAÇÃO DE CONCRETO USINADO FCK=40 MPA - CONSIDERANDO BOMBEAMENTO (5% DE PERDAS JÁ INCLUÍDO NO CUSTO) (6% DE TAXA P/CONCR. BOMBEAVEL) (Platibanda)</t>
  </si>
  <si>
    <t>Alvenaria de blocos de concreto 14x19x39cm, c/ resist. mínimo a compres. 2.5 MPa, assent. c/ arg. de cimento, cal hidratada CH1 e areia no traço 1:0.5:8 esp. das juntas 10mm e esp. das
paredes, s/ rev. 14cm (Platibanda)</t>
  </si>
  <si>
    <t>2.3.9</t>
  </si>
  <si>
    <t>DRENAGEM</t>
  </si>
  <si>
    <t>2.3.9.1</t>
  </si>
  <si>
    <t>2.3.9.2</t>
  </si>
  <si>
    <t>2.3.9.3</t>
  </si>
  <si>
    <t>2.3.9.4</t>
  </si>
  <si>
    <t>COMP13</t>
  </si>
  <si>
    <t>CALHA PLATIBANDA DE CHAPA DE AÇO GALVANIZADA NUM 26, CORTE 45 CM, FORNECIMENTO E INSTALAÇÃO</t>
  </si>
  <si>
    <t>Rufo de chapa metálica nº 26 com largura de 30 cm</t>
  </si>
  <si>
    <t>Tubo de PVC rígido soldável branco, para esgoto, diâmetro 100mm (4"), inclusive conexões</t>
  </si>
  <si>
    <t>Tubo PVC rígido para esgoto no diâmetro de 150mm incluindo escavação e aterro com areia</t>
  </si>
  <si>
    <t>2.3.10</t>
  </si>
  <si>
    <t>DEMAIS ITENS</t>
  </si>
  <si>
    <t>2.3.10.1</t>
  </si>
  <si>
    <t>2.3.10.2</t>
  </si>
  <si>
    <t>2.3.10.3</t>
  </si>
  <si>
    <t>2.3.10.4</t>
  </si>
  <si>
    <t>2.3.10.5</t>
  </si>
  <si>
    <t>2.3.10.6</t>
  </si>
  <si>
    <t>2.3.10.7</t>
  </si>
  <si>
    <t>2.3.10.8</t>
  </si>
  <si>
    <t>2.3.10.9</t>
  </si>
  <si>
    <t>2.3.10.10</t>
  </si>
  <si>
    <t>2.3.10.11</t>
  </si>
  <si>
    <t>COMP2</t>
  </si>
  <si>
    <t>COMP31</t>
  </si>
  <si>
    <t>COMP32</t>
  </si>
  <si>
    <t>COMP27</t>
  </si>
  <si>
    <t>COMP41</t>
  </si>
  <si>
    <t>Cerca de engranzamento soldado, incluso instalação</t>
  </si>
  <si>
    <t>Portão corrediço de engranzamento soldado - fornecimento e instalação</t>
  </si>
  <si>
    <t>Portão de dupla abertura de engranzamento soldado - fornecimento e instalação</t>
  </si>
  <si>
    <t>Corrimão em tubo de ferro galvanizado diam. 2" com chumbadores a cada 1.5m</t>
  </si>
  <si>
    <t>Guarda corpo de tubo de ferro galvanizado, diâm. 2" e 1/2", h= 1,1 m inclusive pintura a óleo ou esmalte</t>
  </si>
  <si>
    <t>Alvenaria de blocos cerâmicos 10 furos 10x20x20cm, assentados c/argamassa de cimento, cal hidratada CH1 e areia traço 1:0,5:8, juntas 12mm e espessura das paredes, s/revestimento,
20cm (bloco comprado fábrica,posto obra)</t>
  </si>
  <si>
    <t>Chapisco de argamassa de cimento e areia média ou grossa lavada, no traço 1:3, espessura 5 mm</t>
  </si>
  <si>
    <t>Reboco tipo paulista de argamassa de cimento, cal hidratada CH1 e areia média ou grossa lavada no traço 1:0.5:6, espessura 25 mm</t>
  </si>
  <si>
    <t>Pintura com tinta acrílica, marcas de referência Suvinil, Coral e Metalatex, inclusive selador acrílico, em paredes e forros, a duas demãos</t>
  </si>
  <si>
    <t>Piso argamassa alta resistência tipo granilite ou equiv de qualidade comprovada, esp de 10mm, com juntas plástica em quadros de 1m, na cor natural, com acabamento anti-derrapante mecanizado, inclusive regularização e=3.0cm</t>
  </si>
  <si>
    <t>Cadeira longarina com 3 lugares, estrutura em aço e encosto em polipropileno de alta resistência - fornecimento e instalação</t>
  </si>
  <si>
    <t>PLATAFORMA FLUTUANTE</t>
  </si>
  <si>
    <t>2.4.1</t>
  </si>
  <si>
    <t>FABRICAÇÃO DO FLUTUANTE</t>
  </si>
  <si>
    <t>2.4.1.1</t>
  </si>
  <si>
    <t>2.4.1.2</t>
  </si>
  <si>
    <t>2.4.1.3</t>
  </si>
  <si>
    <t>2.4.1.4</t>
  </si>
  <si>
    <t>2.4.1.5</t>
  </si>
  <si>
    <t>2.4.1.6</t>
  </si>
  <si>
    <t>2.4.1.7</t>
  </si>
  <si>
    <t>2.4.1.8</t>
  </si>
  <si>
    <t>2.4.1.9</t>
  </si>
  <si>
    <t>2.4.1.10</t>
  </si>
  <si>
    <t>2.4.1.11</t>
  </si>
  <si>
    <t>2.4.1.12</t>
  </si>
  <si>
    <t>COMP3</t>
  </si>
  <si>
    <t>COMP18</t>
  </si>
  <si>
    <t>COMP6</t>
  </si>
  <si>
    <t>COMP40</t>
  </si>
  <si>
    <t>COMP28</t>
  </si>
  <si>
    <t>COMP29</t>
  </si>
  <si>
    <t>COMP30</t>
  </si>
  <si>
    <t>COMP12</t>
  </si>
  <si>
    <t>COMP26</t>
  </si>
  <si>
    <t>Fôrma com chapa compensada plastificada esp. 12mm, utização 5 vezes</t>
  </si>
  <si>
    <t>ARMAÇÃO DO SISTEMA DE PAREDES DE CONCRETO COM TELA Q785</t>
  </si>
  <si>
    <t>Cordoalha CP 190 RB D = 15,2 mm - fornecimento, preparo e colocação</t>
  </si>
  <si>
    <t>FORNECIMENTO E APLICAÇÃO DE CONCRETO USINADO FCK=50 MPA COM ADITIVO LIQUIDO IMPERMEABILIZANTE E SÍLICA ATIVA - CONSIDERANDO BOMBEAMENTO (5% DE PERDAS JÁ INCLUÍDO NO CUSTO) (6% DE TAXA P/CONCR. BOMBEAVEL)</t>
  </si>
  <si>
    <t>Poliestireno espandido (EPS) de alta densidade - fornecimento e instalação</t>
  </si>
  <si>
    <t>Rolete guia da estaca conforme especificações de projeto - fornecimento e instalação</t>
  </si>
  <si>
    <t>Cabeço de amarração conforme especificações de projeto - fornecimento e instalação</t>
  </si>
  <si>
    <t>Fornecimento e lançamento de concreto para grouteamento com adição de pedrisco (50% em peso), utilizando Sikagrout ou produto equivalente, exclusive forma</t>
  </si>
  <si>
    <t>Defensa barra tipo "D" 150 mm L=150 cm - fornecimento e instalação</t>
  </si>
  <si>
    <t>Içamento de flutuante para a água com guindaste rodoviário de 500t - incluso mobilização e desmobilização de equipamento</t>
  </si>
  <si>
    <t>Chapa dobrada #8 400x700 mm, incl. chumbadores e solda.</t>
  </si>
  <si>
    <t>2.4.2</t>
  </si>
  <si>
    <t>TRANSPORTE DO FLUTUANTE</t>
  </si>
  <si>
    <t>2.4.2.1</t>
  </si>
  <si>
    <t>COMP37</t>
  </si>
  <si>
    <t>Transporte de flutuante por rebocador, incluso manobra, amarração e desamarração (Trajeto Praça do Papa - Praça do Papa)</t>
  </si>
  <si>
    <t>2.4.3</t>
  </si>
  <si>
    <t>ESTACAS</t>
  </si>
  <si>
    <t>2.4.3.1</t>
  </si>
  <si>
    <t>2.4.3.2</t>
  </si>
  <si>
    <t>2.4.3.3</t>
  </si>
  <si>
    <t>2.4.3.4</t>
  </si>
  <si>
    <t>2.4.3.5</t>
  </si>
  <si>
    <t>2.4.3.6</t>
  </si>
  <si>
    <t>2.4.3.7</t>
  </si>
  <si>
    <t>2.4.3.8</t>
  </si>
  <si>
    <t>2.4.3.9</t>
  </si>
  <si>
    <t>2.4.3.10</t>
  </si>
  <si>
    <t>2.4.3.11</t>
  </si>
  <si>
    <t>2.4.3.12</t>
  </si>
  <si>
    <t>COT16</t>
  </si>
  <si>
    <t>COMP8</t>
  </si>
  <si>
    <t>COMP16</t>
  </si>
  <si>
    <t>COMP35</t>
  </si>
  <si>
    <t>COMP20</t>
  </si>
  <si>
    <t>COMP19</t>
  </si>
  <si>
    <t>COMP17</t>
  </si>
  <si>
    <t>COMP15</t>
  </si>
  <si>
    <t>COMP25</t>
  </si>
  <si>
    <t>COMP34</t>
  </si>
  <si>
    <t>SONDAGEM ROTATIVA EM LÂMINA D'ÁGUA (PRAINHA DE VILA VELHA) - INCLUSIVE MOBILIZAÇÃO E DESMOBILIZAÇÃO DE EQUIPAMENTO</t>
  </si>
  <si>
    <t>Camisa metálica com espessura de 8 mm D = 700 mm - cravada com martelo vibratório - sem escavação - confecção e cravação</t>
  </si>
  <si>
    <t>Apoio náutico para a execução da cravação de camisa metálica D = 600 a 1800 mm</t>
  </si>
  <si>
    <t>Escavação com perfuratriz tipo Wirth em solo - D = 700 mm</t>
  </si>
  <si>
    <t>Apoio náutico para a escavação com perfuratriz tipo Wirth em solo D = 600 mm a 1800 mm</t>
  </si>
  <si>
    <t>Armação de camisa metálica em aço CA-50 com apoio de guindaste - fornecimento, preparo e colocação</t>
  </si>
  <si>
    <t>Apoio náutico para a colocação da armação em camisa metálica</t>
  </si>
  <si>
    <t>Apoio náutico para a execução da concretagem de camisas metálicas</t>
  </si>
  <si>
    <t>Arrasamento de camisa metálica com espessura de 8 mm D = 700 mm</t>
  </si>
  <si>
    <t>Tubo de travamento de 12,5 mm D = 500 mm L = 2,75 m - fornecimento e instalação</t>
  </si>
  <si>
    <t>Pintura de superfície metálica com uma demão de primer Epoxi e duas demãos de tinta à base de Epoxi</t>
  </si>
  <si>
    <t>UN</t>
  </si>
  <si>
    <t>2.4.4</t>
  </si>
  <si>
    <t>2.4.4.1</t>
  </si>
  <si>
    <t>PASSARELA DE ACESSO</t>
  </si>
  <si>
    <t>2.5.1</t>
  </si>
  <si>
    <t>2.5.1.1</t>
  </si>
  <si>
    <t>2.5.1.2</t>
  </si>
  <si>
    <t>2.5.1.3</t>
  </si>
  <si>
    <t>COMP22</t>
  </si>
  <si>
    <t>COMP42</t>
  </si>
  <si>
    <t>COMP7</t>
  </si>
  <si>
    <t>Passarela metálica conforme especificações de projeto - fornecimento e instalação</t>
  </si>
  <si>
    <t>Içamento de passarela metálica para flutuante de apoio</t>
  </si>
  <si>
    <t>Telha trapezoidal calandrada galvalume - inclusive fornecimento, instalação e pintura</t>
  </si>
  <si>
    <t>INSTALAÇÕES ELÉTRICAS</t>
  </si>
  <si>
    <t>2.6.1</t>
  </si>
  <si>
    <t>2.6.1.1</t>
  </si>
  <si>
    <t>2.6.1.2</t>
  </si>
  <si>
    <t>2.6.1.3</t>
  </si>
  <si>
    <t>2.6.1.4</t>
  </si>
  <si>
    <t>2.6.1.5</t>
  </si>
  <si>
    <t>2.6.1.6</t>
  </si>
  <si>
    <t>2.6.1.7</t>
  </si>
  <si>
    <t>2.6.1.8</t>
  </si>
  <si>
    <t>2.6.1.9</t>
  </si>
  <si>
    <t>2.6.1.10</t>
  </si>
  <si>
    <t>2.6.1.11</t>
  </si>
  <si>
    <t>2.6.1.12</t>
  </si>
  <si>
    <t>2.6.1.13</t>
  </si>
  <si>
    <t>2.6.1.14</t>
  </si>
  <si>
    <t>2.6.1.15</t>
  </si>
  <si>
    <t>2.6.1.16</t>
  </si>
  <si>
    <t>2.6.1.17</t>
  </si>
  <si>
    <t>2.6.1.18</t>
  </si>
  <si>
    <t>2.6.1.19</t>
  </si>
  <si>
    <t>Quadro de distribuição de energia, de embutir, com 3 divisões modulares, sem barramento</t>
  </si>
  <si>
    <t>Caixa de embutir marca de referência Tigreflex, 4x2"</t>
  </si>
  <si>
    <t>Cabo de cobre termoplástico, com isolamento para 1000V, seção de 2.5 mm2</t>
  </si>
  <si>
    <t>Cabo de cobre termoplástico, com isolamento para 1000V, seção de 4.0 mm2</t>
  </si>
  <si>
    <t>Cabo de cobre termoplástico, com isolamento para 1000V, seção de 10 mm2</t>
  </si>
  <si>
    <t>Ponto padrão de interruptor de 2 teclas simples - considerando eletroduto PVC rígido de 3/4" inclusive conexões (3.3m), fio isolado PVC de 2.5mm2 (17.2m) e caixa estampada 4x2" (1 und)</t>
  </si>
  <si>
    <t>Ponto padrão de tomada 2 pólos mais terra - considerando eletroduto PVC rígido de 3/4" inclusive conexões (5.0m), fio isolado PVC de 2.5mm2 (16.5m) e caixa estampada 4x2" (1 und)</t>
  </si>
  <si>
    <t>Mini-Disjuntor monopolar 10 A, curva C - 5KA 220/127VCA (NBR IEC 60947-2), Ref. Siemens, GE, Schneider ou equivalente</t>
  </si>
  <si>
    <t>Mini-Disjuntor monopolar 16 A, curva C - 5KA 220/127VCA (NBR IEC 60947-2), Ref. Siemens, GE, Schneider ou equivalente</t>
  </si>
  <si>
    <t>Mini-Disjuntor monopolar 25 A, curva C - 5KA 220/127VCA (NBR IEC 60947-2), Ref. Siemens, GE, Schneider ou equivalente</t>
  </si>
  <si>
    <t>Interruptor Diferencial DR 16A a 25A, 30mA, 2 módulos</t>
  </si>
  <si>
    <t>Eletroduto flexível corrugado 3/4" , marca de referência TIGRE</t>
  </si>
  <si>
    <t>Eletroduto aparente de PVC rígido roscável diâmetro 3/4", inclusive abraçadeira de fixação</t>
  </si>
  <si>
    <t>Arandela com lâmpada incandescente de 100W</t>
  </si>
  <si>
    <t>Instalação e fornecimento de luminária High Bay LED 100W</t>
  </si>
  <si>
    <t>Fornecimento e instalação de lanterna de sinalização náutica com alcance luminoso de 2 MN</t>
  </si>
  <si>
    <t>SISTEMA ON-GRID COM 8x PAINEL SOLAR 325 WP (2 m x 1m) OU EQUIVALENTE - FORNECIMENTO E INSTALAÇÃO</t>
  </si>
  <si>
    <t>COMP21</t>
  </si>
  <si>
    <t>COMP14</t>
  </si>
  <si>
    <t>COT11</t>
  </si>
  <si>
    <t>2.6.2</t>
  </si>
  <si>
    <t>ATERRAMENTO</t>
  </si>
  <si>
    <t>2.6.2.1</t>
  </si>
  <si>
    <t>2.6.2.2</t>
  </si>
  <si>
    <t>2.6.2.3</t>
  </si>
  <si>
    <t>2.6.2.4</t>
  </si>
  <si>
    <t>Caixa de aterramento de concreto simples, nas dimensões de 30x30x25cm, com revest. int. em chapisco e reboco, tampa de concreto esp.5cm e lastro de brita esp. 5 cm, incl. haste 5/8"x2400mm</t>
  </si>
  <si>
    <t>Cabo de cobre nú 50mm2, ref. TEL 5750, marca de referência Termotécnica ou equivalente</t>
  </si>
  <si>
    <t>Terminal estanhado de 1 compressão 1 furo, 50mm², ref. TEL-5150, marca de referência Termotécnica ou equivalente</t>
  </si>
  <si>
    <t>2.7</t>
  </si>
  <si>
    <t>PREVENTIVO CONTRA INCÊNDIO</t>
  </si>
  <si>
    <t>2.7.1</t>
  </si>
  <si>
    <t>2.7.1.1</t>
  </si>
  <si>
    <t>2.7.1.2</t>
  </si>
  <si>
    <t>2.7.1.3</t>
  </si>
  <si>
    <t>2.7.1.4</t>
  </si>
  <si>
    <t>2.7.1.5</t>
  </si>
  <si>
    <t>Placa de sinalização de segurança CODIGO 14 - 315/158(NBR 13.434); CÓDIGO S3(NT 14/2010-ES) ("SAIDA DE EMERGÊNCIA" - seta vertical)</t>
  </si>
  <si>
    <t>Ponto para seta indicativa de saída, incl. seta em acrílico, com fonte alimentadora própria que assegure um funcionamento mínimo de 1h, para quando ocorrer falta de energia elétrica na
rede pública, conforme projeto</t>
  </si>
  <si>
    <t>Ponto para iluminação de emergência completo, inclusive bloco autônomo de iluminação 2x9W com tomada universal</t>
  </si>
  <si>
    <t>Extintor de incêndio portátil de pó químico ABC com capacidade 2A-20B:C (4 kg), inclusive suporte para fixação, EXCLUSIVE placa sinalizadora em PVC fotoluminescente</t>
  </si>
  <si>
    <t>PRAÇA DO PAPA</t>
  </si>
  <si>
    <t>3.1.1</t>
  </si>
  <si>
    <t>3.1.1.1</t>
  </si>
  <si>
    <t>3.1.2</t>
  </si>
  <si>
    <t>3.1.2.1</t>
  </si>
  <si>
    <t>3.1.2.2</t>
  </si>
  <si>
    <t>Demolição de piso cimentado inclusive lastro de concreto</t>
  </si>
  <si>
    <t>3.2</t>
  </si>
  <si>
    <t>3.2.1</t>
  </si>
  <si>
    <t>3.2.1.1</t>
  </si>
  <si>
    <t>3.2.1.2</t>
  </si>
  <si>
    <t>3.3.1.1</t>
  </si>
  <si>
    <t>3.3</t>
  </si>
  <si>
    <t>3.3.1</t>
  </si>
  <si>
    <t>3.3.2</t>
  </si>
  <si>
    <t>3.3.2.1</t>
  </si>
  <si>
    <t>3.3.2.2</t>
  </si>
  <si>
    <t>3.3.2.3</t>
  </si>
  <si>
    <t>3.3.2.4</t>
  </si>
  <si>
    <t>3.3.2.5</t>
  </si>
  <si>
    <t>3.3.2.6</t>
  </si>
  <si>
    <t>3.3.2.7</t>
  </si>
  <si>
    <t>3.3.2.8</t>
  </si>
  <si>
    <t>3.3.2.9</t>
  </si>
  <si>
    <t>3.3.2.10</t>
  </si>
  <si>
    <t>3.3.2.11</t>
  </si>
  <si>
    <t>3.3.3</t>
  </si>
  <si>
    <t>3.3.3.1</t>
  </si>
  <si>
    <t>3.3.4</t>
  </si>
  <si>
    <t>3.3.4.1</t>
  </si>
  <si>
    <t>3.3.4.2</t>
  </si>
  <si>
    <t>3.3.4.3</t>
  </si>
  <si>
    <t>3.3.5</t>
  </si>
  <si>
    <t>3.3.5.1</t>
  </si>
  <si>
    <t>3.3.5.2</t>
  </si>
  <si>
    <t>3.3.5.3</t>
  </si>
  <si>
    <t>3.3.5.4</t>
  </si>
  <si>
    <t>3.3.5.5</t>
  </si>
  <si>
    <t>3.3.6</t>
  </si>
  <si>
    <t>3.3.6.1</t>
  </si>
  <si>
    <t>3.3.6.2</t>
  </si>
  <si>
    <t>3.3.6.3</t>
  </si>
  <si>
    <t>3.3.6.4</t>
  </si>
  <si>
    <t>3.3.6.5</t>
  </si>
  <si>
    <t>3.3.7</t>
  </si>
  <si>
    <t>3.3.7.1</t>
  </si>
  <si>
    <t>3.3.7.2</t>
  </si>
  <si>
    <t>3.3.7.3</t>
  </si>
  <si>
    <t>3.3.7.4</t>
  </si>
  <si>
    <t>3.3.8</t>
  </si>
  <si>
    <t>3.3.8.1</t>
  </si>
  <si>
    <t>3.3.8.2</t>
  </si>
  <si>
    <t>3.3.8.3</t>
  </si>
  <si>
    <t>3.3.8.4</t>
  </si>
  <si>
    <t>3.3.8.5</t>
  </si>
  <si>
    <t>3.3.8.6</t>
  </si>
  <si>
    <t>3.3.9</t>
  </si>
  <si>
    <t>3.3.9.1</t>
  </si>
  <si>
    <t>3.3.9.2</t>
  </si>
  <si>
    <t>3.3.9.3</t>
  </si>
  <si>
    <t>3.3.9.4</t>
  </si>
  <si>
    <t>3.3.10.1</t>
  </si>
  <si>
    <t>3.3.10.2</t>
  </si>
  <si>
    <t>3.3.10.3</t>
  </si>
  <si>
    <t>3.3.10.4</t>
  </si>
  <si>
    <t>3.3.10.5</t>
  </si>
  <si>
    <t>3.3.10.6</t>
  </si>
  <si>
    <t>3.3.10.7</t>
  </si>
  <si>
    <t>3.3.10.8</t>
  </si>
  <si>
    <t>3.3.10.9</t>
  </si>
  <si>
    <t>3.3.10.10</t>
  </si>
  <si>
    <t>3.3.10.11</t>
  </si>
  <si>
    <t>3.4</t>
  </si>
  <si>
    <t>3.4.1</t>
  </si>
  <si>
    <t>3.4.1.1</t>
  </si>
  <si>
    <t>3.4.1.2</t>
  </si>
  <si>
    <t>3.4.1.3</t>
  </si>
  <si>
    <t>3.4.1.4</t>
  </si>
  <si>
    <t>3.4.1.5</t>
  </si>
  <si>
    <t>3.4.1.6</t>
  </si>
  <si>
    <t>3.4.1.7</t>
  </si>
  <si>
    <t>3.4.1.8</t>
  </si>
  <si>
    <t>3.4.1.9</t>
  </si>
  <si>
    <t>3.4.1.10</t>
  </si>
  <si>
    <t>3.4.1.11</t>
  </si>
  <si>
    <t>3.4.1.12</t>
  </si>
  <si>
    <t>3.4.2</t>
  </si>
  <si>
    <t>3.4.2.1</t>
  </si>
  <si>
    <t>COMP36</t>
  </si>
  <si>
    <t>Transporte de flutuante por rebocador, incluso manobra, amarração e desamarração (Trajeto Praça do Papa - Porto de Santana Cariacica)</t>
  </si>
  <si>
    <t>3.4.3</t>
  </si>
  <si>
    <t>3.4.3.1</t>
  </si>
  <si>
    <t>3.4.3.2</t>
  </si>
  <si>
    <t>3.4.3.3</t>
  </si>
  <si>
    <t>3.4.3.4</t>
  </si>
  <si>
    <t>3.4.3.5</t>
  </si>
  <si>
    <t>3.4.3.6</t>
  </si>
  <si>
    <t>3.4.3.7</t>
  </si>
  <si>
    <t>3.4.3.8</t>
  </si>
  <si>
    <t>3.4.3.9</t>
  </si>
  <si>
    <t>3.4.3.10</t>
  </si>
  <si>
    <t>3.4.3.11</t>
  </si>
  <si>
    <t>3.4.3.12</t>
  </si>
  <si>
    <t>3.4.3.13</t>
  </si>
  <si>
    <t>3.4.3.14</t>
  </si>
  <si>
    <t>COT15</t>
  </si>
  <si>
    <t>COMP9</t>
  </si>
  <si>
    <t>COMP10</t>
  </si>
  <si>
    <t>SONDAGEM ROTATIVA EM LÂMINA D'ÁGUA (PORTO DE SANTANA CARIACICA) - INCLUSIVE MOBILIZAÇÃO E DESMOBILIZAÇÃO DE EQUIPAMENTO</t>
  </si>
  <si>
    <t>Escavação com perfuratriz tipo Wirth em rocha de alta dureza e alta abrasão - resistência a compressão acima de 80 MPa - D = 600 mm</t>
  </si>
  <si>
    <t>Apoio náutico para a escavação com perfuratriz tipo Wirth em rocha de alta dureza e alta abrasão - resistência a compressão acima de 80 MPa - D = 600 a 1800 mm</t>
  </si>
  <si>
    <t>3.4.4</t>
  </si>
  <si>
    <t>3.4.4.1</t>
  </si>
  <si>
    <t>3.5</t>
  </si>
  <si>
    <t>3.5.1</t>
  </si>
  <si>
    <t>3.5.1.1</t>
  </si>
  <si>
    <t>3.5.1.2</t>
  </si>
  <si>
    <t>3.5.1.3</t>
  </si>
  <si>
    <t>3.5.1.4</t>
  </si>
  <si>
    <t>COMP43</t>
  </si>
  <si>
    <t>3.6</t>
  </si>
  <si>
    <t>3.6.1</t>
  </si>
  <si>
    <t>3.6.1.1</t>
  </si>
  <si>
    <t>3.6.1.2</t>
  </si>
  <si>
    <t>3.6.1.3</t>
  </si>
  <si>
    <t>3.6.1.4</t>
  </si>
  <si>
    <t>3.6.1.5</t>
  </si>
  <si>
    <t>3.6.1.6</t>
  </si>
  <si>
    <t>3.6.1.7</t>
  </si>
  <si>
    <t>3.6.1.8</t>
  </si>
  <si>
    <t>3.6.1.9</t>
  </si>
  <si>
    <t>3.6.1.10</t>
  </si>
  <si>
    <t>3.6.1.11</t>
  </si>
  <si>
    <t>3.6.1.12</t>
  </si>
  <si>
    <t>3.6.1.13</t>
  </si>
  <si>
    <t>3.6.1.14</t>
  </si>
  <si>
    <t>3.6.1.15</t>
  </si>
  <si>
    <t>3.6.1.16</t>
  </si>
  <si>
    <t>3.6.1.17</t>
  </si>
  <si>
    <t>3.6.1.18</t>
  </si>
  <si>
    <t>3.6.1.19</t>
  </si>
  <si>
    <t>3.6.2</t>
  </si>
  <si>
    <t>3.6.2.1</t>
  </si>
  <si>
    <t>3.6.2.2</t>
  </si>
  <si>
    <t>3.6.2.3</t>
  </si>
  <si>
    <t>3.6.2.4</t>
  </si>
  <si>
    <t>3.7</t>
  </si>
  <si>
    <t>3.7.1</t>
  </si>
  <si>
    <t>3.7.1.1</t>
  </si>
  <si>
    <t>3.7.1.2</t>
  </si>
  <si>
    <t>3.7.1.3</t>
  </si>
  <si>
    <t>3.7.1.4</t>
  </si>
  <si>
    <t>3.7.1.5</t>
  </si>
  <si>
    <t>Aplicação de tinta epóxi de alta espessura semibrilhante sobre piso de concreto a três demãos, inclusive selador epóxi a uma demão - Ref. Intergard 2005 e 2001 - Internacional ou equivalente</t>
  </si>
  <si>
    <t>Ponto para seta indicativa de saída, incl. seta em acrílico, com fonte alimentadora própria que assegure um funcionamento mínimo de 1h, para quando ocorrer falta de energia elétrica na rede pública, conforme projeto</t>
  </si>
  <si>
    <t>Caixa de equalização de potenciais para uso interno e externo com cinco (5) terminais para aterramento (BEP), em polipropileno, ref. TEL-902, marca de referência Termotécnica ou equivalente</t>
  </si>
  <si>
    <t>Mini-Disjuntor monopolar 63 A, curva C - 5KA 220/127VCA (NBR IEC 60947-2), Ref. Siemens, GE, Schneider ou equivalente</t>
  </si>
  <si>
    <t>Transporte de passarela via água, efetuado com flutuante e rebocador (Trajeto Praça do Papa - Porto de Santana/Cariacica)</t>
  </si>
  <si>
    <t>CENTRO DE VITÓRIA</t>
  </si>
  <si>
    <t>4.1.1.1</t>
  </si>
  <si>
    <t>4.1.2.1</t>
  </si>
  <si>
    <t>4.1.2.2</t>
  </si>
  <si>
    <t>4.1.2.3</t>
  </si>
  <si>
    <t>Demolição de alvenaria</t>
  </si>
  <si>
    <t>4.2.1.1</t>
  </si>
  <si>
    <t>4.2.1.2</t>
  </si>
  <si>
    <t>4.3</t>
  </si>
  <si>
    <t>4.3.1</t>
  </si>
  <si>
    <t>4.3.1.1</t>
  </si>
  <si>
    <t>4.3.2</t>
  </si>
  <si>
    <t>4.3.2.1</t>
  </si>
  <si>
    <t>4.3.2.2</t>
  </si>
  <si>
    <t>4.3.2.3</t>
  </si>
  <si>
    <t>4.3.2.4</t>
  </si>
  <si>
    <t>4.3.2.5</t>
  </si>
  <si>
    <t>4.3.2.6</t>
  </si>
  <si>
    <t>4.3.2.7</t>
  </si>
  <si>
    <t>4.3.2.8</t>
  </si>
  <si>
    <t>4.3.2.9</t>
  </si>
  <si>
    <t>4.3.2.10</t>
  </si>
  <si>
    <t>4.3.2.11</t>
  </si>
  <si>
    <t>4.3.3</t>
  </si>
  <si>
    <t>4.3.3.1</t>
  </si>
  <si>
    <t>4.3.4</t>
  </si>
  <si>
    <t>4.3.4.1</t>
  </si>
  <si>
    <t>4.3.4.2</t>
  </si>
  <si>
    <t>4.3.4.3</t>
  </si>
  <si>
    <t>4.3.5</t>
  </si>
  <si>
    <t>4.3.5.1</t>
  </si>
  <si>
    <t>4.3.5.2</t>
  </si>
  <si>
    <t>4.3.5.3</t>
  </si>
  <si>
    <t>4.3.5.4</t>
  </si>
  <si>
    <t>4.3.5.5</t>
  </si>
  <si>
    <t>4.3.6</t>
  </si>
  <si>
    <t>4.3.6.1</t>
  </si>
  <si>
    <t>4.3.6.2</t>
  </si>
  <si>
    <t>4.3.6.3</t>
  </si>
  <si>
    <t>4.3.6.4</t>
  </si>
  <si>
    <t>4.3.6.5</t>
  </si>
  <si>
    <t>4.3.7</t>
  </si>
  <si>
    <t>4.3.7.1</t>
  </si>
  <si>
    <t>4.3.7.2</t>
  </si>
  <si>
    <t>4.3.7.3</t>
  </si>
  <si>
    <t>4.3.7.4</t>
  </si>
  <si>
    <t>4.3.8</t>
  </si>
  <si>
    <t>4.3.8.1</t>
  </si>
  <si>
    <t>4.3.8.2</t>
  </si>
  <si>
    <t>4.3.8.3</t>
  </si>
  <si>
    <t>4.3.8.4</t>
  </si>
  <si>
    <t>4.3.8.5</t>
  </si>
  <si>
    <t>4.3.8.6</t>
  </si>
  <si>
    <t>4.3.9</t>
  </si>
  <si>
    <t>4.3.9.1</t>
  </si>
  <si>
    <t>4.3.9.2</t>
  </si>
  <si>
    <t>4.3.9.3</t>
  </si>
  <si>
    <t>4.3.9.4</t>
  </si>
  <si>
    <t>Tubo PVC rígido para esgoto no diâmetro de 100mm incluindo escavação e aterro com areia</t>
  </si>
  <si>
    <t>4.3.10.1</t>
  </si>
  <si>
    <t>4.3.10.2</t>
  </si>
  <si>
    <t>4.3.10.3</t>
  </si>
  <si>
    <t>4.3.10.4</t>
  </si>
  <si>
    <t>4.3.10.5</t>
  </si>
  <si>
    <t>4.3.10.6</t>
  </si>
  <si>
    <t>4.3.10.7</t>
  </si>
  <si>
    <t>4.3.10.8</t>
  </si>
  <si>
    <t>4.3.10.9</t>
  </si>
  <si>
    <t>4.3.10.10</t>
  </si>
  <si>
    <t>4.3.10.11</t>
  </si>
  <si>
    <t>4.4</t>
  </si>
  <si>
    <t>4.4.1</t>
  </si>
  <si>
    <t>4.4.1.1</t>
  </si>
  <si>
    <t>4.4.1.2</t>
  </si>
  <si>
    <t>4.4.1.3</t>
  </si>
  <si>
    <t>4.4.1.4</t>
  </si>
  <si>
    <t>4.4.1.5</t>
  </si>
  <si>
    <t>4.4.1.6</t>
  </si>
  <si>
    <t>4.4.1.7</t>
  </si>
  <si>
    <t>4.4.1.8</t>
  </si>
  <si>
    <t>4.4.1.9</t>
  </si>
  <si>
    <t>4.4.1.10</t>
  </si>
  <si>
    <t>4.4.1.11</t>
  </si>
  <si>
    <t>4.4.1.12</t>
  </si>
  <si>
    <t>4.4.2</t>
  </si>
  <si>
    <t>4.4.2.1</t>
  </si>
  <si>
    <t>COMP39</t>
  </si>
  <si>
    <t>Transporte de flutuante por rebocador, incluso manobra, amarração e desamarração (Trajeto Praça do Papa - Centro de Vitória)</t>
  </si>
  <si>
    <t>4.4.3</t>
  </si>
  <si>
    <t>4.4.3.1</t>
  </si>
  <si>
    <t>4.4.3.2</t>
  </si>
  <si>
    <t>4.4.3.3</t>
  </si>
  <si>
    <t>4.4.3.4</t>
  </si>
  <si>
    <t>4.4.3.5</t>
  </si>
  <si>
    <t>4.4.3.6</t>
  </si>
  <si>
    <t>4.4.3.7</t>
  </si>
  <si>
    <t>4.4.3.8</t>
  </si>
  <si>
    <t>4.4.3.9</t>
  </si>
  <si>
    <t>4.4.3.10</t>
  </si>
  <si>
    <t>4.4.3.11</t>
  </si>
  <si>
    <t>4.4.3.12</t>
  </si>
  <si>
    <t>4.4.3.13</t>
  </si>
  <si>
    <t>4.4.3.14</t>
  </si>
  <si>
    <t>COT17</t>
  </si>
  <si>
    <t>SONDAGEM ROTATIVA EM LÂMINA D'ÁGUA (CENTRO DE VITÓRIA) - INCLUSIVE MOBILIZAÇÃO E DESMOBILIZAÇÃO DE EQUIPAMENTO</t>
  </si>
  <si>
    <t>4.4.4</t>
  </si>
  <si>
    <t>4.4.4.1</t>
  </si>
  <si>
    <t>4.5</t>
  </si>
  <si>
    <t>4.5.1</t>
  </si>
  <si>
    <t>4.5.1.1</t>
  </si>
  <si>
    <t>4.5.1.2</t>
  </si>
  <si>
    <t>4.5.1.3</t>
  </si>
  <si>
    <t>4.5.1.4</t>
  </si>
  <si>
    <t>Transporte de passarela via água, efetuado com flutuante e rebocador (Trajeto Praça do Papa - Centro de Vitória)</t>
  </si>
  <si>
    <t>COMP44</t>
  </si>
  <si>
    <t>4.6</t>
  </si>
  <si>
    <t>4.6.1</t>
  </si>
  <si>
    <t>4.6.1.1</t>
  </si>
  <si>
    <t>4.6.1.2</t>
  </si>
  <si>
    <t>4.6.1.3</t>
  </si>
  <si>
    <t>4.6.1.4</t>
  </si>
  <si>
    <t>4.6.1.5</t>
  </si>
  <si>
    <t>4.6.1.6</t>
  </si>
  <si>
    <t>4.6.1.7</t>
  </si>
  <si>
    <t>4.6.1.8</t>
  </si>
  <si>
    <t>4.6.1.9</t>
  </si>
  <si>
    <t>4.6.1.10</t>
  </si>
  <si>
    <t>4.6.1.11</t>
  </si>
  <si>
    <t>4.6.1.12</t>
  </si>
  <si>
    <t>4.6.1.13</t>
  </si>
  <si>
    <t>4.6.1.14</t>
  </si>
  <si>
    <t>4.6.1.15</t>
  </si>
  <si>
    <t>4.6.1.16</t>
  </si>
  <si>
    <t>4.6.1.17</t>
  </si>
  <si>
    <t>4.6.1.18</t>
  </si>
  <si>
    <t>4.6.1.19</t>
  </si>
  <si>
    <t>Padrão de entrada de energia elétrica, monofásico, entrada aérea, a 2 fios, carga instalada em muro de 3500 até 9000W - 220/127V</t>
  </si>
  <si>
    <t>4.6.2</t>
  </si>
  <si>
    <t>4.6.2.1</t>
  </si>
  <si>
    <t>4.6.2.2</t>
  </si>
  <si>
    <t>4.6.2.3</t>
  </si>
  <si>
    <t>4.6.2.4</t>
  </si>
  <si>
    <t>4.7</t>
  </si>
  <si>
    <t>4.7.1</t>
  </si>
  <si>
    <t>4.7.1.1</t>
  </si>
  <si>
    <t>4.7.1.2</t>
  </si>
  <si>
    <t>4.7.1.3</t>
  </si>
  <si>
    <t>4.7.1.4</t>
  </si>
  <si>
    <t>4.7.1.5</t>
  </si>
  <si>
    <t>5.1.1</t>
  </si>
  <si>
    <t>5.1.1.1</t>
  </si>
  <si>
    <t>5.1.2</t>
  </si>
  <si>
    <t>5.1.2.1</t>
  </si>
  <si>
    <t>5.1.2.2</t>
  </si>
  <si>
    <t>5.1.2.3</t>
  </si>
  <si>
    <t>5.2</t>
  </si>
  <si>
    <t>5.2.1</t>
  </si>
  <si>
    <t>5.2.1.1</t>
  </si>
  <si>
    <t>5.2.1.2</t>
  </si>
  <si>
    <t>5.2.1.3</t>
  </si>
  <si>
    <t>Aterro manual para regularização do terreno em argila, inclusive adensamento manual e fornecimento do material (máximo de 100m3)</t>
  </si>
  <si>
    <t>5.3</t>
  </si>
  <si>
    <t>5.3.1</t>
  </si>
  <si>
    <t>5.3.1.1</t>
  </si>
  <si>
    <t>5.3.2</t>
  </si>
  <si>
    <t>5.3.2.1</t>
  </si>
  <si>
    <t>5.3.2.2</t>
  </si>
  <si>
    <t>5.3.2.3</t>
  </si>
  <si>
    <t>5.3.2.4</t>
  </si>
  <si>
    <t>5.3.2.5</t>
  </si>
  <si>
    <t>5.3.2.6</t>
  </si>
  <si>
    <t>5.3.2.7</t>
  </si>
  <si>
    <t>5.3.2.8</t>
  </si>
  <si>
    <t>5.3.2.9</t>
  </si>
  <si>
    <t>5.3.2.10</t>
  </si>
  <si>
    <t>5.3.2.11</t>
  </si>
  <si>
    <t>5.3.3</t>
  </si>
  <si>
    <t>5.3.3.1</t>
  </si>
  <si>
    <t>5.3.4</t>
  </si>
  <si>
    <t>5.3.4.1</t>
  </si>
  <si>
    <t>5.3.4.2</t>
  </si>
  <si>
    <t>5.3.4.3</t>
  </si>
  <si>
    <t>5.3.5</t>
  </si>
  <si>
    <t>5.3.5.1</t>
  </si>
  <si>
    <t>5.3.5.2</t>
  </si>
  <si>
    <t>5.3.5.3</t>
  </si>
  <si>
    <t>5.3.5.4</t>
  </si>
  <si>
    <t>5.3.5.5</t>
  </si>
  <si>
    <t>5.3.6</t>
  </si>
  <si>
    <t>5.3.6.1</t>
  </si>
  <si>
    <t>5.3.6.2</t>
  </si>
  <si>
    <t>5.3.6.3</t>
  </si>
  <si>
    <t>5.3.6.4</t>
  </si>
  <si>
    <t>5.3.6.5</t>
  </si>
  <si>
    <t>5.3.7</t>
  </si>
  <si>
    <t>5.3.7.1</t>
  </si>
  <si>
    <t>5.3.7.2</t>
  </si>
  <si>
    <t>5.3.7.3</t>
  </si>
  <si>
    <t>5.3.7.4</t>
  </si>
  <si>
    <t>5.3.8</t>
  </si>
  <si>
    <t>5.3.8.1</t>
  </si>
  <si>
    <t>5.3.8.2</t>
  </si>
  <si>
    <t>5.3.8.3</t>
  </si>
  <si>
    <t>5.3.8.4</t>
  </si>
  <si>
    <t>5.3.8.5</t>
  </si>
  <si>
    <t>5.3.8.6</t>
  </si>
  <si>
    <t>5.3.9</t>
  </si>
  <si>
    <t>5.3.9.1</t>
  </si>
  <si>
    <t>5.3.9.2</t>
  </si>
  <si>
    <t>5.3.9.3</t>
  </si>
  <si>
    <t>5.3.9.4</t>
  </si>
  <si>
    <t>5.3.10.1</t>
  </si>
  <si>
    <t>5.3.10.2</t>
  </si>
  <si>
    <t>5.3.10.3</t>
  </si>
  <si>
    <t>5.3.10.4</t>
  </si>
  <si>
    <t>5.3.10.5</t>
  </si>
  <si>
    <t>5.3.10.6</t>
  </si>
  <si>
    <t>5.3.10.7</t>
  </si>
  <si>
    <t>5.3.10.8</t>
  </si>
  <si>
    <t>5.3.10.9</t>
  </si>
  <si>
    <t>5.3.10.10</t>
  </si>
  <si>
    <t>5.3.10.11</t>
  </si>
  <si>
    <t>5.4</t>
  </si>
  <si>
    <t>5.4.1</t>
  </si>
  <si>
    <t>5.4.1.1</t>
  </si>
  <si>
    <t>5.4.1.2</t>
  </si>
  <si>
    <t>5.4.1.3</t>
  </si>
  <si>
    <t>5.4.1.4</t>
  </si>
  <si>
    <t>5.4.1.5</t>
  </si>
  <si>
    <t>5.4.1.6</t>
  </si>
  <si>
    <t>5.4.1.7</t>
  </si>
  <si>
    <t>5.4.1.8</t>
  </si>
  <si>
    <t>5.4.1.9</t>
  </si>
  <si>
    <t>5.4.1.10</t>
  </si>
  <si>
    <t>5.4.1.11</t>
  </si>
  <si>
    <t>5.4.1.12</t>
  </si>
  <si>
    <t>5.4.2</t>
  </si>
  <si>
    <t>5.4.2.1</t>
  </si>
  <si>
    <t>COMP38</t>
  </si>
  <si>
    <t>Transporte de flutuante por rebocador, incluso manobra, amarração e desamarração (Trajeto Praça do Papa - Prainha de Vila Velha)</t>
  </si>
  <si>
    <t>5.4.3</t>
  </si>
  <si>
    <t>5.4.3.1</t>
  </si>
  <si>
    <t>5.4.3.2</t>
  </si>
  <si>
    <t>5.4.3.3</t>
  </si>
  <si>
    <t>5.4.3.4</t>
  </si>
  <si>
    <t>5.4.3.5</t>
  </si>
  <si>
    <t>5.4.3.6</t>
  </si>
  <si>
    <t>5.4.3.7</t>
  </si>
  <si>
    <t>5.4.3.8</t>
  </si>
  <si>
    <t>5.4.3.9</t>
  </si>
  <si>
    <t>5.4.3.10</t>
  </si>
  <si>
    <t>5.4.3.11</t>
  </si>
  <si>
    <t>5.4.3.12</t>
  </si>
  <si>
    <t>5.4.3.13</t>
  </si>
  <si>
    <t>5.4.3.14</t>
  </si>
  <si>
    <t>FORNECIMENTO E APLICAÇÃO DE CONCRETO USINADO FCK=40 MPA - CONSIDERANDO BOMBEAMENTO (5% DE PERDAS JÁ INCLUÍDO NO CUSTO) (6% DE TAXA P/CONCR.BOMBEAVEL)</t>
  </si>
  <si>
    <t>5.4.4</t>
  </si>
  <si>
    <t>5.4.4.1</t>
  </si>
  <si>
    <t>5.5</t>
  </si>
  <si>
    <t>5.5.1</t>
  </si>
  <si>
    <t>5.5.1.1</t>
  </si>
  <si>
    <t>5.5.1.2</t>
  </si>
  <si>
    <t>5.5.1.3</t>
  </si>
  <si>
    <t>5.5.1.4</t>
  </si>
  <si>
    <t>COMP45</t>
  </si>
  <si>
    <t>Transporte de passarela via água, efetuado com flutuante e rebocador (Trajeto Praça do Papa - Prainha de Vila Velha)</t>
  </si>
  <si>
    <t>5.6</t>
  </si>
  <si>
    <t>5.6.1</t>
  </si>
  <si>
    <t>5.6.1.1</t>
  </si>
  <si>
    <t>5.6.1.2</t>
  </si>
  <si>
    <t>5.6.1.3</t>
  </si>
  <si>
    <t>5.6.1.4</t>
  </si>
  <si>
    <t>5.6.1.5</t>
  </si>
  <si>
    <t>5.6.1.6</t>
  </si>
  <si>
    <t>5.6.1.7</t>
  </si>
  <si>
    <t>5.6.1.8</t>
  </si>
  <si>
    <t>5.6.1.9</t>
  </si>
  <si>
    <t>5.6.1.10</t>
  </si>
  <si>
    <t>5.6.1.11</t>
  </si>
  <si>
    <t>5.6.1.12</t>
  </si>
  <si>
    <t>5.6.1.13</t>
  </si>
  <si>
    <t>5.6.1.14</t>
  </si>
  <si>
    <t>5.6.1.15</t>
  </si>
  <si>
    <t>5.6.1.16</t>
  </si>
  <si>
    <t>5.6.1.17</t>
  </si>
  <si>
    <t>5.6.1.18</t>
  </si>
  <si>
    <t>5.6.1.19</t>
  </si>
  <si>
    <t>5.6.2</t>
  </si>
  <si>
    <t>5.6.2.1</t>
  </si>
  <si>
    <t>5.6.2.2</t>
  </si>
  <si>
    <t>5.6.2.3</t>
  </si>
  <si>
    <t>5.6.2.4</t>
  </si>
  <si>
    <t>5.7</t>
  </si>
  <si>
    <t>5.7.1</t>
  </si>
  <si>
    <t>5.7.1.1</t>
  </si>
  <si>
    <t>5.7.1.2</t>
  </si>
  <si>
    <t>5.7.1.3</t>
  </si>
  <si>
    <t>5.7.1.4</t>
  </si>
  <si>
    <t>5.7.1.5</t>
  </si>
  <si>
    <t>GERAL</t>
  </si>
  <si>
    <t>4.3.10</t>
  </si>
  <si>
    <t>5.3.10</t>
  </si>
  <si>
    <r>
      <t xml:space="preserve">GOVERNO DO ESTADO DO ESPÍRITO SANTO
</t>
    </r>
    <r>
      <rPr>
        <sz val="12"/>
        <rFont val="Arial"/>
        <family val="2"/>
      </rPr>
      <t xml:space="preserve">Secretaria do Estado de Mobilidade e Infraestrutura- SEMOBI
</t>
    </r>
  </si>
  <si>
    <t>06/2021</t>
  </si>
  <si>
    <t>ALTURA (m)</t>
  </si>
  <si>
    <t>COMPRIM. (m)</t>
  </si>
  <si>
    <t>ÁREA (m2)</t>
  </si>
  <si>
    <t>VOLUME (m3)</t>
  </si>
  <si>
    <t>QUANT. A MEDIR</t>
  </si>
  <si>
    <t>MEDIÇÃO</t>
  </si>
  <si>
    <t>Execução de quatro pontos de embarque e desembarque do sistema aquaviário</t>
  </si>
  <si>
    <t>Equipe topográfica para serviços simples de locação e nivelamento (incluindo equipamento, transporte e profissionais nivel médio)</t>
  </si>
  <si>
    <t>Galpão para serraria e carpintaria área 12.00m2, em peça de madeira 8x8cm e contraventamento de 5x7cm, cobertura de telha de fibroc. de 6mm, inclusive ponto e cabo de alimentação da máquina, conf. projeto (1 utilização)</t>
  </si>
  <si>
    <t>Galpão para corte e armação com área de 6.00m2, em peças de madeira 8x8cm e contraventamento de 5x7cm, cobertura de telhas de fibroc. de 6mm, inclusive ponto e cabo de alimentação da máquina, conf. projeto (1 utilização)</t>
  </si>
  <si>
    <t>PORTO DE SANTANA CARIACICA</t>
  </si>
  <si>
    <t>PRAINHA DE VILA VELHA</t>
  </si>
  <si>
    <t>Mobilização de equipamentos</t>
  </si>
  <si>
    <t>Tapume Telha Metálica Ondulada 0,50mm Branca h=2,20m, incl. montagem estr. mad. 8"x8", c/adesivo "IOPES" 60x60cm a cada 10m, incl. faixas pint. esmalte sint. cores azul c/ h=30cm e rosa c/ h=10cm (Reaproveitamento 2x)</t>
  </si>
  <si>
    <t>Tapume instalado no perímetro do canteiro central dentro da CASCUVV conforme croqui</t>
  </si>
  <si>
    <t>Escritório do canteiro central instalado na CASCUVV</t>
  </si>
  <si>
    <t>Outubro</t>
  </si>
  <si>
    <t>Sanitário do canteiro central instalado na CASCUVV</t>
  </si>
  <si>
    <t>Almoxarifado do canteiro central instalado na CASCUVV</t>
  </si>
  <si>
    <t>Canteiro central instalado na CASCUVV</t>
  </si>
  <si>
    <t>Vestiário</t>
  </si>
  <si>
    <t>Sanitário</t>
  </si>
  <si>
    <t>Almoxarifado</t>
  </si>
  <si>
    <t>Galpão de carpintaria conforme croqui</t>
  </si>
  <si>
    <t>Galpão de corte e armação conforme croqui</t>
  </si>
  <si>
    <t>Tempo (mês)</t>
  </si>
  <si>
    <t xml:space="preserve">Marcação dos pontos de sondagem SPT nas salas de espera da Prainha e Porto de Santana </t>
  </si>
  <si>
    <t>Sondagens SPT na sala de espera de Porto de Santana conforme boletins</t>
  </si>
  <si>
    <t>SPT 01</t>
  </si>
  <si>
    <t>SPT 02</t>
  </si>
  <si>
    <t>SPT 03</t>
  </si>
  <si>
    <t>SPT 04</t>
  </si>
  <si>
    <t>SPT 05</t>
  </si>
  <si>
    <t>Sondagens rotativas de Porto de Santana</t>
  </si>
  <si>
    <t>SR 01</t>
  </si>
  <si>
    <t>SR 02</t>
  </si>
  <si>
    <t>Sondagens SPT na sala de espera da Prainha conforme boletins</t>
  </si>
  <si>
    <t>Foram medidos somente 17 metros de comprimento de cada furo, o saldo foi inserido no item 3.3.2.1, referente a sondagem de Porto de Santana que teve o comprimento menor deixando saldo.</t>
  </si>
  <si>
    <t>Foram medidos somente 17 metros de comprimento de cada furo no item 5.3.2.1, o saldo foi inserido nesse item, referente a sondagem de Porto de Santana que teve o comprimento menor deixando saldo.</t>
  </si>
  <si>
    <t>Saldo das sondagens SPT na sala de espera da Prainha conforme boletins</t>
  </si>
  <si>
    <t>Sondagens rotativas da Prainha</t>
  </si>
  <si>
    <t>3.3.10</t>
  </si>
  <si>
    <t>SONDAGEM ROTATIVA EM LÂMINA D'ÁGUA (PRAÇA DO PAPA) - INCLUSIVE MOBILIZAÇÃO E DESMOBILIZAÇÃO DE EQUIPAMENTO</t>
  </si>
  <si>
    <t>Terraplanagem do canteiro de obras da CASCUVV</t>
  </si>
  <si>
    <t>ESPESSURA (m)</t>
  </si>
  <si>
    <t>Terraplanagem na área de fabricação dos flutuantes</t>
  </si>
  <si>
    <t>Terraplanagem estrada para flutuantes</t>
  </si>
  <si>
    <t>PESO TOTAL (kg)</t>
  </si>
  <si>
    <t>PERCENTUAL (%)</t>
  </si>
  <si>
    <t>AMF Engenharia e Serviços</t>
  </si>
  <si>
    <t>SEMOBI</t>
  </si>
  <si>
    <t>Valores da medição por município:</t>
  </si>
  <si>
    <t>Cariacica (Terminal Porto de Santana)</t>
  </si>
  <si>
    <t>Vitória (Demais Terminais)</t>
  </si>
  <si>
    <t>Vila Velha (Terminal Prainha e Canteiro Central)</t>
  </si>
  <si>
    <t>Total</t>
  </si>
  <si>
    <t>1 - GERAL</t>
  </si>
  <si>
    <t>2 - PRAÇA DO PAPA</t>
  </si>
  <si>
    <t>3 - PORTO DE SANTANA</t>
  </si>
  <si>
    <t>4 - CENTRO DE VITÓRIA</t>
  </si>
  <si>
    <t>5 - PRAINHA</t>
  </si>
  <si>
    <t>Novembro</t>
  </si>
  <si>
    <t>Escritório</t>
  </si>
  <si>
    <t>Alvenaria de blocos de concreto estrut. (14x19x39cm) cheios, c/ resist. mín. compr. 15MPa, assentados c/ arg. de cimento e areia no traço 1:4, esp. juntas 10mm e esp. da parede s/ revest. 14cm</t>
  </si>
  <si>
    <t>Placa de obra</t>
  </si>
  <si>
    <t>Aço do flutuante de Porto de Santana conforme projeto</t>
  </si>
  <si>
    <t>Sondagens rotativas  no Centro de Vitória</t>
  </si>
  <si>
    <t>Sondagens rotativas na Praça do Papa</t>
  </si>
  <si>
    <t>EPS do flutuante de Porto de Santana</t>
  </si>
  <si>
    <t>Cabeços do flutuante de Porto de Santana</t>
  </si>
  <si>
    <t>Cordoalhas do flutuante de Proto de Santana</t>
  </si>
  <si>
    <t>Dezembro</t>
  </si>
  <si>
    <t>Refeitório</t>
  </si>
  <si>
    <t>Marcação dos pontos de sondagem rotativa embarcada nas estacas dos flutuantes da Prainha e Porto de Santana</t>
  </si>
  <si>
    <t>Marcação dos pontos de sondagem SPT nas salas de espera do Centro de Vitória</t>
  </si>
  <si>
    <t>Marcação dos pontos de sondagem rotativa embarcada nas estacas do flutuante do Centro de Vitória</t>
  </si>
  <si>
    <t>Marcação dos pontos de locação e de nível das salas de espera de Porto de Santana e Prainha</t>
  </si>
  <si>
    <t>Formas da laje de fundo e formas das paredes</t>
  </si>
  <si>
    <t>Aço do flutuante de Porto de Santana</t>
  </si>
  <si>
    <t>Concreto da laje de fundo e paredes do flutuante, exceto tampa (Área da tampa x Espessura da tampa = 90,00 m2 x 0,09 m = 8,10 m3)</t>
  </si>
  <si>
    <t>Sondagens SPT na sala de espera do Centro de Vitória</t>
  </si>
  <si>
    <t>SP 01</t>
  </si>
  <si>
    <t>SP 02</t>
  </si>
  <si>
    <t>SP 03</t>
  </si>
  <si>
    <t>SP 04</t>
  </si>
  <si>
    <t>SP 05</t>
  </si>
  <si>
    <t>Aço do flutuante de Porto de Santana conforme projeto, exceto tampa</t>
  </si>
  <si>
    <t>Cordoalhas para içamento</t>
  </si>
  <si>
    <t>Saldo das sondagens SPT na sala de espera do Cento de Vitória conforme boletins</t>
  </si>
  <si>
    <t>Foram medidos somente 17 metros de comprimento de cada furo no item 4.3.2.1, o saldo foi inserido nesse item, referente a sondagem de Porto de Santana que teve o comprimento menor deixando saldo.</t>
  </si>
  <si>
    <t>Janeiro</t>
  </si>
  <si>
    <t>Concreto da laje de fundo do flutuante</t>
  </si>
  <si>
    <t>Concreto das paredes do flutuante</t>
  </si>
  <si>
    <t>EPS do flutuante de Prainha</t>
  </si>
  <si>
    <t>Demolição de piso</t>
  </si>
  <si>
    <t>Canteiro de obras de Porto de Santana</t>
  </si>
  <si>
    <t>Escavação na área da sala de espera</t>
  </si>
  <si>
    <t>Entulho Porto de Santana</t>
  </si>
  <si>
    <t>Locação obra</t>
  </si>
  <si>
    <t>Canteiro Porto de Santana</t>
  </si>
  <si>
    <t>Mobilização conteiner almoxarifado</t>
  </si>
  <si>
    <t>Mobilização conteiner refeitorio</t>
  </si>
  <si>
    <t>Mobilização conteiner vestiário</t>
  </si>
  <si>
    <t>Mobilização conteiner sanitário</t>
  </si>
  <si>
    <t>QUANT. (kg)</t>
  </si>
  <si>
    <t>Fornecimento armadura CA-50 A média, diâmetro de 6.3 a 10 mm</t>
  </si>
  <si>
    <t>Forma de madeira, (fornecimento material, corte e montagem)</t>
  </si>
  <si>
    <t>Fornecimento armadura CA-50 A média, diâmetro de 12,5 a 25,0 mm</t>
  </si>
  <si>
    <t>Concretagem sapatas</t>
  </si>
  <si>
    <t>Fevereiro</t>
  </si>
  <si>
    <t>Tapume canteiro Porto de Santana</t>
  </si>
  <si>
    <t>Canteiro Prainha</t>
  </si>
  <si>
    <t>Concretagem dos pilares</t>
  </si>
  <si>
    <t xml:space="preserve">Concreto laje </t>
  </si>
  <si>
    <t>Concreto laje topo</t>
  </si>
  <si>
    <t>Forma fundação</t>
  </si>
  <si>
    <t>Aterro fundação</t>
  </si>
  <si>
    <t>Forma vigas superiores</t>
  </si>
  <si>
    <t>Aço vigas</t>
  </si>
  <si>
    <t xml:space="preserve">Chapa batente parra passarela </t>
  </si>
  <si>
    <t>Chapa batente para apoio passarela</t>
  </si>
  <si>
    <t>Forma laje</t>
  </si>
  <si>
    <t>Fornecimento aço laje sala de espera</t>
  </si>
  <si>
    <t>Tapume canteiro Prainha</t>
  </si>
  <si>
    <t>Placa obra canteiro Prainha - VV</t>
  </si>
  <si>
    <t>Aço fundação sala de espera</t>
  </si>
  <si>
    <t>Aço fundação</t>
  </si>
  <si>
    <t>Reajuste 24,29%</t>
  </si>
  <si>
    <t>Total geral</t>
  </si>
  <si>
    <t>Março</t>
  </si>
  <si>
    <t>ESPESSURA</t>
  </si>
  <si>
    <t>LARGURA</t>
  </si>
  <si>
    <t>COMP.</t>
  </si>
  <si>
    <t>Forma laje Porto de Santana</t>
  </si>
  <si>
    <t>Concretagem laje Porto de Santana</t>
  </si>
  <si>
    <t xml:space="preserve">Armação tela laje de fundo </t>
  </si>
  <si>
    <t>PRAINHA</t>
  </si>
  <si>
    <t>Aço 10 mm - fornecimento</t>
  </si>
  <si>
    <t xml:space="preserve">Aço 10 mm - dobragem e colocação em forma </t>
  </si>
  <si>
    <t>PORTO DE SANTANA</t>
  </si>
  <si>
    <t>Limpeza do terreno -manual</t>
  </si>
  <si>
    <t xml:space="preserve">Remoção de entulho gerado na escavação </t>
  </si>
  <si>
    <t>Concreto estrutural platibanda (laje)</t>
  </si>
  <si>
    <t>Kg</t>
  </si>
  <si>
    <t>Aço das paredes flutuante Rodoviária</t>
  </si>
  <si>
    <t>Forma laje de fundo do flutuante</t>
  </si>
  <si>
    <t>Abril</t>
  </si>
  <si>
    <t>Aço do flutuante Praça do Papa</t>
  </si>
  <si>
    <t>Concreto paredes do flutuante - Praça do Papa</t>
  </si>
  <si>
    <t>Concreto laje de fundo - Praça do Papa</t>
  </si>
  <si>
    <t>Madeira telhado Terminal Porto de Santana</t>
  </si>
  <si>
    <t>Armação paredes</t>
  </si>
  <si>
    <t>Forma laje caixão</t>
  </si>
  <si>
    <t>SP 01 - Praça do Papa</t>
  </si>
  <si>
    <t>SP 02 - Praça do Papa</t>
  </si>
  <si>
    <t>SP 03 - Praça do Papa</t>
  </si>
  <si>
    <t>SP 04 - Praça do Papa</t>
  </si>
  <si>
    <t>PESO (Kg)</t>
  </si>
  <si>
    <t xml:space="preserve">Alvenaria </t>
  </si>
  <si>
    <t>Chapisco alvenaria</t>
  </si>
  <si>
    <t>Concreto contrapiso sala de espera Porto Santana</t>
  </si>
  <si>
    <t>Pintura sala de espera</t>
  </si>
  <si>
    <t xml:space="preserve">Gradil cor branca </t>
  </si>
  <si>
    <t>Cordoalha do flutuante Praça do Papa - fornecimento e instalação</t>
  </si>
  <si>
    <t>Forma paredes do flutuante</t>
  </si>
  <si>
    <t xml:space="preserve">Concretagem laje de fundo </t>
  </si>
  <si>
    <t>Canteiro Praça do Papa</t>
  </si>
  <si>
    <t>Concretagem vigas fundação</t>
  </si>
  <si>
    <t>Concretagem laje fundo fundação</t>
  </si>
  <si>
    <t>CONTRATO</t>
  </si>
  <si>
    <t>AVANÇO %</t>
  </si>
  <si>
    <t>QUADRO RESUMO EVOLUÇÃO CONTRATO</t>
  </si>
  <si>
    <t>Maio</t>
  </si>
  <si>
    <t>Aço laje de topo do flutuante Praça do Papa</t>
  </si>
  <si>
    <t>Concretagem paredes</t>
  </si>
  <si>
    <t>EPS alta densidade flutuante Praça Papa</t>
  </si>
  <si>
    <t>Armação tela rampa de acesso sala de espera</t>
  </si>
  <si>
    <t xml:space="preserve">Alvenaria    </t>
  </si>
  <si>
    <t>Fornecimento e instalação painel solar</t>
  </si>
  <si>
    <t>SP 05 B - Praça do Papa</t>
  </si>
  <si>
    <t>Saldo das sondagens SPT na sala de espera da Praça do Papa conforme boletins</t>
  </si>
  <si>
    <t>Foram medidos 85 metros de comprimento do total do  item 2.3.2.1, o saldo foi inserido nesse item, referente a sondagem de Porto de Santana que teve o comprimento menor deixando saldo.</t>
  </si>
  <si>
    <t>PLANILHA DE ACRÉSCIMOS E DECRÉSCIMOS</t>
  </si>
  <si>
    <t>Data Ref: Jan/2020
Região: Espírito Santo</t>
  </si>
  <si>
    <r>
      <rPr>
        <b/>
        <sz val="12"/>
        <rFont val="Arial"/>
        <family val="2"/>
      </rPr>
      <t>NOVOS</t>
    </r>
    <r>
      <rPr>
        <sz val="12"/>
        <rFont val="Arial"/>
        <family val="2"/>
      </rPr>
      <t xml:space="preserve"> </t>
    </r>
    <r>
      <rPr>
        <b/>
        <sz val="12"/>
        <rFont val="Arial"/>
        <family val="2"/>
      </rPr>
      <t>TRAPICHES</t>
    </r>
    <r>
      <rPr>
        <sz val="12"/>
        <rFont val="Arial"/>
        <family val="2"/>
      </rPr>
      <t xml:space="preserve"> </t>
    </r>
    <r>
      <rPr>
        <b/>
        <sz val="12"/>
        <rFont val="Arial"/>
        <family val="2"/>
      </rPr>
      <t>NA</t>
    </r>
    <r>
      <rPr>
        <sz val="12"/>
        <rFont val="Arial"/>
        <family val="2"/>
      </rPr>
      <t xml:space="preserve"> </t>
    </r>
    <r>
      <rPr>
        <b/>
        <sz val="12"/>
        <rFont val="Arial"/>
        <family val="2"/>
      </rPr>
      <t>BAÍA</t>
    </r>
    <r>
      <rPr>
        <sz val="12"/>
        <rFont val="Arial"/>
        <family val="2"/>
      </rPr>
      <t xml:space="preserve"> </t>
    </r>
    <r>
      <rPr>
        <b/>
        <sz val="12"/>
        <rFont val="Arial"/>
        <family val="2"/>
      </rPr>
      <t>DE</t>
    </r>
    <r>
      <rPr>
        <sz val="12"/>
        <rFont val="Arial"/>
        <family val="2"/>
      </rPr>
      <t xml:space="preserve"> </t>
    </r>
    <r>
      <rPr>
        <b/>
        <sz val="12"/>
        <rFont val="Arial"/>
        <family val="2"/>
      </rPr>
      <t>VITÓRIA</t>
    </r>
    <r>
      <rPr>
        <sz val="12"/>
        <rFont val="Arial"/>
        <family val="2"/>
      </rPr>
      <t xml:space="preserve"> </t>
    </r>
    <r>
      <rPr>
        <b/>
        <sz val="12"/>
        <rFont val="Arial"/>
        <family val="2"/>
      </rPr>
      <t>PROJETO</t>
    </r>
    <r>
      <rPr>
        <sz val="12"/>
        <rFont val="Arial"/>
        <family val="2"/>
      </rPr>
      <t xml:space="preserve"> </t>
    </r>
    <r>
      <rPr>
        <b/>
        <sz val="12"/>
        <rFont val="Arial"/>
        <family val="2"/>
      </rPr>
      <t>EXECUTIVO
VITÓRIA-ES</t>
    </r>
    <r>
      <rPr>
        <sz val="12"/>
        <rFont val="Arial"/>
        <family val="2"/>
      </rPr>
      <t xml:space="preserve"> </t>
    </r>
    <r>
      <rPr>
        <b/>
        <sz val="12"/>
        <rFont val="Arial"/>
        <family val="2"/>
      </rPr>
      <t>PLANILHA</t>
    </r>
    <r>
      <rPr>
        <sz val="12"/>
        <rFont val="Arial"/>
        <family val="2"/>
      </rPr>
      <t xml:space="preserve"> </t>
    </r>
    <r>
      <rPr>
        <b/>
        <sz val="12"/>
        <rFont val="Arial"/>
        <family val="2"/>
      </rPr>
      <t>ORÇAMENTÁRIA</t>
    </r>
  </si>
  <si>
    <t>REFERÊNCIA</t>
  </si>
  <si>
    <t>DISCRIMINAÇÃO</t>
  </si>
  <si>
    <t>UNID</t>
  </si>
  <si>
    <t xml:space="preserve">PREÇO UNITÁRIO </t>
  </si>
  <si>
    <t>QUANTIDADES</t>
  </si>
  <si>
    <t>VALORES</t>
  </si>
  <si>
    <t>MEDIDO ACUMULADO</t>
  </si>
  <si>
    <t>PREVISTO MEDIR MAIO</t>
  </si>
  <si>
    <t xml:space="preserve">QUANTIDADE 
CONTRATADA </t>
  </si>
  <si>
    <t xml:space="preserve">QUANT. ACRESCIDA/
SERV NOVO </t>
  </si>
  <si>
    <t>QUANT. DECRESCIDOA</t>
  </si>
  <si>
    <t>QUANTIDADE FINAL 
DO ITEM</t>
  </si>
  <si>
    <t>VALOR CONTRATO</t>
  </si>
  <si>
    <t xml:space="preserve">VALOR ACRESCIDO </t>
  </si>
  <si>
    <t xml:space="preserve">VALOR DECRESCIDO </t>
  </si>
  <si>
    <t xml:space="preserve">VALOR FINAL DO ITEM </t>
  </si>
  <si>
    <r>
      <rPr>
        <b/>
        <sz val="12"/>
        <rFont val="Arial"/>
        <family val="2"/>
      </rPr>
      <t>SERVIÇOS</t>
    </r>
    <r>
      <rPr>
        <sz val="12"/>
        <rFont val="Arial"/>
        <family val="2"/>
      </rPr>
      <t xml:space="preserve"> </t>
    </r>
    <r>
      <rPr>
        <b/>
        <sz val="12"/>
        <rFont val="Arial"/>
        <family val="2"/>
      </rPr>
      <t>PRELIMINARES</t>
    </r>
  </si>
  <si>
    <r>
      <rPr>
        <b/>
        <sz val="12"/>
        <rFont val="Arial"/>
        <family val="2"/>
      </rPr>
      <t>MOBILIZAÇÃO</t>
    </r>
    <r>
      <rPr>
        <sz val="12"/>
        <rFont val="Arial"/>
        <family val="2"/>
      </rPr>
      <t xml:space="preserve"> </t>
    </r>
    <r>
      <rPr>
        <b/>
        <sz val="12"/>
        <rFont val="Arial"/>
        <family val="2"/>
      </rPr>
      <t>E</t>
    </r>
    <r>
      <rPr>
        <sz val="12"/>
        <rFont val="Arial"/>
        <family val="2"/>
      </rPr>
      <t xml:space="preserve"> </t>
    </r>
    <r>
      <rPr>
        <b/>
        <sz val="12"/>
        <rFont val="Arial"/>
        <family val="2"/>
      </rPr>
      <t>DESMOBILIZAÇÃO</t>
    </r>
  </si>
  <si>
    <t>COMP</t>
  </si>
  <si>
    <r>
      <rPr>
        <sz val="12"/>
        <rFont val="Arial"/>
        <family val="2"/>
      </rPr>
      <t>MOBILIZAÇÃO E DESMOBILIZAÇÃO DE EQUIPAMENTOS DE PEQUENO E GRANDE PORTE</t>
    </r>
  </si>
  <si>
    <r>
      <rPr>
        <sz val="12"/>
        <rFont val="Arial"/>
        <family val="2"/>
      </rPr>
      <t>MOBILIZAÇÃO E DESMOBILIZAÇÃO DE EQUIPAMENTOS AUTOPROPELIDOS</t>
    </r>
  </si>
  <si>
    <r>
      <rPr>
        <b/>
        <sz val="12"/>
        <rFont val="Arial"/>
        <family val="2"/>
      </rPr>
      <t>CANTEIRO</t>
    </r>
    <r>
      <rPr>
        <sz val="12"/>
        <rFont val="Arial"/>
        <family val="2"/>
      </rPr>
      <t xml:space="preserve"> </t>
    </r>
    <r>
      <rPr>
        <b/>
        <sz val="12"/>
        <rFont val="Arial"/>
        <family val="2"/>
      </rPr>
      <t>DE</t>
    </r>
    <r>
      <rPr>
        <sz val="12"/>
        <rFont val="Arial"/>
        <family val="2"/>
      </rPr>
      <t xml:space="preserve"> </t>
    </r>
    <r>
      <rPr>
        <b/>
        <sz val="12"/>
        <rFont val="Arial"/>
        <family val="2"/>
      </rPr>
      <t>OBRAS</t>
    </r>
    <r>
      <rPr>
        <sz val="12"/>
        <rFont val="Arial"/>
        <family val="2"/>
      </rPr>
      <t xml:space="preserve"> </t>
    </r>
    <r>
      <rPr>
        <b/>
        <sz val="12"/>
        <rFont val="Arial"/>
        <family val="2"/>
      </rPr>
      <t>-</t>
    </r>
    <r>
      <rPr>
        <sz val="12"/>
        <rFont val="Arial"/>
        <family val="2"/>
      </rPr>
      <t xml:space="preserve"> </t>
    </r>
    <r>
      <rPr>
        <b/>
        <sz val="12"/>
        <rFont val="Arial"/>
        <family val="2"/>
      </rPr>
      <t>CENTRAL</t>
    </r>
  </si>
  <si>
    <t>IOPES</t>
  </si>
  <si>
    <t>Aluguel mensal container para refeitorio, incl. porta, 2 janelas, abert p/ ar cond., 2 pt iluminação, 2 tomadas elét. e 1 tomada telef. Isolamento térmico (paredes e teto), piso em
comp. Naval pintado, cert. NR18, incl. laudo descontaminação.</t>
  </si>
  <si>
    <r>
      <rPr>
        <sz val="12"/>
        <rFont val="Arial"/>
        <family val="2"/>
      </rPr>
      <t>Aluguel mensal container para almoxarifado, incl. porta, 2 janelas, 1 pt iluminação, Isolamento térmico (teto), piso em comp. Naval pintado, cert. NR18, incl. laudo descontaminação.</t>
    </r>
  </si>
  <si>
    <r>
      <rPr>
        <sz val="12"/>
        <rFont val="Arial"/>
        <family val="2"/>
      </rPr>
      <t>Mobilização e desmobilização de conteiner locado para barracão de obra</t>
    </r>
  </si>
  <si>
    <r>
      <rPr>
        <sz val="12"/>
        <rFont val="Arial"/>
        <family val="2"/>
      </rPr>
      <t>Galpão para serraria e carpintaria área 12.00m2, em peça de madeira 8x8cm e contraventamento de 5x7cm, cobertura de telha de fibroc. de 6mm, inclusive ponto e cabo de
alimentação da máquina, conf. projeto (1 utilização)</t>
    </r>
  </si>
  <si>
    <r>
      <rPr>
        <sz val="12"/>
        <rFont val="Arial"/>
        <family val="2"/>
      </rPr>
      <t>Galpão para corte e armação com área de 6.00m2, em peças de madeira 8x8cm e contraventamento de 5x7cm, cobertura de telhas de fibroc. de 6mm, inclusive ponto e cabo
de alimentação da máquina, conf. projeto (1 utilização)</t>
    </r>
  </si>
  <si>
    <t>DER-ROD</t>
  </si>
  <si>
    <t>1.1.2.10</t>
  </si>
  <si>
    <t>Base solo brita, 50% em peso, inclusive fornecimento e transporte da brita</t>
  </si>
  <si>
    <t>DER</t>
  </si>
  <si>
    <t>1.1.2.11</t>
  </si>
  <si>
    <t>1.1.2.12</t>
  </si>
  <si>
    <r>
      <rPr>
        <b/>
        <sz val="12"/>
        <rFont val="Arial"/>
        <family val="2"/>
      </rPr>
      <t>CANTEIRO</t>
    </r>
    <r>
      <rPr>
        <sz val="12"/>
        <rFont val="Arial"/>
        <family val="2"/>
      </rPr>
      <t xml:space="preserve"> </t>
    </r>
    <r>
      <rPr>
        <b/>
        <sz val="12"/>
        <rFont val="Arial"/>
        <family val="2"/>
      </rPr>
      <t>DE</t>
    </r>
    <r>
      <rPr>
        <sz val="12"/>
        <rFont val="Arial"/>
        <family val="2"/>
      </rPr>
      <t xml:space="preserve"> </t>
    </r>
    <r>
      <rPr>
        <b/>
        <sz val="12"/>
        <rFont val="Arial"/>
        <family val="2"/>
      </rPr>
      <t>OBRAS</t>
    </r>
    <r>
      <rPr>
        <sz val="12"/>
        <rFont val="Arial"/>
        <family val="2"/>
      </rPr>
      <t xml:space="preserve"> </t>
    </r>
    <r>
      <rPr>
        <b/>
        <sz val="12"/>
        <rFont val="Arial"/>
        <family val="2"/>
      </rPr>
      <t>-</t>
    </r>
    <r>
      <rPr>
        <sz val="12"/>
        <rFont val="Arial"/>
        <family val="2"/>
      </rPr>
      <t xml:space="preserve"> </t>
    </r>
    <r>
      <rPr>
        <b/>
        <sz val="12"/>
        <rFont val="Arial"/>
        <family val="2"/>
      </rPr>
      <t>IMPLANTAÇÃO</t>
    </r>
    <r>
      <rPr>
        <sz val="12"/>
        <rFont val="Arial"/>
        <family val="2"/>
      </rPr>
      <t xml:space="preserve"> </t>
    </r>
    <r>
      <rPr>
        <b/>
        <sz val="12"/>
        <rFont val="Arial"/>
        <family val="2"/>
      </rPr>
      <t>DE</t>
    </r>
    <r>
      <rPr>
        <sz val="12"/>
        <rFont val="Arial"/>
        <family val="2"/>
      </rPr>
      <t xml:space="preserve"> </t>
    </r>
    <r>
      <rPr>
        <b/>
        <sz val="12"/>
        <rFont val="Arial"/>
        <family val="2"/>
      </rPr>
      <t>PLATAFORMAS</t>
    </r>
  </si>
  <si>
    <t>Aluguel mensal container para vestiário, incl. porta, venezianas de circulação, 1 pt iluminação, Isolamento térmico (teto), piso em comp. Naval pintado, cert. NR18, incl. laudo descontaminação.</t>
  </si>
  <si>
    <t>Aluguel mensal container sanitário, incl porta, básc, 2 ptos luz, 1 pto aterram., 3vasos, 3lavatórios, calha mictório, 6 chuveiros (1 eletrico), torn.,registros, piso comp. Naval pintado, cert NR18 e laudo descontaminação.</t>
  </si>
  <si>
    <t>1.1.3.7</t>
  </si>
  <si>
    <t>Rede de água com padrão de entrada d'água diâm. 3/4", conf. espec. CESAN, incl. tubos e conexões para alimentação, distribuição, extravasor e limpeza, cons. o padrão a 25m, conf. projeto (1 utilização)</t>
  </si>
  <si>
    <t>1.1.3.8</t>
  </si>
  <si>
    <t>Rede de luz, incl. padrão entr. energia trifás. cabo ligação até barracões, quadro distrib., disj. e chave de força, cons. 20m entre padrão entrada e QDG, conf. projeto (1 utilização)</t>
  </si>
  <si>
    <t>1.1.3.9</t>
  </si>
  <si>
    <t>Rede de esgoto, contendo fossa e filtro, inclusive tubos e conexões de ligação entre caixas, considerando distância de 25m, conforme projeto (1 utilização)</t>
  </si>
  <si>
    <r>
      <rPr>
        <b/>
        <sz val="12"/>
        <rFont val="Arial"/>
        <family val="2"/>
      </rPr>
      <t>LOCAÇÃO</t>
    </r>
    <r>
      <rPr>
        <sz val="12"/>
        <rFont val="Arial"/>
        <family val="2"/>
      </rPr>
      <t xml:space="preserve"> </t>
    </r>
    <r>
      <rPr>
        <b/>
        <sz val="12"/>
        <rFont val="Arial"/>
        <family val="2"/>
      </rPr>
      <t>DA</t>
    </r>
    <r>
      <rPr>
        <sz val="12"/>
        <rFont val="Arial"/>
        <family val="2"/>
      </rPr>
      <t xml:space="preserve"> </t>
    </r>
    <r>
      <rPr>
        <b/>
        <sz val="12"/>
        <rFont val="Arial"/>
        <family val="2"/>
      </rPr>
      <t>OBRA</t>
    </r>
  </si>
  <si>
    <r>
      <rPr>
        <sz val="12"/>
        <rFont val="Arial"/>
        <family val="2"/>
      </rPr>
      <t>Equipe topográfica para serviços simples de locação e nivelamento (incluindo equipamento,
transporte e profissionais nivel médio)</t>
    </r>
  </si>
  <si>
    <r>
      <rPr>
        <b/>
        <sz val="12"/>
        <color rgb="FFFFFFFF"/>
        <rFont val="Arial"/>
        <family val="2"/>
      </rPr>
      <t>PRAÇA</t>
    </r>
    <r>
      <rPr>
        <sz val="12"/>
        <color rgb="FFFFFFFF"/>
        <rFont val="Arial"/>
        <family val="2"/>
      </rPr>
      <t xml:space="preserve"> </t>
    </r>
    <r>
      <rPr>
        <b/>
        <sz val="12"/>
        <color rgb="FFFFFFFF"/>
        <rFont val="Arial"/>
        <family val="2"/>
      </rPr>
      <t>DO</t>
    </r>
    <r>
      <rPr>
        <sz val="12"/>
        <color rgb="FFFFFFFF"/>
        <rFont val="Arial"/>
        <family val="2"/>
      </rPr>
      <t xml:space="preserve"> </t>
    </r>
    <r>
      <rPr>
        <b/>
        <sz val="12"/>
        <color rgb="FFFFFFFF"/>
        <rFont val="Arial"/>
        <family val="2"/>
      </rPr>
      <t>PAPA</t>
    </r>
  </si>
  <si>
    <r>
      <rPr>
        <b/>
        <sz val="12"/>
        <rFont val="Arial"/>
        <family val="2"/>
      </rPr>
      <t>PLACA</t>
    </r>
    <r>
      <rPr>
        <sz val="12"/>
        <rFont val="Arial"/>
        <family val="2"/>
      </rPr>
      <t xml:space="preserve"> </t>
    </r>
    <r>
      <rPr>
        <b/>
        <sz val="12"/>
        <rFont val="Arial"/>
        <family val="2"/>
      </rPr>
      <t>DE</t>
    </r>
    <r>
      <rPr>
        <sz val="12"/>
        <rFont val="Arial"/>
        <family val="2"/>
      </rPr>
      <t xml:space="preserve"> </t>
    </r>
    <r>
      <rPr>
        <b/>
        <sz val="12"/>
        <rFont val="Arial"/>
        <family val="2"/>
      </rPr>
      <t>OBRA</t>
    </r>
  </si>
  <si>
    <r>
      <rPr>
        <sz val="12"/>
        <rFont val="Arial"/>
        <family val="2"/>
      </rPr>
      <t>Placa de obra nas dimensões de 2.0 x 4.0 m, padrão IOPES</t>
    </r>
  </si>
  <si>
    <r>
      <rPr>
        <b/>
        <sz val="12"/>
        <rFont val="Arial"/>
        <family val="2"/>
      </rPr>
      <t>PREPARO</t>
    </r>
    <r>
      <rPr>
        <sz val="12"/>
        <rFont val="Arial"/>
        <family val="2"/>
      </rPr>
      <t xml:space="preserve"> </t>
    </r>
    <r>
      <rPr>
        <b/>
        <sz val="12"/>
        <rFont val="Arial"/>
        <family val="2"/>
      </rPr>
      <t>DO</t>
    </r>
    <r>
      <rPr>
        <sz val="12"/>
        <rFont val="Arial"/>
        <family val="2"/>
      </rPr>
      <t xml:space="preserve"> </t>
    </r>
    <r>
      <rPr>
        <b/>
        <sz val="12"/>
        <rFont val="Arial"/>
        <family val="2"/>
      </rPr>
      <t>TERRENO</t>
    </r>
  </si>
  <si>
    <r>
      <rPr>
        <sz val="12"/>
        <rFont val="Arial"/>
        <family val="2"/>
      </rPr>
      <t>Raspagem e limpeza do terreno (manual)</t>
    </r>
  </si>
  <si>
    <r>
      <rPr>
        <b/>
        <sz val="12"/>
        <rFont val="Arial"/>
        <family val="2"/>
      </rPr>
      <t>MOVIMENTOS</t>
    </r>
    <r>
      <rPr>
        <sz val="12"/>
        <rFont val="Arial"/>
        <family val="2"/>
      </rPr>
      <t xml:space="preserve"> </t>
    </r>
    <r>
      <rPr>
        <b/>
        <sz val="12"/>
        <rFont val="Arial"/>
        <family val="2"/>
      </rPr>
      <t>DE</t>
    </r>
    <r>
      <rPr>
        <sz val="12"/>
        <rFont val="Arial"/>
        <family val="2"/>
      </rPr>
      <t xml:space="preserve"> </t>
    </r>
    <r>
      <rPr>
        <b/>
        <sz val="12"/>
        <rFont val="Arial"/>
        <family val="2"/>
      </rPr>
      <t>TERRA</t>
    </r>
  </si>
  <si>
    <r>
      <rPr>
        <sz val="12"/>
        <rFont val="Arial"/>
        <family val="2"/>
      </rPr>
      <t>Escavação mecânica em material de 1a. categoria</t>
    </r>
  </si>
  <si>
    <r>
      <rPr>
        <sz val="12"/>
        <rFont val="Arial"/>
        <family val="2"/>
      </rPr>
      <t>Corte e destocamento de árvores com diâmetro superior a 30 cm</t>
    </r>
  </si>
  <si>
    <r>
      <rPr>
        <b/>
        <sz val="12"/>
        <rFont val="Arial"/>
        <family val="2"/>
      </rPr>
      <t>SALA</t>
    </r>
    <r>
      <rPr>
        <sz val="12"/>
        <rFont val="Arial"/>
        <family val="2"/>
      </rPr>
      <t xml:space="preserve"> </t>
    </r>
    <r>
      <rPr>
        <b/>
        <sz val="12"/>
        <rFont val="Arial"/>
        <family val="2"/>
      </rPr>
      <t>DE</t>
    </r>
    <r>
      <rPr>
        <sz val="12"/>
        <rFont val="Arial"/>
        <family val="2"/>
      </rPr>
      <t xml:space="preserve"> </t>
    </r>
    <r>
      <rPr>
        <b/>
        <sz val="12"/>
        <rFont val="Arial"/>
        <family val="2"/>
      </rPr>
      <t>ESPERA</t>
    </r>
  </si>
  <si>
    <r>
      <rPr>
        <sz val="12"/>
        <rFont val="Arial"/>
        <family val="2"/>
      </rPr>
      <t>Locação de obra com gabarito de madeira</t>
    </r>
  </si>
  <si>
    <t>020346</t>
  </si>
  <si>
    <t>2.3.1.2</t>
  </si>
  <si>
    <t>Locação de andaime metálico para fachada - tipo torre (aluguel mensal)</t>
  </si>
  <si>
    <t>COTAÇÃO</t>
  </si>
  <si>
    <r>
      <rPr>
        <b/>
        <sz val="12"/>
        <rFont val="Arial"/>
        <family val="2"/>
      </rPr>
      <t>RAMPAS</t>
    </r>
    <r>
      <rPr>
        <sz val="12"/>
        <rFont val="Arial"/>
        <family val="2"/>
      </rPr>
      <t xml:space="preserve"> </t>
    </r>
    <r>
      <rPr>
        <b/>
        <sz val="12"/>
        <rFont val="Arial"/>
        <family val="2"/>
      </rPr>
      <t>E</t>
    </r>
    <r>
      <rPr>
        <sz val="12"/>
        <rFont val="Arial"/>
        <family val="2"/>
      </rPr>
      <t xml:space="preserve"> </t>
    </r>
    <r>
      <rPr>
        <b/>
        <sz val="12"/>
        <rFont val="Arial"/>
        <family val="2"/>
      </rPr>
      <t>ESCADA</t>
    </r>
  </si>
  <si>
    <t xml:space="preserve"> </t>
  </si>
  <si>
    <r>
      <rPr>
        <sz val="12"/>
        <rFont val="Arial"/>
        <family val="2"/>
      </rPr>
      <t>Fornecimento e espalhamento de pó de pedra</t>
    </r>
  </si>
  <si>
    <r>
      <rPr>
        <sz val="12"/>
        <rFont val="Arial"/>
        <family val="2"/>
      </rPr>
      <t>Alvenaria de blocos de concreto estrut. (14x19x39cm) cheios, c/ resist. mín. compr. 15MPa, assentados c/ arg. de cimento e areia no traço 1:4, esp. juntas 10mm e esp. da parede s/
revest. 14cm</t>
    </r>
  </si>
  <si>
    <r>
      <rPr>
        <sz val="12"/>
        <rFont val="Arial"/>
        <family val="2"/>
      </rPr>
      <t>Forma de chapas madeira compensada resinada, esp. 12mm, levando-se em conta a utilização 3 vezes, reforçadas com sarrafos de madeira de 2.5 x 10.0cm (incl material, corte, montagem,
escoras em eucalipto e desforma)</t>
    </r>
  </si>
  <si>
    <r>
      <rPr>
        <b/>
        <sz val="12"/>
        <rFont val="Arial"/>
        <family val="2"/>
      </rPr>
      <t>VIGAS</t>
    </r>
    <r>
      <rPr>
        <sz val="12"/>
        <rFont val="Arial"/>
        <family val="2"/>
      </rPr>
      <t xml:space="preserve"> </t>
    </r>
    <r>
      <rPr>
        <b/>
        <sz val="12"/>
        <rFont val="Arial"/>
        <family val="2"/>
      </rPr>
      <t>SUPERIORES</t>
    </r>
  </si>
  <si>
    <r>
      <rPr>
        <sz val="12"/>
        <rFont val="Arial"/>
        <family val="2"/>
      </rPr>
      <t>FORNECIMENTO E APLICAÇÃO DE CONCRETO USINADO FCK=40 MPA - CONSIDERANDO BOMBEAMENTO (5% DE PERDAS JÁ INCLUÍDO NO CUSTO) (6% DE TAXA P/CONCR.
BOMBEAVEL)</t>
    </r>
  </si>
  <si>
    <r>
      <rPr>
        <sz val="12"/>
        <rFont val="Arial"/>
        <family val="2"/>
      </rPr>
      <t>Estrutura de madeira de lei tipo Paraju, peroba mica, angelim pedra ou equivalente para telhado de telha ondulada de fibrocimento esp. 6mm, com pontaletes e caibros, inclusive
tratamento com cupinicida, exclusive telhas</t>
    </r>
  </si>
  <si>
    <r>
      <rPr>
        <sz val="12"/>
        <rFont val="Arial"/>
        <family val="2"/>
      </rPr>
      <t>Cobertura em telha termoacustica tipo telha/telha em aço galvanizado trapez. 40, e=0.43mm, pint. face. sup. e infer. cor branca, incl. acess. fix. nucleo em poliuretano (injeção contínua),
e=30mm, ref. Isoeste, Sto André, Panissol, Metform ou equi</t>
    </r>
  </si>
  <si>
    <r>
      <rPr>
        <sz val="12"/>
        <rFont val="Arial"/>
        <family val="2"/>
      </rPr>
      <t>Forma de chapas madeira compensada resinada, esp. 12mm, levando-se em conta a utilização 3 vezes, reforçadas com sarrafos de madeira de 2.5 x 10.0cm (incl material, corte, montagem,
escoras em eucalipto e desforma) (Platibanda)</t>
    </r>
  </si>
  <si>
    <r>
      <rPr>
        <sz val="12"/>
        <rFont val="Arial"/>
        <family val="2"/>
      </rPr>
      <t>Alvenaria de blocos de concreto 14x19x39cm, c/ resist. mínimo a compres. 2.5 MPa, assent. c/ arg. de cimento, cal hidratada CH1 e areia no traço 1:0.5:8 esp. das juntas 10mm e esp. das
paredes, s/ rev. 14cm (Platibanda)</t>
    </r>
  </si>
  <si>
    <r>
      <rPr>
        <sz val="12"/>
        <rFont val="Arial"/>
        <family val="2"/>
      </rPr>
      <t>Tubo de PVC rígido soldável branco, para esgoto, diâmetro 100mm (4"), inclusive conexões</t>
    </r>
  </si>
  <si>
    <r>
      <rPr>
        <sz val="12"/>
        <rFont val="Arial"/>
        <family val="2"/>
      </rPr>
      <t>Tubo PVC rígido para esgoto no diâmetro de 150mm incluindo escavação e aterro com areia</t>
    </r>
  </si>
  <si>
    <r>
      <rPr>
        <b/>
        <sz val="12"/>
        <rFont val="Arial"/>
        <family val="2"/>
      </rPr>
      <t>DEMAIS</t>
    </r>
    <r>
      <rPr>
        <sz val="12"/>
        <rFont val="Arial"/>
        <family val="2"/>
      </rPr>
      <t xml:space="preserve"> </t>
    </r>
    <r>
      <rPr>
        <b/>
        <sz val="12"/>
        <rFont val="Arial"/>
        <family val="2"/>
      </rPr>
      <t>ITENS</t>
    </r>
  </si>
  <si>
    <r>
      <rPr>
        <sz val="12"/>
        <rFont val="Arial"/>
        <family val="2"/>
      </rPr>
      <t>Cerca de engranzamento soldado, incluso instalação</t>
    </r>
  </si>
  <si>
    <r>
      <rPr>
        <sz val="12"/>
        <rFont val="Arial"/>
        <family val="2"/>
      </rPr>
      <t>Portão corrediço de engranzamento soldado - fornecimento e instalação</t>
    </r>
  </si>
  <si>
    <r>
      <rPr>
        <sz val="12"/>
        <rFont val="Arial"/>
        <family val="2"/>
      </rPr>
      <t>Portão de dupla abertura de engranzamento soldado - fornecimento e instalação</t>
    </r>
  </si>
  <si>
    <r>
      <rPr>
        <sz val="12"/>
        <rFont val="Arial"/>
        <family val="2"/>
      </rPr>
      <t>Corrimão em tubo de ferro galvanizado diam. 2" com chumbadores a cada 1.5m</t>
    </r>
  </si>
  <si>
    <r>
      <rPr>
        <sz val="12"/>
        <rFont val="Arial"/>
        <family val="2"/>
      </rPr>
      <t>Alvenaria de blocos cerâmicos 10 furos 10x20x20cm, assentados c/argamassa de cimento, cal hidratada CH1 e areia traço 1:0,5:8, juntas 12mm e espessura das paredes, s/revestimento,
20cm (bloco comprado fábrica,posto obra)</t>
    </r>
  </si>
  <si>
    <r>
      <rPr>
        <b/>
        <sz val="12"/>
        <rFont val="Arial"/>
        <family val="2"/>
      </rPr>
      <t>PLATAFORMA</t>
    </r>
    <r>
      <rPr>
        <sz val="12"/>
        <rFont val="Arial"/>
        <family val="2"/>
      </rPr>
      <t xml:space="preserve"> </t>
    </r>
    <r>
      <rPr>
        <b/>
        <sz val="12"/>
        <rFont val="Arial"/>
        <family val="2"/>
      </rPr>
      <t>FLUTUANTE</t>
    </r>
  </si>
  <si>
    <r>
      <rPr>
        <b/>
        <sz val="12"/>
        <rFont val="Arial"/>
        <family val="2"/>
      </rPr>
      <t>FABRICAÇÃO</t>
    </r>
    <r>
      <rPr>
        <sz val="12"/>
        <rFont val="Arial"/>
        <family val="2"/>
      </rPr>
      <t xml:space="preserve"> </t>
    </r>
    <r>
      <rPr>
        <b/>
        <sz val="12"/>
        <rFont val="Arial"/>
        <family val="2"/>
      </rPr>
      <t>DO</t>
    </r>
    <r>
      <rPr>
        <sz val="12"/>
        <rFont val="Arial"/>
        <family val="2"/>
      </rPr>
      <t xml:space="preserve"> </t>
    </r>
    <r>
      <rPr>
        <b/>
        <sz val="12"/>
        <rFont val="Arial"/>
        <family val="2"/>
      </rPr>
      <t>FLUTUANTE</t>
    </r>
  </si>
  <si>
    <t>COMP-A01</t>
  </si>
  <si>
    <t>Pranchões e Roletes para apoio da plataforma flutuante</t>
  </si>
  <si>
    <r>
      <rPr>
        <sz val="12"/>
        <rFont val="Arial"/>
        <family val="2"/>
      </rPr>
      <t>ARMAÇÃO DO SISTEMA DE PAREDES DE CONCRETO COM TELA Q785</t>
    </r>
  </si>
  <si>
    <r>
      <rPr>
        <sz val="12"/>
        <rFont val="Arial"/>
        <family val="2"/>
      </rPr>
      <t>Rolete guia da estaca conforme especificações de projeto - fornecimento e instalação</t>
    </r>
  </si>
  <si>
    <r>
      <rPr>
        <sz val="12"/>
        <rFont val="Arial"/>
        <family val="2"/>
      </rPr>
      <t>Cabeço de amarração conforme especificações de projeto - fornecimento e instalação</t>
    </r>
  </si>
  <si>
    <r>
      <rPr>
        <sz val="12"/>
        <rFont val="Arial"/>
        <family val="2"/>
      </rPr>
      <t>Defensa barra tipo "D" 150 mm L=150 cm - fornecimento e instalação</t>
    </r>
  </si>
  <si>
    <t>2.4.1.13</t>
  </si>
  <si>
    <t>2.4.1.14</t>
  </si>
  <si>
    <r>
      <rPr>
        <sz val="12"/>
        <rFont val="Arial"/>
        <family val="2"/>
      </rPr>
      <t>Chapa dobrada #8 400x700 mm, incl. chumbadores e solda.</t>
    </r>
  </si>
  <si>
    <r>
      <rPr>
        <b/>
        <sz val="12"/>
        <rFont val="Arial"/>
        <family val="2"/>
      </rPr>
      <t>TRANSPORTE</t>
    </r>
    <r>
      <rPr>
        <sz val="12"/>
        <rFont val="Arial"/>
        <family val="2"/>
      </rPr>
      <t xml:space="preserve"> </t>
    </r>
    <r>
      <rPr>
        <b/>
        <sz val="12"/>
        <rFont val="Arial"/>
        <family val="2"/>
      </rPr>
      <t>DO</t>
    </r>
    <r>
      <rPr>
        <sz val="12"/>
        <rFont val="Arial"/>
        <family val="2"/>
      </rPr>
      <t xml:space="preserve"> </t>
    </r>
    <r>
      <rPr>
        <b/>
        <sz val="12"/>
        <rFont val="Arial"/>
        <family val="2"/>
      </rPr>
      <t>FLUTUANTE</t>
    </r>
  </si>
  <si>
    <t>Camisa metálica com espessura de 6.3 mm D = 400 mm - cravada com martelo vibratório - sem escavação - confecção e cravação</t>
  </si>
  <si>
    <t>Apoio náutico para a execução da cravação de camisa metálica D = 610 a 1800 mm</t>
  </si>
  <si>
    <t>COMP4-1</t>
  </si>
  <si>
    <t>Estaca raiz perfurada em solo, diâm. 410mm com injeção de arg. incl. fornecimento de todos materiais</t>
  </si>
  <si>
    <t>FORNECIMENTO E APLICAÇÃO DE CONCRETO USINADO FCK=40 MPA - CONSIDERANDO BOMBEAMENTO (5% DE PERDAS JÁ INCLUÍDO NO CUSTO) (6% DE TAXA P/CONCR.</t>
  </si>
  <si>
    <r>
      <rPr>
        <sz val="12"/>
        <rFont val="Arial"/>
        <family val="2"/>
      </rPr>
      <t>Arrasamento de camisa metálica com espessura de 8 mm D = 700 mm</t>
    </r>
  </si>
  <si>
    <t>2.4.3.13</t>
  </si>
  <si>
    <t>2.4.3.14</t>
  </si>
  <si>
    <r>
      <rPr>
        <b/>
        <sz val="12"/>
        <rFont val="Arial"/>
        <family val="2"/>
      </rPr>
      <t>PASSARELA</t>
    </r>
    <r>
      <rPr>
        <sz val="12"/>
        <rFont val="Arial"/>
        <family val="2"/>
      </rPr>
      <t xml:space="preserve"> </t>
    </r>
    <r>
      <rPr>
        <b/>
        <sz val="12"/>
        <rFont val="Arial"/>
        <family val="2"/>
      </rPr>
      <t>DE</t>
    </r>
    <r>
      <rPr>
        <sz val="12"/>
        <rFont val="Arial"/>
        <family val="2"/>
      </rPr>
      <t xml:space="preserve"> </t>
    </r>
    <r>
      <rPr>
        <b/>
        <sz val="12"/>
        <rFont val="Arial"/>
        <family val="2"/>
      </rPr>
      <t>ACESSO</t>
    </r>
  </si>
  <si>
    <r>
      <rPr>
        <sz val="12"/>
        <rFont val="Arial"/>
        <family val="2"/>
      </rPr>
      <t>Passarela metálica conforme especificações de projeto - fornecimento e instalação</t>
    </r>
  </si>
  <si>
    <r>
      <rPr>
        <sz val="12"/>
        <rFont val="Arial"/>
        <family val="2"/>
      </rPr>
      <t>Telha trapezoidal calandrada galvalume - inclusive fornecimento, instalação e pintura</t>
    </r>
  </si>
  <si>
    <r>
      <rPr>
        <b/>
        <sz val="12"/>
        <rFont val="Arial"/>
        <family val="2"/>
      </rPr>
      <t>INSTALAÇÕES</t>
    </r>
    <r>
      <rPr>
        <sz val="12"/>
        <rFont val="Arial"/>
        <family val="2"/>
      </rPr>
      <t xml:space="preserve"> </t>
    </r>
    <r>
      <rPr>
        <b/>
        <sz val="12"/>
        <rFont val="Arial"/>
        <family val="2"/>
      </rPr>
      <t>ELÉTRICAS</t>
    </r>
  </si>
  <si>
    <r>
      <rPr>
        <sz val="12"/>
        <rFont val="Arial"/>
        <family val="2"/>
      </rPr>
      <t>Padrão de entrada de energia elétrica, monofásico, entrada aérea, a 2 fios, carga instalada em
muro de 3500 até 9000W - 220/127V</t>
    </r>
  </si>
  <si>
    <r>
      <rPr>
        <sz val="12"/>
        <rFont val="Arial"/>
        <family val="2"/>
      </rPr>
      <t>Quadro de distribuição de energia, de embutir, com 3 divisões modulares, sem barramento</t>
    </r>
  </si>
  <si>
    <r>
      <rPr>
        <sz val="12"/>
        <rFont val="Arial"/>
        <family val="2"/>
      </rPr>
      <t>Caixa de embutir marca de referência Tigreflex, 4x2"</t>
    </r>
  </si>
  <si>
    <r>
      <rPr>
        <sz val="12"/>
        <rFont val="Arial"/>
        <family val="2"/>
      </rPr>
      <t>Cabo de cobre termoplástico, com isolamento para 1000V, seção de 2.5 mm2</t>
    </r>
  </si>
  <si>
    <r>
      <rPr>
        <sz val="12"/>
        <rFont val="Arial"/>
        <family val="2"/>
      </rPr>
      <t>Cabo de cobre termoplástico, com isolamento para 1000V, seção de 4.0 mm2</t>
    </r>
  </si>
  <si>
    <r>
      <rPr>
        <sz val="12"/>
        <rFont val="Arial"/>
        <family val="2"/>
      </rPr>
      <t>Cabo de cobre termoplástico, com isolamento para 1000V, seção de 10 mm2</t>
    </r>
  </si>
  <si>
    <r>
      <rPr>
        <sz val="12"/>
        <rFont val="Arial"/>
        <family val="2"/>
      </rPr>
      <t>Ponto padrão de interruptor de 2 teclas simples - considerando eletroduto PVC rígido de 3/4" inclusive conexões (3.3m), fio isolado PVC de 2.5mm2 (17.2m) e caixa estampada 4x2" (1 und)</t>
    </r>
  </si>
  <si>
    <r>
      <rPr>
        <sz val="12"/>
        <rFont val="Arial"/>
        <family val="2"/>
      </rPr>
      <t>Ponto padrão de tomada 2 pólos mais terra - considerando eletroduto PVC rígido de 3/4" inclusive conexões (5.0m), fio isolado PVC de 2.5mm2 (16.5m) e caixa estampada 4x2" (1 und)</t>
    </r>
  </si>
  <si>
    <r>
      <rPr>
        <sz val="12"/>
        <rFont val="Arial"/>
        <family val="2"/>
      </rPr>
      <t>Mini-Disjuntor monopolar 63 A, curva C - 5KA 220/127VCA (NBR IEC 60947-2), Ref. Siemens,
GE, Schneider ou equivalente</t>
    </r>
  </si>
  <si>
    <r>
      <rPr>
        <sz val="12"/>
        <rFont val="Arial"/>
        <family val="2"/>
      </rPr>
      <t>Interruptor Diferencial DR 16A a 25A, 30mA, 2 módulos</t>
    </r>
  </si>
  <si>
    <r>
      <rPr>
        <sz val="12"/>
        <rFont val="Arial"/>
        <family val="2"/>
      </rPr>
      <t>Eletroduto flexível corrugado 3/4" , marca de referência TIGRE</t>
    </r>
  </si>
  <si>
    <r>
      <rPr>
        <sz val="12"/>
        <rFont val="Arial"/>
        <family val="2"/>
      </rPr>
      <t>Eletroduto aparente de PVC rígido roscável diâmetro 3/4", inclusive abraçadeira de fixação</t>
    </r>
  </si>
  <si>
    <r>
      <rPr>
        <sz val="12"/>
        <rFont val="Arial"/>
        <family val="2"/>
      </rPr>
      <t>Arandela com lâmpada incandescente de 100W</t>
    </r>
  </si>
  <si>
    <r>
      <rPr>
        <sz val="12"/>
        <rFont val="Arial"/>
        <family val="2"/>
      </rPr>
      <t>Instalação e fornecimento de luminária High Bay LED 100W</t>
    </r>
  </si>
  <si>
    <r>
      <rPr>
        <sz val="12"/>
        <rFont val="Arial"/>
        <family val="2"/>
      </rPr>
      <t>Fornecimento e instalação de lanterna de sinalização náutica com alcance luminoso de 2 MN</t>
    </r>
  </si>
  <si>
    <r>
      <rPr>
        <sz val="12"/>
        <rFont val="Arial"/>
        <family val="2"/>
      </rPr>
      <t>Caixa de equalização de potenciais para uso interno e externo com cinco (5) terminais para aterramento (BEP), em polipropileno, ref. TEL-902, marca de referência Termotécnica ou
equivalente</t>
    </r>
  </si>
  <si>
    <r>
      <rPr>
        <sz val="12"/>
        <rFont val="Arial"/>
        <family val="2"/>
      </rPr>
      <t>Cabo de cobre nú 50mm2, ref. TEL 5750, marca de referência Termotécnica ou equivalente</t>
    </r>
  </si>
  <si>
    <r>
      <rPr>
        <b/>
        <sz val="12"/>
        <rFont val="Arial"/>
        <family val="2"/>
      </rPr>
      <t>PREVENTIVO</t>
    </r>
    <r>
      <rPr>
        <sz val="12"/>
        <rFont val="Arial"/>
        <family val="2"/>
      </rPr>
      <t xml:space="preserve"> </t>
    </r>
    <r>
      <rPr>
        <b/>
        <sz val="12"/>
        <rFont val="Arial"/>
        <family val="2"/>
      </rPr>
      <t>CONTRA</t>
    </r>
    <r>
      <rPr>
        <sz val="12"/>
        <rFont val="Arial"/>
        <family val="2"/>
      </rPr>
      <t xml:space="preserve"> </t>
    </r>
    <r>
      <rPr>
        <b/>
        <sz val="12"/>
        <rFont val="Arial"/>
        <family val="2"/>
      </rPr>
      <t>INCÊNDIO</t>
    </r>
  </si>
  <si>
    <r>
      <rPr>
        <sz val="12"/>
        <rFont val="Arial"/>
        <family val="2"/>
      </rPr>
      <t>Ponto para seta indicativa de saída, incl. seta em acrílico, com fonte alimentadora própria que assegure um funcionamento mínimo de 1h, para quando ocorrer falta de energia elétrica na
rede pública, conforme projeto</t>
    </r>
  </si>
  <si>
    <r>
      <rPr>
        <sz val="12"/>
        <rFont val="Arial"/>
        <family val="2"/>
      </rPr>
      <t>Extintor de incêndio portátil de pó químico ABC com capacidade 2A-20B:C (4 kg), inclusive suporte para fixação, EXCLUSIVE placa sinalizadora em PVC fotoluminescente</t>
    </r>
  </si>
  <si>
    <r>
      <rPr>
        <sz val="12"/>
        <rFont val="Arial"/>
        <family val="2"/>
      </rPr>
      <t>Aplicação de tinta epóxi de alta espessura semibrilhante sobre piso de concreto a três
demãos, inclusive selador epóxi a uma demão - Ref. Intergard 2005 e 2001 - Internacional ou equivalente</t>
    </r>
  </si>
  <si>
    <r>
      <rPr>
        <b/>
        <sz val="12"/>
        <color rgb="FFFFFFFF"/>
        <rFont val="Arial"/>
        <family val="2"/>
      </rPr>
      <t>PORTO</t>
    </r>
    <r>
      <rPr>
        <sz val="12"/>
        <color rgb="FFFFFFFF"/>
        <rFont val="Arial"/>
        <family val="2"/>
      </rPr>
      <t xml:space="preserve"> </t>
    </r>
    <r>
      <rPr>
        <b/>
        <sz val="12"/>
        <color rgb="FFFFFFFF"/>
        <rFont val="Arial"/>
        <family val="2"/>
      </rPr>
      <t>DE</t>
    </r>
    <r>
      <rPr>
        <sz val="12"/>
        <color rgb="FFFFFFFF"/>
        <rFont val="Arial"/>
        <family val="2"/>
      </rPr>
      <t xml:space="preserve"> </t>
    </r>
    <r>
      <rPr>
        <b/>
        <sz val="12"/>
        <color rgb="FFFFFFFF"/>
        <rFont val="Arial"/>
        <family val="2"/>
      </rPr>
      <t>SANTANA</t>
    </r>
    <r>
      <rPr>
        <sz val="12"/>
        <color rgb="FFFFFFFF"/>
        <rFont val="Arial"/>
        <family val="2"/>
      </rPr>
      <t xml:space="preserve"> </t>
    </r>
    <r>
      <rPr>
        <b/>
        <sz val="12"/>
        <color rgb="FFFFFFFF"/>
        <rFont val="Arial"/>
        <family val="2"/>
      </rPr>
      <t>CARIACICA</t>
    </r>
  </si>
  <si>
    <r>
      <rPr>
        <sz val="12"/>
        <rFont val="Arial"/>
        <family val="2"/>
      </rPr>
      <t>Demolição de piso cimentado inclusive lastro de concreto</t>
    </r>
  </si>
  <si>
    <t xml:space="preserve">Demolição manual de concreto armado </t>
  </si>
  <si>
    <t>3.1.2.4</t>
  </si>
  <si>
    <t>3.3.1.2</t>
  </si>
  <si>
    <t>Aterro manual para regularização do terreno em areia, inclusive adensamento hidráulico e fornecimento do material (máximo de 100m3)</t>
  </si>
  <si>
    <r>
      <rPr>
        <sz val="12"/>
        <rFont val="Arial"/>
        <family val="2"/>
      </rPr>
      <t>Corte e dobra de aço CA-50, diâmetro de 6,3 mm, utilizado em estribo contínuo helicoidal</t>
    </r>
  </si>
  <si>
    <t>Lastro regularizado de concreto não estrutural, espessura de 8 cm (máximo de 100m3)</t>
  </si>
  <si>
    <t>3.3.2.12</t>
  </si>
  <si>
    <t>3.3.2.13</t>
  </si>
  <si>
    <t>Estrutura de madeira de lei tipo Paraju, peroba mica, angelim pedra ou equivalente para telhado de telha ondulada de fibrocimento esp. 6mm, com pontaletes e caibros, inclusive tratamento com cupinicida, exclusive telhas</t>
  </si>
  <si>
    <t>FORNECIMENTO E APLICAÇÃO DE CONCRETO USINADO FCK=40 MPA - CONSIDERANDO BOMBEAMENTO (5% DE PERDAS JÁ INCLUÍDO NO CUSTO) (6% DE TAXA P/CONCR.BOMBEAVEL) (Platibanda)</t>
  </si>
  <si>
    <r>
      <rPr>
        <sz val="12"/>
        <rFont val="Arial"/>
        <family val="2"/>
      </rPr>
      <t>CALHA PLATIBANDA DE CHAPA DE AÇO GALVANIZADA NUM 26, CORTE 45 CM,
FORNECIMENTO E INSTALAÇÃO</t>
    </r>
  </si>
  <si>
    <r>
      <rPr>
        <sz val="12"/>
        <rFont val="Arial"/>
        <family val="2"/>
      </rPr>
      <t>Rufo de chapa metálica nº 26 com largura de 30 cm</t>
    </r>
  </si>
  <si>
    <r>
      <rPr>
        <sz val="12"/>
        <rFont val="Arial"/>
        <family val="2"/>
      </rPr>
      <t>Chapisco de argamassa de cimento e areia média ou grossa lavada, no traço 1:3, espessura 5
mm</t>
    </r>
  </si>
  <si>
    <r>
      <rPr>
        <sz val="12"/>
        <rFont val="Arial"/>
        <family val="2"/>
      </rPr>
      <t>Cordoalha CP 190 RB D = 15,2 mm - fornecimento, preparo e colocação</t>
    </r>
  </si>
  <si>
    <r>
      <rPr>
        <sz val="12"/>
        <rFont val="Arial"/>
        <family val="2"/>
      </rPr>
      <t>Poliestireno espandido (EPS) de alta densidade - fornecimento e instalação</t>
    </r>
  </si>
  <si>
    <t>3.4.1.13</t>
  </si>
  <si>
    <t>3.4.1.14</t>
  </si>
  <si>
    <t>COMP-A02</t>
  </si>
  <si>
    <t>Camisa metálica com espessura de 12.7 mm, D = 355 mm, cravada, exclusive escavação e concretagem</t>
  </si>
  <si>
    <t>COMP-A03</t>
  </si>
  <si>
    <r>
      <rPr>
        <sz val="12"/>
        <rFont val="Arial"/>
        <family val="2"/>
      </rPr>
      <t>Apoio náutico para a escavação com perfuratriz tipo Wirth em solo D = 600 mm a 1800 mm</t>
    </r>
  </si>
  <si>
    <t>COMP-A04</t>
  </si>
  <si>
    <t>Estaca raiz perfurada em rocha, diâm. 310mm com injeção de arg. incl. fornecimento de todos materiais</t>
  </si>
  <si>
    <t>3.4.3.15</t>
  </si>
  <si>
    <t>3.4.3.16</t>
  </si>
  <si>
    <t>COMP-A06</t>
  </si>
  <si>
    <t>3.4.3.17</t>
  </si>
  <si>
    <r>
      <t>Tubo de travamento de 12,7 mm D = 300 mm L =</t>
    </r>
    <r>
      <rPr>
        <b/>
        <sz val="12"/>
        <rFont val="Arial"/>
        <family val="2"/>
      </rPr>
      <t xml:space="preserve"> 5,10 </t>
    </r>
    <r>
      <rPr>
        <sz val="12"/>
        <rFont val="Arial"/>
        <family val="2"/>
      </rPr>
      <t>m - fornecimento e instalação</t>
    </r>
  </si>
  <si>
    <t>3.4.3.18</t>
  </si>
  <si>
    <r>
      <rPr>
        <sz val="12"/>
        <rFont val="Arial"/>
        <family val="2"/>
      </rPr>
      <t>Transporte de passarela via água, efetuado com flutuante e rebocador (Trajeto Praça do Papa -
Porto de Santana/Cariacica)</t>
    </r>
  </si>
  <si>
    <t>3.5.1.5</t>
  </si>
  <si>
    <r>
      <rPr>
        <sz val="12"/>
        <rFont val="Arial"/>
        <family val="2"/>
      </rPr>
      <t>Caixa de aterramento de concreto simples, nas dimensões de 30x30x25cm, com revest. int. em chapisco e reboco, tampa de concreto esp.5cm e lastro de brita esp. 5 cm, incl. haste
5/8"x2400mm</t>
    </r>
  </si>
  <si>
    <r>
      <rPr>
        <sz val="12"/>
        <rFont val="Arial"/>
        <family val="2"/>
      </rPr>
      <t>Aplicação de tinta epóxi de alta espessura semibrilhante sobre piso de concreto a três demãos, inclusive selador epóxi a uma demão - Ref. Intergard 2005 e 2001 - Internacional ou
equivalente</t>
    </r>
  </si>
  <si>
    <r>
      <rPr>
        <b/>
        <sz val="12"/>
        <color rgb="FFFFFFFF"/>
        <rFont val="Arial"/>
        <family val="2"/>
      </rPr>
      <t>CENTRO</t>
    </r>
    <r>
      <rPr>
        <sz val="12"/>
        <color rgb="FFFFFFFF"/>
        <rFont val="Arial"/>
        <family val="2"/>
      </rPr>
      <t xml:space="preserve"> </t>
    </r>
    <r>
      <rPr>
        <b/>
        <sz val="12"/>
        <color rgb="FFFFFFFF"/>
        <rFont val="Arial"/>
        <family val="2"/>
      </rPr>
      <t>DE</t>
    </r>
    <r>
      <rPr>
        <sz val="12"/>
        <color rgb="FFFFFFFF"/>
        <rFont val="Arial"/>
        <family val="2"/>
      </rPr>
      <t xml:space="preserve"> </t>
    </r>
    <r>
      <rPr>
        <b/>
        <sz val="12"/>
        <color rgb="FFFFFFFF"/>
        <rFont val="Arial"/>
        <family val="2"/>
      </rPr>
      <t>VITÓRIA</t>
    </r>
  </si>
  <si>
    <r>
      <rPr>
        <sz val="12"/>
        <rFont val="Arial"/>
        <family val="2"/>
      </rPr>
      <t>Demolição de alvenaria</t>
    </r>
  </si>
  <si>
    <t>4.3.1.2</t>
  </si>
  <si>
    <t>Alvenaria de blocos de concreto estrut. (14x19x39cm) cheios, c/ resist. mín. compr. 15MPa, assentados c/ arg. de cimento e areia no traço 1:4, esp. juntas 10mm e esp. da parede s/revest. 14cm</t>
  </si>
  <si>
    <r>
      <rPr>
        <sz val="12"/>
        <rFont val="Arial"/>
        <family val="2"/>
      </rPr>
      <t>Fornecimento, dobragem e colocação em fôrma, de armadura CA-50 A grossa diâmetro de
12.5 a 25.0 mm (1/2 a 1")</t>
    </r>
  </si>
  <si>
    <t>Forma de chapas madeira compensada resinada, esp. 12mm, levando-se em conta a utilização 3 vezes, reforçadas com sarrafos de madeira de 2.5 x 10.0cm (incl material, corte, montagem, escoras em eucalipto e desforma) (Platibanda)</t>
  </si>
  <si>
    <r>
      <rPr>
        <sz val="12"/>
        <rFont val="Arial"/>
        <family val="2"/>
      </rPr>
      <t>FORNECIMENTO E APLICAÇÃO DE CONCRETO USINADO FCK=40 MPA - CONSIDERANDO BOMBEAMENTO (5% DE PERDAS JÁ INCLUÍDO NO CUSTO) (6% DE TAXA P/CONCR.
BOMBEAVEL) (Platibanda)</t>
    </r>
  </si>
  <si>
    <r>
      <rPr>
        <sz val="12"/>
        <rFont val="Arial"/>
        <family val="2"/>
      </rPr>
      <t>Tubo PVC rígido para esgoto no diâmetro de 100mm incluindo escavação e aterro com areia</t>
    </r>
  </si>
  <si>
    <r>
      <rPr>
        <sz val="12"/>
        <rFont val="Arial"/>
        <family val="2"/>
      </rPr>
      <t>Cadeira longarina com 3 lugares, estrutura em aço e encosto em polipropileno de alta
resistência - fornecimento e instalação</t>
    </r>
  </si>
  <si>
    <r>
      <rPr>
        <sz val="12"/>
        <rFont val="Arial"/>
        <family val="2"/>
      </rPr>
      <t>FORNECIMENTO E APLICAÇÃO DE CONCRETO USINADO FCK=50 MPA COM ADITIVO LIQUIDO IMPERMEABILIZANTE E SÍLICA ATIVA - CONSIDERANDO BOMBEAMENTO (5% DE PERDAS JÁ
INCLUÍDO NO CUSTO) (6% DE TAXA P/CONCR. BOMBEAVEL)</t>
    </r>
  </si>
  <si>
    <r>
      <rPr>
        <sz val="12"/>
        <rFont val="Arial"/>
        <family val="2"/>
      </rPr>
      <t>Fornecimento e lançamento de concreto para grouteamento com adição de pedrisco (50% em
peso), utilizando Sikagrout ou produto equivalente, exclusive forma</t>
    </r>
  </si>
  <si>
    <t>4.4.1.13</t>
  </si>
  <si>
    <t>4.4.1.15</t>
  </si>
  <si>
    <r>
      <rPr>
        <sz val="12"/>
        <rFont val="Arial"/>
        <family val="2"/>
      </rPr>
      <t>Escavação com perfuratriz tipo Wirth em solo - D = 700 mm</t>
    </r>
  </si>
  <si>
    <r>
      <rPr>
        <sz val="12"/>
        <rFont val="Arial"/>
        <family val="2"/>
      </rPr>
      <t>Apoio náutico para a colocação da armação em camisa metálica</t>
    </r>
  </si>
  <si>
    <t>4.4.3.15</t>
  </si>
  <si>
    <r>
      <rPr>
        <sz val="12"/>
        <rFont val="Arial"/>
        <family val="2"/>
      </rPr>
      <t>Apoio náutico para a execução da concretagem de camisas metálicas</t>
    </r>
  </si>
  <si>
    <t>4.4.3.16</t>
  </si>
  <si>
    <t>4.4.3.17</t>
  </si>
  <si>
    <r>
      <rPr>
        <sz val="12"/>
        <rFont val="Arial"/>
        <family val="2"/>
      </rPr>
      <t>Tubo de travamento de 12,5 mm D = 500 mm L = 2,75 m - fornecimento e instalação</t>
    </r>
  </si>
  <si>
    <t>4.4.3.18</t>
  </si>
  <si>
    <t xml:space="preserve">COMP 42  </t>
  </si>
  <si>
    <r>
      <rPr>
        <b/>
        <sz val="12"/>
        <color rgb="FFFFFFFF"/>
        <rFont val="Arial"/>
        <family val="2"/>
      </rPr>
      <t>PRAINHA</t>
    </r>
    <r>
      <rPr>
        <sz val="12"/>
        <color rgb="FFFFFFFF"/>
        <rFont val="Arial"/>
        <family val="2"/>
      </rPr>
      <t xml:space="preserve"> </t>
    </r>
    <r>
      <rPr>
        <b/>
        <sz val="12"/>
        <color rgb="FFFFFFFF"/>
        <rFont val="Arial"/>
        <family val="2"/>
      </rPr>
      <t>DE</t>
    </r>
    <r>
      <rPr>
        <sz val="12"/>
        <color rgb="FFFFFFFF"/>
        <rFont val="Arial"/>
        <family val="2"/>
      </rPr>
      <t xml:space="preserve"> </t>
    </r>
    <r>
      <rPr>
        <b/>
        <sz val="12"/>
        <color rgb="FFFFFFFF"/>
        <rFont val="Arial"/>
        <family val="2"/>
      </rPr>
      <t>VILA</t>
    </r>
    <r>
      <rPr>
        <sz val="12"/>
        <color rgb="FFFFFFFF"/>
        <rFont val="Arial"/>
        <family val="2"/>
      </rPr>
      <t xml:space="preserve"> </t>
    </r>
    <r>
      <rPr>
        <b/>
        <sz val="12"/>
        <color rgb="FFFFFFFF"/>
        <rFont val="Arial"/>
        <family val="2"/>
      </rPr>
      <t>VELHA</t>
    </r>
  </si>
  <si>
    <t>5.2.1.4</t>
  </si>
  <si>
    <t>5.3.1.2</t>
  </si>
  <si>
    <t>Alvenaria de blocos de concreto estrut. (14x19x39cm) cheios, c/ resist. mín. compr. 15MPa, assentados c/ arg. de cimento e areia no traço 1:4, esp. juntas 10mm e esp. Da parede s/
revest. 14cm</t>
  </si>
  <si>
    <r>
      <rPr>
        <sz val="12"/>
        <rFont val="Arial"/>
        <family val="2"/>
      </rPr>
      <t>Forma de chapas madeira compensada resinada, esp. 12mm, levando-se em conta a utilização
3 vezes, reforçadas com sarrafos de madeira de 2.5 x 10.0cm (incl material, corte, montagem, escoras em eucalipto e desforma)</t>
    </r>
  </si>
  <si>
    <t>Fornecimento, dobragem e colocação em fôrma, de armadura CA-50 A média, diâmetro de 6.3a 10.0 mm</t>
  </si>
  <si>
    <t>Laje pré-fabricada treliçada, sobrecarga 300 Kg/m2, vão de 3.5m a 4.3m, capeamento 4cm,esp. 12cm, Fck = 150 Kg/cm2</t>
  </si>
  <si>
    <t>Cobertura em telha termoacustica tipo telha/telha em aço galvanizado trapez. 40, e=0.43mm, pint. face. sup. e infer. cor branca, incl. acess. fix. nucleo em poliuretano (injeção contínua), e=30mm, ref. Isoeste, Sto André, Panissol, Metform ou equi</t>
  </si>
  <si>
    <t>Piso argamassa alta resistência tipo granilite ou equiv de qualidade comprovada, esp de 10mm, com juntas plástica em quadros de 1m, na cor natural, com acabamento anti-
derrapante mecanizado, inclusive regularização e=3.0cm</t>
  </si>
  <si>
    <r>
      <rPr>
        <sz val="12"/>
        <rFont val="Arial"/>
        <family val="2"/>
      </rPr>
      <t>Fornecimento, dobragem e colocação em fôrma, de armadura CA-50 A média, diâmetro de 6.3
a 10.0 mm</t>
    </r>
  </si>
  <si>
    <t>FORNECIMENTO E APLICAÇÃO DE CONCRETO USINADO FCK=50 MPA COM ADITIVO LIQUIDO IMPERMEABILIZANTE E SÍLICA ATIVA - CONSIDERANDO BOMBEAMENTO (5% DE PERDAS JÁ
INCLUÍDO NO CUSTO) (6% DE TAXA P/CONCR. BOMBEAVEL)</t>
  </si>
  <si>
    <t>5.4.1.13</t>
  </si>
  <si>
    <t>5.4.1.15</t>
  </si>
  <si>
    <r>
      <rPr>
        <sz val="12"/>
        <rFont val="Arial"/>
        <family val="2"/>
      </rPr>
      <t>Apoio náutico para a execução da cravação de camisa metálica D = 600 a 1800 mm</t>
    </r>
  </si>
  <si>
    <t>5.4.3.15</t>
  </si>
  <si>
    <t>5.4.3.16</t>
  </si>
  <si>
    <t xml:space="preserve"> COMP-A06</t>
  </si>
  <si>
    <t>5.4.3.17</t>
  </si>
  <si>
    <t>Tubo de travamento de 12,7 mm D = 12'', fornecimento e instalação (conforme projeto)</t>
  </si>
  <si>
    <t>5.4.3.18</t>
  </si>
  <si>
    <t>Terminal estanhado de 1 compressão 1 furo, 50mm², ref. TEL-5150, marca de referência. Termotécnica ou equivalente</t>
  </si>
  <si>
    <t>Valor Inicial do contrato:</t>
  </si>
  <si>
    <t>ITENS NOVOS</t>
  </si>
  <si>
    <t>Valor final do contrato com aditivo:</t>
  </si>
  <si>
    <t>ITENS ACRESCIDOS</t>
  </si>
  <si>
    <t>Valor final dos acréscimos:</t>
  </si>
  <si>
    <t>ITENS DECRESCIDOS</t>
  </si>
  <si>
    <t>Percentual de acréscimo:</t>
  </si>
  <si>
    <t>QUANT. ACRESCIDA/</t>
  </si>
  <si>
    <t>QUANT. DECRESCIDA</t>
  </si>
  <si>
    <t xml:space="preserve">QUANT. CONTRATADA </t>
  </si>
  <si>
    <t xml:space="preserve">QUANTIDADE FINAL </t>
  </si>
  <si>
    <t>QUANTIDADE</t>
  </si>
  <si>
    <t>01/04/2022 a 30/04/2022</t>
  </si>
  <si>
    <t xml:space="preserve"> 07ª Medição</t>
  </si>
  <si>
    <t>07ª MEDIÇÃO</t>
  </si>
  <si>
    <t>DECRESCIMO</t>
  </si>
  <si>
    <t xml:space="preserve">VALOR FINAL </t>
  </si>
  <si>
    <t>MEDIDO ACUMULADO ANTERIOR</t>
  </si>
  <si>
    <t>Tapume Praça do Papa (medido apenas saldo contrato)</t>
  </si>
  <si>
    <t>Tapume Praça do Papa (saldo a ser medido)</t>
  </si>
  <si>
    <t xml:space="preserve">Canteiro Praça do Papa  </t>
  </si>
  <si>
    <t>Formas das paredes flutuante Praça do Papa</t>
  </si>
  <si>
    <t>Formas da laje de fundo e formas das paredes flutuante Praça do Papa</t>
  </si>
  <si>
    <t>Formas da laje de topo  flutuante Praça do Papa</t>
  </si>
  <si>
    <t>Demolição piso</t>
  </si>
  <si>
    <t>3.1.2.3</t>
  </si>
  <si>
    <t>Remoção e transporte de entulho</t>
  </si>
  <si>
    <t xml:space="preserve">FATOR EMPOLAMENTO. </t>
  </si>
  <si>
    <t>Demolição Manual De Concreto Armado</t>
  </si>
  <si>
    <t>Demolição Manual De Piso</t>
  </si>
  <si>
    <t xml:space="preserve">Aterro manual para regularização do terreno </t>
  </si>
  <si>
    <t>Escavação vigas</t>
  </si>
  <si>
    <t xml:space="preserve">QUANT. </t>
  </si>
  <si>
    <t>PROFUNDIDADE (m)</t>
  </si>
  <si>
    <t>Escavação sapatas S1  a S7</t>
  </si>
  <si>
    <t>Escavação sapatas S12</t>
  </si>
  <si>
    <t>Escavação sapatas S8, S9 e S11</t>
  </si>
  <si>
    <t>Forma vigas V1, V2</t>
  </si>
  <si>
    <t>Forma vigas V3, V7</t>
  </si>
  <si>
    <t>Forma vigas V4, V5, V6</t>
  </si>
  <si>
    <t xml:space="preserve">QUANT.BLOCOS </t>
  </si>
  <si>
    <t>Forma sapatas S1 a S7, S8, S9 e S11</t>
  </si>
  <si>
    <t>Forma sapatas S12</t>
  </si>
  <si>
    <t>Forma sapatas S10</t>
  </si>
  <si>
    <t>Armação vigas baldrames</t>
  </si>
  <si>
    <t>Concreto vigas baldrames 0,2 x 0,6</t>
  </si>
  <si>
    <t>Armação laje inferior diam 6.3</t>
  </si>
  <si>
    <t>Armação laje inferior diam 8</t>
  </si>
  <si>
    <t>Armação laje inferior diam 10</t>
  </si>
  <si>
    <t xml:space="preserve">Concreto laje fundo </t>
  </si>
  <si>
    <t>Formas da laje de topo</t>
  </si>
  <si>
    <t>LASTRO CONCRETO SAPATA  S1 A S7</t>
  </si>
  <si>
    <t>LASTRO CONCRETO SAPATA  S8, S9, S11</t>
  </si>
  <si>
    <t>LASTRO CONCRETO SAPATA  S10</t>
  </si>
  <si>
    <t>LASTRO CONCRETO SAPATA  S12</t>
  </si>
  <si>
    <t>LASTRO CONCRETO VIGAS 20X60</t>
  </si>
  <si>
    <t>LASTRO CONCRETO VIGAS 20X40</t>
  </si>
  <si>
    <t>Canteiro CASCUVV</t>
  </si>
  <si>
    <t xml:space="preserve">Lastro de concreto em  toda área </t>
  </si>
  <si>
    <t>EPS alta densidade - flutuante Vitória - fornecimento</t>
  </si>
  <si>
    <t>Pó de pedra</t>
  </si>
  <si>
    <t>Solo brita</t>
  </si>
  <si>
    <t>Placa de obra canteiro central - CASCUVV</t>
  </si>
  <si>
    <t>5.3.2.12</t>
  </si>
  <si>
    <t>Geral (canteiro central)</t>
  </si>
  <si>
    <t>Conjunto pranchões e roletes flutuante Praça do Papa</t>
  </si>
  <si>
    <t>Calha sala de espera Porto de Santana</t>
  </si>
  <si>
    <t xml:space="preserve">QUANTIDADE </t>
  </si>
  <si>
    <t>TUBO PVC 100 mm</t>
  </si>
  <si>
    <t>TUBO PVC 150 mm</t>
  </si>
  <si>
    <t>Concretagem laje de topo</t>
  </si>
  <si>
    <t>EPS alta densidade - flutuante Vitória - instalação</t>
  </si>
  <si>
    <t>Formas paredes</t>
  </si>
  <si>
    <t>Topografia Praça do Papa</t>
  </si>
  <si>
    <t>Corrimão - fornecimento e instalação</t>
  </si>
  <si>
    <t>Guarda corpo - fornecimento e instalação</t>
  </si>
  <si>
    <t>QUANTITATIVO CONCRETO FUNDAÇÃO - SALA DE ESPERA PRAINHA, VILA VELHA/ES</t>
  </si>
  <si>
    <t>PEÇAS</t>
  </si>
  <si>
    <t>COMPRIMENTO (m)</t>
  </si>
  <si>
    <t>DESCONTO* (m)</t>
  </si>
  <si>
    <t>VOLUME (m³)</t>
  </si>
  <si>
    <t>V01</t>
  </si>
  <si>
    <t>V02a, V02b</t>
  </si>
  <si>
    <t>V02b</t>
  </si>
  <si>
    <t>V03a</t>
  </si>
  <si>
    <t>V04</t>
  </si>
  <si>
    <t>V05</t>
  </si>
  <si>
    <t>V05a</t>
  </si>
  <si>
    <t>V07</t>
  </si>
  <si>
    <t>SUBTOTAL VIGAS LONGITUDINAIS</t>
  </si>
  <si>
    <t>V08</t>
  </si>
  <si>
    <t>V09a, V09c, V17a, V17d</t>
  </si>
  <si>
    <t>V09b</t>
  </si>
  <si>
    <t>V10, V12, V14, V16</t>
  </si>
  <si>
    <t>V11, V13, V15</t>
  </si>
  <si>
    <t>V17b</t>
  </si>
  <si>
    <t>V17c</t>
  </si>
  <si>
    <t>V18</t>
  </si>
  <si>
    <t>V19a</t>
  </si>
  <si>
    <t>SUBTOTAL VIGAS TRANSVERSAIS</t>
  </si>
  <si>
    <t>V03b</t>
  </si>
  <si>
    <t>V05b</t>
  </si>
  <si>
    <t>V06</t>
  </si>
  <si>
    <t>V07a</t>
  </si>
  <si>
    <t>V19b</t>
  </si>
  <si>
    <t>V20</t>
  </si>
  <si>
    <t>SUBTOTAL VIGAS REBAIXADAS</t>
  </si>
  <si>
    <t>ÁREA (m²)</t>
  </si>
  <si>
    <t>LAJE FUNDO</t>
  </si>
  <si>
    <t>LAJE TOPO</t>
  </si>
  <si>
    <t>SUBTOTAL LAJES</t>
  </si>
  <si>
    <t>* DESCONTO NA ALTURA DAS VIGAS REFERE-SE À ESPESSURA DAS LAJES</t>
  </si>
  <si>
    <t>DESCONTO (m)</t>
  </si>
  <si>
    <t>%</t>
  </si>
  <si>
    <t xml:space="preserve">Usinagem e fornecimento de camisa metálica com espessura de 12.7 mm, D = 355 mm </t>
  </si>
  <si>
    <t xml:space="preserve">Usinagem e fornecimento de camisa metálica com esp 12.7 mm, D = 355 mm </t>
  </si>
  <si>
    <t xml:space="preserve">Armação vigas baldrames </t>
  </si>
  <si>
    <t xml:space="preserve">Vigas longarinas </t>
  </si>
  <si>
    <t xml:space="preserve">Vigas transversinas </t>
  </si>
  <si>
    <t>Forma laje topo - fundação</t>
  </si>
  <si>
    <t>Cocreto laje de topo</t>
  </si>
  <si>
    <t>Eletroduto flexível corrugado laje de topo fundação</t>
  </si>
  <si>
    <t>Forma perdida laje de topo do flutuante</t>
  </si>
  <si>
    <t>Junho</t>
  </si>
  <si>
    <t>Marcação dos pontos de locação e nível dos blocos e estacas da Praça do Papa</t>
  </si>
  <si>
    <t>Contrapiso e granilite, com juntas plásticas, exclusive regularização</t>
  </si>
  <si>
    <t>Concreto laje de topo do flutuante - Praça do Papa</t>
  </si>
  <si>
    <t>Chapa batente da passarela metálica</t>
  </si>
  <si>
    <t>Armação laje de topo</t>
  </si>
  <si>
    <t>um</t>
  </si>
  <si>
    <t>Geral (Canteiro Obras/Canteiro Central)</t>
  </si>
  <si>
    <t>Vila Velha (Terminal Prainha)</t>
  </si>
  <si>
    <t xml:space="preserve">Regularização granilite </t>
  </si>
  <si>
    <t xml:space="preserve">QUANT </t>
  </si>
  <si>
    <t>PORCENTAGEM (%)</t>
  </si>
  <si>
    <t>Recebimento da matéria-prima, fabricação e pintura</t>
  </si>
  <si>
    <t>PORC. (%)</t>
  </si>
  <si>
    <t>(%)</t>
  </si>
  <si>
    <t>Recebimento da matéria-prima, fabricação e pintura -  Porto de Santana</t>
  </si>
  <si>
    <t>Laje pré-fabricada treliçada - fornecimento e instalação</t>
  </si>
  <si>
    <t>Concretagem vigas - terminal sala de espera Prainha</t>
  </si>
  <si>
    <t>Armação vigas - terminal sala de espera Prainha</t>
  </si>
  <si>
    <t>Montagem / escoramento vigas - terminal sala de espera Prainha</t>
  </si>
  <si>
    <t>Concretagem pilares - terminal sala de espera Prainha</t>
  </si>
  <si>
    <t>Armação pilares - terminal sala de espera Prainha</t>
  </si>
  <si>
    <t>Montagem formas pilares - terminal sala de espera Prainha</t>
  </si>
  <si>
    <t>Usinagem e fornecimento de camisa metálica - Praça Papa</t>
  </si>
  <si>
    <t>12 estacas verticais - comp 18,8</t>
  </si>
  <si>
    <t>Julho - almoxarifado</t>
  </si>
  <si>
    <t>Julho - sanitário</t>
  </si>
  <si>
    <t>Julho - CASCUVV</t>
  </si>
  <si>
    <t>Julho - Container sanitário Terminal Praça Papa</t>
  </si>
  <si>
    <t>Estacas Praça Papa</t>
  </si>
  <si>
    <t>Armação estacas Praça Papa</t>
  </si>
  <si>
    <t>EST. INCLINADA EM-10</t>
  </si>
  <si>
    <t xml:space="preserve">Forma laje </t>
  </si>
  <si>
    <t xml:space="preserve">Aço laje </t>
  </si>
  <si>
    <t>QUANTIDADE (Kg)</t>
  </si>
  <si>
    <t xml:space="preserve">Concretagem laje </t>
  </si>
  <si>
    <t>Alvenaria platibanda sala de espera</t>
  </si>
  <si>
    <t xml:space="preserve">Apoio náutico cravação camisa metálica </t>
  </si>
  <si>
    <t>Rufo cobertura sala de espera Prainha</t>
  </si>
  <si>
    <t>Agosto - Praça Papa</t>
  </si>
  <si>
    <t>Agosto - Prainha</t>
  </si>
  <si>
    <t>Agosto - container sanitário Prainha</t>
  </si>
  <si>
    <t>Agosto - container escritório Praça Papa</t>
  </si>
  <si>
    <t>Agosto - canteiner almoxarifado CASCUVV</t>
  </si>
  <si>
    <t>Forma platibanda</t>
  </si>
  <si>
    <t>Aço reforço platibanda</t>
  </si>
  <si>
    <t>EST. INCLINADA EM-11</t>
  </si>
  <si>
    <t>EST. INCLINADA EM-12</t>
  </si>
  <si>
    <t>EST. VERTICAL EM-9</t>
  </si>
  <si>
    <t>EST. VERTICAL EM-8</t>
  </si>
  <si>
    <t>EST. VERTICAL EM-7</t>
  </si>
  <si>
    <t>EST. INCLINADA EM-4</t>
  </si>
  <si>
    <t>EST. INCLINADA EM-5</t>
  </si>
  <si>
    <t>EST. VERTICAL EM-1</t>
  </si>
  <si>
    <t>EST. VERTICAL EM-2</t>
  </si>
  <si>
    <t>EST. VERTICAL EM-3</t>
  </si>
  <si>
    <t>EST. INCLINADA EM-6</t>
  </si>
  <si>
    <t>Recebimento da matéria-prima, fabricação e pintura -  Prainha</t>
  </si>
  <si>
    <t>Arrasamento estacas</t>
  </si>
  <si>
    <t>Tubo travamento entre estacas</t>
  </si>
  <si>
    <t>Pintura tubo de travamento</t>
  </si>
  <si>
    <t>Instalação passarela metálica -  Porto de Santana</t>
  </si>
  <si>
    <t>Içamento da passarela metálica</t>
  </si>
  <si>
    <t>Transporte da passarela metálica</t>
  </si>
  <si>
    <t>Instalação e pintura telha passarela metálica - Porto de Santana</t>
  </si>
  <si>
    <t>ACRÉSCIMO</t>
  </si>
  <si>
    <t>Setembro - container almoxarifado Prainha</t>
  </si>
  <si>
    <t>Setembro - container sanitário Prainha</t>
  </si>
  <si>
    <t>Setembro - container almoxarifado Praça Papa</t>
  </si>
  <si>
    <t>Setembro - container sanitário Praça Papa</t>
  </si>
  <si>
    <t>Marcação dos pontos estacas Praça Papa</t>
  </si>
  <si>
    <t>Montagem final e içamento da passarela</t>
  </si>
  <si>
    <t xml:space="preserve">Apoio náutico </t>
  </si>
  <si>
    <t>Fabricação, pré Montagem</t>
  </si>
  <si>
    <t>PORCENTAGEM %</t>
  </si>
  <si>
    <t>Fornecimento defensas flutuante Porto de Santana</t>
  </si>
  <si>
    <t>Pintura sala de embarque e desembarque</t>
  </si>
  <si>
    <t>Contrapiso e piso granilite</t>
  </si>
  <si>
    <t>Fotnrcimento cadeiras longarinas</t>
  </si>
  <si>
    <t>Fornecimento defensas flutuante Prainha</t>
  </si>
  <si>
    <t>Locação mensal balsa</t>
  </si>
  <si>
    <t>Container almoxarifado Praça Papa</t>
  </si>
  <si>
    <t>Container vestiário Praça Papa</t>
  </si>
  <si>
    <t>Container vestiário Prainha</t>
  </si>
  <si>
    <t>15ª Medição</t>
  </si>
  <si>
    <t>15ª MEDIÇÃO</t>
  </si>
  <si>
    <t>01/12/2022 a 31/12/2022</t>
  </si>
  <si>
    <t>01/12/2022 a 31/01/2023</t>
  </si>
  <si>
    <t>Serviço referente a concreto executado em Porto de Santana, em torno da passarela.</t>
  </si>
  <si>
    <t>Serviço referente a ligação do aterramento da sala de espera até a passarela, quantitativo extra a pedido da fiscalização.</t>
  </si>
  <si>
    <t>Serviço referente a ligação do poste padrão até o quadro de energia de Porto de Santana, quantitativo excedente.</t>
  </si>
  <si>
    <t>Serviço referente a instalação das luminárias da sala de espera de Porto de Santana, quantitativo excedente.</t>
  </si>
  <si>
    <t>Serviço referente a instalação das caixas de aterramento da sala de espera de Porto de Santana, quantitativo excedente.</t>
  </si>
  <si>
    <t>Serviço referente ao chapisco realizado na mureta de alvenaria executado na Prainha, quantitativo excedente.</t>
  </si>
  <si>
    <t>Serviço referente ao reboco realizado na mureta de alvenaria executado na Prainha, quantitativo excedente.</t>
  </si>
  <si>
    <t>Serviço referente a instalação da rede de lógica,  sala de espera da Prainha, quantitativo não previsto em projeto.</t>
  </si>
  <si>
    <t>Impermeabilização (15,90+20,90+9+21,10+13) * 1,00* 3 demãos = 239,7 m²</t>
  </si>
  <si>
    <t>No item 5.3.2.11 = 195,37 m²</t>
  </si>
  <si>
    <t>No item 4.3.2.11 = 44,33 m²</t>
  </si>
  <si>
    <t>Porto de Santana = 18 x 5 = 90 m²</t>
  </si>
  <si>
    <t>Praça Papa = 18 x 5 = 90 m²</t>
  </si>
  <si>
    <t>Lastro flutuante:</t>
  </si>
  <si>
    <t>No item 2.3.4.1 = 29,33 m²</t>
  </si>
  <si>
    <t>No item 4.3.4.1 = 90 m²</t>
  </si>
  <si>
    <t>No item 4.3.4.1 = 61,46 m²</t>
  </si>
  <si>
    <t>No item 3.3.10.1 = 118,46 m²</t>
  </si>
  <si>
    <t>No item 4.3.10.1 = 46,02 m²</t>
  </si>
  <si>
    <t>Gradil Porto Santana (6,34+1,90+1,03)*2,40 = 22,25 + 142,23 = 164,48 m²</t>
  </si>
  <si>
    <t>Mureta alvenaria Porto de Santana: (6,34+1,90+1,03) x 0,20 = 1,85 m²</t>
  </si>
  <si>
    <t>Serviço referente a mureta de alvenaria executado na Prainha: 25 * 0,20 = 5m²</t>
  </si>
  <si>
    <t>Chapisco mureta alvenaria Porto de Santana: (6,34+1,90+1,03) x 0,20 * 2 = 3,7 m²</t>
  </si>
  <si>
    <t>Reboco mureta alvenaria Porto de Santana: (6,34+1,90+1,03) x 0,20 * 2 = 3,7 m²</t>
  </si>
  <si>
    <t>Reajuste 35,479%</t>
  </si>
  <si>
    <t>Calçada sala de espera - Praça do Papa: 42 x 1,2 = 50,40 m2</t>
  </si>
  <si>
    <t>Demolição piso Praça Papa - aterramento</t>
  </si>
  <si>
    <t>Valor das notas</t>
  </si>
  <si>
    <t>23</t>
  </si>
  <si>
    <t>23,5</t>
  </si>
  <si>
    <t>23,86</t>
  </si>
  <si>
    <t>Fornecimento - guarda corpo flutuante Prainha</t>
  </si>
  <si>
    <t>No item 5.3.10.1 = 111,39 m²</t>
  </si>
  <si>
    <t>No item 2.3.10.1 = 118,46 m²</t>
  </si>
  <si>
    <t>Gradil Praça do Papa (39,14 * 2,60) + (2,80 * 2,62) + (3,87 * 2,57) + (18,70 * 2,40) = 163,92 m²</t>
  </si>
  <si>
    <t>No item 4.3.10.1 = 45,46 m²</t>
  </si>
  <si>
    <t>Gradil Prainha (39,14 * 2,60) + (2,80 * 2,62) + (3,87 * 2,57) + (14,50 * 2,40) = 153,84 m²</t>
  </si>
  <si>
    <t>No item 4.3.10.1 = 42,45 m²</t>
  </si>
  <si>
    <t>5,60 já é a soma da alvenaria dos dois totens</t>
  </si>
  <si>
    <t>saldo igual a 59,36                                           esse reboco refere-se à regularização do piso do flutuante da Praça do Papa 90m²</t>
  </si>
  <si>
    <t>saldo zerado                                                   essa pintura refere-se à pintura final da Praça do Papa</t>
  </si>
  <si>
    <t>01/07/2023 a 30/09/2023</t>
  </si>
  <si>
    <t>20ª Medição</t>
  </si>
  <si>
    <t>COMP-A17</t>
  </si>
  <si>
    <t>1.1.1.3</t>
  </si>
  <si>
    <t>Adaptação da Balsa com spuds</t>
  </si>
  <si>
    <t xml:space="preserve">un </t>
  </si>
  <si>
    <t>1.1.1.4</t>
  </si>
  <si>
    <t>Locação Mensal Balsa com spuds (cotação mercado)</t>
  </si>
  <si>
    <t>312420 DER</t>
  </si>
  <si>
    <t>1.1.3.10</t>
  </si>
  <si>
    <t>Vigia (Leis Sociais = 71,41%)</t>
  </si>
  <si>
    <t>100105</t>
  </si>
  <si>
    <t>2.3.8.7</t>
  </si>
  <si>
    <t>Índice de imperm.c/ manta asfáltica atendendo NBR 9952, asfalto polimérico, esp.4mm reforç.c/ filme int.em polietileno</t>
  </si>
  <si>
    <t>COMP-A07</t>
  </si>
  <si>
    <t xml:space="preserve"> Rolete guia da estaca - reinstalação e reforço</t>
  </si>
  <si>
    <t>cj</t>
  </si>
  <si>
    <t>COMP-A21</t>
  </si>
  <si>
    <t>2.4.1.15</t>
  </si>
  <si>
    <t>Adaptação de roletes das guias, conforme definição e projeto da Semobi</t>
  </si>
  <si>
    <t>Tubo de travamento de 12,7 mm D = 300 mm - fornecimento e instalação</t>
  </si>
  <si>
    <t>COMP-A16</t>
  </si>
  <si>
    <t>2.5.1.4</t>
  </si>
  <si>
    <t>Complemento borracha passarela metálica</t>
  </si>
  <si>
    <t>3.3.8.7</t>
  </si>
  <si>
    <t>Mobilização e desmobilizaçao de guindaste rodoviário</t>
  </si>
  <si>
    <t>COMP-A08</t>
  </si>
  <si>
    <t>Complemento chapa passarela metálica</t>
  </si>
  <si>
    <t>5.3.8.7</t>
  </si>
  <si>
    <t>5.4.1.14</t>
  </si>
  <si>
    <t>COMP-A18</t>
  </si>
  <si>
    <t>5.4.3.19</t>
  </si>
  <si>
    <t>Readaptação da Balsa com spuds</t>
  </si>
  <si>
    <t>5.5.1.5</t>
  </si>
  <si>
    <t>QUANT. ACRESCIDA 2º ADITIVO</t>
  </si>
  <si>
    <t>VALOR ACRESCIDO  2º ADITIVO</t>
  </si>
  <si>
    <t>QUANT. ACRESCIDA/ 1º ADITIVO</t>
  </si>
  <si>
    <t>Medir 3 cabeços complementares correspondentes ao item 4.4.1.8, logo:
 3 x 5.478,19 =  R$ 16.434,570</t>
  </si>
  <si>
    <t>Medir conjunto de roletes correspondentes ao item 4.4.1.7, logo:
 3 x 5.478,19 = R$ 14.345,610</t>
  </si>
  <si>
    <t>Adaptação de guarda corpo do flutuante - Aquaviário Praça do Papa, Porto de Santana, Prainha</t>
  </si>
  <si>
    <t>Substituição de lâmpadas queimadas dos terminais</t>
  </si>
  <si>
    <t>20ª MEDIÇÃO</t>
  </si>
  <si>
    <t>Contrapiso flutuante Praça do Papa</t>
  </si>
  <si>
    <t>Pintura geral para inauguração</t>
  </si>
  <si>
    <t>Roletes maciços (2 conjuntos)  necessários para substituição, troca e manutenção dos roletes na Praça do Papa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</si>
</sst>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7" formatCode="&quot;R$&quot;\ #,##0.00;\-&quot;R$&quot;\ #,##0.00"/>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_(* #,##0.00_);_(* \(#,##0.00\);_(* &quot;-&quot;??_);_(@_)"/>
    <numFmt numFmtId="166" formatCode="_(&quot;R$ &quot;* #,##0.00_);_(&quot;R$ &quot;* \(#,##0.00\);_(&quot;R$ &quot;* &quot;-&quot;??_);_(@_)"/>
    <numFmt numFmtId="167" formatCode="#,##0.000"/>
    <numFmt numFmtId="168" formatCode="_([$€-2]* #,##0.00_);_([$€-2]* \(#,##0.00\);_([$€-2]* \-??_)"/>
    <numFmt numFmtId="169" formatCode="_(* #,##0.00_);_(* \(#,##0.00\);_(* \-??_);_(@_)"/>
    <numFmt numFmtId="170" formatCode="&quot;R$ &quot;#,##0.00_);\(&quot;R$ &quot;#,##0.00\)"/>
    <numFmt numFmtId="171" formatCode="&quot;R$ &quot;#,##0_);[Red]\(&quot;R$ &quot;#,##0\)"/>
    <numFmt numFmtId="172" formatCode="#."/>
    <numFmt numFmtId="173" formatCode="[$€]#,##0.00_);[Red]\([$€]#,##0.00\)"/>
    <numFmt numFmtId="174" formatCode="\$#,##0\ ;\(\$#,##0\)"/>
    <numFmt numFmtId="175" formatCode="_(&quot;Cr$&quot;* #,##0.00_);_(&quot;Cr$&quot;* \(#,##0.00\);_(&quot;Cr$&quot;* &quot;-&quot;??_);_(@_)"/>
    <numFmt numFmtId="176" formatCode="_(&quot;$&quot;* #,##0.00_);_(&quot;$&quot;* \(#,##0.00\);_(&quot;$&quot;* &quot;-&quot;??_);_(@_)"/>
    <numFmt numFmtId="177" formatCode="&quot;R$ &quot;#,##0.00_);[Red]\(&quot;R$ &quot;#,##0.00\)"/>
    <numFmt numFmtId="178" formatCode="_(* #,##0.000_);_(* \(#,##0.000\);_(* \-??_);_(@_)"/>
    <numFmt numFmtId="179" formatCode="_-* #,##0.00\ _€_-;\-* #,##0.00\ _€_-;_-* &quot;-&quot;??\ _€_-;_-@_-"/>
    <numFmt numFmtId="180" formatCode="0.000"/>
    <numFmt numFmtId="181" formatCode="General&quot;ª Medição Provisória&quot;"/>
    <numFmt numFmtId="182" formatCode="00&quot;ª MEDIÇÃO&quot;"/>
    <numFmt numFmtId="183" formatCode="_-* #,##0.000_-;\-* #,##0.000_-;_-* &quot;-&quot;???_-;_-@_-"/>
    <numFmt numFmtId="184" formatCode="_(* #,##0.000_);_(* \(#,##0.000\);_(* &quot;-&quot;??_);_(@_)"/>
    <numFmt numFmtId="185" formatCode="_-* #,##0.000_-;\-* #,##0.000_-;_-* &quot;-&quot;??_-;_-@_-"/>
    <numFmt numFmtId="186" formatCode="00&quot;ª Medição&quot;"/>
    <numFmt numFmtId="187" formatCode="0.0"/>
    <numFmt numFmtId="188" formatCode="_-[$R$-416]\ * #.##000_-;\-[$R$-416]\ * #.##000_-;_-[$R$-416]\ * &quot;-&quot;??_-;_-@_-"/>
    <numFmt numFmtId="189" formatCode="000000"/>
    <numFmt numFmtId="190" formatCode="m\.d\.yy;@"/>
    <numFmt numFmtId="191" formatCode="0.0%"/>
    <numFmt numFmtId="192" formatCode="0.0000"/>
    <numFmt numFmtId="193" formatCode="#,##0.00000"/>
    <numFmt numFmtId="194" formatCode="#,##0.0"/>
  </numFmts>
  <fonts count="85">
    <font>
      <sz val="11"/>
      <color theme="1"/>
      <name val="Calibri"/>
      <family val="2"/>
      <scheme val="minor"/>
    </font>
    <font>
      <sz val="10"/>
      <name val="Arial"/>
      <family val="2"/>
    </font>
    <font>
      <sz val="11"/>
      <color theme="1"/>
      <name val="Calibri"/>
      <family val="2"/>
      <scheme val="minor"/>
    </font>
    <font>
      <sz val="10"/>
      <color indexed="8"/>
      <name val="Arial"/>
      <family val="2"/>
    </font>
    <font>
      <sz val="10"/>
      <name val="Arial"/>
      <family val="2"/>
    </font>
    <font>
      <sz val="8"/>
      <color indexed="8"/>
      <name val="Arial Narrow"/>
      <family val="2"/>
    </font>
    <font>
      <sz val="11"/>
      <color indexed="8"/>
      <name val="Calibri"/>
      <family val="2"/>
    </font>
    <font>
      <b/>
      <sz val="15"/>
      <color indexed="56"/>
      <name val="Calibri"/>
      <family val="2"/>
    </font>
    <font>
      <b/>
      <sz val="8"/>
      <name val="Arial"/>
      <family val="2"/>
    </font>
    <font>
      <b/>
      <sz val="7"/>
      <color indexed="10"/>
      <name val="Arial"/>
      <family val="2"/>
    </font>
    <font>
      <b/>
      <sz val="14"/>
      <name val="Arial"/>
      <family val="2"/>
    </font>
    <font>
      <b/>
      <i/>
      <sz val="10"/>
      <name val="Arial"/>
      <family val="2"/>
    </font>
    <font>
      <b/>
      <sz val="10"/>
      <name val="Arial"/>
      <family val="2"/>
    </font>
    <font>
      <sz val="12"/>
      <name val="Arial"/>
      <family val="2"/>
    </font>
    <font>
      <sz val="11"/>
      <name val="Arial"/>
      <family val="2"/>
    </font>
    <font>
      <b/>
      <sz val="11"/>
      <color theme="1"/>
      <name val="Calibri"/>
      <family val="2"/>
      <scheme val="minor"/>
    </font>
    <font>
      <sz val="11"/>
      <color indexed="9"/>
      <name val="Calibri"/>
      <family val="2"/>
    </font>
    <font>
      <sz val="11"/>
      <color indexed="17"/>
      <name val="Calibri"/>
      <family val="2"/>
    </font>
    <font>
      <b/>
      <sz val="16"/>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sz val="10"/>
      <color indexed="24"/>
      <name val="Arial"/>
      <family val="2"/>
    </font>
    <font>
      <sz val="1"/>
      <color indexed="16"/>
      <name val="Courier"/>
      <family val="3"/>
    </font>
    <font>
      <sz val="11"/>
      <color indexed="62"/>
      <name val="Calibri"/>
      <family val="2"/>
    </font>
    <font>
      <sz val="10"/>
      <name val="Courier"/>
      <family val="3"/>
    </font>
    <font>
      <sz val="1"/>
      <color indexed="8"/>
      <name val="Courier"/>
      <family val="3"/>
    </font>
    <font>
      <b/>
      <sz val="1"/>
      <color indexed="8"/>
      <name val="Courier"/>
      <family val="3"/>
    </font>
    <font>
      <i/>
      <sz val="1"/>
      <color indexed="8"/>
      <name val="Courier"/>
      <family val="3"/>
    </font>
    <font>
      <u/>
      <sz val="6"/>
      <color indexed="12"/>
      <name val="Arial"/>
      <family val="2"/>
    </font>
    <font>
      <sz val="11"/>
      <color indexed="20"/>
      <name val="Calibri"/>
      <family val="2"/>
    </font>
    <font>
      <sz val="12"/>
      <color indexed="24"/>
      <name val="Arial"/>
      <family val="2"/>
    </font>
    <font>
      <sz val="11"/>
      <color indexed="60"/>
      <name val="Calibri"/>
      <family val="2"/>
    </font>
    <font>
      <sz val="11"/>
      <name val="CG Omega"/>
      <family val="2"/>
    </font>
    <font>
      <b/>
      <sz val="11"/>
      <color indexed="63"/>
      <name val="Calibri"/>
      <family val="2"/>
    </font>
    <font>
      <sz val="1"/>
      <color indexed="18"/>
      <name val="Courier"/>
      <family val="3"/>
    </font>
    <font>
      <sz val="11"/>
      <color indexed="10"/>
      <name val="Calibri"/>
      <family val="2"/>
    </font>
    <font>
      <i/>
      <sz val="11"/>
      <color indexed="23"/>
      <name val="Calibri"/>
      <family val="2"/>
    </font>
    <font>
      <b/>
      <sz val="13"/>
      <color indexed="56"/>
      <name val="Calibri"/>
      <family val="2"/>
    </font>
    <font>
      <b/>
      <sz val="11"/>
      <color indexed="56"/>
      <name val="Calibri"/>
      <family val="2"/>
    </font>
    <font>
      <b/>
      <sz val="18"/>
      <color indexed="56"/>
      <name val="Cambria"/>
      <family val="2"/>
    </font>
    <font>
      <b/>
      <sz val="1"/>
      <color indexed="16"/>
      <name val="Courier"/>
      <family val="3"/>
    </font>
    <font>
      <b/>
      <sz val="11"/>
      <color indexed="8"/>
      <name val="Calibri"/>
      <family val="2"/>
    </font>
    <font>
      <b/>
      <sz val="12"/>
      <name val="Arial"/>
      <family val="2"/>
    </font>
    <font>
      <sz val="9"/>
      <name val="Arial"/>
      <family val="2"/>
    </font>
    <font>
      <sz val="10"/>
      <color rgb="FFFF0000"/>
      <name val="Arial"/>
      <family val="2"/>
    </font>
    <font>
      <b/>
      <sz val="10"/>
      <color theme="1"/>
      <name val="Arial"/>
      <family val="2"/>
    </font>
    <font>
      <sz val="10"/>
      <color rgb="FF0000FF"/>
      <name val="Arial"/>
      <family val="2"/>
    </font>
    <font>
      <sz val="10"/>
      <name val="Times New Roman"/>
      <family val="1"/>
    </font>
    <font>
      <b/>
      <sz val="9"/>
      <name val="Arial"/>
      <family val="2"/>
    </font>
    <font>
      <b/>
      <sz val="12"/>
      <color theme="1"/>
      <name val="Arial"/>
      <family val="2"/>
    </font>
    <font>
      <sz val="12"/>
      <color theme="1"/>
      <name val="Arial"/>
      <family val="2"/>
    </font>
    <font>
      <b/>
      <sz val="9"/>
      <color indexed="8"/>
      <name val="Arial"/>
      <family val="2"/>
    </font>
    <font>
      <b/>
      <sz val="12"/>
      <name val="Calibri"/>
      <family val="2"/>
      <scheme val="minor"/>
    </font>
    <font>
      <sz val="12"/>
      <name val="Calibri"/>
      <family val="2"/>
      <scheme val="minor"/>
    </font>
    <font>
      <sz val="12"/>
      <color rgb="FFFF0000"/>
      <name val="Arial"/>
      <family val="2"/>
    </font>
    <font>
      <b/>
      <sz val="11.5"/>
      <name val="Arial"/>
      <family val="2"/>
    </font>
    <font>
      <b/>
      <sz val="11.5"/>
      <color indexed="12"/>
      <name val="Arial"/>
      <family val="2"/>
    </font>
    <font>
      <sz val="12"/>
      <color rgb="FF0000FF"/>
      <name val="Arial"/>
      <family val="2"/>
    </font>
    <font>
      <sz val="12"/>
      <color indexed="12"/>
      <name val="Calibri"/>
      <family val="2"/>
      <scheme val="minor"/>
    </font>
    <font>
      <sz val="8"/>
      <name val="Calibri"/>
      <family val="2"/>
      <scheme val="minor"/>
    </font>
    <font>
      <sz val="11"/>
      <color rgb="FF000000"/>
      <name val="Calibri"/>
      <family val="2"/>
      <charset val="204"/>
    </font>
    <font>
      <sz val="9"/>
      <color rgb="FF0000FF"/>
      <name val="Arial"/>
      <family val="2"/>
    </font>
    <font>
      <b/>
      <sz val="10"/>
      <color rgb="FFFF0000"/>
      <name val="Arial"/>
      <family val="2"/>
    </font>
    <font>
      <sz val="10"/>
      <color rgb="FF000000"/>
      <name val="Times New Roman"/>
      <family val="1"/>
    </font>
    <font>
      <sz val="10"/>
      <color rgb="FF000000"/>
      <name val="Times New Roman"/>
      <family val="1"/>
    </font>
    <font>
      <b/>
      <sz val="12"/>
      <color rgb="FF000000"/>
      <name val="Arial"/>
      <family val="2"/>
    </font>
    <font>
      <sz val="12"/>
      <color rgb="FF000000"/>
      <name val="Arial"/>
      <family val="2"/>
    </font>
    <font>
      <sz val="10"/>
      <name val="MS Sans Serif"/>
      <family val="2"/>
    </font>
    <font>
      <sz val="14"/>
      <name val="Arial"/>
      <family val="2"/>
    </font>
    <font>
      <b/>
      <sz val="12"/>
      <color rgb="FFFFFFFF"/>
      <name val="Arial"/>
      <family val="2"/>
    </font>
    <font>
      <sz val="12"/>
      <color rgb="FFFFFFFF"/>
      <name val="Arial"/>
      <family val="2"/>
    </font>
    <font>
      <b/>
      <sz val="12"/>
      <color rgb="FFFF0000"/>
      <name val="Arial"/>
      <family val="2"/>
    </font>
    <font>
      <sz val="10"/>
      <color rgb="FF000000"/>
      <name val="Arial"/>
      <family val="2"/>
    </font>
    <font>
      <b/>
      <sz val="9"/>
      <color rgb="FF000000"/>
      <name val="Arial"/>
      <family val="2"/>
    </font>
    <font>
      <sz val="9"/>
      <color rgb="FF000000"/>
      <name val="Arial"/>
      <family val="2"/>
    </font>
    <font>
      <b/>
      <sz val="8"/>
      <color rgb="FF000000"/>
      <name val="Arial"/>
      <family val="2"/>
    </font>
    <font>
      <sz val="9"/>
      <color rgb="FF000000"/>
      <name val="Times New Roman"/>
      <family val="1"/>
    </font>
    <font>
      <b/>
      <sz val="10"/>
      <color rgb="FF000000"/>
      <name val="Arial"/>
      <family val="2"/>
    </font>
    <font>
      <sz val="8"/>
      <color rgb="FF000000"/>
      <name val="Arial"/>
      <family val="2"/>
    </font>
    <font>
      <sz val="10"/>
      <color rgb="FF000000"/>
      <name val="Times New Roman"/>
      <charset val="204"/>
    </font>
    <font>
      <sz val="9"/>
      <color indexed="81"/>
      <name val="Segoe UI"/>
      <family val="2"/>
    </font>
    <font>
      <b/>
      <sz val="9"/>
      <color indexed="81"/>
      <name val="Segoe UI"/>
      <family val="2"/>
    </font>
    <font>
      <sz val="20"/>
      <color indexed="81"/>
      <name val="Segoe UI"/>
      <family val="2"/>
    </font>
  </fonts>
  <fills count="4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26"/>
        <bgColor indexed="64"/>
      </patternFill>
    </fill>
    <fill>
      <patternFill patternType="solid">
        <fgColor indexed="22"/>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4.9989318521683403E-2"/>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26"/>
      </patternFill>
    </fill>
    <fill>
      <patternFill patternType="solid">
        <fgColor theme="0" tint="-4.9989318521683403E-2"/>
        <bgColor indexed="26"/>
      </patternFill>
    </fill>
    <fill>
      <patternFill patternType="solid">
        <fgColor theme="0" tint="-0.249977111117893"/>
        <bgColor indexed="26"/>
      </patternFill>
    </fill>
    <fill>
      <patternFill patternType="solid">
        <fgColor theme="6" tint="0.59999389629810485"/>
        <bgColor indexed="64"/>
      </patternFill>
    </fill>
    <fill>
      <patternFill patternType="solid">
        <fgColor rgb="FFD9D9D9"/>
      </patternFill>
    </fill>
    <fill>
      <patternFill patternType="solid">
        <fgColor rgb="FF00A84C"/>
        <bgColor indexed="64"/>
      </patternFill>
    </fill>
    <fill>
      <patternFill patternType="solid">
        <fgColor theme="8" tint="0.59999389629810485"/>
        <bgColor indexed="64"/>
      </patternFill>
    </fill>
    <fill>
      <patternFill patternType="solid">
        <fgColor rgb="FF5C858D"/>
      </patternFill>
    </fill>
    <fill>
      <patternFill patternType="solid">
        <fgColor rgb="FF00B05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indexed="10"/>
        <bgColor indexed="64"/>
      </patternFill>
    </fill>
    <fill>
      <patternFill patternType="solid">
        <fgColor theme="6" tint="0.39997558519241921"/>
        <bgColor indexed="64"/>
      </patternFill>
    </fill>
    <fill>
      <patternFill patternType="solid">
        <fgColor rgb="FF00B0F0"/>
        <bgColor indexed="64"/>
      </patternFill>
    </fill>
    <fill>
      <patternFill patternType="solid">
        <fgColor theme="8" tint="0.79998168889431442"/>
        <bgColor indexed="64"/>
      </patternFill>
    </fill>
  </fills>
  <borders count="176">
    <border>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bottom style="thick">
        <color indexed="62"/>
      </bottom>
      <diagonal/>
    </border>
    <border>
      <left style="thin">
        <color indexed="8"/>
      </left>
      <right/>
      <top style="thin">
        <color indexed="8"/>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indexed="8"/>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auto="1"/>
      </bottom>
      <diagonal/>
    </border>
    <border>
      <left/>
      <right/>
      <top style="hair">
        <color indexed="64"/>
      </top>
      <bottom style="thin">
        <color indexed="64"/>
      </bottom>
      <diagonal/>
    </border>
    <border>
      <left/>
      <right/>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auto="1"/>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8"/>
      </left>
      <right/>
      <top style="thin">
        <color indexed="8"/>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auto="1"/>
      </bottom>
      <diagonal/>
    </border>
    <border>
      <left style="thin">
        <color indexed="64"/>
      </left>
      <right/>
      <top style="thin">
        <color indexed="64"/>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auto="1"/>
      </bottom>
      <diagonal/>
    </border>
    <border>
      <left style="thin">
        <color indexed="64"/>
      </left>
      <right/>
      <top/>
      <bottom style="thin">
        <color auto="1"/>
      </bottom>
      <diagonal/>
    </border>
    <border>
      <left/>
      <right style="hair">
        <color indexed="64"/>
      </right>
      <top style="thin">
        <color indexed="64"/>
      </top>
      <bottom style="thin">
        <color indexed="64"/>
      </bottom>
      <diagonal/>
    </border>
    <border>
      <left style="thin">
        <color indexed="64"/>
      </left>
      <right/>
      <top style="thin">
        <color auto="1"/>
      </top>
      <bottom/>
      <diagonal/>
    </border>
    <border>
      <left style="thin">
        <color indexed="64"/>
      </left>
      <right/>
      <top style="thin">
        <color auto="1"/>
      </top>
      <bottom style="thin">
        <color indexed="64"/>
      </bottom>
      <diagonal/>
    </border>
    <border>
      <left/>
      <right/>
      <top/>
      <bottom style="thin">
        <color indexed="8"/>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auto="1"/>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diagonal/>
    </border>
    <border>
      <left style="thin">
        <color indexed="64"/>
      </left>
      <right/>
      <top style="thin">
        <color indexed="64"/>
      </top>
      <bottom style="thin">
        <color auto="1"/>
      </bottom>
      <diagonal/>
    </border>
    <border>
      <left style="medium">
        <color indexed="64"/>
      </left>
      <right/>
      <top style="thin">
        <color indexed="64"/>
      </top>
      <bottom style="thin">
        <color indexed="64"/>
      </bottom>
      <diagonal/>
    </border>
    <border>
      <left style="thin">
        <color indexed="8"/>
      </left>
      <right/>
      <top style="thin">
        <color indexed="8"/>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auto="1"/>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8"/>
      </bottom>
      <diagonal/>
    </border>
    <border>
      <left style="medium">
        <color indexed="64"/>
      </left>
      <right/>
      <top style="thin">
        <color indexed="64"/>
      </top>
      <bottom style="thin">
        <color indexed="64"/>
      </bottom>
      <diagonal/>
    </border>
    <border>
      <left style="thin">
        <color indexed="8"/>
      </left>
      <right/>
      <top style="thin">
        <color indexed="8"/>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auto="1"/>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8"/>
      </left>
      <right/>
      <top style="thin">
        <color indexed="8"/>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auto="1"/>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8"/>
      </left>
      <right/>
      <top style="thin">
        <color indexed="8"/>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auto="1"/>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right style="thin">
        <color indexed="64"/>
      </right>
      <top/>
      <bottom style="thin">
        <color indexed="8"/>
      </bottom>
      <diagonal/>
    </border>
    <border>
      <left style="thin">
        <color indexed="64"/>
      </left>
      <right/>
      <top style="thin">
        <color indexed="64"/>
      </top>
      <bottom style="thin">
        <color indexed="8"/>
      </bottom>
      <diagonal/>
    </border>
    <border>
      <left/>
      <right style="thin">
        <color indexed="8"/>
      </right>
      <top style="thin">
        <color indexed="64"/>
      </top>
      <bottom style="thin">
        <color indexed="8"/>
      </bottom>
      <diagonal/>
    </border>
    <border>
      <left style="thin">
        <color rgb="FF000000"/>
      </left>
      <right/>
      <top style="thin">
        <color rgb="FF000000"/>
      </top>
      <bottom/>
      <diagonal/>
    </border>
    <border>
      <left/>
      <right style="thin">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indexed="64"/>
      </top>
      <bottom style="thin">
        <color indexed="8"/>
      </bottom>
      <diagonal/>
    </border>
    <border>
      <left style="thin">
        <color indexed="8"/>
      </left>
      <right style="thin">
        <color indexed="8"/>
      </right>
      <top/>
      <bottom style="thin">
        <color indexed="64"/>
      </bottom>
      <diagonal/>
    </border>
    <border>
      <left style="thin">
        <color indexed="64"/>
      </left>
      <right/>
      <top style="hair">
        <color indexed="64"/>
      </top>
      <bottom/>
      <diagonal/>
    </border>
    <border>
      <left/>
      <right/>
      <top style="hair">
        <color indexed="64"/>
      </top>
      <bottom/>
      <diagonal/>
    </border>
  </borders>
  <cellStyleXfs count="11704">
    <xf numFmtId="0" fontId="0" fillId="0" borderId="0"/>
    <xf numFmtId="0" fontId="1" fillId="0" borderId="0"/>
    <xf numFmtId="165" fontId="1" fillId="0" borderId="0" applyFont="0" applyFill="0" applyBorder="0" applyAlignment="0" applyProtection="0"/>
    <xf numFmtId="0" fontId="4" fillId="0" borderId="0"/>
    <xf numFmtId="0" fontId="5" fillId="0" borderId="7" applyNumberFormat="0" applyFont="0" applyAlignment="0">
      <alignment horizontal="left" vertical="top" indent="1"/>
    </xf>
    <xf numFmtId="0" fontId="8" fillId="4" borderId="1" applyNumberFormat="0" applyFont="0" applyBorder="0" applyAlignment="0">
      <alignment horizontal="left" vertical="center"/>
    </xf>
    <xf numFmtId="168" fontId="1" fillId="0" borderId="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 fillId="0" borderId="0" applyFill="0" applyBorder="0" applyAlignment="0" applyProtection="0"/>
    <xf numFmtId="166" fontId="6" fillId="0" borderId="0" applyFont="0" applyFill="0" applyBorder="0" applyAlignment="0" applyProtection="0"/>
    <xf numFmtId="0" fontId="1" fillId="0" borderId="0"/>
    <xf numFmtId="0" fontId="1" fillId="0" borderId="0"/>
    <xf numFmtId="168" fontId="1" fillId="0" borderId="0"/>
    <xf numFmtId="0" fontId="1" fillId="0" borderId="0"/>
    <xf numFmtId="0" fontId="2" fillId="0" borderId="0"/>
    <xf numFmtId="0" fontId="1" fillId="0" borderId="0"/>
    <xf numFmtId="0" fontId="3" fillId="0" borderId="0"/>
    <xf numFmtId="0" fontId="6" fillId="0" borderId="0"/>
    <xf numFmtId="9" fontId="1" fillId="0" borderId="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9" fillId="0" borderId="8" applyNumberFormat="0" applyBorder="0" applyAlignment="0">
      <alignment horizontal="center" vertical="center"/>
    </xf>
    <xf numFmtId="0" fontId="7" fillId="0" borderId="9" applyNumberFormat="0" applyFill="0" applyAlignment="0" applyProtection="0"/>
    <xf numFmtId="165" fontId="4"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2" fontId="1" fillId="0" borderId="0" applyFont="0" applyFill="0" applyProtection="0"/>
    <xf numFmtId="0" fontId="1" fillId="0" borderId="0"/>
    <xf numFmtId="0" fontId="1" fillId="0" borderId="0"/>
    <xf numFmtId="0" fontId="1" fillId="0" borderId="0"/>
    <xf numFmtId="168" fontId="1" fillId="0" borderId="0"/>
    <xf numFmtId="0" fontId="1" fillId="0" borderId="0"/>
    <xf numFmtId="0" fontId="2" fillId="0" borderId="0"/>
    <xf numFmtId="0" fontId="1" fillId="0" borderId="0"/>
    <xf numFmtId="0" fontId="1" fillId="0" borderId="0"/>
    <xf numFmtId="0" fontId="6"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43"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16" fillId="17"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 fillId="0" borderId="10" applyNumberFormat="0" applyAlignment="0"/>
    <xf numFmtId="0" fontId="17" fillId="9"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5" borderId="13" applyNumberFormat="0" applyAlignment="0" applyProtection="0"/>
    <xf numFmtId="0" fontId="21" fillId="21" borderId="14" applyNumberFormat="0" applyAlignment="0" applyProtection="0"/>
    <xf numFmtId="0" fontId="22" fillId="0" borderId="15" applyNumberFormat="0" applyFill="0" applyAlignment="0" applyProtection="0"/>
    <xf numFmtId="3" fontId="23" fillId="0" borderId="0" applyFont="0" applyFill="0" applyBorder="0" applyAlignment="0" applyProtection="0"/>
    <xf numFmtId="172" fontId="24" fillId="0" borderId="0">
      <protection locked="0"/>
    </xf>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5" borderId="0" applyNumberFormat="0" applyBorder="0" applyAlignment="0" applyProtection="0"/>
    <xf numFmtId="0" fontId="25" fillId="12" borderId="13" applyNumberFormat="0" applyAlignment="0" applyProtection="0"/>
    <xf numFmtId="173" fontId="26" fillId="0" borderId="0" applyFont="0" applyFill="0" applyBorder="0" applyAlignment="0" applyProtection="0"/>
    <xf numFmtId="0" fontId="27" fillId="0" borderId="0">
      <protection locked="0"/>
    </xf>
    <xf numFmtId="0" fontId="28" fillId="0" borderId="0">
      <protection locked="0"/>
    </xf>
    <xf numFmtId="0" fontId="29" fillId="0" borderId="0">
      <protection locked="0"/>
    </xf>
    <xf numFmtId="0" fontId="28" fillId="0" borderId="0">
      <protection locked="0"/>
    </xf>
    <xf numFmtId="0" fontId="28" fillId="0" borderId="0">
      <protection locked="0"/>
    </xf>
    <xf numFmtId="0" fontId="28" fillId="0" borderId="0">
      <protection locked="0"/>
    </xf>
    <xf numFmtId="0" fontId="28" fillId="0" borderId="0">
      <protection locked="0"/>
    </xf>
    <xf numFmtId="172" fontId="24" fillId="0" borderId="0">
      <protection locked="0"/>
    </xf>
    <xf numFmtId="0" fontId="30" fillId="0" borderId="0" applyNumberFormat="0" applyFill="0" applyBorder="0" applyAlignment="0" applyProtection="0">
      <alignment vertical="top"/>
      <protection locked="0"/>
    </xf>
    <xf numFmtId="0" fontId="31" fillId="8" borderId="0" applyNumberFormat="0" applyBorder="0" applyAlignment="0" applyProtection="0"/>
    <xf numFmtId="0" fontId="26" fillId="0" borderId="0"/>
    <xf numFmtId="174" fontId="32" fillId="0" borderId="0" applyFont="0" applyFill="0" applyBorder="0" applyAlignment="0" applyProtection="0"/>
    <xf numFmtId="175" fontId="1" fillId="0" borderId="0" applyFont="0" applyFill="0" applyBorder="0" applyAlignment="0" applyProtection="0"/>
    <xf numFmtId="0" fontId="33" fillId="26" borderId="0" applyNumberFormat="0" applyBorder="0" applyAlignment="0" applyProtection="0"/>
    <xf numFmtId="0" fontId="1" fillId="0" borderId="0"/>
    <xf numFmtId="0" fontId="14" fillId="0" borderId="0"/>
    <xf numFmtId="0" fontId="1" fillId="0" borderId="0"/>
    <xf numFmtId="0" fontId="1" fillId="0" borderId="0"/>
    <xf numFmtId="0" fontId="34" fillId="0" borderId="0"/>
    <xf numFmtId="0" fontId="2" fillId="0" borderId="0"/>
    <xf numFmtId="0" fontId="1" fillId="0" borderId="0"/>
    <xf numFmtId="0" fontId="1" fillId="27" borderId="16" applyNumberFormat="0" applyFont="0" applyAlignment="0" applyProtection="0"/>
    <xf numFmtId="0" fontId="6" fillId="6" borderId="11" applyNumberFormat="0" applyFont="0" applyAlignment="0" applyProtection="0"/>
    <xf numFmtId="172" fontId="24" fillId="0" borderId="0">
      <protection locked="0"/>
    </xf>
    <xf numFmtId="172" fontId="24" fillId="0" borderId="0">
      <protection locked="0"/>
    </xf>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9" fontId="11" fillId="0" borderId="17">
      <alignment horizontal="left" vertical="center" wrapText="1"/>
    </xf>
    <xf numFmtId="49" fontId="11" fillId="0" borderId="17">
      <alignment horizontal="left" vertical="center" wrapText="1"/>
      <protection locked="0"/>
    </xf>
    <xf numFmtId="0" fontId="35" fillId="5" borderId="18" applyNumberFormat="0" applyAlignment="0" applyProtection="0"/>
    <xf numFmtId="172" fontId="36" fillId="0" borderId="0">
      <protection locked="0"/>
    </xf>
    <xf numFmtId="165" fontId="1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4" fillId="0" borderId="0" applyFon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7" fillId="0" borderId="9" applyNumberFormat="0" applyFill="0" applyAlignment="0" applyProtection="0"/>
    <xf numFmtId="0" fontId="39" fillId="0" borderId="19" applyNumberFormat="0" applyFill="0" applyAlignment="0" applyProtection="0"/>
    <xf numFmtId="0" fontId="40" fillId="0" borderId="20" applyNumberFormat="0" applyFill="0" applyAlignment="0" applyProtection="0"/>
    <xf numFmtId="0" fontId="40" fillId="0" borderId="0" applyNumberFormat="0" applyFill="0" applyBorder="0" applyAlignment="0" applyProtection="0"/>
    <xf numFmtId="0" fontId="41" fillId="0" borderId="0" applyNumberFormat="0" applyFill="0" applyBorder="0" applyAlignment="0" applyProtection="0"/>
    <xf numFmtId="172" fontId="42" fillId="0" borderId="0">
      <protection locked="0"/>
    </xf>
    <xf numFmtId="172" fontId="42" fillId="0" borderId="0">
      <protection locked="0"/>
    </xf>
    <xf numFmtId="0" fontId="43" fillId="0" borderId="21" applyNumberFormat="0" applyFill="0" applyAlignment="0" applyProtection="0"/>
    <xf numFmtId="0" fontId="15" fillId="0" borderId="12" applyNumberFormat="0" applyFill="0" applyAlignment="0" applyProtection="0"/>
    <xf numFmtId="165" fontId="1" fillId="0" borderId="0" applyFont="0" applyFill="0" applyBorder="0" applyAlignment="0" applyProtection="0"/>
    <xf numFmtId="3" fontId="32" fillId="0" borderId="0" applyFont="0" applyFill="0" applyBorder="0" applyAlignment="0" applyProtection="0"/>
    <xf numFmtId="176" fontId="1" fillId="0" borderId="0" applyFont="0" applyFill="0" applyBorder="0" applyAlignment="0" applyProtection="0"/>
    <xf numFmtId="0" fontId="1" fillId="0" borderId="0" applyNumberFormat="0" applyFont="0" applyFill="0" applyBorder="0" applyAlignment="0" applyProtection="0"/>
    <xf numFmtId="44" fontId="1" fillId="0" borderId="0" applyFont="0" applyFill="0" applyBorder="0" applyAlignment="0" applyProtection="0"/>
    <xf numFmtId="2" fontId="1" fillId="0" borderId="0">
      <alignment horizontal="left"/>
      <protection locked="0"/>
    </xf>
    <xf numFmtId="2" fontId="1" fillId="0" borderId="0" applyFill="0" applyBorder="0" applyAlignment="0" applyProtection="0"/>
    <xf numFmtId="2" fontId="1" fillId="0" borderId="0">
      <alignment horizontal="left"/>
      <protection locked="0"/>
    </xf>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2" fillId="0" borderId="0"/>
    <xf numFmtId="165" fontId="1"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77"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7" fontId="1" fillId="0" borderId="0" applyFill="0" applyBorder="0" applyAlignment="0" applyProtection="0"/>
    <xf numFmtId="170" fontId="1" fillId="0" borderId="0" applyFont="0" applyFill="0" applyBorder="0" applyAlignment="0" applyProtection="0"/>
    <xf numFmtId="169" fontId="1" fillId="0" borderId="0" applyFill="0" applyBorder="0" applyAlignment="0" applyProtection="0"/>
    <xf numFmtId="169" fontId="1" fillId="0" borderId="0" applyFill="0" applyBorder="0" applyAlignment="0" applyProtection="0"/>
    <xf numFmtId="169" fontId="1" fillId="0" borderId="0" applyFill="0" applyBorder="0" applyAlignment="0" applyProtection="0"/>
    <xf numFmtId="165" fontId="1" fillId="0" borderId="0" applyFont="0" applyFill="0" applyBorder="0" applyAlignment="0" applyProtection="0"/>
    <xf numFmtId="169" fontId="1" fillId="0" borderId="0" applyFill="0" applyBorder="0" applyAlignment="0" applyProtection="0"/>
    <xf numFmtId="169" fontId="1" fillId="0" borderId="0" applyFill="0" applyBorder="0" applyAlignment="0" applyProtection="0"/>
    <xf numFmtId="169" fontId="1" fillId="0" borderId="0" applyFill="0" applyBorder="0" applyAlignment="0" applyProtection="0"/>
    <xf numFmtId="165" fontId="1" fillId="0" borderId="0" applyFont="0" applyFill="0" applyBorder="0" applyAlignment="0" applyProtection="0"/>
    <xf numFmtId="169" fontId="1" fillId="0" borderId="0" applyFill="0" applyBorder="0" applyAlignment="0" applyProtection="0"/>
    <xf numFmtId="165" fontId="1" fillId="0" borderId="0" applyFont="0" applyFill="0" applyBorder="0" applyAlignment="0" applyProtection="0"/>
    <xf numFmtId="177" fontId="1" fillId="0" borderId="0" applyFill="0" applyBorder="0" applyAlignment="0" applyProtection="0"/>
    <xf numFmtId="177"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43"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ont="0" applyFill="0" applyBorder="0" applyAlignment="0" applyProtection="0"/>
    <xf numFmtId="169"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0" fontId="1" fillId="0" borderId="0" applyFill="0" applyBorder="0" applyAlignment="0" applyProtection="0"/>
    <xf numFmtId="177" fontId="1" fillId="0" borderId="0" applyFill="0" applyBorder="0" applyAlignment="0" applyProtection="0"/>
    <xf numFmtId="165" fontId="1" fillId="0" borderId="0" applyFont="0" applyFill="0" applyBorder="0" applyAlignment="0" applyProtection="0"/>
    <xf numFmtId="178" fontId="1" fillId="0" borderId="0" applyFont="0" applyFill="0" applyBorder="0" applyAlignment="0" applyProtection="0"/>
    <xf numFmtId="169" fontId="1" fillId="0" borderId="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177" fontId="1" fillId="0" borderId="0" applyFill="0" applyBorder="0" applyAlignment="0" applyProtection="0"/>
    <xf numFmtId="165" fontId="1" fillId="0" borderId="0" applyFont="0" applyFill="0" applyBorder="0" applyAlignment="0" applyProtection="0"/>
    <xf numFmtId="7" fontId="1" fillId="0" borderId="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9" fontId="1" fillId="0" borderId="0" applyFill="0" applyBorder="0" applyAlignment="0" applyProtection="0"/>
    <xf numFmtId="179" fontId="1" fillId="0" borderId="0" applyFont="0" applyFill="0" applyBorder="0" applyAlignment="0" applyProtection="0"/>
    <xf numFmtId="43" fontId="6" fillId="0" borderId="0" applyFont="0" applyFill="0" applyBorder="0" applyAlignment="0" applyProtection="0"/>
    <xf numFmtId="165" fontId="1" fillId="0" borderId="0" applyFont="0" applyFill="0" applyBorder="0" applyAlignment="0" applyProtection="0"/>
    <xf numFmtId="0" fontId="49" fillId="0" borderId="0"/>
    <xf numFmtId="0" fontId="2" fillId="0" borderId="0"/>
    <xf numFmtId="44" fontId="2" fillId="0" borderId="0" applyFont="0" applyFill="0" applyBorder="0" applyAlignment="0" applyProtection="0"/>
    <xf numFmtId="0" fontId="1" fillId="0" borderId="0" applyNumberFormat="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12" fontId="1" fillId="0" borderId="0" applyFont="0" applyFill="0" applyProtection="0"/>
    <xf numFmtId="171" fontId="1" fillId="0" borderId="0" applyFont="0" applyFill="0" applyProtection="0"/>
    <xf numFmtId="183" fontId="1" fillId="0" borderId="0" applyFont="0" applyFill="0" applyProtection="0"/>
    <xf numFmtId="0" fontId="1" fillId="0" borderId="0"/>
    <xf numFmtId="43" fontId="1" fillId="0" borderId="0" applyFont="0" applyFill="0" applyBorder="0" applyAlignment="0" applyProtection="0"/>
    <xf numFmtId="0" fontId="8" fillId="4" borderId="42"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0" fontId="8" fillId="4" borderId="42"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52"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52" applyNumberFormat="0" applyFont="0" applyBorder="0" applyAlignment="0">
      <alignment horizontal="left" vertical="center"/>
    </xf>
    <xf numFmtId="0" fontId="8" fillId="4" borderId="52" applyNumberFormat="0" applyFont="0" applyBorder="0" applyAlignment="0">
      <alignment horizontal="left" vertical="center"/>
    </xf>
    <xf numFmtId="0" fontId="1" fillId="0" borderId="0"/>
    <xf numFmtId="43" fontId="1" fillId="0" borderId="0" applyFont="0" applyFill="0" applyBorder="0" applyAlignment="0" applyProtection="0"/>
    <xf numFmtId="0" fontId="8" fillId="4" borderId="66" applyNumberFormat="0" applyFont="0" applyBorder="0" applyAlignment="0">
      <alignment horizontal="left" vertical="center"/>
    </xf>
    <xf numFmtId="0" fontId="8" fillId="4" borderId="52" applyNumberFormat="0" applyFont="0" applyBorder="0" applyAlignment="0">
      <alignment horizontal="left" vertical="center"/>
    </xf>
    <xf numFmtId="0" fontId="8" fillId="4" borderId="65" applyNumberFormat="0" applyFont="0" applyBorder="0" applyAlignment="0">
      <alignment horizontal="left" vertical="center"/>
    </xf>
    <xf numFmtId="0" fontId="8" fillId="4" borderId="60" applyNumberFormat="0" applyFont="0" applyBorder="0" applyAlignment="0">
      <alignment horizontal="left" vertical="center"/>
    </xf>
    <xf numFmtId="0" fontId="8" fillId="4" borderId="61" applyNumberFormat="0" applyFont="0" applyBorder="0" applyAlignment="0">
      <alignment horizontal="left" vertical="center"/>
    </xf>
    <xf numFmtId="0" fontId="8" fillId="4" borderId="64" applyNumberFormat="0" applyFont="0" applyBorder="0" applyAlignment="0">
      <alignment horizontal="left" vertical="center"/>
    </xf>
    <xf numFmtId="0" fontId="8" fillId="4" borderId="61" applyNumberFormat="0" applyFont="0" applyBorder="0" applyAlignment="0">
      <alignment horizontal="left" vertical="center"/>
    </xf>
    <xf numFmtId="0" fontId="8" fillId="4" borderId="61" applyNumberFormat="0" applyFont="0" applyBorder="0" applyAlignment="0">
      <alignment horizontal="left" vertical="center"/>
    </xf>
    <xf numFmtId="43" fontId="1" fillId="0" borderId="0" applyFont="0" applyFill="0" applyBorder="0" applyAlignment="0" applyProtection="0"/>
    <xf numFmtId="0" fontId="8" fillId="4" borderId="53" applyNumberFormat="0" applyFont="0" applyBorder="0" applyAlignment="0">
      <alignment horizontal="left" vertical="center"/>
    </xf>
    <xf numFmtId="0" fontId="8" fillId="4" borderId="55" applyNumberFormat="0" applyFont="0" applyBorder="0" applyAlignment="0">
      <alignment horizontal="left" vertical="center"/>
    </xf>
    <xf numFmtId="43" fontId="1" fillId="0" borderId="0" applyFont="0" applyFill="0" applyBorder="0" applyAlignment="0" applyProtection="0"/>
    <xf numFmtId="0" fontId="8" fillId="4" borderId="52" applyNumberFormat="0" applyFont="0" applyBorder="0" applyAlignment="0">
      <alignment horizontal="left" vertical="center"/>
    </xf>
    <xf numFmtId="0" fontId="8" fillId="4" borderId="56" applyNumberFormat="0" applyFont="0" applyBorder="0" applyAlignment="0">
      <alignment horizontal="left" vertical="center"/>
    </xf>
    <xf numFmtId="0" fontId="8" fillId="4" borderId="66" applyNumberFormat="0" applyFont="0" applyBorder="0" applyAlignment="0">
      <alignment horizontal="left" vertical="center"/>
    </xf>
    <xf numFmtId="0" fontId="8" fillId="4" borderId="61" applyNumberFormat="0" applyFont="0" applyBorder="0" applyAlignment="0">
      <alignment horizontal="left" vertical="center"/>
    </xf>
    <xf numFmtId="0" fontId="8" fillId="4" borderId="55" applyNumberFormat="0" applyFont="0" applyBorder="0" applyAlignment="0">
      <alignment horizontal="left" vertical="center"/>
    </xf>
    <xf numFmtId="43" fontId="2" fillId="0" borderId="0" applyFont="0" applyFill="0" applyBorder="0" applyAlignment="0" applyProtection="0"/>
    <xf numFmtId="0" fontId="8" fillId="4" borderId="66" applyNumberFormat="0" applyFont="0" applyBorder="0" applyAlignment="0">
      <alignment horizontal="left" vertical="center"/>
    </xf>
    <xf numFmtId="0" fontId="8" fillId="4" borderId="60" applyNumberFormat="0" applyFont="0" applyBorder="0" applyAlignment="0">
      <alignment horizontal="left" vertical="center"/>
    </xf>
    <xf numFmtId="0" fontId="8" fillId="4" borderId="54" applyNumberFormat="0" applyFont="0" applyBorder="0" applyAlignment="0">
      <alignment horizontal="left" vertical="center"/>
    </xf>
    <xf numFmtId="0" fontId="8" fillId="4" borderId="65" applyNumberFormat="0" applyFont="0" applyBorder="0" applyAlignment="0">
      <alignment horizontal="left" vertical="center"/>
    </xf>
    <xf numFmtId="0" fontId="8" fillId="4" borderId="60" applyNumberFormat="0" applyFont="0" applyBorder="0" applyAlignment="0">
      <alignment horizontal="left" vertical="center"/>
    </xf>
    <xf numFmtId="0" fontId="8" fillId="4" borderId="60" applyNumberFormat="0" applyFont="0" applyBorder="0" applyAlignment="0">
      <alignment horizontal="left" vertical="center"/>
    </xf>
    <xf numFmtId="0" fontId="8" fillId="4" borderId="63" applyNumberFormat="0" applyFont="0" applyBorder="0" applyAlignment="0">
      <alignment horizontal="left" vertical="center"/>
    </xf>
    <xf numFmtId="0" fontId="8" fillId="4" borderId="53" applyNumberFormat="0" applyFont="0" applyBorder="0" applyAlignment="0">
      <alignment horizontal="left" vertical="center"/>
    </xf>
    <xf numFmtId="0" fontId="8" fillId="4" borderId="58" applyNumberFormat="0" applyFont="0" applyBorder="0" applyAlignment="0">
      <alignment horizontal="left" vertical="center"/>
    </xf>
    <xf numFmtId="0" fontId="8" fillId="4" borderId="57" applyNumberFormat="0" applyFont="0" applyBorder="0" applyAlignment="0">
      <alignment horizontal="left" vertical="center"/>
    </xf>
    <xf numFmtId="0" fontId="8" fillId="4" borderId="61" applyNumberFormat="0" applyFont="0" applyBorder="0" applyAlignment="0">
      <alignment horizontal="left" vertical="center"/>
    </xf>
    <xf numFmtId="0" fontId="8" fillId="4" borderId="61" applyNumberFormat="0" applyFont="0" applyBorder="0" applyAlignment="0">
      <alignment horizontal="left" vertical="center"/>
    </xf>
    <xf numFmtId="0" fontId="8" fillId="4" borderId="61" applyNumberFormat="0" applyFont="0" applyBorder="0" applyAlignment="0">
      <alignment horizontal="left" vertical="center"/>
    </xf>
    <xf numFmtId="0" fontId="8" fillId="4" borderId="66" applyNumberFormat="0" applyFont="0" applyBorder="0" applyAlignment="0">
      <alignment horizontal="left" vertical="center"/>
    </xf>
    <xf numFmtId="0" fontId="8" fillId="4" borderId="55" applyNumberFormat="0" applyFont="0" applyBorder="0" applyAlignment="0">
      <alignment horizontal="left" vertical="center"/>
    </xf>
    <xf numFmtId="0" fontId="8" fillId="4" borderId="61" applyNumberFormat="0" applyFont="0" applyBorder="0" applyAlignment="0">
      <alignment horizontal="left" vertical="center"/>
    </xf>
    <xf numFmtId="0" fontId="8" fillId="4" borderId="62" applyNumberFormat="0" applyFont="0" applyBorder="0" applyAlignment="0">
      <alignment horizontal="left" vertical="center"/>
    </xf>
    <xf numFmtId="43" fontId="2" fillId="0" borderId="0" applyFont="0" applyFill="0" applyBorder="0" applyAlignment="0" applyProtection="0"/>
    <xf numFmtId="0" fontId="8" fillId="4" borderId="63" applyNumberFormat="0" applyFont="0" applyBorder="0" applyAlignment="0">
      <alignment horizontal="left" vertical="center"/>
    </xf>
    <xf numFmtId="0" fontId="8" fillId="4" borderId="55" applyNumberFormat="0" applyFont="0" applyBorder="0" applyAlignment="0">
      <alignment horizontal="left" vertical="center"/>
    </xf>
    <xf numFmtId="0" fontId="8" fillId="4" borderId="59" applyNumberFormat="0" applyFont="0" applyBorder="0" applyAlignment="0">
      <alignment horizontal="left" vertical="center"/>
    </xf>
    <xf numFmtId="0" fontId="8" fillId="4" borderId="53" applyNumberFormat="0" applyFont="0" applyBorder="0" applyAlignment="0">
      <alignment horizontal="left" vertical="center"/>
    </xf>
    <xf numFmtId="0" fontId="8" fillId="4" borderId="60" applyNumberFormat="0" applyFont="0" applyBorder="0" applyAlignment="0">
      <alignment horizontal="left" vertical="center"/>
    </xf>
    <xf numFmtId="0" fontId="8" fillId="4" borderId="60" applyNumberFormat="0" applyFont="0" applyBorder="0" applyAlignment="0">
      <alignment horizontal="left" vertical="center"/>
    </xf>
    <xf numFmtId="43" fontId="2" fillId="0" borderId="0" applyFont="0" applyFill="0" applyBorder="0" applyAlignment="0" applyProtection="0"/>
    <xf numFmtId="0" fontId="8" fillId="4" borderId="61" applyNumberFormat="0" applyFont="0" applyBorder="0" applyAlignment="0">
      <alignment horizontal="left" vertical="center"/>
    </xf>
    <xf numFmtId="0" fontId="8" fillId="4" borderId="61" applyNumberFormat="0" applyFont="0" applyBorder="0" applyAlignment="0">
      <alignment horizontal="left" vertical="center"/>
    </xf>
    <xf numFmtId="0" fontId="8" fillId="4" borderId="57" applyNumberFormat="0" applyFont="0" applyBorder="0" applyAlignment="0">
      <alignment horizontal="left" vertical="center"/>
    </xf>
    <xf numFmtId="0" fontId="8" fillId="4" borderId="56" applyNumberFormat="0" applyFont="0" applyBorder="0" applyAlignment="0">
      <alignment horizontal="left" vertical="center"/>
    </xf>
    <xf numFmtId="0" fontId="8" fillId="4" borderId="60" applyNumberFormat="0" applyFont="0" applyBorder="0" applyAlignment="0">
      <alignment horizontal="left" vertical="center"/>
    </xf>
    <xf numFmtId="0" fontId="8" fillId="4" borderId="55" applyNumberFormat="0" applyFont="0" applyBorder="0" applyAlignment="0">
      <alignment horizontal="left" vertical="center"/>
    </xf>
    <xf numFmtId="0" fontId="8" fillId="4" borderId="55" applyNumberFormat="0" applyFont="0" applyBorder="0" applyAlignment="0">
      <alignment horizontal="left" vertical="center"/>
    </xf>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52"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53" applyNumberFormat="0" applyFont="0" applyBorder="0" applyAlignment="0">
      <alignment horizontal="left" vertical="center"/>
    </xf>
    <xf numFmtId="0" fontId="8" fillId="4" borderId="57" applyNumberFormat="0" applyFont="0" applyBorder="0" applyAlignment="0">
      <alignment horizontal="left" vertical="center"/>
    </xf>
    <xf numFmtId="0" fontId="8" fillId="4" borderId="61" applyNumberFormat="0" applyFont="0" applyBorder="0" applyAlignment="0">
      <alignment horizontal="left" vertical="center"/>
    </xf>
    <xf numFmtId="0" fontId="8" fillId="4" borderId="62" applyNumberFormat="0" applyFont="0" applyBorder="0" applyAlignment="0">
      <alignment horizontal="left" vertical="center"/>
    </xf>
    <xf numFmtId="0" fontId="8" fillId="4" borderId="60" applyNumberFormat="0" applyFont="0" applyBorder="0" applyAlignment="0">
      <alignment horizontal="left" vertical="center"/>
    </xf>
    <xf numFmtId="0" fontId="8" fillId="4" borderId="53" applyNumberFormat="0" applyFont="0" applyBorder="0" applyAlignment="0">
      <alignment horizontal="left" vertical="center"/>
    </xf>
    <xf numFmtId="0" fontId="8" fillId="4" borderId="53" applyNumberFormat="0" applyFont="0" applyBorder="0" applyAlignment="0">
      <alignment horizontal="left" vertical="center"/>
    </xf>
    <xf numFmtId="0" fontId="8" fillId="4" borderId="53" applyNumberFormat="0" applyFont="0" applyBorder="0" applyAlignment="0">
      <alignment horizontal="left" vertical="center"/>
    </xf>
    <xf numFmtId="0" fontId="8" fillId="4" borderId="54" applyNumberFormat="0" applyFont="0" applyBorder="0" applyAlignment="0">
      <alignment horizontal="left" vertical="center"/>
    </xf>
    <xf numFmtId="0" fontId="8" fillId="4" borderId="59" applyNumberFormat="0" applyFont="0" applyBorder="0" applyAlignment="0">
      <alignment horizontal="left" vertical="center"/>
    </xf>
    <xf numFmtId="0" fontId="8" fillId="4" borderId="60" applyNumberFormat="0" applyFont="0" applyBorder="0" applyAlignment="0">
      <alignment horizontal="left" vertical="center"/>
    </xf>
    <xf numFmtId="0" fontId="8" fillId="4" borderId="64" applyNumberFormat="0" applyFont="0" applyBorder="0" applyAlignment="0">
      <alignment horizontal="left" vertical="center"/>
    </xf>
    <xf numFmtId="0" fontId="8" fillId="4" borderId="61" applyNumberFormat="0" applyFont="0" applyBorder="0" applyAlignment="0">
      <alignment horizontal="left" vertical="center"/>
    </xf>
    <xf numFmtId="0" fontId="8" fillId="4" borderId="53" applyNumberFormat="0" applyFont="0" applyBorder="0" applyAlignment="0">
      <alignment horizontal="left" vertical="center"/>
    </xf>
    <xf numFmtId="0" fontId="8" fillId="4" borderId="53" applyNumberFormat="0" applyFont="0" applyBorder="0" applyAlignment="0">
      <alignment horizontal="left" vertical="center"/>
    </xf>
    <xf numFmtId="0" fontId="8" fillId="4" borderId="53" applyNumberFormat="0" applyFont="0" applyBorder="0" applyAlignment="0">
      <alignment horizontal="left" vertical="center"/>
    </xf>
    <xf numFmtId="0" fontId="8" fillId="4" borderId="55" applyNumberFormat="0" applyFont="0" applyBorder="0" applyAlignment="0">
      <alignment horizontal="left" vertical="center"/>
    </xf>
    <xf numFmtId="0" fontId="8" fillId="4" borderId="55" applyNumberFormat="0" applyFont="0" applyBorder="0" applyAlignment="0">
      <alignment horizontal="left" vertical="center"/>
    </xf>
    <xf numFmtId="0" fontId="8" fillId="4" borderId="55" applyNumberFormat="0" applyFont="0" applyBorder="0" applyAlignment="0">
      <alignment horizontal="left" vertical="center"/>
    </xf>
    <xf numFmtId="0" fontId="8" fillId="4" borderId="59" applyNumberFormat="0" applyFont="0" applyBorder="0" applyAlignment="0">
      <alignment horizontal="left" vertical="center"/>
    </xf>
    <xf numFmtId="0" fontId="8" fillId="4" borderId="58" applyNumberFormat="0" applyFont="0" applyBorder="0" applyAlignment="0">
      <alignment horizontal="left" vertical="center"/>
    </xf>
    <xf numFmtId="0" fontId="8" fillId="4" borderId="60" applyNumberFormat="0" applyFont="0" applyBorder="0" applyAlignment="0">
      <alignment horizontal="left" vertical="center"/>
    </xf>
    <xf numFmtId="0" fontId="8" fillId="4" borderId="59" applyNumberFormat="0" applyFont="0" applyBorder="0" applyAlignment="0">
      <alignment horizontal="left" vertical="center"/>
    </xf>
    <xf numFmtId="0" fontId="8" fillId="4" borderId="57" applyNumberFormat="0" applyFont="0" applyBorder="0" applyAlignment="0">
      <alignment horizontal="left" vertical="center"/>
    </xf>
    <xf numFmtId="0" fontId="8" fillId="4" borderId="57" applyNumberFormat="0" applyFont="0" applyBorder="0" applyAlignment="0">
      <alignment horizontal="left" vertical="center"/>
    </xf>
    <xf numFmtId="0" fontId="8" fillId="4" borderId="57" applyNumberFormat="0" applyFont="0" applyBorder="0" applyAlignment="0">
      <alignment horizontal="left" vertical="center"/>
    </xf>
    <xf numFmtId="0" fontId="8" fillId="4" borderId="59" applyNumberFormat="0" applyFont="0" applyBorder="0" applyAlignment="0">
      <alignment horizontal="left" vertical="center"/>
    </xf>
    <xf numFmtId="0" fontId="8" fillId="4" borderId="57" applyNumberFormat="0" applyFont="0" applyBorder="0" applyAlignment="0">
      <alignment horizontal="left" vertical="center"/>
    </xf>
    <xf numFmtId="0" fontId="8" fillId="4" borderId="59" applyNumberFormat="0" applyFont="0" applyBorder="0" applyAlignment="0">
      <alignment horizontal="left" vertical="center"/>
    </xf>
    <xf numFmtId="0" fontId="8" fillId="4" borderId="59" applyNumberFormat="0" applyFont="0" applyBorder="0" applyAlignment="0">
      <alignment horizontal="left" vertical="center"/>
    </xf>
    <xf numFmtId="0" fontId="8" fillId="4" borderId="60" applyNumberFormat="0" applyFont="0" applyBorder="0" applyAlignment="0">
      <alignment horizontal="left" vertical="center"/>
    </xf>
    <xf numFmtId="0" fontId="8" fillId="4" borderId="66"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8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2" applyNumberFormat="0" applyFont="0" applyBorder="0" applyAlignment="0">
      <alignment horizontal="left" vertical="center"/>
    </xf>
    <xf numFmtId="43" fontId="1" fillId="0" borderId="0" applyFont="0" applyFill="0" applyBorder="0" applyAlignment="0" applyProtection="0"/>
    <xf numFmtId="0" fontId="8" fillId="4" borderId="74" applyNumberFormat="0" applyFont="0" applyBorder="0" applyAlignment="0">
      <alignment horizontal="left" vertical="center"/>
    </xf>
    <xf numFmtId="43" fontId="1" fillId="0" borderId="0" applyFont="0" applyFill="0" applyBorder="0" applyAlignment="0" applyProtection="0"/>
    <xf numFmtId="0" fontId="8" fillId="4" borderId="68"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43" fontId="2" fillId="0" borderId="0" applyFont="0" applyFill="0" applyBorder="0" applyAlignment="0" applyProtection="0"/>
    <xf numFmtId="0" fontId="8" fillId="4" borderId="72"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1" fillId="27" borderId="78" applyNumberFormat="0" applyFont="0" applyAlignment="0" applyProtection="0"/>
    <xf numFmtId="0" fontId="8" fillId="4" borderId="73" applyNumberFormat="0" applyFont="0" applyBorder="0" applyAlignment="0">
      <alignment horizontal="left" vertical="center"/>
    </xf>
    <xf numFmtId="0" fontId="8" fillId="4" borderId="71"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81"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1"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5" fillId="0" borderId="76" applyNumberFormat="0" applyFont="0" applyAlignment="0">
      <alignment horizontal="left" vertical="top" indent="1"/>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5" applyNumberFormat="0" applyFont="0" applyBorder="0" applyAlignment="0">
      <alignment horizontal="left" vertical="center"/>
    </xf>
    <xf numFmtId="43" fontId="2" fillId="0" borderId="0" applyFont="0" applyFill="0" applyBorder="0" applyAlignment="0" applyProtection="0"/>
    <xf numFmtId="0" fontId="8" fillId="4" borderId="74"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43" fontId="2" fillId="0" borderId="0" applyFont="0" applyFill="0" applyBorder="0" applyAlignment="0" applyProtection="0"/>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5" applyNumberFormat="0" applyFont="0" applyBorder="0" applyAlignment="0">
      <alignment horizontal="left" vertical="center"/>
    </xf>
    <xf numFmtId="43" fontId="6" fillId="0" borderId="0" applyFont="0" applyFill="0" applyBorder="0" applyAlignment="0" applyProtection="0"/>
    <xf numFmtId="0" fontId="8" fillId="4" borderId="74" applyNumberFormat="0" applyFont="0" applyBorder="0" applyAlignment="0">
      <alignment horizontal="left" vertical="center"/>
    </xf>
    <xf numFmtId="43" fontId="2" fillId="0" borderId="0" applyFont="0" applyFill="0" applyBorder="0" applyAlignment="0" applyProtection="0"/>
    <xf numFmtId="0" fontId="8" fillId="4" borderId="72"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5" applyNumberFormat="0" applyFont="0" applyBorder="0" applyAlignment="0">
      <alignment horizontal="left" vertical="center"/>
    </xf>
    <xf numFmtId="43" fontId="1" fillId="0" borderId="0" applyFont="0" applyFill="0" applyBorder="0" applyAlignment="0" applyProtection="0"/>
    <xf numFmtId="0" fontId="8" fillId="4" borderId="69"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69"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68"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43" fontId="1" fillId="0" borderId="0" applyFont="0" applyFill="0" applyBorder="0" applyAlignment="0" applyProtection="0"/>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43" fontId="1" fillId="0" borderId="0" applyFont="0" applyFill="0" applyBorder="0" applyAlignment="0" applyProtection="0"/>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43" fontId="1" fillId="0" borderId="0" applyFont="0" applyFill="0" applyBorder="0" applyAlignment="0" applyProtection="0"/>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43" fontId="2" fillId="0" borderId="0" applyFont="0" applyFill="0" applyBorder="0" applyAlignment="0" applyProtection="0"/>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43" fontId="2" fillId="0" borderId="0" applyFont="0" applyFill="0" applyBorder="0" applyAlignment="0" applyProtection="0"/>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43" fontId="2" fillId="0" borderId="0" applyFont="0" applyFill="0" applyBorder="0" applyAlignment="0" applyProtection="0"/>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68"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0" fontId="8" fillId="4" borderId="68" applyNumberFormat="0" applyFont="0" applyBorder="0" applyAlignment="0">
      <alignment horizontal="left" vertical="center"/>
    </xf>
    <xf numFmtId="164" fontId="2" fillId="0" borderId="0" applyFont="0" applyFill="0" applyBorder="0" applyAlignment="0" applyProtection="0"/>
    <xf numFmtId="0" fontId="8" fillId="4" borderId="72"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0"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1"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0"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20" fillId="5" borderId="77" applyNumberFormat="0" applyAlignment="0" applyProtection="0"/>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82" applyNumberFormat="0" applyFont="0" applyBorder="0" applyAlignment="0">
      <alignment horizontal="left" vertical="center"/>
    </xf>
    <xf numFmtId="0" fontId="43" fillId="0" borderId="80" applyNumberFormat="0" applyFill="0" applyAlignment="0" applyProtection="0"/>
    <xf numFmtId="0" fontId="8" fillId="4" borderId="73" applyNumberFormat="0" applyFont="0" applyBorder="0" applyAlignment="0">
      <alignment horizontal="left" vertical="center"/>
    </xf>
    <xf numFmtId="0" fontId="8" fillId="4" borderId="81"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4" applyNumberFormat="0" applyFont="0" applyBorder="0" applyAlignment="0">
      <alignment horizontal="left" vertical="center"/>
    </xf>
    <xf numFmtId="0" fontId="25" fillId="12" borderId="77" applyNumberFormat="0" applyAlignment="0" applyProtection="0"/>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2"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35" fillId="5" borderId="79" applyNumberFormat="0" applyAlignment="0" applyProtection="0"/>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3"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4"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8" fillId="4" borderId="75" applyNumberFormat="0" applyFont="0" applyBorder="0" applyAlignment="0">
      <alignment horizontal="left" vertical="center"/>
    </xf>
    <xf numFmtId="0" fontId="5" fillId="0" borderId="83" applyNumberFormat="0" applyFont="0" applyAlignment="0">
      <alignment horizontal="left" vertical="top" indent="1"/>
    </xf>
    <xf numFmtId="0" fontId="8" fillId="4" borderId="85"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43" fontId="1" fillId="0" borderId="0" applyFont="0" applyFill="0" applyBorder="0" applyAlignment="0" applyProtection="0"/>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43" fontId="1" fillId="0" borderId="0" applyFont="0" applyFill="0" applyBorder="0" applyAlignment="0" applyProtection="0"/>
    <xf numFmtId="0" fontId="8" fillId="4" borderId="85"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43" fontId="2" fillId="0" borderId="0" applyFont="0" applyFill="0" applyBorder="0" applyAlignment="0" applyProtection="0"/>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1" fillId="0" borderId="86" applyNumberFormat="0" applyAlignment="0"/>
    <xf numFmtId="0" fontId="8" fillId="4" borderId="92" applyNumberFormat="0" applyFont="0" applyBorder="0" applyAlignment="0">
      <alignment horizontal="left" vertical="center"/>
    </xf>
    <xf numFmtId="0" fontId="20" fillId="5" borderId="87" applyNumberFormat="0" applyAlignment="0" applyProtection="0"/>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25" fillId="12" borderId="87" applyNumberFormat="0" applyAlignment="0" applyProtection="0"/>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1" fillId="27" borderId="88" applyNumberFormat="0" applyFont="0" applyAlignment="0" applyProtection="0"/>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35" fillId="5" borderId="89" applyNumberFormat="0" applyAlignment="0" applyProtection="0"/>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43" fillId="0" borderId="90" applyNumberFormat="0" applyFill="0" applyAlignment="0" applyProtection="0"/>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43" fontId="2" fillId="0" borderId="0" applyFont="0" applyFill="0" applyBorder="0" applyAlignment="0" applyProtection="0"/>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43" fontId="2" fillId="0" borderId="0" applyFont="0" applyFill="0" applyBorder="0" applyAlignment="0" applyProtection="0"/>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43" fontId="6" fillId="0" borderId="0" applyFont="0" applyFill="0" applyBorder="0" applyAlignment="0" applyProtection="0"/>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43" fontId="2" fillId="0" borderId="0" applyFont="0" applyFill="0" applyBorder="0" applyAlignment="0" applyProtection="0"/>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43" fontId="1" fillId="0" borderId="0" applyFont="0" applyFill="0" applyBorder="0" applyAlignment="0" applyProtection="0"/>
    <xf numFmtId="0" fontId="8" fillId="4" borderId="85"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2" applyNumberFormat="0" applyFont="0" applyBorder="0" applyAlignment="0">
      <alignment horizontal="left" vertical="center"/>
    </xf>
    <xf numFmtId="0" fontId="8" fillId="4" borderId="85"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85"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1"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1"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1"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85"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164"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1" fillId="0" borderId="0" applyFont="0" applyFill="0" applyBorder="0" applyAlignment="0" applyProtection="0"/>
    <xf numFmtId="0" fontId="8" fillId="4" borderId="85" applyNumberFormat="0" applyFont="0" applyBorder="0" applyAlignment="0">
      <alignment horizontal="left" vertical="center"/>
    </xf>
    <xf numFmtId="43" fontId="1"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1" fillId="27" borderId="88" applyNumberFormat="0" applyFont="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5" fillId="0" borderId="83" applyNumberFormat="0" applyFont="0" applyAlignment="0">
      <alignment horizontal="left" vertical="top" indent="1"/>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6" fillId="0" borderId="0" applyFont="0" applyFill="0" applyBorder="0" applyAlignment="0" applyProtection="0"/>
    <xf numFmtId="0" fontId="8" fillId="4" borderId="85" applyNumberFormat="0" applyFont="0" applyBorder="0" applyAlignment="0">
      <alignment horizontal="left" vertical="center"/>
    </xf>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1" fillId="0" borderId="0" applyFont="0" applyFill="0" applyBorder="0" applyAlignment="0" applyProtection="0"/>
    <xf numFmtId="0" fontId="8" fillId="4" borderId="85"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85"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85"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1"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1"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1"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85"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164" fontId="2" fillId="0" borderId="0" applyFont="0" applyFill="0" applyBorder="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20" fillId="5" borderId="87" applyNumberFormat="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43" fillId="0" borderId="90" applyNumberFormat="0" applyFill="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25" fillId="12" borderId="87" applyNumberFormat="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35" fillId="5" borderId="89" applyNumberFormat="0" applyAlignment="0" applyProtection="0"/>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1"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85"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1"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8" fillId="4" borderId="92" applyNumberFormat="0" applyFont="0" applyBorder="0" applyAlignment="0">
      <alignment horizontal="left" vertical="center"/>
    </xf>
    <xf numFmtId="0" fontId="62" fillId="0" borderId="0"/>
    <xf numFmtId="43" fontId="62" fillId="0" borderId="0" applyFont="0" applyFill="0" applyBorder="0" applyAlignment="0" applyProtection="0"/>
    <xf numFmtId="44" fontId="62" fillId="0" borderId="0" applyFont="0" applyFill="0" applyBorder="0" applyAlignment="0" applyProtection="0"/>
    <xf numFmtId="9" fontId="62" fillId="0" borderId="0" applyFont="0" applyFill="0" applyBorder="0" applyAlignment="0" applyProtection="0"/>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5" fillId="0" borderId="99" applyNumberFormat="0" applyFont="0" applyAlignment="0">
      <alignment horizontal="left" vertical="top" indent="1"/>
    </xf>
    <xf numFmtId="0" fontId="8" fillId="4" borderId="100"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43" fontId="1" fillId="0" borderId="0" applyFont="0" applyFill="0" applyBorder="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43" fontId="1" fillId="0" borderId="0" applyFont="0" applyFill="0" applyBorder="0" applyAlignment="0" applyProtection="0"/>
    <xf numFmtId="0" fontId="8" fillId="4" borderId="100"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43" fontId="2" fillId="0" borderId="0" applyFont="0" applyFill="0" applyBorder="0" applyAlignment="0" applyProtection="0"/>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20" fillId="5" borderId="112" applyNumberFormat="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25" fillId="12" borderId="130" applyNumberFormat="0" applyAlignment="0" applyProtection="0"/>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25" fillId="12" borderId="138" applyNumberFormat="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1" fillId="27" borderId="113" applyNumberFormat="0" applyFont="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49" fontId="11" fillId="0" borderId="101">
      <alignment horizontal="left" vertical="center" wrapText="1"/>
    </xf>
    <xf numFmtId="49" fontId="11" fillId="0" borderId="101">
      <alignment horizontal="left" vertical="center" wrapText="1"/>
      <protection locked="0"/>
    </xf>
    <xf numFmtId="0" fontId="35" fillId="5" borderId="102" applyNumberFormat="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43" fillId="0" borderId="103" applyNumberFormat="0" applyFill="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43" fillId="0" borderId="115" applyNumberFormat="0" applyFill="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25" fillId="12" borderId="112" applyNumberFormat="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35" fillId="5" borderId="114" applyNumberFormat="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43" fontId="2" fillId="0" borderId="0" applyFont="0" applyFill="0" applyBorder="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43" fontId="2" fillId="0" borderId="0" applyFont="0" applyFill="0" applyBorder="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43" fontId="6" fillId="0" borderId="0" applyFont="0" applyFill="0" applyBorder="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43" fontId="2" fillId="0" borderId="0" applyFont="0" applyFill="0" applyBorder="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43" fontId="1" fillId="0" borderId="0" applyFont="0" applyFill="0" applyBorder="0" applyAlignment="0" applyProtection="0"/>
    <xf numFmtId="0" fontId="8" fillId="4" borderId="104"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126" applyNumberFormat="0" applyFont="0" applyBorder="0" applyAlignment="0">
      <alignment horizontal="left" vertical="center"/>
    </xf>
    <xf numFmtId="0" fontId="8" fillId="4" borderId="104"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134"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1" fillId="27" borderId="107" applyNumberFormat="0" applyFon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5" fillId="0" borderId="105" applyNumberFormat="0" applyFont="0" applyAlignment="0">
      <alignment horizontal="left" vertical="top" indent="1"/>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6" fillId="0" borderId="0" applyFont="0" applyFill="0" applyBorder="0" applyAlignment="0" applyProtection="0"/>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164"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20" fillId="5" borderId="106" applyNumberForma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43" fillId="0" borderId="103" applyNumberFormat="0" applyFill="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25" fillId="12" borderId="106" applyNumberForma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35" fillId="5" borderId="102" applyNumberForma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5" fillId="0" borderId="105" applyNumberFormat="0" applyFont="0" applyAlignment="0">
      <alignment horizontal="left" vertical="top" indent="1"/>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1" fillId="0" borderId="108" applyNumberFormat="0" applyAlignment="0"/>
    <xf numFmtId="0" fontId="8" fillId="4" borderId="93" applyNumberFormat="0" applyFont="0" applyBorder="0" applyAlignment="0">
      <alignment horizontal="left" vertical="center"/>
    </xf>
    <xf numFmtId="0" fontId="20" fillId="5" borderId="106" applyNumberForma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25" fillId="12" borderId="106" applyNumberForma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1" fillId="27" borderId="107" applyNumberFormat="0" applyFon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35" fillId="5" borderId="102" applyNumberForma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43" fillId="0" borderId="103" applyNumberFormat="0" applyFill="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6"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164"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1" fillId="27" borderId="107" applyNumberFormat="0" applyFon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5" fillId="0" borderId="105" applyNumberFormat="0" applyFont="0" applyAlignment="0">
      <alignment horizontal="left" vertical="top" indent="1"/>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6" fillId="0" borderId="0" applyFont="0" applyFill="0" applyBorder="0" applyAlignment="0" applyProtection="0"/>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8" fillId="4" borderId="93" applyNumberFormat="0" applyFont="0" applyBorder="0" applyAlignment="0">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ill="0" applyBorder="0" applyAlignment="0" applyProtection="0"/>
    <xf numFmtId="4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164" fontId="2" fillId="0" borderId="0" applyFont="0" applyFill="0" applyBorder="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20" fillId="5" borderId="106" applyNumberForma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43" fillId="0" borderId="103" applyNumberFormat="0" applyFill="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25" fillId="12" borderId="106" applyNumberForma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35" fillId="5" borderId="102" applyNumberFormat="0" applyAlignment="0" applyProtection="0"/>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93" applyNumberFormat="0" applyFont="0" applyBorder="0" applyAlignment="0">
      <alignment horizontal="left" vertical="center"/>
    </xf>
    <xf numFmtId="0" fontId="8" fillId="4" borderId="116" applyNumberFormat="0" applyFont="0" applyBorder="0" applyAlignment="0">
      <alignment horizontal="left" vertical="center"/>
    </xf>
    <xf numFmtId="43" fontId="62" fillId="0" borderId="0" applyFont="0" applyFill="0" applyBorder="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9" fillId="0" borderId="120" applyNumberFormat="0" applyBorder="0" applyAlignment="0">
      <alignment horizontal="center"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09"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09"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43" fillId="0" borderId="115" applyNumberFormat="0" applyFill="0" applyAlignment="0" applyProtection="0"/>
    <xf numFmtId="0" fontId="8" fillId="4" borderId="126" applyNumberFormat="0" applyFont="0" applyBorder="0" applyAlignment="0">
      <alignment horizontal="left" vertical="center"/>
    </xf>
    <xf numFmtId="0" fontId="25" fillId="12" borderId="112" applyNumberFormat="0" applyAlignment="0" applyProtection="0"/>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20" fillId="5" borderId="112" applyNumberFormat="0" applyAlignment="0" applyProtection="0"/>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43" fillId="0" borderId="115" applyNumberFormat="0" applyFill="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43" fillId="0" borderId="115" applyNumberFormat="0" applyFill="0" applyAlignment="0" applyProtection="0"/>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00"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1" fillId="27" borderId="123" applyNumberFormat="0" applyFont="0" applyAlignment="0" applyProtection="0"/>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8"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1" fillId="0" borderId="111" applyNumberFormat="0" applyAlignment="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35" fillId="5" borderId="114" applyNumberFormat="0" applyAlignment="0" applyProtection="0"/>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35" fillId="5" borderId="124" applyNumberFormat="0" applyAlignment="0" applyProtection="0"/>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35" fillId="5" borderId="132" applyNumberFormat="0" applyAlignment="0" applyProtection="0"/>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1" fillId="27" borderId="113" applyNumberFormat="0" applyFont="0" applyAlignment="0" applyProtection="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43" fillId="0" borderId="125" applyNumberFormat="0" applyFill="0" applyAlignment="0" applyProtection="0"/>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25" fillId="12" borderId="112" applyNumberFormat="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20" fillId="5" borderId="112" applyNumberFormat="0" applyAlignment="0" applyProtection="0"/>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35" fillId="5" borderId="114" applyNumberFormat="0" applyAlignment="0" applyProtection="0"/>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5" fillId="0" borderId="127" applyNumberFormat="0" applyFont="0" applyAlignment="0">
      <alignment horizontal="left" vertical="top" indent="1"/>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25" fillId="12" borderId="122" applyNumberFormat="0" applyAlignment="0" applyProtection="0"/>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5" fillId="0" borderId="117" applyNumberFormat="0" applyFont="0" applyAlignment="0">
      <alignment horizontal="left" vertical="top" indent="1"/>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49" fontId="11" fillId="0" borderId="119">
      <alignment horizontal="left" vertical="center" wrapText="1"/>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25" fillId="12" borderId="112" applyNumberFormat="0" applyAlignment="0" applyProtection="0"/>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35" fillId="5" borderId="124" applyNumberFormat="0" applyAlignment="0" applyProtection="0"/>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1" fillId="0" borderId="111" applyNumberFormat="0" applyAlignment="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00"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20" fillId="5" borderId="122" applyNumberFormat="0" applyAlignment="0" applyProtection="0"/>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43" fillId="0" borderId="125" applyNumberFormat="0" applyFill="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1" fillId="0" borderId="129" applyNumberFormat="0" applyAlignment="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1" fillId="27" borderId="123" applyNumberFormat="0" applyFont="0" applyAlignment="0" applyProtection="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1" fillId="27" borderId="131" applyNumberFormat="0" applyFont="0" applyAlignment="0" applyProtection="0"/>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35" fillId="5" borderId="132" applyNumberFormat="0" applyAlignment="0" applyProtection="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5" fillId="0" borderId="117" applyNumberFormat="0" applyFont="0" applyAlignment="0">
      <alignment horizontal="left" vertical="top" indent="1"/>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20" fillId="5" borderId="122" applyNumberFormat="0" applyAlignment="0" applyProtection="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9" fillId="0" borderId="110" applyNumberFormat="0" applyBorder="0" applyAlignment="0">
      <alignment horizontal="center"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5" fillId="0" borderId="127" applyNumberFormat="0" applyFont="0" applyAlignment="0">
      <alignment horizontal="left" vertical="top" indent="1"/>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49" fontId="11" fillId="0" borderId="119">
      <alignment horizontal="left" vertical="center" wrapText="1"/>
      <protection locked="0"/>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35" fillId="5" borderId="114" applyNumberFormat="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1" fillId="27" borderId="113" applyNumberFormat="0" applyFont="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5" fillId="0" borderId="117" applyNumberFormat="0" applyFont="0" applyAlignment="0">
      <alignment horizontal="left" vertical="top" indent="1"/>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5" fillId="0" borderId="135" applyNumberFormat="0" applyFont="0" applyAlignment="0">
      <alignment horizontal="left" vertical="top" indent="1"/>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1" fillId="27" borderId="113" applyNumberFormat="0" applyFont="0" applyAlignment="0" applyProtection="0"/>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20" fillId="5" borderId="112" applyNumberFormat="0" applyAlignment="0" applyProtection="0"/>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1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20" fillId="5" borderId="122" applyNumberFormat="0" applyAlignment="0" applyProtection="0"/>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00"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00"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1" fillId="0" borderId="121" applyNumberFormat="0" applyAlignment="0"/>
    <xf numFmtId="0" fontId="8" fillId="4" borderId="134" applyNumberFormat="0" applyFont="0" applyBorder="0" applyAlignment="0">
      <alignment horizontal="left" vertical="center"/>
    </xf>
    <xf numFmtId="0" fontId="43" fillId="0" borderId="133" applyNumberFormat="0" applyFill="0" applyAlignment="0" applyProtection="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35" fillId="5" borderId="124" applyNumberFormat="0" applyAlignment="0" applyProtection="0"/>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43" fillId="0" borderId="133" applyNumberFormat="0" applyFill="0" applyAlignment="0" applyProtection="0"/>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1" fillId="27" borderId="123" applyNumberFormat="0" applyFont="0" applyAlignment="0" applyProtection="0"/>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5" fillId="0" borderId="127" applyNumberFormat="0" applyFont="0" applyAlignment="0">
      <alignment horizontal="left" vertical="top" indent="1"/>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25" fillId="12" borderId="122" applyNumberFormat="0" applyAlignment="0" applyProtection="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1" fillId="0" borderId="121" applyNumberFormat="0" applyAlignment="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43" fillId="0" borderId="125" applyNumberFormat="0" applyFill="0" applyAlignment="0" applyProtection="0"/>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1" fillId="27" borderId="131" applyNumberFormat="0" applyFont="0" applyAlignment="0" applyProtection="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43" fillId="0" borderId="125" applyNumberFormat="0" applyFill="0" applyAlignment="0" applyProtection="0"/>
    <xf numFmtId="0" fontId="8" fillId="4" borderId="134" applyNumberFormat="0" applyFont="0" applyBorder="0" applyAlignment="0">
      <alignment horizontal="left" vertical="center"/>
    </xf>
    <xf numFmtId="0" fontId="25" fillId="12" borderId="122" applyNumberFormat="0" applyAlignment="0" applyProtection="0"/>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5" fillId="0" borderId="135" applyNumberFormat="0" applyFont="0" applyAlignment="0">
      <alignment horizontal="left" vertical="top" indent="1"/>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35" fillId="5" borderId="140" applyNumberFormat="0" applyAlignment="0" applyProtection="0"/>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20" fillId="5" borderId="122" applyNumberFormat="0" applyAlignment="0" applyProtection="0"/>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25" fillId="12" borderId="122" applyNumberFormat="0" applyAlignment="0" applyProtection="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1" fillId="27" borderId="131" applyNumberFormat="0" applyFont="0" applyAlignment="0" applyProtection="0"/>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35" fillId="5" borderId="124" applyNumberFormat="0" applyAlignment="0" applyProtection="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20" fillId="5" borderId="130" applyNumberFormat="0" applyAlignment="0" applyProtection="0"/>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00"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1" fillId="27" borderId="139" applyNumberFormat="0" applyFont="0" applyAlignment="0" applyProtection="0"/>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1" fillId="27" borderId="123" applyNumberFormat="0" applyFont="0" applyAlignment="0" applyProtection="0"/>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26"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9" fillId="0" borderId="136" applyNumberFormat="0" applyBorder="0" applyAlignment="0">
      <alignment horizontal="center"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20" fillId="5" borderId="130" applyNumberFormat="0" applyAlignment="0" applyProtection="0"/>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43" fillId="0" borderId="133" applyNumberFormat="0" applyFill="0" applyAlignment="0" applyProtection="0"/>
    <xf numFmtId="0" fontId="25" fillId="12" borderId="130" applyNumberFormat="0" applyAlignment="0" applyProtection="0"/>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20" fillId="5" borderId="130" applyNumberForma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25" fillId="12" borderId="130" applyNumberFormat="0" applyAlignment="0" applyProtection="0"/>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1" fillId="0" borderId="129" applyNumberFormat="0" applyAlignment="0"/>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1" fillId="27" borderId="139" applyNumberFormat="0" applyFont="0" applyAlignment="0" applyProtection="0"/>
    <xf numFmtId="0" fontId="8" fillId="4" borderId="134" applyNumberFormat="0" applyFont="0" applyBorder="0" applyAlignment="0">
      <alignment horizontal="left" vertical="center"/>
    </xf>
    <xf numFmtId="0" fontId="43" fillId="0" borderId="141" applyNumberFormat="0" applyFill="0" applyAlignment="0" applyProtection="0"/>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5" fillId="0" borderId="143" applyNumberFormat="0" applyFont="0" applyAlignment="0">
      <alignment horizontal="left" vertical="top" indent="1"/>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5" fillId="0" borderId="135" applyNumberFormat="0" applyFont="0" applyAlignment="0">
      <alignment horizontal="left" vertical="top" indent="1"/>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00"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9" fillId="0" borderId="128" applyNumberFormat="0" applyBorder="0" applyAlignment="0">
      <alignment horizontal="center" vertical="center"/>
    </xf>
    <xf numFmtId="0" fontId="8" fillId="4" borderId="142" applyNumberFormat="0" applyFont="0" applyBorder="0" applyAlignment="0">
      <alignment horizontal="left" vertical="center"/>
    </xf>
    <xf numFmtId="0" fontId="1" fillId="27" borderId="131" applyNumberFormat="0" applyFont="0" applyAlignment="0" applyProtection="0"/>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43" fillId="0" borderId="133" applyNumberFormat="0" applyFill="0" applyAlignment="0" applyProtection="0"/>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25" fillId="12" borderId="130" applyNumberFormat="0" applyAlignment="0" applyProtection="0"/>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00"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35" fillId="5" borderId="132" applyNumberFormat="0" applyAlignment="0" applyProtection="0"/>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25" fillId="12" borderId="138" applyNumberForma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35" fillId="5" borderId="132" applyNumberFormat="0" applyAlignment="0" applyProtection="0"/>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20" fillId="5" borderId="138" applyNumberFormat="0" applyAlignment="0" applyProtection="0"/>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20" fillId="5" borderId="130" applyNumberFormat="0" applyAlignment="0" applyProtection="0"/>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3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35" fillId="5" borderId="140" applyNumberForma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1" fillId="0" borderId="137" applyNumberFormat="0" applyAlignment="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1" fillId="27" borderId="139" applyNumberFormat="0" applyFon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20" fillId="5" borderId="138" applyNumberForma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43" fillId="0" borderId="141" applyNumberFormat="0" applyFill="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20" fillId="5" borderId="138" applyNumberForma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43" fillId="0" borderId="141" applyNumberFormat="0" applyFill="0" applyAlignment="0" applyProtection="0"/>
    <xf numFmtId="0" fontId="43" fillId="0" borderId="141" applyNumberFormat="0" applyFill="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35" fillId="5" borderId="140" applyNumberForma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20" fillId="5" borderId="138" applyNumberForma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25" fillId="12" borderId="138" applyNumberForma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35" fillId="5" borderId="140" applyNumberForma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4"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25" fillId="12" borderId="138" applyNumberForma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5" fillId="0" borderId="143" applyNumberFormat="0" applyFont="0" applyAlignment="0">
      <alignment horizontal="left" vertical="top" indent="1"/>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1" fillId="0" borderId="137" applyNumberFormat="0" applyAlignment="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5" fillId="0" borderId="143" applyNumberFormat="0" applyFont="0" applyAlignment="0">
      <alignment horizontal="left" vertical="top" indent="1"/>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1" fillId="27" borderId="139" applyNumberFormat="0" applyFont="0" applyAlignment="0" applyProtection="0"/>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0" fontId="8" fillId="4" borderId="142" applyNumberFormat="0" applyFont="0" applyBorder="0" applyAlignment="0">
      <alignment horizontal="left" vertical="center"/>
    </xf>
    <xf numFmtId="44" fontId="2" fillId="0" borderId="0" applyFont="0" applyFill="0" applyBorder="0" applyAlignment="0" applyProtection="0"/>
    <xf numFmtId="0" fontId="65" fillId="0" borderId="0"/>
    <xf numFmtId="44" fontId="66" fillId="0" borderId="0" applyFont="0" applyFill="0" applyBorder="0" applyAlignment="0" applyProtection="0"/>
    <xf numFmtId="0" fontId="69" fillId="0" borderId="0"/>
    <xf numFmtId="44" fontId="62" fillId="0" borderId="0" applyFont="0" applyFill="0" applyBorder="0" applyAlignment="0" applyProtection="0"/>
    <xf numFmtId="0" fontId="62" fillId="0" borderId="0"/>
    <xf numFmtId="9" fontId="66" fillId="0" borderId="0" applyFont="0" applyFill="0" applyBorder="0" applyAlignment="0" applyProtection="0"/>
    <xf numFmtId="0" fontId="65" fillId="0" borderId="0"/>
    <xf numFmtId="0" fontId="2" fillId="0" borderId="0"/>
    <xf numFmtId="0" fontId="2" fillId="0" borderId="0"/>
    <xf numFmtId="0" fontId="2" fillId="0" borderId="0"/>
    <xf numFmtId="0" fontId="2" fillId="0" borderId="0"/>
    <xf numFmtId="0" fontId="2" fillId="0" borderId="0"/>
    <xf numFmtId="0" fontId="81" fillId="0" borderId="0"/>
    <xf numFmtId="44" fontId="65" fillId="0" borderId="0" applyFont="0" applyFill="0" applyBorder="0" applyAlignment="0" applyProtection="0"/>
    <xf numFmtId="9" fontId="65" fillId="0" borderId="0" applyFont="0" applyFill="0" applyBorder="0" applyAlignment="0" applyProtection="0"/>
  </cellStyleXfs>
  <cellXfs count="983">
    <xf numFmtId="0" fontId="0" fillId="0" borderId="0" xfId="0"/>
    <xf numFmtId="0" fontId="1" fillId="2" borderId="0" xfId="61" applyFill="1"/>
    <xf numFmtId="0" fontId="1" fillId="0" borderId="0" xfId="61"/>
    <xf numFmtId="0" fontId="53" fillId="29" borderId="46" xfId="61" applyFont="1" applyFill="1" applyBorder="1" applyAlignment="1" applyProtection="1">
      <alignment horizontal="center" vertical="center"/>
      <protection locked="0"/>
    </xf>
    <xf numFmtId="4" fontId="53" fillId="29" borderId="46" xfId="61" applyNumberFormat="1" applyFont="1" applyFill="1" applyBorder="1" applyAlignment="1" applyProtection="1">
      <alignment horizontal="center" vertical="center"/>
      <protection locked="0"/>
    </xf>
    <xf numFmtId="4" fontId="53" fillId="29" borderId="47" xfId="61" applyNumberFormat="1" applyFont="1" applyFill="1" applyBorder="1" applyAlignment="1" applyProtection="1">
      <alignment horizontal="center" vertical="center"/>
      <protection locked="0"/>
    </xf>
    <xf numFmtId="0" fontId="1" fillId="3" borderId="38" xfId="30" applyFill="1" applyBorder="1" applyAlignment="1">
      <alignment horizontal="center" vertical="center"/>
    </xf>
    <xf numFmtId="165" fontId="1" fillId="3" borderId="38" xfId="233" applyFill="1" applyBorder="1" applyAlignment="1">
      <alignment horizontal="right" vertical="center"/>
    </xf>
    <xf numFmtId="4" fontId="47" fillId="3" borderId="38" xfId="338" applyNumberFormat="1" applyFont="1" applyFill="1" applyBorder="1" applyAlignment="1">
      <alignment horizontal="right" vertical="center"/>
    </xf>
    <xf numFmtId="4" fontId="47" fillId="3" borderId="38" xfId="337" applyNumberFormat="1" applyFont="1" applyFill="1" applyBorder="1" applyAlignment="1">
      <alignment horizontal="right" vertical="center"/>
    </xf>
    <xf numFmtId="0" fontId="1" fillId="0" borderId="0" xfId="61" applyAlignment="1">
      <alignment horizontal="center" vertical="center"/>
    </xf>
    <xf numFmtId="0" fontId="1" fillId="2" borderId="0" xfId="61" applyFill="1" applyAlignment="1">
      <alignment horizontal="center" vertical="center"/>
    </xf>
    <xf numFmtId="0" fontId="46" fillId="2" borderId="0" xfId="61" applyFont="1" applyFill="1"/>
    <xf numFmtId="2" fontId="1" fillId="0" borderId="0" xfId="61" applyNumberFormat="1"/>
    <xf numFmtId="0" fontId="46" fillId="31" borderId="0" xfId="61" applyFont="1" applyFill="1" applyAlignment="1">
      <alignment horizontal="center" vertical="center"/>
    </xf>
    <xf numFmtId="1" fontId="1" fillId="2" borderId="0" xfId="61" applyNumberFormat="1" applyFill="1" applyAlignment="1">
      <alignment horizontal="center"/>
    </xf>
    <xf numFmtId="0" fontId="46" fillId="31" borderId="0" xfId="61" applyFont="1" applyFill="1"/>
    <xf numFmtId="0" fontId="1" fillId="32" borderId="0" xfId="61" applyFill="1" applyAlignment="1">
      <alignment horizontal="center"/>
    </xf>
    <xf numFmtId="1" fontId="1" fillId="0" borderId="0" xfId="61" applyNumberFormat="1"/>
    <xf numFmtId="0" fontId="44" fillId="2" borderId="29" xfId="0" applyFont="1" applyFill="1" applyBorder="1" applyAlignment="1">
      <alignment vertical="center" wrapText="1"/>
    </xf>
    <xf numFmtId="0" fontId="13" fillId="2" borderId="28" xfId="30" applyFont="1" applyFill="1" applyBorder="1" applyAlignment="1">
      <alignment horizontal="left" vertical="center" wrapText="1"/>
    </xf>
    <xf numFmtId="0" fontId="13" fillId="0" borderId="0" xfId="61" applyFont="1"/>
    <xf numFmtId="0" fontId="13" fillId="0" borderId="0" xfId="61" applyFont="1" applyAlignment="1">
      <alignment wrapText="1"/>
    </xf>
    <xf numFmtId="0" fontId="13" fillId="0" borderId="29" xfId="61" applyFont="1" applyBorder="1" applyAlignment="1">
      <alignment wrapText="1"/>
    </xf>
    <xf numFmtId="0" fontId="13" fillId="0" borderId="6" xfId="61" applyFont="1" applyBorder="1" applyAlignment="1">
      <alignment wrapText="1"/>
    </xf>
    <xf numFmtId="1" fontId="13" fillId="2" borderId="28" xfId="61" applyNumberFormat="1" applyFont="1" applyFill="1" applyBorder="1" applyAlignment="1">
      <alignment horizontal="center" vertical="center" wrapText="1"/>
    </xf>
    <xf numFmtId="1" fontId="13" fillId="2" borderId="26" xfId="61" applyNumberFormat="1" applyFont="1" applyFill="1" applyBorder="1" applyAlignment="1">
      <alignment horizontal="right" vertical="center" wrapText="1"/>
    </xf>
    <xf numFmtId="2" fontId="13" fillId="2" borderId="30" xfId="61" applyNumberFormat="1" applyFont="1" applyFill="1" applyBorder="1" applyAlignment="1">
      <alignment horizontal="left" vertical="center" wrapText="1"/>
    </xf>
    <xf numFmtId="0" fontId="13" fillId="2" borderId="28" xfId="61" applyFont="1" applyFill="1" applyBorder="1" applyAlignment="1">
      <alignment horizontal="center" vertical="center" wrapText="1"/>
    </xf>
    <xf numFmtId="0" fontId="13" fillId="0" borderId="0" xfId="61" applyFont="1" applyAlignment="1">
      <alignment horizontal="center" vertical="center"/>
    </xf>
    <xf numFmtId="2" fontId="13" fillId="0" borderId="0" xfId="61" applyNumberFormat="1" applyFont="1"/>
    <xf numFmtId="0" fontId="55" fillId="31" borderId="0" xfId="61" applyFont="1" applyFill="1" applyAlignment="1">
      <alignment horizontal="center" vertical="center"/>
    </xf>
    <xf numFmtId="0" fontId="55" fillId="2" borderId="2" xfId="61" applyFont="1" applyFill="1" applyBorder="1" applyAlignment="1">
      <alignment horizontal="left" vertical="center"/>
    </xf>
    <xf numFmtId="0" fontId="55" fillId="2" borderId="2" xfId="61" applyFont="1" applyFill="1" applyBorder="1" applyAlignment="1">
      <alignment vertical="center"/>
    </xf>
    <xf numFmtId="0" fontId="55" fillId="2" borderId="23" xfId="61" applyFont="1" applyFill="1" applyBorder="1" applyAlignment="1">
      <alignment vertical="center"/>
    </xf>
    <xf numFmtId="0" fontId="55" fillId="31" borderId="0" xfId="61" applyFont="1" applyFill="1" applyAlignment="1">
      <alignment vertical="center"/>
    </xf>
    <xf numFmtId="2" fontId="55" fillId="31" borderId="0" xfId="61" applyNumberFormat="1" applyFont="1" applyFill="1" applyAlignment="1">
      <alignment vertical="center"/>
    </xf>
    <xf numFmtId="0" fontId="55" fillId="2" borderId="0" xfId="61" applyFont="1" applyFill="1" applyAlignment="1">
      <alignment vertical="center"/>
    </xf>
    <xf numFmtId="0" fontId="54" fillId="2" borderId="0" xfId="328" applyFont="1" applyFill="1" applyAlignment="1">
      <alignment vertical="center"/>
    </xf>
    <xf numFmtId="0" fontId="56" fillId="2" borderId="0" xfId="61" applyFont="1" applyFill="1"/>
    <xf numFmtId="43" fontId="13" fillId="2" borderId="28" xfId="333" applyFont="1" applyFill="1" applyBorder="1" applyAlignment="1">
      <alignment horizontal="center" vertical="center" wrapText="1"/>
    </xf>
    <xf numFmtId="43" fontId="13" fillId="2" borderId="30" xfId="333" applyFont="1" applyFill="1" applyBorder="1" applyAlignment="1">
      <alignment horizontal="center" vertical="center" wrapText="1"/>
    </xf>
    <xf numFmtId="185" fontId="13" fillId="2" borderId="30" xfId="333" applyNumberFormat="1" applyFont="1" applyFill="1" applyBorder="1" applyAlignment="1">
      <alignment horizontal="center" vertical="distributed" wrapText="1"/>
    </xf>
    <xf numFmtId="167" fontId="13" fillId="2" borderId="30" xfId="61" applyNumberFormat="1" applyFont="1" applyFill="1" applyBorder="1" applyAlignment="1">
      <alignment horizontal="center" vertical="distributed" wrapText="1"/>
    </xf>
    <xf numFmtId="2" fontId="1" fillId="2" borderId="0" xfId="61" applyNumberFormat="1" applyFill="1"/>
    <xf numFmtId="180" fontId="53" fillId="29" borderId="46" xfId="61" applyNumberFormat="1" applyFont="1" applyFill="1" applyBorder="1" applyAlignment="1" applyProtection="1">
      <alignment horizontal="center" vertical="center"/>
      <protection locked="0"/>
    </xf>
    <xf numFmtId="180" fontId="1" fillId="3" borderId="38" xfId="337" applyNumberFormat="1" applyFill="1" applyBorder="1" applyAlignment="1">
      <alignment horizontal="right" vertical="center"/>
    </xf>
    <xf numFmtId="180" fontId="1" fillId="0" borderId="0" xfId="61" applyNumberFormat="1" applyAlignment="1">
      <alignment horizontal="right"/>
    </xf>
    <xf numFmtId="0" fontId="13" fillId="2" borderId="28" xfId="61" applyFont="1" applyFill="1" applyBorder="1" applyAlignment="1">
      <alignment horizontal="center" vertical="distributed" wrapText="1"/>
    </xf>
    <xf numFmtId="43" fontId="13" fillId="2" borderId="26" xfId="333" applyFont="1" applyFill="1" applyBorder="1" applyAlignment="1">
      <alignment horizontal="center" vertical="center" wrapText="1"/>
    </xf>
    <xf numFmtId="2" fontId="57" fillId="28" borderId="43" xfId="61" applyNumberFormat="1" applyFont="1" applyFill="1" applyBorder="1" applyAlignment="1">
      <alignment horizontal="left" vertical="distributed" wrapText="1"/>
    </xf>
    <xf numFmtId="167" fontId="57" fillId="28" borderId="43" xfId="61" applyNumberFormat="1" applyFont="1" applyFill="1" applyBorder="1" applyAlignment="1">
      <alignment horizontal="center" vertical="center" wrapText="1"/>
    </xf>
    <xf numFmtId="167" fontId="57" fillId="28" borderId="22" xfId="61" applyNumberFormat="1" applyFont="1" applyFill="1" applyBorder="1" applyAlignment="1">
      <alignment horizontal="center" vertical="center" wrapText="1"/>
    </xf>
    <xf numFmtId="167" fontId="58" fillId="28" borderId="22" xfId="61" applyNumberFormat="1" applyFont="1" applyFill="1" applyBorder="1" applyAlignment="1">
      <alignment horizontal="center" vertical="center" wrapText="1"/>
    </xf>
    <xf numFmtId="0" fontId="13" fillId="0" borderId="41" xfId="61" applyFont="1" applyBorder="1" applyAlignment="1">
      <alignment wrapText="1"/>
    </xf>
    <xf numFmtId="0" fontId="55" fillId="2" borderId="23" xfId="61" applyFont="1" applyFill="1" applyBorder="1" applyAlignment="1">
      <alignment horizontal="left" vertical="center"/>
    </xf>
    <xf numFmtId="0" fontId="54" fillId="2" borderId="29" xfId="328" applyFont="1" applyFill="1" applyBorder="1" applyAlignment="1">
      <alignment vertical="center"/>
    </xf>
    <xf numFmtId="167" fontId="55" fillId="2" borderId="2" xfId="61" applyNumberFormat="1" applyFont="1" applyFill="1" applyBorder="1" applyAlignment="1">
      <alignment horizontal="left" vertical="center"/>
    </xf>
    <xf numFmtId="167" fontId="55" fillId="2" borderId="0" xfId="61" applyNumberFormat="1" applyFont="1" applyFill="1" applyAlignment="1">
      <alignment horizontal="left" vertical="center"/>
    </xf>
    <xf numFmtId="167" fontId="54" fillId="2" borderId="0" xfId="328" applyNumberFormat="1" applyFont="1" applyFill="1" applyAlignment="1">
      <alignment vertical="center"/>
    </xf>
    <xf numFmtId="167" fontId="13" fillId="2" borderId="30" xfId="333" applyNumberFormat="1" applyFont="1" applyFill="1" applyBorder="1" applyAlignment="1">
      <alignment horizontal="center" vertical="distributed" wrapText="1"/>
    </xf>
    <xf numFmtId="167" fontId="57" fillId="28" borderId="22" xfId="333" applyNumberFormat="1" applyFont="1" applyFill="1" applyBorder="1" applyAlignment="1">
      <alignment vertical="center" wrapText="1"/>
    </xf>
    <xf numFmtId="167" fontId="58" fillId="28" borderId="22" xfId="333" applyNumberFormat="1" applyFont="1" applyFill="1" applyBorder="1" applyAlignment="1">
      <alignment vertical="center" wrapText="1"/>
    </xf>
    <xf numFmtId="167" fontId="1" fillId="0" borderId="0" xfId="61" applyNumberFormat="1"/>
    <xf numFmtId="0" fontId="48" fillId="0" borderId="0" xfId="61" applyFont="1" applyAlignment="1">
      <alignment horizontal="center" vertical="center"/>
    </xf>
    <xf numFmtId="0" fontId="59" fillId="0" borderId="28" xfId="30" applyFont="1" applyBorder="1" applyAlignment="1">
      <alignment horizontal="left" vertical="center" wrapText="1"/>
    </xf>
    <xf numFmtId="0" fontId="59" fillId="0" borderId="28" xfId="61" applyFont="1" applyBorder="1" applyAlignment="1">
      <alignment horizontal="center" vertical="center" wrapText="1"/>
    </xf>
    <xf numFmtId="43" fontId="59" fillId="0" borderId="28" xfId="333" applyFont="1" applyBorder="1" applyAlignment="1">
      <alignment horizontal="center" vertical="center" wrapText="1"/>
    </xf>
    <xf numFmtId="43" fontId="59" fillId="0" borderId="30" xfId="333" applyFont="1" applyBorder="1" applyAlignment="1">
      <alignment horizontal="center" vertical="center" wrapText="1"/>
    </xf>
    <xf numFmtId="43" fontId="59" fillId="0" borderId="26" xfId="333" applyFont="1" applyBorder="1" applyAlignment="1">
      <alignment horizontal="center" vertical="distributed" wrapText="1"/>
    </xf>
    <xf numFmtId="185" fontId="59" fillId="0" borderId="30" xfId="333" applyNumberFormat="1" applyFont="1" applyBorder="1" applyAlignment="1">
      <alignment horizontal="center" vertical="distributed" wrapText="1"/>
    </xf>
    <xf numFmtId="0" fontId="48" fillId="0" borderId="0" xfId="61" applyFont="1" applyAlignment="1">
      <alignment horizontal="center"/>
    </xf>
    <xf numFmtId="1" fontId="48" fillId="0" borderId="0" xfId="61" applyNumberFormat="1" applyFont="1" applyAlignment="1">
      <alignment horizontal="center"/>
    </xf>
    <xf numFmtId="0" fontId="48" fillId="0" borderId="0" xfId="61" applyFont="1"/>
    <xf numFmtId="2" fontId="48" fillId="0" borderId="0" xfId="61" applyNumberFormat="1" applyFont="1"/>
    <xf numFmtId="0" fontId="48" fillId="2" borderId="0" xfId="61" applyFont="1" applyFill="1" applyAlignment="1">
      <alignment horizontal="center" vertical="center"/>
    </xf>
    <xf numFmtId="0" fontId="59" fillId="2" borderId="28" xfId="30" applyFont="1" applyFill="1" applyBorder="1" applyAlignment="1">
      <alignment horizontal="left" vertical="center" wrapText="1"/>
    </xf>
    <xf numFmtId="1" fontId="59" fillId="2" borderId="26" xfId="61" applyNumberFormat="1" applyFont="1" applyFill="1" applyBorder="1" applyAlignment="1">
      <alignment horizontal="right" vertical="center" wrapText="1"/>
    </xf>
    <xf numFmtId="1" fontId="59" fillId="2" borderId="4" xfId="61" applyNumberFormat="1" applyFont="1" applyFill="1" applyBorder="1" applyAlignment="1">
      <alignment horizontal="center" vertical="center" wrapText="1"/>
    </xf>
    <xf numFmtId="2" fontId="59" fillId="2" borderId="30" xfId="61" applyNumberFormat="1" applyFont="1" applyFill="1" applyBorder="1" applyAlignment="1">
      <alignment horizontal="left" vertical="center" wrapText="1"/>
    </xf>
    <xf numFmtId="0" fontId="59" fillId="2" borderId="28" xfId="61" applyFont="1" applyFill="1" applyBorder="1" applyAlignment="1">
      <alignment horizontal="center" vertical="center" wrapText="1"/>
    </xf>
    <xf numFmtId="43" fontId="59" fillId="2" borderId="26" xfId="333" applyFont="1" applyFill="1" applyBorder="1" applyAlignment="1">
      <alignment horizontal="center" vertical="center" wrapText="1"/>
    </xf>
    <xf numFmtId="43" fontId="59" fillId="2" borderId="28" xfId="333" applyFont="1" applyFill="1" applyBorder="1" applyAlignment="1">
      <alignment horizontal="center" vertical="center" wrapText="1"/>
    </xf>
    <xf numFmtId="43" fontId="59" fillId="2" borderId="30" xfId="333" applyFont="1" applyFill="1" applyBorder="1" applyAlignment="1">
      <alignment horizontal="center" vertical="center" wrapText="1"/>
    </xf>
    <xf numFmtId="43" fontId="59" fillId="2" borderId="26" xfId="333" applyFont="1" applyFill="1" applyBorder="1" applyAlignment="1">
      <alignment horizontal="center" vertical="distributed" wrapText="1"/>
    </xf>
    <xf numFmtId="185" fontId="59" fillId="2" borderId="30" xfId="333" applyNumberFormat="1" applyFont="1" applyFill="1" applyBorder="1" applyAlignment="1">
      <alignment horizontal="center" vertical="distributed" wrapText="1"/>
    </xf>
    <xf numFmtId="0" fontId="48" fillId="2" borderId="0" xfId="61" applyFont="1" applyFill="1" applyAlignment="1">
      <alignment horizontal="center"/>
    </xf>
    <xf numFmtId="1" fontId="48" fillId="2" borderId="0" xfId="61" applyNumberFormat="1" applyFont="1" applyFill="1" applyAlignment="1">
      <alignment horizontal="center"/>
    </xf>
    <xf numFmtId="0" fontId="48" fillId="32" borderId="0" xfId="61" applyFont="1" applyFill="1" applyAlignment="1">
      <alignment horizontal="center"/>
    </xf>
    <xf numFmtId="2" fontId="48" fillId="2" borderId="0" xfId="61" applyNumberFormat="1" applyFont="1" applyFill="1"/>
    <xf numFmtId="0" fontId="48" fillId="2" borderId="0" xfId="61" applyFont="1" applyFill="1"/>
    <xf numFmtId="0" fontId="59" fillId="2" borderId="28" xfId="61" applyFont="1" applyFill="1" applyBorder="1" applyAlignment="1">
      <alignment horizontal="left" vertical="distributed" wrapText="1"/>
    </xf>
    <xf numFmtId="0" fontId="59" fillId="2" borderId="28" xfId="61" applyFont="1" applyFill="1" applyBorder="1" applyAlignment="1">
      <alignment horizontal="center" vertical="distributed" wrapText="1"/>
    </xf>
    <xf numFmtId="43" fontId="59" fillId="2" borderId="30" xfId="333" applyFont="1" applyFill="1" applyBorder="1" applyAlignment="1">
      <alignment horizontal="center" vertical="distributed" wrapText="1"/>
    </xf>
    <xf numFmtId="0" fontId="59" fillId="0" borderId="28" xfId="61" applyFont="1" applyBorder="1" applyAlignment="1">
      <alignment horizontal="center" vertical="distributed" wrapText="1"/>
    </xf>
    <xf numFmtId="0" fontId="54" fillId="2" borderId="41" xfId="328" applyFont="1" applyFill="1" applyBorder="1" applyAlignment="1">
      <alignment vertical="center"/>
    </xf>
    <xf numFmtId="0" fontId="55" fillId="2" borderId="41" xfId="61" applyFont="1" applyFill="1" applyBorder="1" applyAlignment="1">
      <alignment vertical="center"/>
    </xf>
    <xf numFmtId="1" fontId="54" fillId="2" borderId="7" xfId="61" applyNumberFormat="1" applyFont="1" applyFill="1" applyBorder="1" applyAlignment="1">
      <alignment horizontal="left" vertical="center"/>
    </xf>
    <xf numFmtId="1" fontId="54" fillId="2" borderId="25" xfId="328" applyNumberFormat="1" applyFont="1" applyFill="1" applyBorder="1" applyAlignment="1">
      <alignment horizontal="left" vertical="center"/>
    </xf>
    <xf numFmtId="1" fontId="54" fillId="2" borderId="5" xfId="328" applyNumberFormat="1" applyFont="1" applyFill="1" applyBorder="1" applyAlignment="1">
      <alignment horizontal="left" vertical="center"/>
    </xf>
    <xf numFmtId="0" fontId="54" fillId="2" borderId="2" xfId="328" applyFont="1" applyFill="1" applyBorder="1" applyAlignment="1">
      <alignment vertical="center"/>
    </xf>
    <xf numFmtId="0" fontId="55" fillId="2" borderId="2" xfId="61" applyFont="1" applyFill="1" applyBorder="1" applyAlignment="1">
      <alignment horizontal="left" vertical="center" indent="1"/>
    </xf>
    <xf numFmtId="0" fontId="54" fillId="2" borderId="23" xfId="328" applyFont="1" applyFill="1" applyBorder="1" applyAlignment="1">
      <alignment vertical="center"/>
    </xf>
    <xf numFmtId="0" fontId="54" fillId="2" borderId="6" xfId="328" applyFont="1" applyFill="1" applyBorder="1" applyAlignment="1">
      <alignment vertical="center"/>
    </xf>
    <xf numFmtId="0" fontId="59" fillId="2" borderId="28" xfId="30" applyFont="1" applyFill="1" applyBorder="1" applyAlignment="1">
      <alignment horizontal="left" vertical="center"/>
    </xf>
    <xf numFmtId="43" fontId="59" fillId="2" borderId="4" xfId="333" applyFont="1" applyFill="1" applyBorder="1" applyAlignment="1">
      <alignment horizontal="center" vertical="center" wrapText="1"/>
    </xf>
    <xf numFmtId="43" fontId="59" fillId="0" borderId="30" xfId="333" applyFont="1" applyBorder="1" applyAlignment="1">
      <alignment horizontal="center" vertical="distributed" wrapText="1"/>
    </xf>
    <xf numFmtId="49" fontId="59" fillId="2" borderId="28" xfId="61" applyNumberFormat="1" applyFont="1" applyFill="1" applyBorder="1" applyAlignment="1">
      <alignment horizontal="center" vertical="center" wrapText="1"/>
    </xf>
    <xf numFmtId="43" fontId="59" fillId="0" borderId="26" xfId="333" applyFont="1" applyBorder="1" applyAlignment="1">
      <alignment horizontal="center" vertical="center" wrapText="1"/>
    </xf>
    <xf numFmtId="49" fontId="59" fillId="0" borderId="28" xfId="61" applyNumberFormat="1" applyFont="1" applyBorder="1" applyAlignment="1">
      <alignment horizontal="center" vertical="center" wrapText="1"/>
    </xf>
    <xf numFmtId="43" fontId="59" fillId="0" borderId="4" xfId="333" applyFont="1" applyBorder="1" applyAlignment="1">
      <alignment horizontal="center" vertical="center" wrapText="1"/>
    </xf>
    <xf numFmtId="43" fontId="59" fillId="0" borderId="28" xfId="333" applyFont="1" applyBorder="1" applyAlignment="1">
      <alignment horizontal="center" vertical="distributed" wrapText="1"/>
    </xf>
    <xf numFmtId="49" fontId="59" fillId="2" borderId="28" xfId="30" applyNumberFormat="1" applyFont="1" applyFill="1" applyBorder="1" applyAlignment="1">
      <alignment horizontal="center" vertical="center" wrapText="1"/>
    </xf>
    <xf numFmtId="4" fontId="1" fillId="0" borderId="0" xfId="61" applyNumberFormat="1"/>
    <xf numFmtId="0" fontId="1" fillId="0" borderId="0" xfId="61" applyAlignment="1">
      <alignment horizontal="left" indent="1"/>
    </xf>
    <xf numFmtId="0" fontId="55" fillId="2" borderId="0" xfId="61" applyFont="1" applyFill="1" applyAlignment="1">
      <alignment horizontal="left" vertical="center"/>
    </xf>
    <xf numFmtId="0" fontId="55" fillId="2" borderId="29" xfId="61" applyFont="1" applyFill="1" applyBorder="1" applyAlignment="1">
      <alignment horizontal="left" vertical="center"/>
    </xf>
    <xf numFmtId="0" fontId="13" fillId="2" borderId="34" xfId="61" applyFont="1" applyFill="1" applyBorder="1" applyAlignment="1">
      <alignment horizontal="center" vertical="distributed" wrapText="1"/>
    </xf>
    <xf numFmtId="1" fontId="13" fillId="2" borderId="34" xfId="61" applyNumberFormat="1" applyFont="1" applyFill="1" applyBorder="1" applyAlignment="1">
      <alignment horizontal="center" vertical="center" wrapText="1"/>
    </xf>
    <xf numFmtId="0" fontId="13" fillId="2" borderId="34" xfId="30" applyFont="1" applyFill="1" applyBorder="1" applyAlignment="1">
      <alignment horizontal="left" vertical="center" wrapText="1"/>
    </xf>
    <xf numFmtId="0" fontId="1" fillId="2" borderId="0" xfId="61" applyFill="1" applyAlignment="1">
      <alignment horizontal="center"/>
    </xf>
    <xf numFmtId="181" fontId="60" fillId="2" borderId="0" xfId="61" applyNumberFormat="1" applyFont="1" applyFill="1" applyAlignment="1">
      <alignment horizontal="left" vertical="center" indent="1"/>
    </xf>
    <xf numFmtId="181" fontId="60" fillId="2" borderId="41" xfId="61" applyNumberFormat="1" applyFont="1" applyFill="1" applyBorder="1" applyAlignment="1">
      <alignment horizontal="left" vertical="center" indent="1"/>
    </xf>
    <xf numFmtId="0" fontId="1" fillId="0" borderId="40" xfId="335" applyBorder="1" applyAlignment="1">
      <alignment vertical="center" wrapText="1"/>
    </xf>
    <xf numFmtId="0" fontId="1" fillId="0" borderId="33" xfId="335" applyBorder="1" applyAlignment="1">
      <alignment vertical="center" wrapText="1"/>
    </xf>
    <xf numFmtId="0" fontId="12" fillId="34" borderId="36" xfId="335" applyFont="1" applyFill="1" applyBorder="1" applyAlignment="1">
      <alignment horizontal="left" vertical="center" wrapText="1" indent="1"/>
    </xf>
    <xf numFmtId="0" fontId="12" fillId="34" borderId="36" xfId="335" applyFont="1" applyFill="1" applyBorder="1" applyAlignment="1">
      <alignment horizontal="center" vertical="center" wrapText="1"/>
    </xf>
    <xf numFmtId="165" fontId="12" fillId="34" borderId="36" xfId="233" applyFont="1" applyFill="1" applyBorder="1" applyAlignment="1">
      <alignment horizontal="right" vertical="center" wrapText="1"/>
    </xf>
    <xf numFmtId="184" fontId="12" fillId="34" borderId="36" xfId="233" applyNumberFormat="1" applyFont="1" applyFill="1" applyBorder="1" applyAlignment="1">
      <alignment vertical="center" wrapText="1"/>
    </xf>
    <xf numFmtId="4" fontId="47" fillId="28" borderId="36" xfId="336" applyNumberFormat="1" applyFont="1" applyFill="1" applyBorder="1" applyAlignment="1">
      <alignment horizontal="right" vertical="center"/>
    </xf>
    <xf numFmtId="180" fontId="12" fillId="28" borderId="36" xfId="337" applyNumberFormat="1" applyFont="1" applyFill="1" applyBorder="1" applyAlignment="1">
      <alignment horizontal="right" vertical="center"/>
    </xf>
    <xf numFmtId="0" fontId="12" fillId="28" borderId="0" xfId="1" applyFont="1" applyFill="1" applyAlignment="1">
      <alignment vertical="center"/>
    </xf>
    <xf numFmtId="3" fontId="1" fillId="0" borderId="40" xfId="335" applyNumberFormat="1" applyBorder="1" applyAlignment="1">
      <alignment vertical="center" wrapText="1"/>
    </xf>
    <xf numFmtId="3" fontId="12" fillId="34" borderId="36" xfId="335" applyNumberFormat="1" applyFont="1" applyFill="1" applyBorder="1" applyAlignment="1">
      <alignment horizontal="left" vertical="center"/>
    </xf>
    <xf numFmtId="3" fontId="1" fillId="0" borderId="0" xfId="61" applyNumberFormat="1" applyAlignment="1">
      <alignment horizontal="center"/>
    </xf>
    <xf numFmtId="0" fontId="54" fillId="0" borderId="2" xfId="328" applyFont="1" applyBorder="1" applyAlignment="1">
      <alignment vertical="center"/>
    </xf>
    <xf numFmtId="0" fontId="54" fillId="0" borderId="0" xfId="328" applyFont="1" applyAlignment="1">
      <alignment vertical="center"/>
    </xf>
    <xf numFmtId="0" fontId="12" fillId="34" borderId="25" xfId="335" applyFont="1" applyFill="1" applyBorder="1" applyAlignment="1">
      <alignment horizontal="center" vertical="center" wrapText="1"/>
    </xf>
    <xf numFmtId="0" fontId="1" fillId="0" borderId="32" xfId="335" applyBorder="1" applyAlignment="1">
      <alignment vertical="center" wrapText="1"/>
    </xf>
    <xf numFmtId="0" fontId="12" fillId="3" borderId="51" xfId="30" applyFont="1" applyFill="1" applyBorder="1" applyAlignment="1">
      <alignment horizontal="center" vertical="center" wrapText="1"/>
    </xf>
    <xf numFmtId="0" fontId="1" fillId="0" borderId="0" xfId="61" applyAlignment="1">
      <alignment horizontal="left"/>
    </xf>
    <xf numFmtId="0" fontId="55" fillId="31" borderId="0" xfId="61" applyFont="1" applyFill="1" applyAlignment="1">
      <alignment horizontal="left" vertical="center"/>
    </xf>
    <xf numFmtId="0" fontId="1" fillId="2" borderId="0" xfId="61" applyFill="1" applyAlignment="1">
      <alignment horizontal="left"/>
    </xf>
    <xf numFmtId="49" fontId="46" fillId="2" borderId="0" xfId="61" applyNumberFormat="1" applyFont="1" applyFill="1" applyAlignment="1">
      <alignment horizontal="center"/>
    </xf>
    <xf numFmtId="0" fontId="46" fillId="2" borderId="0" xfId="61" applyFont="1" applyFill="1" applyAlignment="1">
      <alignment horizontal="left"/>
    </xf>
    <xf numFmtId="181" fontId="55" fillId="2" borderId="0" xfId="61" applyNumberFormat="1" applyFont="1" applyFill="1" applyAlignment="1">
      <alignment horizontal="left" vertical="center" indent="1"/>
    </xf>
    <xf numFmtId="14" fontId="55" fillId="2" borderId="0" xfId="328" applyNumberFormat="1" applyFont="1" applyFill="1" applyAlignment="1">
      <alignment horizontal="left" vertical="center"/>
    </xf>
    <xf numFmtId="0" fontId="50" fillId="2" borderId="25" xfId="328" applyFont="1" applyFill="1" applyBorder="1" applyAlignment="1">
      <alignment horizontal="left" vertical="center" indent="1"/>
    </xf>
    <xf numFmtId="0" fontId="50" fillId="2" borderId="0" xfId="328" applyFont="1" applyFill="1" applyAlignment="1">
      <alignment vertical="center"/>
    </xf>
    <xf numFmtId="0" fontId="50" fillId="0" borderId="0" xfId="328" applyFont="1" applyAlignment="1">
      <alignment vertical="center"/>
    </xf>
    <xf numFmtId="14" fontId="45" fillId="2" borderId="0" xfId="328" applyNumberFormat="1" applyFont="1" applyFill="1" applyAlignment="1">
      <alignment horizontal="left" vertical="center"/>
    </xf>
    <xf numFmtId="0" fontId="48" fillId="2" borderId="0" xfId="61" applyFont="1" applyFill="1" applyAlignment="1">
      <alignment horizontal="left"/>
    </xf>
    <xf numFmtId="49" fontId="48" fillId="0" borderId="0" xfId="61" applyNumberFormat="1" applyFont="1" applyAlignment="1">
      <alignment horizontal="center"/>
    </xf>
    <xf numFmtId="0" fontId="48" fillId="0" borderId="0" xfId="61" applyFont="1" applyAlignment="1">
      <alignment horizontal="left"/>
    </xf>
    <xf numFmtId="167" fontId="59" fillId="2" borderId="30" xfId="61" applyNumberFormat="1" applyFont="1" applyFill="1" applyBorder="1" applyAlignment="1">
      <alignment horizontal="center" vertical="distributed" wrapText="1"/>
    </xf>
    <xf numFmtId="185" fontId="59" fillId="2" borderId="26" xfId="333" applyNumberFormat="1" applyFont="1" applyFill="1" applyBorder="1" applyAlignment="1">
      <alignment horizontal="center" vertical="distributed" wrapText="1"/>
    </xf>
    <xf numFmtId="185" fontId="59" fillId="2" borderId="28" xfId="333" applyNumberFormat="1" applyFont="1" applyFill="1" applyBorder="1" applyAlignment="1">
      <alignment horizontal="center" vertical="center" wrapText="1"/>
    </xf>
    <xf numFmtId="1" fontId="59" fillId="2" borderId="28" xfId="61" applyNumberFormat="1" applyFont="1" applyFill="1" applyBorder="1" applyAlignment="1">
      <alignment horizontal="center" vertical="center" wrapText="1"/>
    </xf>
    <xf numFmtId="0" fontId="44" fillId="0" borderId="0" xfId="328" applyFont="1" applyAlignment="1">
      <alignment horizontal="left" vertical="center"/>
    </xf>
    <xf numFmtId="1" fontId="13" fillId="2" borderId="4" xfId="61" applyNumberFormat="1" applyFont="1" applyFill="1" applyBorder="1" applyAlignment="1">
      <alignment horizontal="center" vertical="center" wrapText="1"/>
    </xf>
    <xf numFmtId="43" fontId="13" fillId="2" borderId="26" xfId="333" applyFont="1" applyFill="1" applyBorder="1" applyAlignment="1">
      <alignment horizontal="center" vertical="distributed" wrapText="1"/>
    </xf>
    <xf numFmtId="1" fontId="44" fillId="2" borderId="83" xfId="0" applyNumberFormat="1" applyFont="1" applyFill="1" applyBorder="1" applyAlignment="1">
      <alignment vertical="center" wrapText="1"/>
    </xf>
    <xf numFmtId="0" fontId="44" fillId="2" borderId="84" xfId="0" applyFont="1" applyFill="1" applyBorder="1" applyAlignment="1">
      <alignment vertical="center" wrapText="1"/>
    </xf>
    <xf numFmtId="1" fontId="44" fillId="2" borderId="25" xfId="0" applyNumberFormat="1" applyFont="1" applyFill="1" applyBorder="1" applyAlignment="1">
      <alignment vertical="center" wrapText="1"/>
    </xf>
    <xf numFmtId="0" fontId="44" fillId="2" borderId="96" xfId="0" applyFont="1" applyFill="1" applyBorder="1" applyAlignment="1">
      <alignment vertical="center" wrapText="1"/>
    </xf>
    <xf numFmtId="1" fontId="44" fillId="2" borderId="97" xfId="0" applyNumberFormat="1" applyFont="1" applyFill="1" applyBorder="1" applyAlignment="1">
      <alignment vertical="center" wrapText="1"/>
    </xf>
    <xf numFmtId="14" fontId="45" fillId="2" borderId="41" xfId="328" applyNumberFormat="1" applyFont="1" applyFill="1" applyBorder="1" applyAlignment="1">
      <alignment horizontal="left" vertical="center"/>
    </xf>
    <xf numFmtId="0" fontId="12" fillId="2" borderId="0" xfId="328" applyFont="1" applyFill="1" applyAlignment="1">
      <alignment vertical="center"/>
    </xf>
    <xf numFmtId="3" fontId="12" fillId="3" borderId="98" xfId="30" applyNumberFormat="1" applyFont="1" applyFill="1" applyBorder="1" applyAlignment="1">
      <alignment horizontal="center" vertical="center" wrapText="1"/>
    </xf>
    <xf numFmtId="0" fontId="12" fillId="3" borderId="98" xfId="30" applyFont="1" applyFill="1" applyBorder="1" applyAlignment="1">
      <alignment horizontal="left" vertical="center" wrapText="1" indent="1"/>
    </xf>
    <xf numFmtId="165" fontId="1" fillId="3" borderId="98" xfId="233" applyFill="1" applyBorder="1" applyAlignment="1">
      <alignment horizontal="right" vertical="center"/>
    </xf>
    <xf numFmtId="3" fontId="1" fillId="0" borderId="41" xfId="61" applyNumberFormat="1" applyBorder="1" applyAlignment="1">
      <alignment horizontal="center"/>
    </xf>
    <xf numFmtId="0" fontId="1" fillId="0" borderId="41" xfId="61" applyBorder="1" applyAlignment="1">
      <alignment horizontal="left" indent="1"/>
    </xf>
    <xf numFmtId="0" fontId="1" fillId="0" borderId="41" xfId="61" applyBorder="1" applyAlignment="1">
      <alignment horizontal="center" vertical="center"/>
    </xf>
    <xf numFmtId="0" fontId="1" fillId="0" borderId="41" xfId="61" applyBorder="1"/>
    <xf numFmtId="180" fontId="1" fillId="0" borderId="41" xfId="61" applyNumberFormat="1" applyBorder="1" applyAlignment="1">
      <alignment horizontal="right"/>
    </xf>
    <xf numFmtId="0" fontId="1" fillId="0" borderId="96" xfId="61" applyBorder="1"/>
    <xf numFmtId="43" fontId="52" fillId="2" borderId="26" xfId="333" applyFont="1" applyFill="1" applyBorder="1" applyAlignment="1">
      <alignment horizontal="center" vertical="center" wrapText="1"/>
    </xf>
    <xf numFmtId="43" fontId="52" fillId="2" borderId="28" xfId="333" applyFont="1" applyFill="1" applyBorder="1" applyAlignment="1">
      <alignment horizontal="center" vertical="center" wrapText="1"/>
    </xf>
    <xf numFmtId="43" fontId="52" fillId="2" borderId="30" xfId="333" applyFont="1" applyFill="1" applyBorder="1" applyAlignment="1">
      <alignment horizontal="center" vertical="center" wrapText="1"/>
    </xf>
    <xf numFmtId="43" fontId="52" fillId="2" borderId="4" xfId="333" applyFont="1" applyFill="1" applyBorder="1" applyAlignment="1">
      <alignment horizontal="center" vertical="center" wrapText="1"/>
    </xf>
    <xf numFmtId="43" fontId="52" fillId="2" borderId="26" xfId="333" applyFont="1" applyFill="1" applyBorder="1" applyAlignment="1">
      <alignment horizontal="center" vertical="distributed" wrapText="1"/>
    </xf>
    <xf numFmtId="43" fontId="52" fillId="2" borderId="30" xfId="333" applyFont="1" applyFill="1" applyBorder="1" applyAlignment="1">
      <alignment horizontal="center" vertical="distributed" wrapText="1"/>
    </xf>
    <xf numFmtId="43" fontId="52" fillId="2" borderId="31" xfId="333" applyFont="1" applyFill="1" applyBorder="1" applyAlignment="1">
      <alignment horizontal="center" vertical="distributed" wrapText="1"/>
    </xf>
    <xf numFmtId="0" fontId="52" fillId="2" borderId="28" xfId="61" applyFont="1" applyFill="1" applyBorder="1" applyAlignment="1">
      <alignment horizontal="center" vertical="center" wrapText="1"/>
    </xf>
    <xf numFmtId="1" fontId="52" fillId="2" borderId="26" xfId="61" applyNumberFormat="1" applyFont="1" applyFill="1" applyBorder="1" applyAlignment="1">
      <alignment horizontal="right" vertical="center" wrapText="1"/>
    </xf>
    <xf numFmtId="2" fontId="52" fillId="2" borderId="30" xfId="61" applyNumberFormat="1" applyFont="1" applyFill="1" applyBorder="1" applyAlignment="1">
      <alignment horizontal="left" vertical="center" wrapText="1"/>
    </xf>
    <xf numFmtId="1" fontId="52" fillId="2" borderId="4" xfId="61" applyNumberFormat="1" applyFont="1" applyFill="1" applyBorder="1" applyAlignment="1">
      <alignment horizontal="center" vertical="center" wrapText="1"/>
    </xf>
    <xf numFmtId="185" fontId="52" fillId="2" borderId="30" xfId="333" applyNumberFormat="1" applyFont="1" applyFill="1" applyBorder="1" applyAlignment="1">
      <alignment horizontal="center" vertical="distributed" wrapText="1"/>
    </xf>
    <xf numFmtId="0" fontId="51" fillId="2" borderId="28" xfId="30" applyFont="1" applyFill="1" applyBorder="1" applyAlignment="1">
      <alignment horizontal="left" vertical="center" wrapText="1"/>
    </xf>
    <xf numFmtId="0" fontId="1" fillId="0" borderId="48" xfId="335" applyBorder="1" applyAlignment="1">
      <alignment horizontal="center" vertical="center" wrapText="1"/>
    </xf>
    <xf numFmtId="3" fontId="1" fillId="0" borderId="37" xfId="335" applyNumberFormat="1" applyBorder="1" applyAlignment="1">
      <alignment horizontal="center" vertical="center" wrapText="1"/>
    </xf>
    <xf numFmtId="0" fontId="1" fillId="0" borderId="37" xfId="335" applyBorder="1" applyAlignment="1">
      <alignment horizontal="center" vertical="center" wrapText="1"/>
    </xf>
    <xf numFmtId="165" fontId="1" fillId="0" borderId="37" xfId="233" applyFill="1" applyBorder="1" applyAlignment="1">
      <alignment horizontal="center" vertical="center" wrapText="1"/>
    </xf>
    <xf numFmtId="184" fontId="1" fillId="0" borderId="37" xfId="233" applyNumberFormat="1" applyFill="1" applyBorder="1" applyAlignment="1">
      <alignment horizontal="center" vertical="center" wrapText="1"/>
    </xf>
    <xf numFmtId="180" fontId="1" fillId="0" borderId="37" xfId="362" applyNumberFormat="1" applyFill="1" applyBorder="1" applyAlignment="1">
      <alignment horizontal="right" vertical="center" wrapText="1"/>
    </xf>
    <xf numFmtId="165" fontId="1" fillId="0" borderId="49" xfId="233" applyFill="1" applyBorder="1" applyAlignment="1">
      <alignment horizontal="center" vertical="center" wrapText="1"/>
    </xf>
    <xf numFmtId="0" fontId="12" fillId="33" borderId="36" xfId="335" applyFont="1" applyFill="1" applyBorder="1" applyAlignment="1">
      <alignment horizontal="center" vertical="center" wrapText="1"/>
    </xf>
    <xf numFmtId="165" fontId="12" fillId="33" borderId="36" xfId="233" applyFont="1" applyFill="1" applyBorder="1" applyAlignment="1">
      <alignment horizontal="right" vertical="center" wrapText="1"/>
    </xf>
    <xf numFmtId="184" fontId="12" fillId="33" borderId="36" xfId="233" applyNumberFormat="1" applyFont="1" applyFill="1" applyBorder="1" applyAlignment="1">
      <alignment vertical="center" wrapText="1"/>
    </xf>
    <xf numFmtId="4" fontId="47" fillId="3" borderId="36" xfId="336" applyNumberFormat="1" applyFont="1" applyFill="1" applyBorder="1" applyAlignment="1">
      <alignment horizontal="right" vertical="center"/>
    </xf>
    <xf numFmtId="180" fontId="12" fillId="3" borderId="36" xfId="337" applyNumberFormat="1" applyFont="1" applyFill="1" applyBorder="1" applyAlignment="1">
      <alignment horizontal="right" vertical="center"/>
    </xf>
    <xf numFmtId="0" fontId="12" fillId="35" borderId="27" xfId="335" applyFont="1" applyFill="1" applyBorder="1" applyAlignment="1">
      <alignment horizontal="center" vertical="center" wrapText="1"/>
    </xf>
    <xf numFmtId="3" fontId="12" fillId="35" borderId="35" xfId="335" applyNumberFormat="1" applyFont="1" applyFill="1" applyBorder="1" applyAlignment="1">
      <alignment horizontal="left" vertical="center" indent="1"/>
    </xf>
    <xf numFmtId="0" fontId="12" fillId="35" borderId="35" xfId="335" applyFont="1" applyFill="1" applyBorder="1" applyAlignment="1">
      <alignment horizontal="center" vertical="center" wrapText="1"/>
    </xf>
    <xf numFmtId="165" fontId="12" fillId="35" borderId="35" xfId="233" applyFont="1" applyFill="1" applyBorder="1" applyAlignment="1">
      <alignment horizontal="right" vertical="center" wrapText="1"/>
    </xf>
    <xf numFmtId="184" fontId="12" fillId="35" borderId="35" xfId="233" applyNumberFormat="1" applyFont="1" applyFill="1" applyBorder="1" applyAlignment="1">
      <alignment vertical="center" wrapText="1"/>
    </xf>
    <xf numFmtId="4" fontId="47" fillId="30" borderId="35" xfId="336" applyNumberFormat="1" applyFont="1" applyFill="1" applyBorder="1" applyAlignment="1">
      <alignment horizontal="right" vertical="center"/>
    </xf>
    <xf numFmtId="180" fontId="12" fillId="30" borderId="35" xfId="337" applyNumberFormat="1" applyFont="1" applyFill="1" applyBorder="1" applyAlignment="1">
      <alignment horizontal="right" vertical="center"/>
    </xf>
    <xf numFmtId="0" fontId="12" fillId="30" borderId="0" xfId="1" applyFont="1" applyFill="1"/>
    <xf numFmtId="0" fontId="12" fillId="33" borderId="25" xfId="335" applyFont="1" applyFill="1" applyBorder="1" applyAlignment="1">
      <alignment horizontal="center" vertical="center" wrapText="1"/>
    </xf>
    <xf numFmtId="3" fontId="12" fillId="33" borderId="36" xfId="335" applyNumberFormat="1" applyFont="1" applyFill="1" applyBorder="1" applyAlignment="1">
      <alignment horizontal="left" vertical="center"/>
    </xf>
    <xf numFmtId="0" fontId="12" fillId="33" borderId="36" xfId="335" applyFont="1" applyFill="1" applyBorder="1" applyAlignment="1">
      <alignment horizontal="left" vertical="center" wrapText="1" indent="1"/>
    </xf>
    <xf numFmtId="0" fontId="12" fillId="3" borderId="0" xfId="1" applyFont="1" applyFill="1" applyAlignment="1">
      <alignment vertical="center"/>
    </xf>
    <xf numFmtId="2" fontId="45" fillId="2" borderId="0" xfId="328" quotePrefix="1" applyNumberFormat="1" applyFont="1" applyFill="1" applyAlignment="1">
      <alignment horizontal="left" vertical="center"/>
    </xf>
    <xf numFmtId="186" fontId="59" fillId="2" borderId="28" xfId="61" applyNumberFormat="1" applyFont="1" applyFill="1" applyBorder="1" applyAlignment="1">
      <alignment horizontal="center" vertical="center" wrapText="1"/>
    </xf>
    <xf numFmtId="186" fontId="59" fillId="2" borderId="34" xfId="61" applyNumberFormat="1" applyFont="1" applyFill="1" applyBorder="1" applyAlignment="1">
      <alignment horizontal="center" vertical="center" wrapText="1"/>
    </xf>
    <xf numFmtId="0" fontId="44" fillId="2" borderId="152" xfId="0" applyFont="1" applyFill="1" applyBorder="1" applyAlignment="1">
      <alignment vertical="center" wrapText="1"/>
    </xf>
    <xf numFmtId="1" fontId="44" fillId="2" borderId="152" xfId="0" applyNumberFormat="1" applyFont="1" applyFill="1" applyBorder="1" applyAlignment="1">
      <alignment vertical="center" wrapText="1"/>
    </xf>
    <xf numFmtId="0" fontId="44" fillId="2" borderId="0" xfId="0" applyFont="1" applyFill="1" applyAlignment="1">
      <alignment vertical="center" wrapText="1"/>
    </xf>
    <xf numFmtId="0" fontId="44" fillId="2" borderId="28" xfId="30" applyFont="1" applyFill="1" applyBorder="1" applyAlignment="1">
      <alignment horizontal="left" vertical="center" wrapText="1"/>
    </xf>
    <xf numFmtId="43" fontId="59" fillId="2" borderId="31" xfId="333" applyFont="1" applyFill="1" applyBorder="1" applyAlignment="1">
      <alignment horizontal="center" vertical="distributed" wrapText="1"/>
    </xf>
    <xf numFmtId="167" fontId="59" fillId="2" borderId="30" xfId="333" applyNumberFormat="1" applyFont="1" applyFill="1" applyBorder="1" applyAlignment="1">
      <alignment horizontal="center" vertical="distributed" wrapText="1"/>
    </xf>
    <xf numFmtId="0" fontId="59" fillId="2" borderId="34" xfId="30" applyFont="1" applyFill="1" applyBorder="1" applyAlignment="1">
      <alignment horizontal="left" vertical="center" wrapText="1"/>
    </xf>
    <xf numFmtId="0" fontId="59" fillId="2" borderId="34" xfId="61" applyFont="1" applyFill="1" applyBorder="1" applyAlignment="1">
      <alignment horizontal="center" vertical="distributed" wrapText="1"/>
    </xf>
    <xf numFmtId="185" fontId="59" fillId="2" borderId="4" xfId="333" applyNumberFormat="1" applyFont="1" applyFill="1" applyBorder="1" applyAlignment="1">
      <alignment horizontal="center" vertical="center" wrapText="1"/>
    </xf>
    <xf numFmtId="2" fontId="59" fillId="2" borderId="28" xfId="61" applyNumberFormat="1" applyFont="1" applyFill="1" applyBorder="1" applyAlignment="1">
      <alignment horizontal="center" vertical="center" wrapText="1"/>
    </xf>
    <xf numFmtId="0" fontId="50" fillId="29" borderId="46" xfId="61" applyFont="1" applyFill="1" applyBorder="1" applyAlignment="1" applyProtection="1">
      <alignment horizontal="center" vertical="center"/>
      <protection locked="0"/>
    </xf>
    <xf numFmtId="4" fontId="50" fillId="29" borderId="47" xfId="61" applyNumberFormat="1" applyFont="1" applyFill="1" applyBorder="1" applyAlignment="1" applyProtection="1">
      <alignment horizontal="center" vertical="center"/>
      <protection locked="0"/>
    </xf>
    <xf numFmtId="0" fontId="12" fillId="0" borderId="25" xfId="335" applyFont="1" applyBorder="1" applyAlignment="1">
      <alignment horizontal="center" vertical="center" wrapText="1"/>
    </xf>
    <xf numFmtId="3" fontId="12" fillId="0" borderId="36" xfId="335" applyNumberFormat="1" applyFont="1" applyBorder="1" applyAlignment="1">
      <alignment horizontal="left" vertical="center"/>
    </xf>
    <xf numFmtId="0" fontId="12" fillId="0" borderId="36" xfId="335" applyFont="1" applyBorder="1" applyAlignment="1">
      <alignment horizontal="center" vertical="center" wrapText="1"/>
    </xf>
    <xf numFmtId="165" fontId="12" fillId="0" borderId="36" xfId="233" applyFont="1" applyFill="1" applyBorder="1" applyAlignment="1">
      <alignment horizontal="right" vertical="center" wrapText="1"/>
    </xf>
    <xf numFmtId="184" fontId="12" fillId="0" borderId="36" xfId="233" applyNumberFormat="1" applyFont="1" applyFill="1" applyBorder="1" applyAlignment="1">
      <alignment vertical="center" wrapText="1"/>
    </xf>
    <xf numFmtId="4" fontId="47" fillId="0" borderId="36" xfId="336" applyNumberFormat="1" applyFont="1" applyFill="1" applyBorder="1" applyAlignment="1">
      <alignment horizontal="right" vertical="center"/>
    </xf>
    <xf numFmtId="180" fontId="12" fillId="0" borderId="36" xfId="337" applyNumberFormat="1" applyFont="1" applyFill="1" applyBorder="1" applyAlignment="1">
      <alignment horizontal="right" vertical="center"/>
    </xf>
    <xf numFmtId="0" fontId="12" fillId="0" borderId="0" xfId="1" applyFont="1" applyAlignment="1">
      <alignment vertical="center"/>
    </xf>
    <xf numFmtId="0" fontId="59" fillId="2" borderId="28" xfId="30" quotePrefix="1" applyFont="1" applyFill="1" applyBorder="1" applyAlignment="1">
      <alignment horizontal="left" vertical="center" wrapText="1"/>
    </xf>
    <xf numFmtId="3" fontId="1" fillId="36" borderId="37" xfId="335" applyNumberFormat="1" applyFill="1" applyBorder="1" applyAlignment="1">
      <alignment horizontal="center" vertical="center" wrapText="1"/>
    </xf>
    <xf numFmtId="0" fontId="1" fillId="36" borderId="37" xfId="335" applyFill="1" applyBorder="1" applyAlignment="1">
      <alignment horizontal="left" vertical="center" wrapText="1" indent="1"/>
    </xf>
    <xf numFmtId="0" fontId="1" fillId="36" borderId="37" xfId="335" applyFill="1" applyBorder="1" applyAlignment="1">
      <alignment horizontal="center" vertical="center" wrapText="1"/>
    </xf>
    <xf numFmtId="165" fontId="1" fillId="36" borderId="37" xfId="233" applyFill="1" applyBorder="1" applyAlignment="1">
      <alignment horizontal="center" vertical="center" wrapText="1"/>
    </xf>
    <xf numFmtId="184" fontId="1" fillId="36" borderId="37" xfId="233" applyNumberFormat="1" applyFill="1" applyBorder="1" applyAlignment="1">
      <alignment horizontal="center" vertical="center" wrapText="1"/>
    </xf>
    <xf numFmtId="165" fontId="1" fillId="36" borderId="49" xfId="233" applyFill="1" applyBorder="1" applyAlignment="1">
      <alignment horizontal="center" vertical="center" wrapText="1"/>
    </xf>
    <xf numFmtId="0" fontId="1" fillId="36" borderId="0" xfId="61" applyFill="1"/>
    <xf numFmtId="49" fontId="59" fillId="0" borderId="28" xfId="30" applyNumberFormat="1" applyFont="1" applyBorder="1" applyAlignment="1">
      <alignment horizontal="center" vertical="center" wrapText="1"/>
    </xf>
    <xf numFmtId="1" fontId="59" fillId="0" borderId="26" xfId="61" applyNumberFormat="1" applyFont="1" applyBorder="1" applyAlignment="1">
      <alignment horizontal="right" vertical="center" wrapText="1"/>
    </xf>
    <xf numFmtId="1" fontId="59" fillId="0" borderId="4" xfId="61" applyNumberFormat="1" applyFont="1" applyBorder="1" applyAlignment="1">
      <alignment horizontal="center" vertical="center" wrapText="1"/>
    </xf>
    <xf numFmtId="2" fontId="59" fillId="0" borderId="30" xfId="61" applyNumberFormat="1" applyFont="1" applyBorder="1" applyAlignment="1">
      <alignment horizontal="left" vertical="center" wrapText="1"/>
    </xf>
    <xf numFmtId="43" fontId="59" fillId="0" borderId="26" xfId="333" applyFont="1" applyFill="1" applyBorder="1" applyAlignment="1">
      <alignment horizontal="center" vertical="center" wrapText="1"/>
    </xf>
    <xf numFmtId="43" fontId="59" fillId="0" borderId="28" xfId="333" applyFont="1" applyFill="1" applyBorder="1" applyAlignment="1">
      <alignment horizontal="center" vertical="center" wrapText="1"/>
    </xf>
    <xf numFmtId="43" fontId="59" fillId="0" borderId="30" xfId="333" applyFont="1" applyFill="1" applyBorder="1" applyAlignment="1">
      <alignment horizontal="center" vertical="center" wrapText="1"/>
    </xf>
    <xf numFmtId="185" fontId="59" fillId="0" borderId="4" xfId="333" applyNumberFormat="1" applyFont="1" applyFill="1" applyBorder="1" applyAlignment="1">
      <alignment horizontal="center" vertical="center" wrapText="1"/>
    </xf>
    <xf numFmtId="43" fontId="59" fillId="0" borderId="26" xfId="333" applyFont="1" applyFill="1" applyBorder="1" applyAlignment="1">
      <alignment horizontal="center" vertical="distributed" wrapText="1"/>
    </xf>
    <xf numFmtId="43" fontId="59" fillId="0" borderId="30" xfId="333" applyFont="1" applyFill="1" applyBorder="1" applyAlignment="1">
      <alignment horizontal="center" vertical="distributed" wrapText="1"/>
    </xf>
    <xf numFmtId="185" fontId="59" fillId="0" borderId="30" xfId="333" applyNumberFormat="1" applyFont="1" applyFill="1" applyBorder="1" applyAlignment="1">
      <alignment horizontal="center" vertical="distributed" wrapText="1"/>
    </xf>
    <xf numFmtId="43" fontId="59" fillId="0" borderId="28" xfId="333" applyFont="1" applyFill="1" applyBorder="1" applyAlignment="1">
      <alignment horizontal="center" vertical="distributed" wrapText="1"/>
    </xf>
    <xf numFmtId="186" fontId="59" fillId="0" borderId="28" xfId="61" applyNumberFormat="1" applyFont="1" applyBorder="1" applyAlignment="1">
      <alignment horizontal="center" vertical="center" wrapText="1"/>
    </xf>
    <xf numFmtId="0" fontId="59" fillId="0" borderId="28" xfId="61" applyFont="1" applyBorder="1" applyAlignment="1">
      <alignment horizontal="left" vertical="distributed" wrapText="1"/>
    </xf>
    <xf numFmtId="184" fontId="12" fillId="36" borderId="37" xfId="233" applyNumberFormat="1" applyFont="1" applyFill="1" applyBorder="1" applyAlignment="1">
      <alignment horizontal="center" vertical="center" wrapText="1"/>
    </xf>
    <xf numFmtId="165" fontId="12" fillId="36" borderId="37" xfId="233" applyFont="1" applyFill="1" applyBorder="1" applyAlignment="1">
      <alignment horizontal="center" vertical="center" wrapText="1"/>
    </xf>
    <xf numFmtId="44" fontId="1" fillId="0" borderId="95" xfId="61" applyNumberFormat="1" applyBorder="1" applyAlignment="1">
      <alignment horizontal="center"/>
    </xf>
    <xf numFmtId="44" fontId="1" fillId="0" borderId="95" xfId="11688" applyFont="1" applyBorder="1" applyAlignment="1">
      <alignment vertical="center"/>
    </xf>
    <xf numFmtId="165" fontId="12" fillId="0" borderId="37" xfId="233" applyFont="1" applyFill="1" applyBorder="1" applyAlignment="1">
      <alignment horizontal="center" vertical="center" wrapText="1"/>
    </xf>
    <xf numFmtId="184" fontId="12" fillId="0" borderId="37" xfId="233" applyNumberFormat="1" applyFont="1" applyFill="1" applyBorder="1" applyAlignment="1">
      <alignment horizontal="center" vertical="center" wrapText="1"/>
    </xf>
    <xf numFmtId="165" fontId="64" fillId="0" borderId="37" xfId="233" applyFont="1" applyFill="1" applyBorder="1" applyAlignment="1">
      <alignment horizontal="center" vertical="center" wrapText="1"/>
    </xf>
    <xf numFmtId="165" fontId="1" fillId="0" borderId="49" xfId="233" quotePrefix="1" applyFill="1" applyBorder="1" applyAlignment="1">
      <alignment horizontal="center" vertical="center" wrapText="1"/>
    </xf>
    <xf numFmtId="3" fontId="45" fillId="0" borderId="152" xfId="61" applyNumberFormat="1" applyFont="1" applyBorder="1" applyAlignment="1">
      <alignment horizontal="center"/>
    </xf>
    <xf numFmtId="0" fontId="45" fillId="2" borderId="151" xfId="61" applyFont="1" applyFill="1" applyBorder="1" applyAlignment="1">
      <alignment vertical="center"/>
    </xf>
    <xf numFmtId="0" fontId="45" fillId="2" borderId="29" xfId="61" applyFont="1" applyFill="1" applyBorder="1" applyAlignment="1">
      <alignment vertical="center"/>
    </xf>
    <xf numFmtId="181" fontId="63" fillId="0" borderId="29" xfId="61" applyNumberFormat="1" applyFont="1" applyBorder="1" applyAlignment="1">
      <alignment horizontal="left" vertical="center"/>
    </xf>
    <xf numFmtId="44" fontId="1" fillId="0" borderId="0" xfId="61" applyNumberFormat="1"/>
    <xf numFmtId="44" fontId="1" fillId="0" borderId="0" xfId="61" applyNumberFormat="1" applyAlignment="1">
      <alignment horizontal="right"/>
    </xf>
    <xf numFmtId="0" fontId="59" fillId="2" borderId="28" xfId="30" quotePrefix="1" applyFont="1" applyFill="1" applyBorder="1" applyAlignment="1">
      <alignment horizontal="left" wrapText="1"/>
    </xf>
    <xf numFmtId="1" fontId="13" fillId="2" borderId="155" xfId="61" applyNumberFormat="1" applyFont="1" applyFill="1" applyBorder="1" applyAlignment="1">
      <alignment horizontal="center" vertical="center" wrapText="1"/>
    </xf>
    <xf numFmtId="186" fontId="59" fillId="2" borderId="155" xfId="61" applyNumberFormat="1" applyFont="1" applyFill="1" applyBorder="1" applyAlignment="1">
      <alignment horizontal="center" vertical="center" wrapText="1"/>
    </xf>
    <xf numFmtId="0" fontId="13" fillId="2" borderId="155" xfId="61" applyFont="1" applyFill="1" applyBorder="1" applyAlignment="1">
      <alignment horizontal="center" vertical="distributed" wrapText="1"/>
    </xf>
    <xf numFmtId="0" fontId="45" fillId="2" borderId="0" xfId="328" applyFont="1" applyFill="1" applyAlignment="1">
      <alignment horizontal="left" vertical="center"/>
    </xf>
    <xf numFmtId="0" fontId="1" fillId="2" borderId="0" xfId="61" applyFill="1" applyAlignment="1">
      <alignment vertical="center"/>
    </xf>
    <xf numFmtId="0" fontId="12" fillId="3" borderId="144" xfId="61" applyFont="1" applyFill="1" applyBorder="1" applyAlignment="1">
      <alignment vertical="center"/>
    </xf>
    <xf numFmtId="0" fontId="12" fillId="3" borderId="147" xfId="61" applyFont="1" applyFill="1" applyBorder="1" applyAlignment="1">
      <alignment vertical="center"/>
    </xf>
    <xf numFmtId="0" fontId="12" fillId="3" borderId="148" xfId="61" applyFont="1" applyFill="1" applyBorder="1" applyAlignment="1">
      <alignment vertical="center"/>
    </xf>
    <xf numFmtId="0" fontId="12" fillId="0" borderId="95" xfId="61" applyFont="1" applyBorder="1" applyAlignment="1">
      <alignment horizontal="center" vertical="center"/>
    </xf>
    <xf numFmtId="44" fontId="1" fillId="0" borderId="95" xfId="11688" applyFont="1" applyBorder="1" applyAlignment="1">
      <alignment horizontal="center" vertical="center"/>
    </xf>
    <xf numFmtId="44" fontId="1" fillId="0" borderId="95" xfId="61" applyNumberFormat="1" applyBorder="1"/>
    <xf numFmtId="44" fontId="1" fillId="0" borderId="95" xfId="61" applyNumberFormat="1" applyBorder="1" applyAlignment="1">
      <alignment horizontal="center" vertical="center"/>
    </xf>
    <xf numFmtId="0" fontId="12" fillId="0" borderId="95" xfId="61" applyFont="1" applyBorder="1" applyAlignment="1">
      <alignment horizontal="center" vertical="center" wrapText="1"/>
    </xf>
    <xf numFmtId="180" fontId="12" fillId="0" borderId="95" xfId="61" applyNumberFormat="1" applyFont="1" applyBorder="1" applyAlignment="1">
      <alignment horizontal="center" vertical="center"/>
    </xf>
    <xf numFmtId="10" fontId="1" fillId="0" borderId="95" xfId="334" applyNumberFormat="1" applyFont="1" applyBorder="1" applyAlignment="1">
      <alignment horizontal="center" vertical="center"/>
    </xf>
    <xf numFmtId="0" fontId="59" fillId="2" borderId="28" xfId="61" applyFont="1" applyFill="1" applyBorder="1" applyAlignment="1">
      <alignment horizontal="center" vertical="distributed"/>
    </xf>
    <xf numFmtId="0" fontId="68" fillId="0" borderId="0" xfId="11689" applyFont="1" applyAlignment="1">
      <alignment vertical="center" wrapText="1"/>
    </xf>
    <xf numFmtId="0" fontId="68" fillId="0" borderId="0" xfId="11689" applyFont="1" applyAlignment="1">
      <alignment horizontal="left" vertical="top"/>
    </xf>
    <xf numFmtId="0" fontId="13" fillId="0" borderId="0" xfId="11689" applyFont="1" applyAlignment="1">
      <alignment vertical="center" wrapText="1"/>
    </xf>
    <xf numFmtId="187" fontId="68" fillId="0" borderId="0" xfId="11689" applyNumberFormat="1" applyFont="1" applyAlignment="1">
      <alignment horizontal="left" vertical="top"/>
    </xf>
    <xf numFmtId="0" fontId="13" fillId="0" borderId="0" xfId="11689" applyFont="1" applyAlignment="1">
      <alignment horizontal="left" vertical="top"/>
    </xf>
    <xf numFmtId="2" fontId="44" fillId="0" borderId="95" xfId="11689" applyNumberFormat="1" applyFont="1" applyBorder="1" applyAlignment="1">
      <alignment horizontal="center" vertical="center" wrapText="1"/>
    </xf>
    <xf numFmtId="188" fontId="44" fillId="0" borderId="95" xfId="11689" applyNumberFormat="1" applyFont="1" applyBorder="1" applyAlignment="1">
      <alignment horizontal="center" vertical="center" wrapText="1"/>
    </xf>
    <xf numFmtId="0" fontId="44" fillId="0" borderId="95" xfId="11689" applyFont="1" applyBorder="1" applyAlignment="1">
      <alignment horizontal="center" vertical="center" wrapText="1"/>
    </xf>
    <xf numFmtId="44" fontId="44" fillId="0" borderId="95" xfId="11690" applyFont="1" applyFill="1" applyBorder="1" applyAlignment="1">
      <alignment horizontal="center" vertical="center" wrapText="1"/>
    </xf>
    <xf numFmtId="44" fontId="44" fillId="0" borderId="144" xfId="11690" applyFont="1" applyFill="1" applyBorder="1" applyAlignment="1">
      <alignment horizontal="center" vertical="center" wrapText="1"/>
    </xf>
    <xf numFmtId="0" fontId="13" fillId="0" borderId="0" xfId="11689" applyFont="1" applyAlignment="1">
      <alignment horizontal="left" vertical="center"/>
    </xf>
    <xf numFmtId="0" fontId="68" fillId="32" borderId="168" xfId="11689" applyFont="1" applyFill="1" applyBorder="1" applyAlignment="1">
      <alignment wrapText="1"/>
    </xf>
    <xf numFmtId="0" fontId="68" fillId="32" borderId="166" xfId="11689" applyFont="1" applyFill="1" applyBorder="1" applyAlignment="1">
      <alignment horizontal="center" wrapText="1"/>
    </xf>
    <xf numFmtId="0" fontId="44" fillId="32" borderId="3" xfId="11689" applyFont="1" applyFill="1" applyBorder="1" applyAlignment="1">
      <alignment horizontal="center" vertical="top" wrapText="1"/>
    </xf>
    <xf numFmtId="0" fontId="68" fillId="32" borderId="3" xfId="11689" applyFont="1" applyFill="1" applyBorder="1" applyAlignment="1">
      <alignment horizontal="left" vertical="top" wrapText="1"/>
    </xf>
    <xf numFmtId="0" fontId="68" fillId="32" borderId="3" xfId="11689" applyFont="1" applyFill="1" applyBorder="1" applyAlignment="1">
      <alignment horizontal="center" vertical="center" wrapText="1"/>
    </xf>
    <xf numFmtId="44" fontId="68" fillId="32" borderId="3" xfId="11690" applyFont="1" applyFill="1" applyBorder="1" applyAlignment="1">
      <alignment vertical="center" wrapText="1"/>
    </xf>
    <xf numFmtId="2" fontId="68" fillId="32" borderId="3" xfId="11689" applyNumberFormat="1" applyFont="1" applyFill="1" applyBorder="1" applyAlignment="1">
      <alignment horizontal="center" vertical="center" wrapText="1"/>
    </xf>
    <xf numFmtId="4" fontId="67" fillId="32" borderId="3" xfId="11689" applyNumberFormat="1" applyFont="1" applyFill="1" applyBorder="1" applyAlignment="1">
      <alignment horizontal="center" vertical="center" shrinkToFit="1"/>
    </xf>
    <xf numFmtId="2" fontId="67" fillId="32" borderId="3" xfId="11689" applyNumberFormat="1" applyFont="1" applyFill="1" applyBorder="1" applyAlignment="1">
      <alignment horizontal="center" vertical="center" shrinkToFit="1"/>
    </xf>
    <xf numFmtId="44" fontId="67" fillId="32" borderId="3" xfId="11690" applyFont="1" applyFill="1" applyBorder="1" applyAlignment="1">
      <alignment vertical="center" shrinkToFit="1"/>
    </xf>
    <xf numFmtId="44" fontId="67" fillId="32" borderId="145" xfId="11690" applyFont="1" applyFill="1" applyBorder="1" applyAlignment="1">
      <alignment vertical="center" shrinkToFit="1"/>
    </xf>
    <xf numFmtId="0" fontId="68" fillId="32" borderId="0" xfId="11689" applyFont="1" applyFill="1" applyAlignment="1">
      <alignment horizontal="left" vertical="top"/>
    </xf>
    <xf numFmtId="0" fontId="68" fillId="37" borderId="169" xfId="11689" applyFont="1" applyFill="1" applyBorder="1" applyAlignment="1">
      <alignment wrapText="1"/>
    </xf>
    <xf numFmtId="0" fontId="68" fillId="37" borderId="170" xfId="11689" applyFont="1" applyFill="1" applyBorder="1" applyAlignment="1">
      <alignment horizontal="center" wrapText="1"/>
    </xf>
    <xf numFmtId="0" fontId="44" fillId="37" borderId="95" xfId="11689" applyFont="1" applyFill="1" applyBorder="1" applyAlignment="1">
      <alignment horizontal="center" vertical="top" wrapText="1"/>
    </xf>
    <xf numFmtId="0" fontId="68" fillId="37" borderId="95" xfId="11689" applyFont="1" applyFill="1" applyBorder="1" applyAlignment="1">
      <alignment horizontal="left" vertical="top" wrapText="1"/>
    </xf>
    <xf numFmtId="0" fontId="68" fillId="37" borderId="95" xfId="11689" applyFont="1" applyFill="1" applyBorder="1" applyAlignment="1">
      <alignment horizontal="center" vertical="center" wrapText="1"/>
    </xf>
    <xf numFmtId="44" fontId="68" fillId="37" borderId="95" xfId="11690" applyFont="1" applyFill="1" applyBorder="1" applyAlignment="1">
      <alignment vertical="center" wrapText="1"/>
    </xf>
    <xf numFmtId="2" fontId="68" fillId="37" borderId="95" xfId="11689" applyNumberFormat="1" applyFont="1" applyFill="1" applyBorder="1" applyAlignment="1">
      <alignment horizontal="center" vertical="center" wrapText="1"/>
    </xf>
    <xf numFmtId="4" fontId="67" fillId="37" borderId="95" xfId="11689" applyNumberFormat="1" applyFont="1" applyFill="1" applyBorder="1" applyAlignment="1">
      <alignment horizontal="center" vertical="center" shrinkToFit="1"/>
    </xf>
    <xf numFmtId="2" fontId="67" fillId="37" borderId="95" xfId="11689" applyNumberFormat="1" applyFont="1" applyFill="1" applyBorder="1" applyAlignment="1">
      <alignment horizontal="center" vertical="center" shrinkToFit="1"/>
    </xf>
    <xf numFmtId="44" fontId="67" fillId="37" borderId="95" xfId="11690" applyFont="1" applyFill="1" applyBorder="1" applyAlignment="1">
      <alignment vertical="center" shrinkToFit="1"/>
    </xf>
    <xf numFmtId="44" fontId="67" fillId="37" borderId="144" xfId="11690" applyFont="1" applyFill="1" applyBorder="1" applyAlignment="1">
      <alignment vertical="center" shrinkToFit="1"/>
    </xf>
    <xf numFmtId="0" fontId="13" fillId="0" borderId="169" xfId="11689" applyFont="1" applyBorder="1" applyAlignment="1">
      <alignment vertical="top" wrapText="1"/>
    </xf>
    <xf numFmtId="0" fontId="13" fillId="0" borderId="170" xfId="11689" applyFont="1" applyBorder="1" applyAlignment="1">
      <alignment horizontal="center" vertical="top" wrapText="1"/>
    </xf>
    <xf numFmtId="0" fontId="44" fillId="0" borderId="95" xfId="11689" applyFont="1" applyBorder="1" applyAlignment="1">
      <alignment horizontal="center" vertical="top" wrapText="1"/>
    </xf>
    <xf numFmtId="0" fontId="68" fillId="0" borderId="95" xfId="11689" applyFont="1" applyBorder="1" applyAlignment="1">
      <alignment horizontal="left" vertical="top" wrapText="1"/>
    </xf>
    <xf numFmtId="0" fontId="13" fillId="0" borderId="95" xfId="11689" applyFont="1" applyBorder="1" applyAlignment="1">
      <alignment horizontal="center" vertical="center" wrapText="1"/>
    </xf>
    <xf numFmtId="44" fontId="68" fillId="0" borderId="95" xfId="11690" applyFont="1" applyFill="1" applyBorder="1" applyAlignment="1">
      <alignment vertical="center" shrinkToFit="1"/>
    </xf>
    <xf numFmtId="2" fontId="68" fillId="0" borderId="95" xfId="11689" applyNumberFormat="1" applyFont="1" applyBorder="1" applyAlignment="1">
      <alignment horizontal="center" vertical="center" shrinkToFit="1"/>
    </xf>
    <xf numFmtId="183" fontId="44" fillId="0" borderId="95" xfId="11691" applyNumberFormat="1" applyFont="1" applyBorder="1" applyAlignment="1">
      <alignment horizontal="center" vertical="center" wrapText="1"/>
    </xf>
    <xf numFmtId="2" fontId="44" fillId="0" borderId="95" xfId="11691" applyNumberFormat="1" applyFont="1" applyBorder="1" applyAlignment="1">
      <alignment horizontal="center" vertical="center" wrapText="1"/>
    </xf>
    <xf numFmtId="44" fontId="68" fillId="0" borderId="144" xfId="11690" applyFont="1" applyFill="1" applyBorder="1" applyAlignment="1">
      <alignment vertical="center" shrinkToFit="1"/>
    </xf>
    <xf numFmtId="0" fontId="68" fillId="3" borderId="169" xfId="11689" applyFont="1" applyFill="1" applyBorder="1" applyAlignment="1">
      <alignment wrapText="1"/>
    </xf>
    <xf numFmtId="0" fontId="68" fillId="3" borderId="170" xfId="11689" applyFont="1" applyFill="1" applyBorder="1" applyAlignment="1">
      <alignment horizontal="center" wrapText="1"/>
    </xf>
    <xf numFmtId="0" fontId="44" fillId="3" borderId="95" xfId="11689" applyFont="1" applyFill="1" applyBorder="1" applyAlignment="1">
      <alignment horizontal="center" vertical="top" wrapText="1"/>
    </xf>
    <xf numFmtId="0" fontId="68" fillId="3" borderId="95" xfId="11689" applyFont="1" applyFill="1" applyBorder="1" applyAlignment="1">
      <alignment horizontal="left" vertical="top" wrapText="1"/>
    </xf>
    <xf numFmtId="0" fontId="68" fillId="3" borderId="95" xfId="11689" applyFont="1" applyFill="1" applyBorder="1" applyAlignment="1">
      <alignment horizontal="center" vertical="center" wrapText="1"/>
    </xf>
    <xf numFmtId="44" fontId="68" fillId="3" borderId="95" xfId="11690" applyFont="1" applyFill="1" applyBorder="1" applyAlignment="1">
      <alignment vertical="center" wrapText="1"/>
    </xf>
    <xf numFmtId="2" fontId="68" fillId="3" borderId="95" xfId="11689" applyNumberFormat="1" applyFont="1" applyFill="1" applyBorder="1" applyAlignment="1">
      <alignment horizontal="center" vertical="center" wrapText="1"/>
    </xf>
    <xf numFmtId="4" fontId="67" fillId="3" borderId="95" xfId="11689" applyNumberFormat="1" applyFont="1" applyFill="1" applyBorder="1" applyAlignment="1">
      <alignment horizontal="center" vertical="center" shrinkToFit="1"/>
    </xf>
    <xf numFmtId="2" fontId="67" fillId="3" borderId="95" xfId="11689" applyNumberFormat="1" applyFont="1" applyFill="1" applyBorder="1" applyAlignment="1">
      <alignment horizontal="center" vertical="center" shrinkToFit="1"/>
    </xf>
    <xf numFmtId="44" fontId="68" fillId="3" borderId="95" xfId="11690" applyFont="1" applyFill="1" applyBorder="1" applyAlignment="1">
      <alignment vertical="center" shrinkToFit="1"/>
    </xf>
    <xf numFmtId="44" fontId="68" fillId="3" borderId="144" xfId="11690" applyFont="1" applyFill="1" applyBorder="1" applyAlignment="1">
      <alignment vertical="center" shrinkToFit="1"/>
    </xf>
    <xf numFmtId="0" fontId="68" fillId="3" borderId="0" xfId="11689" applyFont="1" applyFill="1" applyAlignment="1">
      <alignment horizontal="left" vertical="top"/>
    </xf>
    <xf numFmtId="0" fontId="13" fillId="0" borderId="169" xfId="11689" applyFont="1" applyBorder="1" applyAlignment="1">
      <alignment vertical="center" wrapText="1"/>
    </xf>
    <xf numFmtId="189" fontId="68" fillId="0" borderId="170" xfId="11689" applyNumberFormat="1" applyFont="1" applyBorder="1" applyAlignment="1">
      <alignment horizontal="center" vertical="center" shrinkToFit="1"/>
    </xf>
    <xf numFmtId="0" fontId="13" fillId="0" borderId="95" xfId="11689" applyFont="1" applyBorder="1" applyAlignment="1">
      <alignment horizontal="left" vertical="top" wrapText="1"/>
    </xf>
    <xf numFmtId="189" fontId="68" fillId="0" borderId="170" xfId="11689" applyNumberFormat="1" applyFont="1" applyBorder="1" applyAlignment="1">
      <alignment horizontal="center" vertical="top" shrinkToFit="1"/>
    </xf>
    <xf numFmtId="0" fontId="13" fillId="0" borderId="95" xfId="11689" applyFont="1" applyBorder="1" applyAlignment="1">
      <alignment horizontal="left" vertical="center"/>
    </xf>
    <xf numFmtId="0" fontId="13" fillId="0" borderId="95" xfId="11689" applyFont="1" applyBorder="1" applyAlignment="1">
      <alignment horizontal="center" vertical="center"/>
    </xf>
    <xf numFmtId="0" fontId="13" fillId="0" borderId="95" xfId="11689" applyFont="1" applyBorder="1" applyAlignment="1">
      <alignment horizontal="left" vertical="center" wrapText="1"/>
    </xf>
    <xf numFmtId="180" fontId="13" fillId="0" borderId="95" xfId="11689" applyNumberFormat="1" applyFont="1" applyBorder="1" applyAlignment="1">
      <alignment horizontal="center" vertical="center"/>
    </xf>
    <xf numFmtId="44" fontId="13" fillId="0" borderId="95" xfId="11690" applyFont="1" applyFill="1" applyBorder="1" applyAlignment="1">
      <alignment vertical="center"/>
    </xf>
    <xf numFmtId="2" fontId="13" fillId="0" borderId="95" xfId="11692" applyNumberFormat="1" applyFont="1" applyFill="1" applyBorder="1" applyAlignment="1">
      <alignment horizontal="center" vertical="center"/>
    </xf>
    <xf numFmtId="2" fontId="44" fillId="0" borderId="95" xfId="11692" applyNumberFormat="1" applyFont="1" applyFill="1" applyBorder="1" applyAlignment="1">
      <alignment horizontal="center" vertical="center" wrapText="1"/>
    </xf>
    <xf numFmtId="44" fontId="13" fillId="0" borderId="95" xfId="11690" applyFont="1" applyFill="1" applyBorder="1" applyAlignment="1">
      <alignment vertical="center" wrapText="1"/>
    </xf>
    <xf numFmtId="44" fontId="44" fillId="0" borderId="95" xfId="11690" applyFont="1" applyFill="1" applyBorder="1" applyAlignment="1" applyProtection="1">
      <alignment horizontal="right" vertical="center" wrapText="1"/>
      <protection locked="0"/>
    </xf>
    <xf numFmtId="44" fontId="13" fillId="0" borderId="95" xfId="11690" applyFont="1" applyFill="1" applyBorder="1" applyAlignment="1" applyProtection="1">
      <alignment horizontal="center" vertical="center" wrapText="1"/>
      <protection locked="0"/>
    </xf>
    <xf numFmtId="44" fontId="13" fillId="0" borderId="144" xfId="11690" applyFont="1" applyFill="1" applyBorder="1" applyAlignment="1" applyProtection="1">
      <alignment vertical="center" wrapText="1"/>
      <protection locked="0"/>
    </xf>
    <xf numFmtId="0" fontId="70" fillId="0" borderId="0" xfId="1" applyFont="1" applyAlignment="1">
      <alignment vertical="center"/>
    </xf>
    <xf numFmtId="0" fontId="44" fillId="38" borderId="169" xfId="11689" applyFont="1" applyFill="1" applyBorder="1" applyAlignment="1">
      <alignment vertical="top" wrapText="1"/>
    </xf>
    <xf numFmtId="0" fontId="44" fillId="38" borderId="170" xfId="11689" applyFont="1" applyFill="1" applyBorder="1" applyAlignment="1">
      <alignment horizontal="center" vertical="top" wrapText="1"/>
    </xf>
    <xf numFmtId="0" fontId="44" fillId="38" borderId="95" xfId="11689" applyFont="1" applyFill="1" applyBorder="1" applyAlignment="1">
      <alignment horizontal="center" vertical="top" wrapText="1"/>
    </xf>
    <xf numFmtId="0" fontId="13" fillId="38" borderId="95" xfId="11689" applyFont="1" applyFill="1" applyBorder="1" applyAlignment="1">
      <alignment horizontal="left" vertical="top" wrapText="1"/>
    </xf>
    <xf numFmtId="0" fontId="13" fillId="38" borderId="95" xfId="11689" applyFont="1" applyFill="1" applyBorder="1" applyAlignment="1">
      <alignment horizontal="center" vertical="center" wrapText="1"/>
    </xf>
    <xf numFmtId="44" fontId="44" fillId="38" borderId="95" xfId="11690" applyFont="1" applyFill="1" applyBorder="1" applyAlignment="1">
      <alignment vertical="center" shrinkToFit="1"/>
    </xf>
    <xf numFmtId="2" fontId="13" fillId="38" borderId="95" xfId="11689" applyNumberFormat="1" applyFont="1" applyFill="1" applyBorder="1" applyAlignment="1">
      <alignment horizontal="center" vertical="center" shrinkToFit="1"/>
    </xf>
    <xf numFmtId="183" fontId="13" fillId="38" borderId="95" xfId="11691" applyNumberFormat="1" applyFont="1" applyFill="1" applyBorder="1" applyAlignment="1">
      <alignment horizontal="center" vertical="center" wrapText="1"/>
    </xf>
    <xf numFmtId="2" fontId="44" fillId="38" borderId="95" xfId="11691" applyNumberFormat="1" applyFont="1" applyFill="1" applyBorder="1" applyAlignment="1">
      <alignment horizontal="center" vertical="center" wrapText="1"/>
    </xf>
    <xf numFmtId="183" fontId="44" fillId="38" borderId="95" xfId="11691" applyNumberFormat="1" applyFont="1" applyFill="1" applyBorder="1" applyAlignment="1">
      <alignment horizontal="center" vertical="center" wrapText="1"/>
    </xf>
    <xf numFmtId="44" fontId="13" fillId="38" borderId="144" xfId="11690" applyFont="1" applyFill="1" applyBorder="1" applyAlignment="1">
      <alignment vertical="center" shrinkToFit="1"/>
    </xf>
    <xf numFmtId="0" fontId="13" fillId="38" borderId="0" xfId="11689" applyFont="1" applyFill="1" applyAlignment="1">
      <alignment horizontal="left" vertical="top"/>
    </xf>
    <xf numFmtId="0" fontId="13" fillId="3" borderId="95" xfId="11689" applyFont="1" applyFill="1" applyBorder="1" applyAlignment="1">
      <alignment horizontal="left" vertical="top" wrapText="1"/>
    </xf>
    <xf numFmtId="0" fontId="13" fillId="39" borderId="95" xfId="11689" applyFont="1" applyFill="1" applyBorder="1" applyAlignment="1">
      <alignment horizontal="left" vertical="center"/>
    </xf>
    <xf numFmtId="0" fontId="13" fillId="39" borderId="95" xfId="11689" applyFont="1" applyFill="1" applyBorder="1" applyAlignment="1">
      <alignment horizontal="center" vertical="center"/>
    </xf>
    <xf numFmtId="0" fontId="13" fillId="39" borderId="95" xfId="11689" applyFont="1" applyFill="1" applyBorder="1" applyAlignment="1">
      <alignment horizontal="center" vertical="center" wrapText="1"/>
    </xf>
    <xf numFmtId="0" fontId="13" fillId="39" borderId="95" xfId="11689" applyFont="1" applyFill="1" applyBorder="1" applyAlignment="1">
      <alignment horizontal="left" vertical="center" wrapText="1"/>
    </xf>
    <xf numFmtId="180" fontId="13" fillId="39" borderId="95" xfId="11689" applyNumberFormat="1" applyFont="1" applyFill="1" applyBorder="1" applyAlignment="1">
      <alignment horizontal="center" vertical="center"/>
    </xf>
    <xf numFmtId="44" fontId="13" fillId="39" borderId="95" xfId="11690" applyFont="1" applyFill="1" applyBorder="1" applyAlignment="1">
      <alignment vertical="center"/>
    </xf>
    <xf numFmtId="2" fontId="13" fillId="39" borderId="95" xfId="11692" applyNumberFormat="1" applyFont="1" applyFill="1" applyBorder="1" applyAlignment="1">
      <alignment horizontal="center" vertical="center"/>
    </xf>
    <xf numFmtId="183" fontId="13" fillId="39" borderId="95" xfId="11691" applyNumberFormat="1" applyFont="1" applyFill="1" applyBorder="1" applyAlignment="1">
      <alignment horizontal="center" vertical="center" wrapText="1"/>
    </xf>
    <xf numFmtId="2" fontId="44" fillId="39" borderId="95" xfId="11692" applyNumberFormat="1" applyFont="1" applyFill="1" applyBorder="1" applyAlignment="1">
      <alignment horizontal="center" vertical="center" wrapText="1"/>
    </xf>
    <xf numFmtId="183" fontId="44" fillId="39" borderId="95" xfId="11691" applyNumberFormat="1" applyFont="1" applyFill="1" applyBorder="1" applyAlignment="1">
      <alignment horizontal="center" vertical="center" wrapText="1"/>
    </xf>
    <xf numFmtId="44" fontId="44" fillId="39" borderId="95" xfId="11690" applyFont="1" applyFill="1" applyBorder="1" applyAlignment="1">
      <alignment vertical="center" wrapText="1"/>
    </xf>
    <xf numFmtId="44" fontId="13" fillId="39" borderId="144" xfId="11690" applyFont="1" applyFill="1" applyBorder="1" applyAlignment="1" applyProtection="1">
      <alignment vertical="center" wrapText="1"/>
      <protection locked="0"/>
    </xf>
    <xf numFmtId="0" fontId="70" fillId="39" borderId="0" xfId="1" applyFont="1" applyFill="1" applyAlignment="1">
      <alignment vertical="center"/>
    </xf>
    <xf numFmtId="0" fontId="13" fillId="38" borderId="169" xfId="11689" applyFont="1" applyFill="1" applyBorder="1" applyAlignment="1">
      <alignment horizontal="left" vertical="top" wrapText="1"/>
    </xf>
    <xf numFmtId="0" fontId="13" fillId="38" borderId="170" xfId="11689" applyFont="1" applyFill="1" applyBorder="1" applyAlignment="1">
      <alignment horizontal="center" vertical="top" wrapText="1"/>
    </xf>
    <xf numFmtId="0" fontId="13" fillId="38" borderId="95" xfId="11689" applyFont="1" applyFill="1" applyBorder="1" applyAlignment="1">
      <alignment horizontal="center" vertical="top" wrapText="1"/>
    </xf>
    <xf numFmtId="0" fontId="13" fillId="38" borderId="169" xfId="11689" applyFont="1" applyFill="1" applyBorder="1" applyAlignment="1">
      <alignment vertical="top" wrapText="1"/>
    </xf>
    <xf numFmtId="0" fontId="68" fillId="32" borderId="169" xfId="11689" applyFont="1" applyFill="1" applyBorder="1" applyAlignment="1">
      <alignment wrapText="1"/>
    </xf>
    <xf numFmtId="0" fontId="68" fillId="32" borderId="170" xfId="11689" applyFont="1" applyFill="1" applyBorder="1" applyAlignment="1">
      <alignment horizontal="center" wrapText="1"/>
    </xf>
    <xf numFmtId="0" fontId="44" fillId="32" borderId="95" xfId="11689" applyFont="1" applyFill="1" applyBorder="1" applyAlignment="1">
      <alignment horizontal="center" vertical="top" wrapText="1"/>
    </xf>
    <xf numFmtId="0" fontId="68" fillId="32" borderId="95" xfId="11689" applyFont="1" applyFill="1" applyBorder="1" applyAlignment="1">
      <alignment horizontal="left" vertical="top" wrapText="1"/>
    </xf>
    <xf numFmtId="0" fontId="68" fillId="32" borderId="95" xfId="11689" applyFont="1" applyFill="1" applyBorder="1" applyAlignment="1">
      <alignment horizontal="center" vertical="center" wrapText="1"/>
    </xf>
    <xf numFmtId="44" fontId="68" fillId="32" borderId="95" xfId="11690" applyFont="1" applyFill="1" applyBorder="1" applyAlignment="1">
      <alignment vertical="center" wrapText="1"/>
    </xf>
    <xf numFmtId="2" fontId="68" fillId="32" borderId="95" xfId="11689" applyNumberFormat="1" applyFont="1" applyFill="1" applyBorder="1" applyAlignment="1">
      <alignment horizontal="center" vertical="center" wrapText="1"/>
    </xf>
    <xf numFmtId="4" fontId="67" fillId="32" borderId="95" xfId="11689" applyNumberFormat="1" applyFont="1" applyFill="1" applyBorder="1" applyAlignment="1">
      <alignment horizontal="center" vertical="center" shrinkToFit="1"/>
    </xf>
    <xf numFmtId="2" fontId="67" fillId="32" borderId="95" xfId="11689" applyNumberFormat="1" applyFont="1" applyFill="1" applyBorder="1" applyAlignment="1">
      <alignment horizontal="center" vertical="center" shrinkToFit="1"/>
    </xf>
    <xf numFmtId="44" fontId="67" fillId="32" borderId="95" xfId="11690" applyFont="1" applyFill="1" applyBorder="1" applyAlignment="1">
      <alignment vertical="center" shrinkToFit="1"/>
    </xf>
    <xf numFmtId="44" fontId="68" fillId="32" borderId="144" xfId="11690" applyFont="1" applyFill="1" applyBorder="1" applyAlignment="1">
      <alignment vertical="center" shrinkToFit="1"/>
    </xf>
    <xf numFmtId="0" fontId="68" fillId="40" borderId="95" xfId="11689" applyFont="1" applyFill="1" applyBorder="1" applyAlignment="1">
      <alignment horizontal="center" vertical="center" wrapText="1"/>
    </xf>
    <xf numFmtId="44" fontId="68" fillId="40" borderId="95" xfId="11690" applyFont="1" applyFill="1" applyBorder="1" applyAlignment="1">
      <alignment vertical="center" wrapText="1"/>
    </xf>
    <xf numFmtId="2" fontId="68" fillId="40" borderId="95" xfId="11689" applyNumberFormat="1" applyFont="1" applyFill="1" applyBorder="1" applyAlignment="1">
      <alignment horizontal="center" vertical="center" wrapText="1"/>
    </xf>
    <xf numFmtId="44" fontId="68" fillId="40" borderId="144" xfId="11690" applyFont="1" applyFill="1" applyBorder="1" applyAlignment="1">
      <alignment vertical="center" wrapText="1"/>
    </xf>
    <xf numFmtId="44" fontId="68" fillId="32" borderId="95" xfId="11690" applyFont="1" applyFill="1" applyBorder="1" applyAlignment="1">
      <alignment vertical="center" shrinkToFit="1"/>
    </xf>
    <xf numFmtId="0" fontId="13" fillId="0" borderId="95" xfId="11689" applyFont="1" applyBorder="1" applyAlignment="1">
      <alignment horizontal="center" vertical="top" wrapText="1"/>
    </xf>
    <xf numFmtId="0" fontId="44" fillId="32" borderId="95" xfId="11689" applyFont="1" applyFill="1" applyBorder="1" applyAlignment="1">
      <alignment horizontal="left" vertical="top" wrapText="1"/>
    </xf>
    <xf numFmtId="0" fontId="44" fillId="38" borderId="169" xfId="11689" applyFont="1" applyFill="1" applyBorder="1" applyAlignment="1">
      <alignment vertical="center" wrapText="1"/>
    </xf>
    <xf numFmtId="49" fontId="44" fillId="38" borderId="170" xfId="11689" applyNumberFormat="1" applyFont="1" applyFill="1" applyBorder="1" applyAlignment="1">
      <alignment horizontal="center" vertical="center" wrapText="1"/>
    </xf>
    <xf numFmtId="0" fontId="44" fillId="38" borderId="95" xfId="11689" applyFont="1" applyFill="1" applyBorder="1" applyAlignment="1">
      <alignment horizontal="center" vertical="center" wrapText="1"/>
    </xf>
    <xf numFmtId="0" fontId="44" fillId="38" borderId="95" xfId="11689" applyFont="1" applyFill="1" applyBorder="1" applyAlignment="1">
      <alignment horizontal="left" vertical="center" wrapText="1"/>
    </xf>
    <xf numFmtId="2" fontId="44" fillId="38" borderId="95" xfId="11689" applyNumberFormat="1" applyFont="1" applyFill="1" applyBorder="1" applyAlignment="1">
      <alignment horizontal="center" vertical="center" shrinkToFit="1"/>
    </xf>
    <xf numFmtId="44" fontId="44" fillId="38" borderId="144" xfId="11690" applyFont="1" applyFill="1" applyBorder="1" applyAlignment="1">
      <alignment vertical="center" shrinkToFit="1"/>
    </xf>
    <xf numFmtId="0" fontId="44" fillId="38" borderId="0" xfId="11689" applyFont="1" applyFill="1" applyAlignment="1">
      <alignment horizontal="left" vertical="center"/>
    </xf>
    <xf numFmtId="0" fontId="44" fillId="3" borderId="95" xfId="11689" applyFont="1" applyFill="1" applyBorder="1" applyAlignment="1">
      <alignment horizontal="left" vertical="top" wrapText="1"/>
    </xf>
    <xf numFmtId="44" fontId="44" fillId="0" borderId="95" xfId="11690" applyFont="1" applyFill="1" applyBorder="1" applyAlignment="1">
      <alignment vertical="center" wrapText="1"/>
    </xf>
    <xf numFmtId="1" fontId="68" fillId="0" borderId="170" xfId="11689" applyNumberFormat="1" applyFont="1" applyBorder="1" applyAlignment="1">
      <alignment horizontal="center" vertical="top" shrinkToFit="1"/>
    </xf>
    <xf numFmtId="0" fontId="13" fillId="0" borderId="170" xfId="11689" applyFont="1" applyBorder="1" applyAlignment="1">
      <alignment horizontal="center" vertical="center" wrapText="1"/>
    </xf>
    <xf numFmtId="0" fontId="68" fillId="3" borderId="171" xfId="11689" applyFont="1" applyFill="1" applyBorder="1" applyAlignment="1">
      <alignment wrapText="1"/>
    </xf>
    <xf numFmtId="0" fontId="68" fillId="3" borderId="171" xfId="11689" applyFont="1" applyFill="1" applyBorder="1" applyAlignment="1">
      <alignment horizontal="center" wrapText="1"/>
    </xf>
    <xf numFmtId="190" fontId="67" fillId="3" borderId="95" xfId="11689" applyNumberFormat="1" applyFont="1" applyFill="1" applyBorder="1" applyAlignment="1">
      <alignment horizontal="center" vertical="top" shrinkToFit="1"/>
    </xf>
    <xf numFmtId="183" fontId="44" fillId="3" borderId="95" xfId="11691" applyNumberFormat="1" applyFont="1" applyFill="1" applyBorder="1" applyAlignment="1">
      <alignment horizontal="center" vertical="center" wrapText="1"/>
    </xf>
    <xf numFmtId="2" fontId="44" fillId="3" borderId="95" xfId="11691" applyNumberFormat="1" applyFont="1" applyFill="1" applyBorder="1" applyAlignment="1">
      <alignment horizontal="center" vertical="center" wrapText="1"/>
    </xf>
    <xf numFmtId="1" fontId="68" fillId="0" borderId="170" xfId="11689" applyNumberFormat="1" applyFont="1" applyBorder="1" applyAlignment="1">
      <alignment horizontal="center" vertical="center" shrinkToFit="1"/>
    </xf>
    <xf numFmtId="183" fontId="44" fillId="32" borderId="95" xfId="11691" applyNumberFormat="1" applyFont="1" applyFill="1" applyBorder="1" applyAlignment="1">
      <alignment horizontal="center" vertical="center" wrapText="1"/>
    </xf>
    <xf numFmtId="2" fontId="44" fillId="32" borderId="95" xfId="11691" applyNumberFormat="1" applyFont="1" applyFill="1" applyBorder="1" applyAlignment="1">
      <alignment horizontal="center" vertical="center" wrapText="1"/>
    </xf>
    <xf numFmtId="44" fontId="13" fillId="38" borderId="95" xfId="11690" applyFont="1" applyFill="1" applyBorder="1" applyAlignment="1">
      <alignment vertical="center" shrinkToFit="1"/>
    </xf>
    <xf numFmtId="2" fontId="13" fillId="38" borderId="95" xfId="11691" applyNumberFormat="1" applyFont="1" applyFill="1" applyBorder="1" applyAlignment="1">
      <alignment horizontal="center" vertical="center" wrapText="1"/>
    </xf>
    <xf numFmtId="0" fontId="13" fillId="0" borderId="95" xfId="11689" applyFont="1" applyBorder="1" applyAlignment="1">
      <alignment vertical="center" wrapText="1"/>
    </xf>
    <xf numFmtId="44" fontId="13" fillId="0" borderId="95" xfId="11690" applyFont="1" applyFill="1" applyBorder="1" applyAlignment="1">
      <alignment vertical="center" shrinkToFit="1"/>
    </xf>
    <xf numFmtId="44" fontId="13" fillId="0" borderId="144" xfId="11690" applyFont="1" applyFill="1" applyBorder="1" applyAlignment="1">
      <alignment vertical="center" shrinkToFit="1"/>
    </xf>
    <xf numFmtId="0" fontId="13" fillId="0" borderId="0" xfId="11689" applyFont="1" applyAlignment="1">
      <alignment vertical="center"/>
    </xf>
    <xf numFmtId="0" fontId="13" fillId="41" borderId="169" xfId="11689" applyFont="1" applyFill="1" applyBorder="1" applyAlignment="1">
      <alignment vertical="top" wrapText="1"/>
    </xf>
    <xf numFmtId="0" fontId="13" fillId="41" borderId="170" xfId="11689" applyFont="1" applyFill="1" applyBorder="1" applyAlignment="1">
      <alignment horizontal="center" vertical="top" wrapText="1"/>
    </xf>
    <xf numFmtId="0" fontId="13" fillId="41" borderId="95" xfId="11689" applyFont="1" applyFill="1" applyBorder="1" applyAlignment="1">
      <alignment horizontal="center" vertical="top" wrapText="1"/>
    </xf>
    <xf numFmtId="0" fontId="13" fillId="41" borderId="95" xfId="11689" applyFont="1" applyFill="1" applyBorder="1" applyAlignment="1">
      <alignment horizontal="left" vertical="top" wrapText="1"/>
    </xf>
    <xf numFmtId="0" fontId="13" fillId="41" borderId="95" xfId="11689" applyFont="1" applyFill="1" applyBorder="1" applyAlignment="1">
      <alignment horizontal="center" vertical="center" wrapText="1"/>
    </xf>
    <xf numFmtId="44" fontId="13" fillId="41" borderId="95" xfId="11690" applyFont="1" applyFill="1" applyBorder="1" applyAlignment="1">
      <alignment vertical="center" shrinkToFit="1"/>
    </xf>
    <xf numFmtId="2" fontId="13" fillId="41" borderId="95" xfId="11689" applyNumberFormat="1" applyFont="1" applyFill="1" applyBorder="1" applyAlignment="1">
      <alignment horizontal="center" vertical="center" shrinkToFit="1"/>
    </xf>
    <xf numFmtId="183" fontId="44" fillId="41" borderId="95" xfId="11691" applyNumberFormat="1" applyFont="1" applyFill="1" applyBorder="1" applyAlignment="1">
      <alignment horizontal="center" vertical="center" wrapText="1"/>
    </xf>
    <xf numFmtId="2" fontId="44" fillId="41" borderId="95" xfId="11691" applyNumberFormat="1" applyFont="1" applyFill="1" applyBorder="1" applyAlignment="1">
      <alignment horizontal="center" vertical="center" wrapText="1"/>
    </xf>
    <xf numFmtId="44" fontId="13" fillId="41" borderId="144" xfId="11690" applyFont="1" applyFill="1" applyBorder="1" applyAlignment="1">
      <alignment vertical="center" shrinkToFit="1"/>
    </xf>
    <xf numFmtId="0" fontId="13" fillId="41" borderId="0" xfId="11689" applyFont="1" applyFill="1" applyAlignment="1">
      <alignment horizontal="left" vertical="top"/>
    </xf>
    <xf numFmtId="0" fontId="13" fillId="0" borderId="169" xfId="11689" applyFont="1" applyBorder="1" applyAlignment="1">
      <alignment horizontal="left" vertical="top" wrapText="1"/>
    </xf>
    <xf numFmtId="0" fontId="67" fillId="40" borderId="95" xfId="11689" applyFont="1" applyFill="1" applyBorder="1" applyAlignment="1">
      <alignment horizontal="center" vertical="center" wrapText="1"/>
    </xf>
    <xf numFmtId="189" fontId="13" fillId="41" borderId="170" xfId="11689" applyNumberFormat="1" applyFont="1" applyFill="1" applyBorder="1" applyAlignment="1">
      <alignment horizontal="center" vertical="top" shrinkToFit="1"/>
    </xf>
    <xf numFmtId="2" fontId="13" fillId="41" borderId="95" xfId="11691" applyNumberFormat="1" applyFont="1" applyFill="1" applyBorder="1" applyAlignment="1">
      <alignment horizontal="center" vertical="center" wrapText="1"/>
    </xf>
    <xf numFmtId="183" fontId="13" fillId="41" borderId="95" xfId="11691" applyNumberFormat="1" applyFont="1" applyFill="1" applyBorder="1" applyAlignment="1">
      <alignment horizontal="center" vertical="center" wrapText="1"/>
    </xf>
    <xf numFmtId="0" fontId="13" fillId="41" borderId="169" xfId="11689" applyFont="1" applyFill="1" applyBorder="1" applyAlignment="1">
      <alignment vertical="center" wrapText="1"/>
    </xf>
    <xf numFmtId="189" fontId="13" fillId="41" borderId="170" xfId="11689" applyNumberFormat="1" applyFont="1" applyFill="1" applyBorder="1" applyAlignment="1">
      <alignment horizontal="center" vertical="center" shrinkToFit="1"/>
    </xf>
    <xf numFmtId="0" fontId="13" fillId="41" borderId="95" xfId="11689" applyFont="1" applyFill="1" applyBorder="1" applyAlignment="1">
      <alignment horizontal="left" vertical="center" wrapText="1"/>
    </xf>
    <xf numFmtId="0" fontId="13" fillId="41" borderId="0" xfId="11689" applyFont="1" applyFill="1" applyAlignment="1">
      <alignment horizontal="left" vertical="center"/>
    </xf>
    <xf numFmtId="0" fontId="13" fillId="42" borderId="169" xfId="11689" applyFont="1" applyFill="1" applyBorder="1" applyAlignment="1">
      <alignment vertical="top" wrapText="1"/>
    </xf>
    <xf numFmtId="0" fontId="13" fillId="42" borderId="170" xfId="11689" applyFont="1" applyFill="1" applyBorder="1" applyAlignment="1">
      <alignment horizontal="center" vertical="top" wrapText="1"/>
    </xf>
    <xf numFmtId="0" fontId="13" fillId="42" borderId="95" xfId="11689" applyFont="1" applyFill="1" applyBorder="1" applyAlignment="1">
      <alignment horizontal="center" vertical="center" wrapText="1"/>
    </xf>
    <xf numFmtId="0" fontId="13" fillId="42" borderId="95" xfId="11689" applyFont="1" applyFill="1" applyBorder="1" applyAlignment="1">
      <alignment horizontal="left" vertical="top" wrapText="1"/>
    </xf>
    <xf numFmtId="44" fontId="13" fillId="42" borderId="95" xfId="11690" applyFont="1" applyFill="1" applyBorder="1" applyAlignment="1">
      <alignment vertical="center" shrinkToFit="1"/>
    </xf>
    <xf numFmtId="2" fontId="13" fillId="42" borderId="95" xfId="11689" applyNumberFormat="1" applyFont="1" applyFill="1" applyBorder="1" applyAlignment="1">
      <alignment horizontal="center" vertical="center" shrinkToFit="1"/>
    </xf>
    <xf numFmtId="183" fontId="44" fillId="42" borderId="95" xfId="11691" applyNumberFormat="1" applyFont="1" applyFill="1" applyBorder="1" applyAlignment="1">
      <alignment horizontal="center" vertical="center" wrapText="1"/>
    </xf>
    <xf numFmtId="2" fontId="44" fillId="42" borderId="95" xfId="11691" applyNumberFormat="1" applyFont="1" applyFill="1" applyBorder="1" applyAlignment="1">
      <alignment horizontal="center" vertical="center" wrapText="1"/>
    </xf>
    <xf numFmtId="44" fontId="13" fillId="42" borderId="144" xfId="11690" applyFont="1" applyFill="1" applyBorder="1" applyAlignment="1">
      <alignment vertical="center" shrinkToFit="1"/>
    </xf>
    <xf numFmtId="0" fontId="13" fillId="42" borderId="0" xfId="11689" applyFont="1" applyFill="1" applyAlignment="1">
      <alignment horizontal="left" vertical="top"/>
    </xf>
    <xf numFmtId="0" fontId="68" fillId="42" borderId="95" xfId="11689" applyFont="1" applyFill="1" applyBorder="1" applyAlignment="1">
      <alignment horizontal="left" vertical="top" wrapText="1"/>
    </xf>
    <xf numFmtId="44" fontId="68" fillId="42" borderId="95" xfId="11690" applyFont="1" applyFill="1" applyBorder="1" applyAlignment="1">
      <alignment vertical="center" shrinkToFit="1"/>
    </xf>
    <xf numFmtId="2" fontId="68" fillId="42" borderId="95" xfId="11689" applyNumberFormat="1" applyFont="1" applyFill="1" applyBorder="1" applyAlignment="1">
      <alignment horizontal="center" vertical="center" shrinkToFit="1"/>
    </xf>
    <xf numFmtId="44" fontId="68" fillId="42" borderId="144" xfId="11690" applyFont="1" applyFill="1" applyBorder="1" applyAlignment="1">
      <alignment vertical="center" shrinkToFit="1"/>
    </xf>
    <xf numFmtId="0" fontId="68" fillId="42" borderId="0" xfId="11689" applyFont="1" applyFill="1" applyAlignment="1">
      <alignment horizontal="left" vertical="top"/>
    </xf>
    <xf numFmtId="0" fontId="13" fillId="42" borderId="169" xfId="11689" applyFont="1" applyFill="1" applyBorder="1" applyAlignment="1">
      <alignment horizontal="left" vertical="top" wrapText="1"/>
    </xf>
    <xf numFmtId="189" fontId="68" fillId="42" borderId="170" xfId="11689" applyNumberFormat="1" applyFont="1" applyFill="1" applyBorder="1" applyAlignment="1">
      <alignment horizontal="center" vertical="top" shrinkToFit="1"/>
    </xf>
    <xf numFmtId="0" fontId="13" fillId="42" borderId="95" xfId="11689" applyFont="1" applyFill="1" applyBorder="1" applyAlignment="1">
      <alignment horizontal="center" vertical="top" wrapText="1"/>
    </xf>
    <xf numFmtId="189" fontId="44" fillId="41" borderId="170" xfId="11689" applyNumberFormat="1" applyFont="1" applyFill="1" applyBorder="1" applyAlignment="1">
      <alignment horizontal="center" vertical="center" shrinkToFit="1"/>
    </xf>
    <xf numFmtId="0" fontId="44" fillId="41" borderId="95" xfId="11689" applyFont="1" applyFill="1" applyBorder="1" applyAlignment="1">
      <alignment horizontal="center" vertical="center" wrapText="1"/>
    </xf>
    <xf numFmtId="0" fontId="44" fillId="41" borderId="95" xfId="11689" applyFont="1" applyFill="1" applyBorder="1" applyAlignment="1">
      <alignment horizontal="left" vertical="center" wrapText="1"/>
    </xf>
    <xf numFmtId="44" fontId="44" fillId="41" borderId="95" xfId="11690" applyFont="1" applyFill="1" applyBorder="1" applyAlignment="1">
      <alignment vertical="center" shrinkToFit="1"/>
    </xf>
    <xf numFmtId="0" fontId="70" fillId="39" borderId="95" xfId="11689" applyFont="1" applyFill="1" applyBorder="1" applyAlignment="1">
      <alignment horizontal="center" vertical="center"/>
    </xf>
    <xf numFmtId="44" fontId="68" fillId="41" borderId="95" xfId="11690" applyFont="1" applyFill="1" applyBorder="1" applyAlignment="1">
      <alignment vertical="center" shrinkToFit="1"/>
    </xf>
    <xf numFmtId="2" fontId="68" fillId="41" borderId="95" xfId="11689" applyNumberFormat="1" applyFont="1" applyFill="1" applyBorder="1" applyAlignment="1">
      <alignment horizontal="center" vertical="center" shrinkToFit="1"/>
    </xf>
    <xf numFmtId="44" fontId="68" fillId="41" borderId="144" xfId="11690" applyFont="1" applyFill="1" applyBorder="1" applyAlignment="1">
      <alignment vertical="center" shrinkToFit="1"/>
    </xf>
    <xf numFmtId="0" fontId="68" fillId="41" borderId="0" xfId="11689" applyFont="1" applyFill="1" applyAlignment="1">
      <alignment horizontal="left" vertical="top"/>
    </xf>
    <xf numFmtId="0" fontId="13" fillId="0" borderId="166" xfId="11689" applyFont="1" applyBorder="1" applyAlignment="1">
      <alignment horizontal="center" vertical="top" wrapText="1"/>
    </xf>
    <xf numFmtId="0" fontId="13" fillId="0" borderId="3" xfId="11689" applyFont="1" applyBorder="1" applyAlignment="1">
      <alignment horizontal="center" vertical="top" wrapText="1"/>
    </xf>
    <xf numFmtId="0" fontId="13" fillId="41" borderId="170" xfId="11689" applyFont="1" applyFill="1" applyBorder="1" applyAlignment="1">
      <alignment horizontal="center" vertical="center" wrapText="1"/>
    </xf>
    <xf numFmtId="0" fontId="68" fillId="41" borderId="0" xfId="11689" applyFont="1" applyFill="1" applyAlignment="1">
      <alignment horizontal="left" vertical="center"/>
    </xf>
    <xf numFmtId="0" fontId="13" fillId="43" borderId="95" xfId="11689" applyFont="1" applyFill="1" applyBorder="1" applyAlignment="1">
      <alignment horizontal="left" vertical="center"/>
    </xf>
    <xf numFmtId="0" fontId="13" fillId="43" borderId="95" xfId="11689" applyFont="1" applyFill="1" applyBorder="1" applyAlignment="1">
      <alignment horizontal="center" vertical="center"/>
    </xf>
    <xf numFmtId="0" fontId="13" fillId="43" borderId="95" xfId="11689" applyFont="1" applyFill="1" applyBorder="1" applyAlignment="1">
      <alignment horizontal="center" vertical="center" wrapText="1"/>
    </xf>
    <xf numFmtId="0" fontId="13" fillId="43" borderId="95" xfId="11689" applyFont="1" applyFill="1" applyBorder="1" applyAlignment="1">
      <alignment horizontal="left" vertical="center" wrapText="1"/>
    </xf>
    <xf numFmtId="180" fontId="13" fillId="43" borderId="95" xfId="11689" applyNumberFormat="1" applyFont="1" applyFill="1" applyBorder="1" applyAlignment="1">
      <alignment horizontal="center" vertical="center"/>
    </xf>
    <xf numFmtId="44" fontId="13" fillId="43" borderId="95" xfId="11690" applyFont="1" applyFill="1" applyBorder="1" applyAlignment="1">
      <alignment vertical="center"/>
    </xf>
    <xf numFmtId="2" fontId="13" fillId="43" borderId="95" xfId="11692" applyNumberFormat="1" applyFont="1" applyFill="1" applyBorder="1" applyAlignment="1">
      <alignment horizontal="center" vertical="center"/>
    </xf>
    <xf numFmtId="183" fontId="44" fillId="43" borderId="95" xfId="11691" applyNumberFormat="1" applyFont="1" applyFill="1" applyBorder="1" applyAlignment="1">
      <alignment horizontal="center" vertical="center" wrapText="1"/>
    </xf>
    <xf numFmtId="2" fontId="44" fillId="43" borderId="95" xfId="11692" applyNumberFormat="1" applyFont="1" applyFill="1" applyBorder="1" applyAlignment="1">
      <alignment horizontal="center" vertical="center" wrapText="1"/>
    </xf>
    <xf numFmtId="44" fontId="44" fillId="43" borderId="95" xfId="11690" applyFont="1" applyFill="1" applyBorder="1" applyAlignment="1">
      <alignment vertical="center" wrapText="1"/>
    </xf>
    <xf numFmtId="44" fontId="13" fillId="43" borderId="144" xfId="11690" applyFont="1" applyFill="1" applyBorder="1" applyAlignment="1" applyProtection="1">
      <alignment vertical="center" wrapText="1"/>
      <protection locked="0"/>
    </xf>
    <xf numFmtId="0" fontId="70" fillId="43" borderId="0" xfId="1" applyFont="1" applyFill="1" applyAlignment="1">
      <alignment vertical="center"/>
    </xf>
    <xf numFmtId="44" fontId="67" fillId="41" borderId="95" xfId="11690" applyFont="1" applyFill="1" applyBorder="1" applyAlignment="1">
      <alignment vertical="center" shrinkToFit="1"/>
    </xf>
    <xf numFmtId="183" fontId="73" fillId="0" borderId="95" xfId="11691" applyNumberFormat="1" applyFont="1" applyBorder="1" applyAlignment="1">
      <alignment horizontal="center" vertical="center" wrapText="1"/>
    </xf>
    <xf numFmtId="0" fontId="44" fillId="41" borderId="170" xfId="11689" applyFont="1" applyFill="1" applyBorder="1" applyAlignment="1">
      <alignment horizontal="center" vertical="center" wrapText="1"/>
    </xf>
    <xf numFmtId="1" fontId="68" fillId="44" borderId="170" xfId="11689" applyNumberFormat="1" applyFont="1" applyFill="1" applyBorder="1" applyAlignment="1">
      <alignment horizontal="center" vertical="center" shrinkToFit="1"/>
    </xf>
    <xf numFmtId="0" fontId="13" fillId="44" borderId="95" xfId="11689" applyFont="1" applyFill="1" applyBorder="1" applyAlignment="1">
      <alignment horizontal="center" vertical="center" wrapText="1"/>
    </xf>
    <xf numFmtId="0" fontId="13" fillId="44" borderId="95" xfId="11689" applyFont="1" applyFill="1" applyBorder="1" applyAlignment="1">
      <alignment horizontal="left" vertical="top" wrapText="1"/>
    </xf>
    <xf numFmtId="44" fontId="68" fillId="44" borderId="95" xfId="11690" applyFont="1" applyFill="1" applyBorder="1" applyAlignment="1">
      <alignment vertical="center" shrinkToFit="1"/>
    </xf>
    <xf numFmtId="2" fontId="68" fillId="44" borderId="95" xfId="11689" applyNumberFormat="1" applyFont="1" applyFill="1" applyBorder="1" applyAlignment="1">
      <alignment horizontal="center" vertical="center" shrinkToFit="1"/>
    </xf>
    <xf numFmtId="183" fontId="44" fillId="44" borderId="95" xfId="11691" applyNumberFormat="1" applyFont="1" applyFill="1" applyBorder="1" applyAlignment="1">
      <alignment horizontal="center" vertical="center" wrapText="1"/>
    </xf>
    <xf numFmtId="2" fontId="44" fillId="44" borderId="95" xfId="11691" applyNumberFormat="1" applyFont="1" applyFill="1" applyBorder="1" applyAlignment="1">
      <alignment horizontal="center" vertical="center" wrapText="1"/>
    </xf>
    <xf numFmtId="44" fontId="68" fillId="44" borderId="144" xfId="11690" applyFont="1" applyFill="1" applyBorder="1" applyAlignment="1">
      <alignment vertical="center" shrinkToFit="1"/>
    </xf>
    <xf numFmtId="0" fontId="68" fillId="40" borderId="95" xfId="11689" applyFont="1" applyFill="1" applyBorder="1" applyAlignment="1">
      <alignment horizontal="left" vertical="center" wrapText="1"/>
    </xf>
    <xf numFmtId="0" fontId="13" fillId="44" borderId="169" xfId="11689" applyFont="1" applyFill="1" applyBorder="1" applyAlignment="1">
      <alignment vertical="top" wrapText="1"/>
    </xf>
    <xf numFmtId="189" fontId="68" fillId="44" borderId="170" xfId="11689" applyNumberFormat="1" applyFont="1" applyFill="1" applyBorder="1" applyAlignment="1">
      <alignment horizontal="center" vertical="top" shrinkToFit="1"/>
    </xf>
    <xf numFmtId="0" fontId="13" fillId="44" borderId="95" xfId="11689" applyFont="1" applyFill="1" applyBorder="1" applyAlignment="1">
      <alignment horizontal="center" vertical="top" wrapText="1"/>
    </xf>
    <xf numFmtId="2" fontId="67" fillId="44" borderId="95" xfId="11689" applyNumberFormat="1" applyFont="1" applyFill="1" applyBorder="1" applyAlignment="1">
      <alignment horizontal="center" vertical="center" shrinkToFit="1"/>
    </xf>
    <xf numFmtId="0" fontId="68" fillId="44" borderId="0" xfId="11689" applyFont="1" applyFill="1" applyAlignment="1">
      <alignment horizontal="left" vertical="top"/>
    </xf>
    <xf numFmtId="0" fontId="68" fillId="0" borderId="0" xfId="11689" applyFont="1" applyAlignment="1">
      <alignment horizontal="left" vertical="center"/>
    </xf>
    <xf numFmtId="0" fontId="44" fillId="42" borderId="95" xfId="11689" applyFont="1" applyFill="1" applyBorder="1" applyAlignment="1">
      <alignment horizontal="center" vertical="top" wrapText="1"/>
    </xf>
    <xf numFmtId="4" fontId="13" fillId="41" borderId="95" xfId="11689" applyNumberFormat="1" applyFont="1" applyFill="1" applyBorder="1" applyAlignment="1">
      <alignment horizontal="center" vertical="center" wrapText="1"/>
    </xf>
    <xf numFmtId="0" fontId="70" fillId="39" borderId="95" xfId="11689" applyFont="1" applyFill="1" applyBorder="1" applyAlignment="1">
      <alignment horizontal="left" vertical="center"/>
    </xf>
    <xf numFmtId="44" fontId="13" fillId="39" borderId="95" xfId="11690" applyFont="1" applyFill="1" applyBorder="1" applyAlignment="1">
      <alignment vertical="center" wrapText="1"/>
    </xf>
    <xf numFmtId="189" fontId="68" fillId="41" borderId="170" xfId="11689" applyNumberFormat="1" applyFont="1" applyFill="1" applyBorder="1" applyAlignment="1">
      <alignment horizontal="center" vertical="top" shrinkToFit="1"/>
    </xf>
    <xf numFmtId="0" fontId="13" fillId="42" borderId="95" xfId="11689" applyFont="1" applyFill="1" applyBorder="1" applyAlignment="1">
      <alignment horizontal="left" vertical="center"/>
    </xf>
    <xf numFmtId="0" fontId="13" fillId="42" borderId="95" xfId="11689" applyFont="1" applyFill="1" applyBorder="1" applyAlignment="1">
      <alignment horizontal="center" vertical="center"/>
    </xf>
    <xf numFmtId="0" fontId="13" fillId="42" borderId="95" xfId="11689" applyFont="1" applyFill="1" applyBorder="1" applyAlignment="1">
      <alignment horizontal="left" vertical="center" wrapText="1"/>
    </xf>
    <xf numFmtId="180" fontId="13" fillId="42" borderId="95" xfId="11689" applyNumberFormat="1" applyFont="1" applyFill="1" applyBorder="1" applyAlignment="1">
      <alignment horizontal="center" vertical="center"/>
    </xf>
    <xf numFmtId="44" fontId="13" fillId="42" borderId="95" xfId="11690" applyFont="1" applyFill="1" applyBorder="1" applyAlignment="1">
      <alignment vertical="center"/>
    </xf>
    <xf numFmtId="2" fontId="13" fillId="42" borderId="95" xfId="11692" applyNumberFormat="1" applyFont="1" applyFill="1" applyBorder="1" applyAlignment="1">
      <alignment horizontal="center" vertical="center"/>
    </xf>
    <xf numFmtId="2" fontId="44" fillId="42" borderId="95" xfId="11692" applyNumberFormat="1" applyFont="1" applyFill="1" applyBorder="1" applyAlignment="1">
      <alignment horizontal="center" vertical="center" wrapText="1"/>
    </xf>
    <xf numFmtId="44" fontId="44" fillId="42" borderId="95" xfId="11690" applyFont="1" applyFill="1" applyBorder="1" applyAlignment="1">
      <alignment vertical="center" wrapText="1"/>
    </xf>
    <xf numFmtId="44" fontId="13" fillId="42" borderId="144" xfId="11690" applyFont="1" applyFill="1" applyBorder="1" applyAlignment="1" applyProtection="1">
      <alignment vertical="center" wrapText="1"/>
      <protection locked="0"/>
    </xf>
    <xf numFmtId="0" fontId="70" fillId="42" borderId="0" xfId="1" applyFont="1" applyFill="1" applyAlignment="1">
      <alignment vertical="center"/>
    </xf>
    <xf numFmtId="44" fontId="68" fillId="0" borderId="95" xfId="11690" applyFont="1" applyBorder="1" applyAlignment="1">
      <alignment vertical="center" shrinkToFit="1"/>
    </xf>
    <xf numFmtId="2" fontId="13" fillId="0" borderId="95" xfId="11689" applyNumberFormat="1" applyFont="1" applyBorder="1" applyAlignment="1">
      <alignment horizontal="center" vertical="center" shrinkToFit="1"/>
    </xf>
    <xf numFmtId="0" fontId="68" fillId="0" borderId="0" xfId="11689" applyFont="1" applyAlignment="1">
      <alignment vertical="top"/>
    </xf>
    <xf numFmtId="0" fontId="68" fillId="0" borderId="0" xfId="11689" applyFont="1" applyAlignment="1">
      <alignment horizontal="center" vertical="top"/>
    </xf>
    <xf numFmtId="0" fontId="44" fillId="0" borderId="0" xfId="11693" applyFont="1" applyAlignment="1">
      <alignment horizontal="center" vertical="center"/>
    </xf>
    <xf numFmtId="44" fontId="68" fillId="0" borderId="0" xfId="11690" applyFont="1" applyFill="1" applyBorder="1" applyAlignment="1">
      <alignment vertical="center"/>
    </xf>
    <xf numFmtId="2" fontId="68" fillId="0" borderId="0" xfId="11689" applyNumberFormat="1" applyFont="1" applyAlignment="1">
      <alignment horizontal="center" vertical="center"/>
    </xf>
    <xf numFmtId="0" fontId="68" fillId="0" borderId="0" xfId="11689" applyFont="1" applyAlignment="1">
      <alignment horizontal="center" vertical="center"/>
    </xf>
    <xf numFmtId="0" fontId="68" fillId="0" borderId="0" xfId="11689" applyFont="1" applyAlignment="1">
      <alignment horizontal="right" vertical="center"/>
    </xf>
    <xf numFmtId="44" fontId="67" fillId="0" borderId="0" xfId="11690" applyFont="1" applyFill="1" applyBorder="1" applyAlignment="1">
      <alignment horizontal="center" vertical="center"/>
    </xf>
    <xf numFmtId="44" fontId="67" fillId="31" borderId="0" xfId="11690" applyFont="1" applyFill="1" applyBorder="1" applyAlignment="1">
      <alignment horizontal="center" vertical="center"/>
    </xf>
    <xf numFmtId="0" fontId="13" fillId="41" borderId="0" xfId="31" applyFont="1" applyFill="1" applyAlignment="1">
      <alignment horizontal="center" vertical="center"/>
    </xf>
    <xf numFmtId="0" fontId="44" fillId="0" borderId="0" xfId="31" applyFont="1" applyAlignment="1">
      <alignment horizontal="left" vertical="center"/>
    </xf>
    <xf numFmtId="2" fontId="44" fillId="0" borderId="0" xfId="11693" applyNumberFormat="1" applyFont="1" applyAlignment="1">
      <alignment horizontal="center" vertical="center"/>
    </xf>
    <xf numFmtId="44" fontId="67" fillId="0" borderId="0" xfId="11690" applyFont="1" applyFill="1" applyBorder="1" applyAlignment="1">
      <alignment vertical="center"/>
    </xf>
    <xf numFmtId="44" fontId="68" fillId="0" borderId="0" xfId="11690" applyFont="1" applyFill="1" applyBorder="1" applyAlignment="1">
      <alignment horizontal="center" vertical="center"/>
    </xf>
    <xf numFmtId="44" fontId="68" fillId="0" borderId="0" xfId="11689" applyNumberFormat="1" applyFont="1" applyAlignment="1">
      <alignment horizontal="left" vertical="top"/>
    </xf>
    <xf numFmtId="0" fontId="70" fillId="39" borderId="0" xfId="11689" applyFont="1" applyFill="1" applyAlignment="1">
      <alignment horizontal="center" vertical="center"/>
    </xf>
    <xf numFmtId="0" fontId="44" fillId="0" borderId="0" xfId="1" applyFont="1" applyAlignment="1">
      <alignment horizontal="left" vertical="center"/>
    </xf>
    <xf numFmtId="0" fontId="44" fillId="45" borderId="25" xfId="1" applyFont="1" applyFill="1" applyBorder="1" applyAlignment="1">
      <alignment horizontal="center" vertical="center"/>
    </xf>
    <xf numFmtId="0" fontId="44" fillId="45" borderId="0" xfId="1" applyFont="1" applyFill="1" applyAlignment="1">
      <alignment horizontal="center" vertical="center"/>
    </xf>
    <xf numFmtId="10" fontId="67" fillId="0" borderId="0" xfId="11694" applyNumberFormat="1" applyFont="1" applyFill="1" applyBorder="1" applyAlignment="1">
      <alignment vertical="center"/>
    </xf>
    <xf numFmtId="0" fontId="67" fillId="0" borderId="0" xfId="11689" applyFont="1" applyAlignment="1">
      <alignment horizontal="left" vertical="top"/>
    </xf>
    <xf numFmtId="9" fontId="67" fillId="0" borderId="0" xfId="11694" applyFont="1" applyFill="1" applyBorder="1" applyAlignment="1">
      <alignment horizontal="center" vertical="center"/>
    </xf>
    <xf numFmtId="0" fontId="1" fillId="42" borderId="48" xfId="335" applyFill="1" applyBorder="1" applyAlignment="1">
      <alignment horizontal="center" vertical="center" wrapText="1"/>
    </xf>
    <xf numFmtId="3" fontId="1" fillId="42" borderId="37" xfId="335" applyNumberFormat="1" applyFill="1" applyBorder="1" applyAlignment="1">
      <alignment horizontal="center" vertical="center" wrapText="1"/>
    </xf>
    <xf numFmtId="0" fontId="1" fillId="42" borderId="37" xfId="335" applyFill="1" applyBorder="1" applyAlignment="1">
      <alignment horizontal="center" vertical="center" wrapText="1"/>
    </xf>
    <xf numFmtId="165" fontId="1" fillId="42" borderId="37" xfId="233" applyFill="1" applyBorder="1" applyAlignment="1">
      <alignment horizontal="center" vertical="center" wrapText="1"/>
    </xf>
    <xf numFmtId="184" fontId="1" fillId="42" borderId="37" xfId="233" applyNumberFormat="1" applyFill="1" applyBorder="1" applyAlignment="1">
      <alignment horizontal="center" vertical="center" wrapText="1"/>
    </xf>
    <xf numFmtId="184" fontId="1" fillId="0" borderId="37" xfId="233" applyNumberFormat="1" applyFont="1" applyFill="1" applyBorder="1" applyAlignment="1">
      <alignment horizontal="center" vertical="center" wrapText="1"/>
    </xf>
    <xf numFmtId="0" fontId="50" fillId="2" borderId="143" xfId="328" applyFont="1" applyFill="1" applyBorder="1" applyAlignment="1">
      <alignment horizontal="left" vertical="center" indent="1"/>
    </xf>
    <xf numFmtId="180" fontId="1" fillId="2" borderId="0" xfId="61" applyNumberFormat="1" applyFill="1" applyAlignment="1">
      <alignment horizontal="right"/>
    </xf>
    <xf numFmtId="0" fontId="45" fillId="2" borderId="0" xfId="61" applyFont="1" applyFill="1" applyAlignment="1">
      <alignment vertical="center"/>
    </xf>
    <xf numFmtId="3" fontId="45" fillId="0" borderId="0" xfId="61" applyNumberFormat="1" applyFont="1" applyAlignment="1">
      <alignment horizontal="center"/>
    </xf>
    <xf numFmtId="0" fontId="50" fillId="0" borderId="25" xfId="328" applyFont="1" applyBorder="1" applyAlignment="1">
      <alignment horizontal="left" vertical="center" indent="1"/>
    </xf>
    <xf numFmtId="0" fontId="50" fillId="2" borderId="145" xfId="328" applyFont="1" applyFill="1" applyBorder="1" applyAlignment="1">
      <alignment horizontal="left" vertical="center" indent="1"/>
    </xf>
    <xf numFmtId="3" fontId="45" fillId="0" borderId="41" xfId="61" applyNumberFormat="1" applyFont="1" applyBorder="1" applyAlignment="1">
      <alignment horizontal="center"/>
    </xf>
    <xf numFmtId="49" fontId="45" fillId="0" borderId="146" xfId="61" applyNumberFormat="1" applyFont="1" applyBorder="1" applyAlignment="1">
      <alignment vertical="center"/>
    </xf>
    <xf numFmtId="0" fontId="50" fillId="0" borderId="145" xfId="328" applyFont="1" applyBorder="1" applyAlignment="1">
      <alignment horizontal="left" vertical="center" indent="1"/>
    </xf>
    <xf numFmtId="0" fontId="50" fillId="0" borderId="41" xfId="328" applyFont="1" applyBorder="1" applyAlignment="1">
      <alignment vertical="center"/>
    </xf>
    <xf numFmtId="0" fontId="1" fillId="0" borderId="144" xfId="61" applyBorder="1"/>
    <xf numFmtId="0" fontId="1" fillId="0" borderId="147" xfId="61" applyBorder="1"/>
    <xf numFmtId="0" fontId="1" fillId="0" borderId="148" xfId="61" applyBorder="1"/>
    <xf numFmtId="0" fontId="12" fillId="0" borderId="36" xfId="335" applyFont="1" applyBorder="1" applyAlignment="1">
      <alignment horizontal="left" vertical="center" wrapText="1" indent="1"/>
    </xf>
    <xf numFmtId="0" fontId="1" fillId="0" borderId="37" xfId="335" applyBorder="1" applyAlignment="1">
      <alignment horizontal="left" vertical="center" wrapText="1" indent="1"/>
    </xf>
    <xf numFmtId="0" fontId="1" fillId="36" borderId="48" xfId="335" applyFill="1" applyBorder="1" applyAlignment="1">
      <alignment horizontal="center" vertical="center" wrapText="1"/>
    </xf>
    <xf numFmtId="0" fontId="1" fillId="46" borderId="48" xfId="335" applyFill="1" applyBorder="1" applyAlignment="1">
      <alignment horizontal="center" vertical="center" wrapText="1"/>
    </xf>
    <xf numFmtId="3" fontId="1" fillId="46" borderId="37" xfId="335" applyNumberFormat="1" applyFill="1" applyBorder="1" applyAlignment="1">
      <alignment horizontal="center" vertical="center" wrapText="1"/>
    </xf>
    <xf numFmtId="0" fontId="1" fillId="46" borderId="37" xfId="335" applyFill="1" applyBorder="1" applyAlignment="1">
      <alignment horizontal="left" vertical="center" wrapText="1" indent="1"/>
    </xf>
    <xf numFmtId="0" fontId="1" fillId="46" borderId="37" xfId="335" applyFill="1" applyBorder="1" applyAlignment="1">
      <alignment horizontal="center" vertical="center" wrapText="1"/>
    </xf>
    <xf numFmtId="165" fontId="1" fillId="46" borderId="37" xfId="233" applyFill="1" applyBorder="1" applyAlignment="1">
      <alignment horizontal="center" vertical="center" wrapText="1"/>
    </xf>
    <xf numFmtId="184" fontId="1" fillId="46" borderId="37" xfId="233" applyNumberFormat="1" applyFill="1" applyBorder="1" applyAlignment="1">
      <alignment horizontal="center" vertical="center" wrapText="1"/>
    </xf>
    <xf numFmtId="165" fontId="1" fillId="46" borderId="49" xfId="233" applyFill="1" applyBorder="1" applyAlignment="1">
      <alignment horizontal="center" vertical="center" wrapText="1"/>
    </xf>
    <xf numFmtId="0" fontId="1" fillId="46" borderId="0" xfId="61" applyFill="1"/>
    <xf numFmtId="43" fontId="1" fillId="0" borderId="0" xfId="61" applyNumberFormat="1"/>
    <xf numFmtId="0" fontId="1" fillId="0" borderId="145" xfId="61" applyBorder="1" applyAlignment="1">
      <alignment horizontal="center"/>
    </xf>
    <xf numFmtId="0" fontId="1" fillId="0" borderId="0" xfId="61" applyAlignment="1">
      <alignment horizontal="center"/>
    </xf>
    <xf numFmtId="0" fontId="12" fillId="0" borderId="95" xfId="61" applyFont="1" applyBorder="1" applyAlignment="1">
      <alignment vertical="center"/>
    </xf>
    <xf numFmtId="4" fontId="1" fillId="0" borderId="41" xfId="61" applyNumberFormat="1" applyBorder="1"/>
    <xf numFmtId="0" fontId="12" fillId="0" borderId="0" xfId="61" applyFont="1" applyAlignment="1">
      <alignment horizontal="center" vertical="center" wrapText="1"/>
    </xf>
    <xf numFmtId="44" fontId="1" fillId="0" borderId="0" xfId="61" applyNumberFormat="1" applyAlignment="1">
      <alignment horizontal="center" vertical="center"/>
    </xf>
    <xf numFmtId="0" fontId="53" fillId="31" borderId="46" xfId="61" applyFont="1" applyFill="1" applyBorder="1" applyAlignment="1" applyProtection="1">
      <alignment horizontal="center" vertical="center"/>
      <protection locked="0"/>
    </xf>
    <xf numFmtId="4" fontId="53" fillId="31" borderId="47" xfId="61" applyNumberFormat="1" applyFont="1" applyFill="1" applyBorder="1" applyAlignment="1" applyProtection="1">
      <alignment horizontal="center" vertical="center"/>
      <protection locked="0"/>
    </xf>
    <xf numFmtId="44" fontId="67" fillId="0" borderId="3" xfId="11690" applyFont="1" applyFill="1" applyBorder="1" applyAlignment="1">
      <alignment horizontal="center" vertical="center" shrinkToFit="1"/>
    </xf>
    <xf numFmtId="44" fontId="67" fillId="0" borderId="95" xfId="11690" applyFont="1" applyFill="1" applyBorder="1" applyAlignment="1">
      <alignment horizontal="center" vertical="center" shrinkToFit="1"/>
    </xf>
    <xf numFmtId="44" fontId="67" fillId="0" borderId="95" xfId="11690" applyFont="1" applyFill="1" applyBorder="1" applyAlignment="1">
      <alignment horizontal="center" vertical="center" wrapText="1"/>
    </xf>
    <xf numFmtId="44" fontId="67" fillId="0" borderId="95" xfId="11690" applyFont="1" applyFill="1" applyBorder="1" applyAlignment="1">
      <alignment vertical="center" shrinkToFit="1"/>
    </xf>
    <xf numFmtId="44" fontId="13" fillId="0" borderId="95" xfId="11690" applyFont="1" applyFill="1" applyBorder="1" applyAlignment="1">
      <alignment horizontal="center" vertical="center" wrapText="1"/>
    </xf>
    <xf numFmtId="44" fontId="68" fillId="0" borderId="95" xfId="11690" applyFont="1" applyFill="1" applyBorder="1" applyAlignment="1">
      <alignment horizontal="center" vertical="center" wrapText="1"/>
    </xf>
    <xf numFmtId="44" fontId="44" fillId="47" borderId="144" xfId="11690" applyFont="1" applyFill="1" applyBorder="1" applyAlignment="1">
      <alignment horizontal="center" vertical="center" wrapText="1"/>
    </xf>
    <xf numFmtId="44" fontId="67" fillId="47" borderId="145" xfId="11690" applyFont="1" applyFill="1" applyBorder="1" applyAlignment="1">
      <alignment vertical="center" shrinkToFit="1"/>
    </xf>
    <xf numFmtId="44" fontId="67" fillId="47" borderId="144" xfId="11690" applyFont="1" applyFill="1" applyBorder="1" applyAlignment="1">
      <alignment vertical="center" shrinkToFit="1"/>
    </xf>
    <xf numFmtId="44" fontId="68" fillId="47" borderId="144" xfId="11690" applyFont="1" applyFill="1" applyBorder="1" applyAlignment="1">
      <alignment vertical="center" shrinkToFit="1"/>
    </xf>
    <xf numFmtId="44" fontId="13" fillId="47" borderId="144" xfId="11690" applyFont="1" applyFill="1" applyBorder="1" applyAlignment="1" applyProtection="1">
      <alignment vertical="center" wrapText="1"/>
      <protection locked="0"/>
    </xf>
    <xf numFmtId="44" fontId="13" fillId="47" borderId="144" xfId="11690" applyFont="1" applyFill="1" applyBorder="1" applyAlignment="1">
      <alignment vertical="center" shrinkToFit="1"/>
    </xf>
    <xf numFmtId="44" fontId="68" fillId="47" borderId="144" xfId="11690" applyFont="1" applyFill="1" applyBorder="1" applyAlignment="1">
      <alignment vertical="center" wrapText="1"/>
    </xf>
    <xf numFmtId="44" fontId="44" fillId="47" borderId="144" xfId="11690" applyFont="1" applyFill="1" applyBorder="1" applyAlignment="1">
      <alignment vertical="center" shrinkToFit="1"/>
    </xf>
    <xf numFmtId="44" fontId="68" fillId="47" borderId="0" xfId="11690" applyFont="1" applyFill="1" applyBorder="1" applyAlignment="1">
      <alignment vertical="center"/>
    </xf>
    <xf numFmtId="49" fontId="45" fillId="0" borderId="29" xfId="61" applyNumberFormat="1" applyFont="1" applyBorder="1" applyAlignment="1">
      <alignment vertical="center"/>
    </xf>
    <xf numFmtId="43" fontId="59" fillId="2" borderId="4" xfId="333" applyFont="1" applyFill="1" applyBorder="1" applyAlignment="1">
      <alignment horizontal="center" vertical="distributed" wrapText="1"/>
    </xf>
    <xf numFmtId="167" fontId="59" fillId="2" borderId="28" xfId="61" applyNumberFormat="1" applyFont="1" applyFill="1" applyBorder="1" applyAlignment="1">
      <alignment horizontal="center" vertical="distributed" wrapText="1"/>
    </xf>
    <xf numFmtId="2" fontId="59" fillId="2" borderId="26" xfId="61" applyNumberFormat="1" applyFont="1" applyFill="1" applyBorder="1" applyAlignment="1">
      <alignment horizontal="right" vertical="center" wrapText="1"/>
    </xf>
    <xf numFmtId="167" fontId="13" fillId="0" borderId="29" xfId="61" applyNumberFormat="1" applyFont="1" applyBorder="1" applyAlignment="1">
      <alignment wrapText="1"/>
    </xf>
    <xf numFmtId="180" fontId="53" fillId="30" borderId="46" xfId="61" applyNumberFormat="1" applyFont="1" applyFill="1" applyBorder="1" applyAlignment="1" applyProtection="1">
      <alignment horizontal="center" vertical="center"/>
      <protection locked="0"/>
    </xf>
    <xf numFmtId="44" fontId="12" fillId="3" borderId="147" xfId="11688" applyFont="1" applyFill="1" applyBorder="1" applyAlignment="1">
      <alignment vertical="center"/>
    </xf>
    <xf numFmtId="44" fontId="45" fillId="2" borderId="0" xfId="11688" applyFont="1" applyFill="1" applyBorder="1" applyAlignment="1">
      <alignment vertical="center"/>
    </xf>
    <xf numFmtId="44" fontId="50" fillId="2" borderId="0" xfId="11688" applyFont="1" applyFill="1" applyBorder="1" applyAlignment="1">
      <alignment vertical="center"/>
    </xf>
    <xf numFmtId="44" fontId="53" fillId="30" borderId="47" xfId="11688" applyFont="1" applyFill="1" applyBorder="1" applyAlignment="1" applyProtection="1">
      <alignment horizontal="center" vertical="center"/>
      <protection locked="0"/>
    </xf>
    <xf numFmtId="44" fontId="47" fillId="30" borderId="35" xfId="11688" applyFont="1" applyFill="1" applyBorder="1" applyAlignment="1">
      <alignment horizontal="right" vertical="center"/>
    </xf>
    <xf numFmtId="44" fontId="47" fillId="3" borderId="36" xfId="11688" applyFont="1" applyFill="1" applyBorder="1" applyAlignment="1">
      <alignment horizontal="right" vertical="center"/>
    </xf>
    <xf numFmtId="44" fontId="47" fillId="0" borderId="36" xfId="11688" applyFont="1" applyFill="1" applyBorder="1" applyAlignment="1">
      <alignment horizontal="right" vertical="center"/>
    </xf>
    <xf numFmtId="44" fontId="1" fillId="0" borderId="37" xfId="11688" applyFont="1" applyFill="1" applyBorder="1" applyAlignment="1">
      <alignment horizontal="center" vertical="center" wrapText="1"/>
    </xf>
    <xf numFmtId="44" fontId="1" fillId="0" borderId="40" xfId="11688" applyFont="1" applyBorder="1" applyAlignment="1">
      <alignment vertical="center" wrapText="1"/>
    </xf>
    <xf numFmtId="44" fontId="47" fillId="28" borderId="36" xfId="11688" applyFont="1" applyFill="1" applyBorder="1" applyAlignment="1">
      <alignment horizontal="right" vertical="center"/>
    </xf>
    <xf numFmtId="44" fontId="12" fillId="0" borderId="37" xfId="11688" applyFont="1" applyFill="1" applyBorder="1" applyAlignment="1">
      <alignment horizontal="center" vertical="center" wrapText="1"/>
    </xf>
    <xf numFmtId="44" fontId="1" fillId="42" borderId="37" xfId="11688" applyFont="1" applyFill="1" applyBorder="1" applyAlignment="1">
      <alignment horizontal="center" vertical="center" wrapText="1"/>
    </xf>
    <xf numFmtId="44" fontId="47" fillId="3" borderId="38" xfId="11688" applyFont="1" applyFill="1" applyBorder="1" applyAlignment="1">
      <alignment horizontal="right" vertical="center"/>
    </xf>
    <xf numFmtId="44" fontId="1" fillId="2" borderId="0" xfId="11688" applyFont="1" applyFill="1" applyBorder="1" applyAlignment="1">
      <alignment vertical="center"/>
    </xf>
    <xf numFmtId="44" fontId="53" fillId="29" borderId="47" xfId="11688" applyFont="1" applyFill="1" applyBorder="1" applyAlignment="1" applyProtection="1">
      <alignment horizontal="center" vertical="center"/>
      <protection locked="0"/>
    </xf>
    <xf numFmtId="44" fontId="1" fillId="0" borderId="49" xfId="11688" applyFont="1" applyFill="1" applyBorder="1" applyAlignment="1">
      <alignment horizontal="center" vertical="center" wrapText="1"/>
    </xf>
    <xf numFmtId="44" fontId="1" fillId="0" borderId="33" xfId="11688" applyFont="1" applyBorder="1" applyAlignment="1">
      <alignment vertical="center" wrapText="1"/>
    </xf>
    <xf numFmtId="44" fontId="1" fillId="42" borderId="49" xfId="11688" applyFont="1" applyFill="1" applyBorder="1" applyAlignment="1">
      <alignment horizontal="center" vertical="center" wrapText="1"/>
    </xf>
    <xf numFmtId="44" fontId="12" fillId="3" borderId="148" xfId="11688" applyFont="1" applyFill="1" applyBorder="1" applyAlignment="1">
      <alignment vertical="center"/>
    </xf>
    <xf numFmtId="44" fontId="50" fillId="29" borderId="47" xfId="11688" applyFont="1" applyFill="1" applyBorder="1" applyAlignment="1" applyProtection="1">
      <alignment horizontal="center" vertical="center"/>
      <protection locked="0"/>
    </xf>
    <xf numFmtId="44" fontId="1" fillId="0" borderId="49" xfId="11688" quotePrefix="1" applyFont="1" applyFill="1" applyBorder="1" applyAlignment="1">
      <alignment horizontal="center" vertical="center" wrapText="1"/>
    </xf>
    <xf numFmtId="44" fontId="50" fillId="0" borderId="0" xfId="11688" applyFont="1" applyFill="1" applyBorder="1" applyAlignment="1">
      <alignment vertical="center"/>
    </xf>
    <xf numFmtId="44" fontId="12" fillId="34" borderId="36" xfId="11688" applyFont="1" applyFill="1" applyBorder="1" applyAlignment="1">
      <alignment vertical="center" wrapText="1"/>
    </xf>
    <xf numFmtId="44" fontId="12" fillId="0" borderId="0" xfId="11688" applyFont="1" applyBorder="1" applyAlignment="1">
      <alignment horizontal="center" vertical="center" wrapText="1"/>
    </xf>
    <xf numFmtId="44" fontId="1" fillId="0" borderId="0" xfId="11688" applyFont="1" applyBorder="1" applyAlignment="1">
      <alignment horizontal="center" vertical="center"/>
    </xf>
    <xf numFmtId="0" fontId="1" fillId="0" borderId="0" xfId="61" applyAlignment="1">
      <alignment vertical="center"/>
    </xf>
    <xf numFmtId="0" fontId="50" fillId="2" borderId="143" xfId="328" applyFont="1" applyFill="1" applyBorder="1" applyAlignment="1">
      <alignment horizontal="left" vertical="center"/>
    </xf>
    <xf numFmtId="3" fontId="45" fillId="0" borderId="152" xfId="61" applyNumberFormat="1" applyFont="1" applyBorder="1" applyAlignment="1">
      <alignment horizontal="center" vertical="center"/>
    </xf>
    <xf numFmtId="0" fontId="50" fillId="2" borderId="83" xfId="328" applyFont="1" applyFill="1" applyBorder="1" applyAlignment="1">
      <alignment horizontal="left" vertical="center"/>
    </xf>
    <xf numFmtId="180" fontId="1" fillId="2" borderId="0" xfId="61" applyNumberFormat="1" applyFill="1" applyAlignment="1">
      <alignment horizontal="right" vertical="center"/>
    </xf>
    <xf numFmtId="44" fontId="1" fillId="0" borderId="0" xfId="11688" applyFont="1" applyAlignment="1">
      <alignment vertical="center"/>
    </xf>
    <xf numFmtId="0" fontId="50" fillId="2" borderId="25" xfId="328" applyFont="1" applyFill="1" applyBorder="1" applyAlignment="1">
      <alignment horizontal="left" vertical="center"/>
    </xf>
    <xf numFmtId="3" fontId="45" fillId="0" borderId="0" xfId="61" applyNumberFormat="1" applyFont="1" applyAlignment="1">
      <alignment horizontal="center" vertical="center"/>
    </xf>
    <xf numFmtId="0" fontId="50" fillId="0" borderId="25" xfId="328" applyFont="1" applyBorder="1" applyAlignment="1">
      <alignment horizontal="left" vertical="center"/>
    </xf>
    <xf numFmtId="0" fontId="1" fillId="0" borderId="144" xfId="61" applyBorder="1" applyAlignment="1">
      <alignment vertical="center"/>
    </xf>
    <xf numFmtId="0" fontId="1" fillId="0" borderId="147" xfId="61" applyBorder="1" applyAlignment="1">
      <alignment vertical="center"/>
    </xf>
    <xf numFmtId="44" fontId="1" fillId="0" borderId="147" xfId="11688" applyFont="1" applyBorder="1" applyAlignment="1">
      <alignment vertical="center"/>
    </xf>
    <xf numFmtId="44" fontId="1" fillId="0" borderId="148" xfId="11688" applyFont="1" applyBorder="1" applyAlignment="1">
      <alignment vertical="center"/>
    </xf>
    <xf numFmtId="3" fontId="12" fillId="35" borderId="35" xfId="335" applyNumberFormat="1" applyFont="1" applyFill="1" applyBorder="1" applyAlignment="1">
      <alignment horizontal="left" vertical="center"/>
    </xf>
    <xf numFmtId="0" fontId="12" fillId="30" borderId="0" xfId="1" applyFont="1" applyFill="1" applyAlignment="1">
      <alignment vertical="center"/>
    </xf>
    <xf numFmtId="0" fontId="12" fillId="33" borderId="36" xfId="335" applyFont="1" applyFill="1" applyBorder="1" applyAlignment="1">
      <alignment horizontal="left" vertical="center" wrapText="1"/>
    </xf>
    <xf numFmtId="0" fontId="12" fillId="0" borderId="36" xfId="335" applyFont="1" applyBorder="1" applyAlignment="1">
      <alignment horizontal="left" vertical="center" wrapText="1"/>
    </xf>
    <xf numFmtId="0" fontId="1" fillId="0" borderId="37" xfId="335" applyBorder="1" applyAlignment="1">
      <alignment horizontal="left" vertical="center" wrapText="1"/>
    </xf>
    <xf numFmtId="0" fontId="12" fillId="34" borderId="36" xfId="335" applyFont="1" applyFill="1" applyBorder="1" applyAlignment="1">
      <alignment horizontal="left" vertical="center" wrapText="1"/>
    </xf>
    <xf numFmtId="0" fontId="1" fillId="42" borderId="0" xfId="61" applyFill="1" applyAlignment="1">
      <alignment vertical="center"/>
    </xf>
    <xf numFmtId="0" fontId="1" fillId="42" borderId="37" xfId="335" applyFill="1" applyBorder="1" applyAlignment="1">
      <alignment horizontal="left" vertical="center" wrapText="1"/>
    </xf>
    <xf numFmtId="0" fontId="12" fillId="3" borderId="98" xfId="30" applyFont="1" applyFill="1" applyBorder="1" applyAlignment="1">
      <alignment horizontal="left" vertical="center" wrapText="1"/>
    </xf>
    <xf numFmtId="0" fontId="1" fillId="0" borderId="97" xfId="61" applyBorder="1" applyAlignment="1">
      <alignment horizontal="center" vertical="center"/>
    </xf>
    <xf numFmtId="3" fontId="1" fillId="0" borderId="41" xfId="61" applyNumberFormat="1" applyBorder="1" applyAlignment="1">
      <alignment horizontal="center" vertical="center"/>
    </xf>
    <xf numFmtId="0" fontId="1" fillId="0" borderId="41" xfId="61" applyBorder="1" applyAlignment="1">
      <alignment horizontal="left" vertical="center"/>
    </xf>
    <xf numFmtId="0" fontId="1" fillId="0" borderId="41" xfId="61" applyBorder="1" applyAlignment="1">
      <alignment vertical="center"/>
    </xf>
    <xf numFmtId="0" fontId="1" fillId="0" borderId="150" xfId="61" applyBorder="1" applyAlignment="1">
      <alignment vertical="center"/>
    </xf>
    <xf numFmtId="44" fontId="1" fillId="0" borderId="41" xfId="11688" applyFont="1" applyBorder="1" applyAlignment="1">
      <alignment vertical="center"/>
    </xf>
    <xf numFmtId="180" fontId="1" fillId="0" borderId="41" xfId="61" applyNumberFormat="1" applyBorder="1" applyAlignment="1">
      <alignment horizontal="right" vertical="center"/>
    </xf>
    <xf numFmtId="3" fontId="1" fillId="0" borderId="0" xfId="61" applyNumberFormat="1" applyAlignment="1">
      <alignment horizontal="center" vertical="center"/>
    </xf>
    <xf numFmtId="0" fontId="1" fillId="0" borderId="0" xfId="61" applyAlignment="1">
      <alignment horizontal="left" vertical="center"/>
    </xf>
    <xf numFmtId="180" fontId="1" fillId="0" borderId="0" xfId="61" applyNumberFormat="1" applyAlignment="1">
      <alignment horizontal="right" vertical="center"/>
    </xf>
    <xf numFmtId="4" fontId="1" fillId="0" borderId="0" xfId="61" applyNumberFormat="1" applyAlignment="1">
      <alignment vertical="center"/>
    </xf>
    <xf numFmtId="44" fontId="1" fillId="0" borderId="0" xfId="61" applyNumberFormat="1" applyAlignment="1">
      <alignment horizontal="right" vertical="center"/>
    </xf>
    <xf numFmtId="44" fontId="1" fillId="0" borderId="0" xfId="61" applyNumberFormat="1" applyAlignment="1">
      <alignment vertical="center"/>
    </xf>
    <xf numFmtId="44" fontId="1" fillId="0" borderId="95" xfId="61" applyNumberFormat="1" applyBorder="1" applyAlignment="1">
      <alignment vertical="center"/>
    </xf>
    <xf numFmtId="44" fontId="1" fillId="0" borderId="0" xfId="11688" applyFont="1" applyBorder="1" applyAlignment="1">
      <alignment vertical="center"/>
    </xf>
    <xf numFmtId="180" fontId="1" fillId="0" borderId="150" xfId="61" applyNumberFormat="1" applyBorder="1" applyAlignment="1">
      <alignment horizontal="right" vertical="center"/>
    </xf>
    <xf numFmtId="4" fontId="1" fillId="0" borderId="150" xfId="61" applyNumberFormat="1" applyBorder="1" applyAlignment="1">
      <alignment vertical="center"/>
    </xf>
    <xf numFmtId="44" fontId="1" fillId="0" borderId="150" xfId="11688" applyFont="1" applyBorder="1" applyAlignment="1">
      <alignment vertical="center"/>
    </xf>
    <xf numFmtId="180" fontId="1" fillId="0" borderId="0" xfId="61" applyNumberFormat="1" applyAlignment="1">
      <alignment horizontal="center" vertical="center"/>
    </xf>
    <xf numFmtId="2" fontId="59" fillId="2" borderId="26" xfId="61" applyNumberFormat="1" applyFont="1" applyFill="1" applyBorder="1" applyAlignment="1">
      <alignment horizontal="center" vertical="center" wrapText="1"/>
    </xf>
    <xf numFmtId="2" fontId="59" fillId="2" borderId="4" xfId="61" applyNumberFormat="1" applyFont="1" applyFill="1" applyBorder="1" applyAlignment="1">
      <alignment horizontal="center" vertical="center" wrapText="1"/>
    </xf>
    <xf numFmtId="2" fontId="59" fillId="2" borderId="30" xfId="61" applyNumberFormat="1" applyFont="1" applyFill="1" applyBorder="1" applyAlignment="1">
      <alignment horizontal="center" vertical="center" wrapText="1"/>
    </xf>
    <xf numFmtId="1" fontId="59" fillId="2" borderId="26" xfId="61" applyNumberFormat="1" applyFont="1" applyFill="1" applyBorder="1" applyAlignment="1">
      <alignment horizontal="center" vertical="center" wrapText="1"/>
    </xf>
    <xf numFmtId="1" fontId="59" fillId="2" borderId="30" xfId="61" applyNumberFormat="1" applyFont="1" applyFill="1" applyBorder="1" applyAlignment="1">
      <alignment horizontal="center" vertical="center" wrapText="1"/>
    </xf>
    <xf numFmtId="0" fontId="74" fillId="0" borderId="0" xfId="11695" applyFont="1" applyAlignment="1">
      <alignment horizontal="center" vertical="center" wrapText="1"/>
    </xf>
    <xf numFmtId="0" fontId="74" fillId="0" borderId="0" xfId="11695" applyFont="1" applyAlignment="1">
      <alignment horizontal="left" vertical="top"/>
    </xf>
    <xf numFmtId="0" fontId="65" fillId="0" borderId="0" xfId="11695" applyAlignment="1">
      <alignment horizontal="left" vertical="top"/>
    </xf>
    <xf numFmtId="0" fontId="76" fillId="0" borderId="0" xfId="11695" applyFont="1" applyAlignment="1">
      <alignment horizontal="center" vertical="center" wrapText="1"/>
    </xf>
    <xf numFmtId="0" fontId="77" fillId="3" borderId="95" xfId="11695" applyFont="1" applyFill="1" applyBorder="1" applyAlignment="1">
      <alignment horizontal="center" vertical="center" wrapText="1"/>
    </xf>
    <xf numFmtId="0" fontId="76" fillId="0" borderId="0" xfId="11695" applyFont="1" applyAlignment="1">
      <alignment horizontal="left" vertical="top"/>
    </xf>
    <xf numFmtId="0" fontId="78" fillId="0" borderId="0" xfId="11695" applyFont="1" applyAlignment="1">
      <alignment horizontal="left" vertical="top"/>
    </xf>
    <xf numFmtId="0" fontId="79" fillId="0" borderId="95" xfId="11695" applyFont="1" applyBorder="1" applyAlignment="1">
      <alignment horizontal="center" vertical="center" wrapText="1"/>
    </xf>
    <xf numFmtId="2" fontId="74" fillId="0" borderId="95" xfId="11695" applyNumberFormat="1" applyFont="1" applyBorder="1" applyAlignment="1">
      <alignment horizontal="center" vertical="center" wrapText="1"/>
    </xf>
    <xf numFmtId="0" fontId="74" fillId="0" borderId="95" xfId="11695" applyFont="1" applyBorder="1" applyAlignment="1">
      <alignment horizontal="center" vertical="center" wrapText="1"/>
    </xf>
    <xf numFmtId="0" fontId="79" fillId="3" borderId="144" xfId="11695" applyFont="1" applyFill="1" applyBorder="1" applyAlignment="1">
      <alignment horizontal="center" vertical="center"/>
    </xf>
    <xf numFmtId="0" fontId="74" fillId="3" borderId="147" xfId="11695" applyFont="1" applyFill="1" applyBorder="1" applyAlignment="1">
      <alignment horizontal="center" vertical="center"/>
    </xf>
    <xf numFmtId="0" fontId="74" fillId="3" borderId="0" xfId="11695" applyFont="1" applyFill="1" applyAlignment="1">
      <alignment horizontal="left" vertical="center"/>
    </xf>
    <xf numFmtId="0" fontId="75" fillId="3" borderId="147" xfId="11695" applyFont="1" applyFill="1" applyBorder="1" applyAlignment="1">
      <alignment horizontal="left" vertical="center"/>
    </xf>
    <xf numFmtId="0" fontId="79" fillId="3" borderId="148" xfId="11695" applyFont="1" applyFill="1" applyBorder="1" applyAlignment="1">
      <alignment horizontal="right" vertical="center"/>
    </xf>
    <xf numFmtId="2" fontId="79" fillId="3" borderId="95" xfId="11695" applyNumberFormat="1" applyFont="1" applyFill="1" applyBorder="1" applyAlignment="1">
      <alignment horizontal="center" vertical="center" wrapText="1"/>
    </xf>
    <xf numFmtId="0" fontId="74" fillId="3" borderId="144" xfId="11695" applyFont="1" applyFill="1" applyBorder="1" applyAlignment="1">
      <alignment horizontal="center" vertical="center"/>
    </xf>
    <xf numFmtId="2" fontId="79" fillId="3" borderId="148" xfId="11695" applyNumberFormat="1" applyFont="1" applyFill="1" applyBorder="1" applyAlignment="1">
      <alignment horizontal="center" vertical="center" wrapText="1"/>
    </xf>
    <xf numFmtId="0" fontId="79" fillId="3" borderId="144" xfId="11695" applyFont="1" applyFill="1" applyBorder="1" applyAlignment="1">
      <alignment vertical="center"/>
    </xf>
    <xf numFmtId="0" fontId="79" fillId="3" borderId="147" xfId="11695" applyFont="1" applyFill="1" applyBorder="1" applyAlignment="1">
      <alignment vertical="center"/>
    </xf>
    <xf numFmtId="0" fontId="64" fillId="3" borderId="148" xfId="11695" applyFont="1" applyFill="1" applyBorder="1" applyAlignment="1">
      <alignment horizontal="right" vertical="center"/>
    </xf>
    <xf numFmtId="2" fontId="64" fillId="3" borderId="95" xfId="11695" applyNumberFormat="1" applyFont="1" applyFill="1" applyBorder="1" applyAlignment="1">
      <alignment horizontal="center" vertical="center" wrapText="1"/>
    </xf>
    <xf numFmtId="0" fontId="80" fillId="0" borderId="0" xfId="11695" applyFont="1" applyAlignment="1">
      <alignment horizontal="left" vertical="center"/>
    </xf>
    <xf numFmtId="2" fontId="74" fillId="0" borderId="0" xfId="11695" applyNumberFormat="1" applyFont="1" applyAlignment="1">
      <alignment horizontal="center" vertical="center" wrapText="1"/>
    </xf>
    <xf numFmtId="0" fontId="59" fillId="2" borderId="155" xfId="30" applyFont="1" applyFill="1" applyBorder="1" applyAlignment="1">
      <alignment horizontal="left" vertical="center" wrapText="1"/>
    </xf>
    <xf numFmtId="2" fontId="59" fillId="0" borderId="28" xfId="61" applyNumberFormat="1" applyFont="1" applyBorder="1" applyAlignment="1">
      <alignment horizontal="center" vertical="center" wrapText="1"/>
    </xf>
    <xf numFmtId="185" fontId="57" fillId="28" borderId="22" xfId="333" applyNumberFormat="1" applyFont="1" applyFill="1" applyBorder="1" applyAlignment="1">
      <alignment vertical="center" wrapText="1"/>
    </xf>
    <xf numFmtId="9" fontId="59" fillId="0" borderId="30" xfId="334" applyFont="1" applyBorder="1" applyAlignment="1">
      <alignment horizontal="center" vertical="center" wrapText="1"/>
    </xf>
    <xf numFmtId="44" fontId="53" fillId="29" borderId="46" xfId="11688" applyFont="1" applyFill="1" applyBorder="1" applyAlignment="1" applyProtection="1">
      <alignment horizontal="center" vertical="center" wrapText="1"/>
      <protection locked="0"/>
    </xf>
    <xf numFmtId="9" fontId="59" fillId="2" borderId="28" xfId="334" applyFont="1" applyFill="1" applyBorder="1" applyAlignment="1">
      <alignment horizontal="center" vertical="center" wrapText="1"/>
    </xf>
    <xf numFmtId="2" fontId="59" fillId="2" borderId="28" xfId="334" applyNumberFormat="1" applyFont="1" applyFill="1" applyBorder="1" applyAlignment="1">
      <alignment horizontal="center" vertical="center" wrapText="1"/>
    </xf>
    <xf numFmtId="9" fontId="59" fillId="0" borderId="26" xfId="334" applyFont="1" applyBorder="1" applyAlignment="1">
      <alignment horizontal="center" vertical="center" wrapText="1"/>
    </xf>
    <xf numFmtId="0" fontId="70" fillId="0" borderId="0" xfId="61" applyFont="1"/>
    <xf numFmtId="183" fontId="57" fillId="28" borderId="22" xfId="333" applyNumberFormat="1" applyFont="1" applyFill="1" applyBorder="1" applyAlignment="1">
      <alignment vertical="center" wrapText="1"/>
    </xf>
    <xf numFmtId="4" fontId="58" fillId="28" borderId="22" xfId="333" applyNumberFormat="1" applyFont="1" applyFill="1" applyBorder="1" applyAlignment="1">
      <alignment vertical="center" wrapText="1"/>
    </xf>
    <xf numFmtId="4" fontId="53" fillId="29" borderId="46" xfId="61" applyNumberFormat="1" applyFont="1" applyFill="1" applyBorder="1" applyAlignment="1" applyProtection="1">
      <alignment horizontal="center" vertical="center" wrapText="1"/>
      <protection locked="0"/>
    </xf>
    <xf numFmtId="0" fontId="1" fillId="46" borderId="37" xfId="335" applyFill="1" applyBorder="1" applyAlignment="1">
      <alignment horizontal="left" vertical="center" wrapText="1"/>
    </xf>
    <xf numFmtId="44" fontId="1" fillId="46" borderId="37" xfId="11688" applyFont="1" applyFill="1" applyBorder="1" applyAlignment="1">
      <alignment horizontal="center" vertical="center" wrapText="1"/>
    </xf>
    <xf numFmtId="44" fontId="1" fillId="46" borderId="49" xfId="11688" applyFont="1" applyFill="1" applyBorder="1" applyAlignment="1">
      <alignment horizontal="center" vertical="center" wrapText="1"/>
    </xf>
    <xf numFmtId="0" fontId="1" fillId="46" borderId="0" xfId="61" applyFill="1" applyAlignment="1">
      <alignment vertical="center"/>
    </xf>
    <xf numFmtId="9" fontId="1" fillId="0" borderId="0" xfId="334" applyFont="1" applyAlignment="1">
      <alignment vertical="center"/>
    </xf>
    <xf numFmtId="2" fontId="57" fillId="28" borderId="43" xfId="61" applyNumberFormat="1" applyFont="1" applyFill="1" applyBorder="1" applyAlignment="1">
      <alignment horizontal="center" vertical="distributed" wrapText="1"/>
    </xf>
    <xf numFmtId="2" fontId="59" fillId="2" borderId="25" xfId="61" applyNumberFormat="1" applyFont="1" applyFill="1" applyBorder="1" applyAlignment="1">
      <alignment horizontal="center" vertical="center" wrapText="1"/>
    </xf>
    <xf numFmtId="2" fontId="59" fillId="2" borderId="0" xfId="61" applyNumberFormat="1" applyFont="1" applyFill="1" applyAlignment="1">
      <alignment horizontal="center" vertical="center" wrapText="1"/>
    </xf>
    <xf numFmtId="2" fontId="59" fillId="2" borderId="29" xfId="61" applyNumberFormat="1" applyFont="1" applyFill="1" applyBorder="1" applyAlignment="1">
      <alignment horizontal="center" vertical="center" wrapText="1"/>
    </xf>
    <xf numFmtId="184" fontId="1" fillId="46" borderId="37" xfId="233" applyNumberFormat="1" applyFont="1" applyFill="1" applyBorder="1" applyAlignment="1">
      <alignment horizontal="center" vertical="center" wrapText="1"/>
    </xf>
    <xf numFmtId="0" fontId="57" fillId="28" borderId="42" xfId="61" applyFont="1" applyFill="1" applyBorder="1" applyAlignment="1">
      <alignment horizontal="right" vertical="center" wrapText="1"/>
    </xf>
    <xf numFmtId="0" fontId="54" fillId="2" borderId="0" xfId="61" applyFont="1" applyFill="1" applyAlignment="1">
      <alignment horizontal="left" vertical="center"/>
    </xf>
    <xf numFmtId="193" fontId="57" fillId="28" borderId="22" xfId="333" applyNumberFormat="1" applyFont="1" applyFill="1" applyBorder="1" applyAlignment="1">
      <alignment vertical="center" wrapText="1"/>
    </xf>
    <xf numFmtId="4" fontId="1" fillId="0" borderId="37" xfId="233" applyNumberFormat="1" applyFont="1" applyFill="1" applyBorder="1" applyAlignment="1">
      <alignment horizontal="center" vertical="center" wrapText="1"/>
    </xf>
    <xf numFmtId="185" fontId="59" fillId="31" borderId="30" xfId="333" applyNumberFormat="1" applyFont="1" applyFill="1" applyBorder="1" applyAlignment="1">
      <alignment horizontal="center" vertical="distributed" wrapText="1"/>
    </xf>
    <xf numFmtId="0" fontId="1" fillId="46" borderId="48" xfId="335" applyFill="1" applyBorder="1" applyAlignment="1">
      <alignment horizontal="left" vertical="center" wrapText="1"/>
    </xf>
    <xf numFmtId="44" fontId="1" fillId="0" borderId="0" xfId="11688" applyFont="1"/>
    <xf numFmtId="0" fontId="1" fillId="0" borderId="48" xfId="335" applyBorder="1" applyAlignment="1">
      <alignment horizontal="left" vertical="center" wrapText="1"/>
    </xf>
    <xf numFmtId="0" fontId="12" fillId="35" borderId="35" xfId="335" applyFont="1" applyFill="1" applyBorder="1" applyAlignment="1">
      <alignment horizontal="left" vertical="center" wrapText="1"/>
    </xf>
    <xf numFmtId="180" fontId="12" fillId="31" borderId="35" xfId="337" applyNumberFormat="1" applyFont="1" applyFill="1" applyBorder="1" applyAlignment="1">
      <alignment horizontal="right" vertical="center"/>
    </xf>
    <xf numFmtId="44" fontId="47" fillId="31" borderId="35" xfId="11688" applyFont="1" applyFill="1" applyBorder="1" applyAlignment="1">
      <alignment horizontal="right" vertical="center"/>
    </xf>
    <xf numFmtId="180" fontId="12" fillId="31" borderId="36" xfId="337" applyNumberFormat="1" applyFont="1" applyFill="1" applyBorder="1" applyAlignment="1">
      <alignment horizontal="right" vertical="center"/>
    </xf>
    <xf numFmtId="44" fontId="47" fillId="31" borderId="36" xfId="11688" applyFont="1" applyFill="1" applyBorder="1" applyAlignment="1">
      <alignment horizontal="right" vertical="center"/>
    </xf>
    <xf numFmtId="184" fontId="12" fillId="31" borderId="37" xfId="233" applyNumberFormat="1" applyFont="1" applyFill="1" applyBorder="1" applyAlignment="1">
      <alignment horizontal="center" vertical="center" wrapText="1"/>
    </xf>
    <xf numFmtId="44" fontId="12" fillId="31" borderId="37" xfId="11688" applyFont="1" applyFill="1" applyBorder="1" applyAlignment="1">
      <alignment horizontal="center" vertical="center" wrapText="1"/>
    </xf>
    <xf numFmtId="8" fontId="1" fillId="0" borderId="0" xfId="11688" applyNumberFormat="1" applyFont="1" applyAlignment="1">
      <alignment vertical="center"/>
    </xf>
    <xf numFmtId="0" fontId="12" fillId="0" borderId="0" xfId="328" applyFont="1" applyAlignment="1">
      <alignment vertical="center"/>
    </xf>
    <xf numFmtId="44" fontId="12" fillId="31" borderId="95" xfId="11688" applyFont="1" applyFill="1" applyBorder="1" applyAlignment="1">
      <alignment vertical="center"/>
    </xf>
    <xf numFmtId="49" fontId="59" fillId="0" borderId="27" xfId="61" applyNumberFormat="1" applyFont="1" applyBorder="1" applyAlignment="1">
      <alignment horizontal="center" vertical="center" wrapText="1"/>
    </xf>
    <xf numFmtId="4" fontId="57" fillId="28" borderId="22" xfId="333" applyNumberFormat="1" applyFont="1" applyFill="1" applyBorder="1" applyAlignment="1">
      <alignment vertical="center" wrapText="1"/>
    </xf>
    <xf numFmtId="194" fontId="57" fillId="28" borderId="22" xfId="333" applyNumberFormat="1" applyFont="1" applyFill="1" applyBorder="1" applyAlignment="1">
      <alignment vertical="center" wrapText="1"/>
    </xf>
    <xf numFmtId="0" fontId="59" fillId="0" borderId="155" xfId="30" applyFont="1" applyBorder="1" applyAlignment="1">
      <alignment vertical="center" wrapText="1"/>
    </xf>
    <xf numFmtId="44" fontId="64" fillId="31" borderId="95" xfId="11688" applyFont="1" applyFill="1" applyBorder="1" applyAlignment="1">
      <alignment vertical="center"/>
    </xf>
    <xf numFmtId="44" fontId="46" fillId="0" borderId="0" xfId="11688" applyFont="1" applyAlignment="1">
      <alignment vertical="center"/>
    </xf>
    <xf numFmtId="44" fontId="1" fillId="0" borderId="95" xfId="11688" applyFont="1" applyFill="1" applyBorder="1" applyAlignment="1">
      <alignment vertical="center"/>
    </xf>
    <xf numFmtId="165" fontId="1" fillId="41" borderId="37" xfId="233" applyFill="1" applyBorder="1" applyAlignment="1">
      <alignment horizontal="center" vertical="center" wrapText="1"/>
    </xf>
    <xf numFmtId="0" fontId="1" fillId="41" borderId="48" xfId="335" applyFill="1" applyBorder="1" applyAlignment="1">
      <alignment horizontal="center" vertical="center" wrapText="1"/>
    </xf>
    <xf numFmtId="3" fontId="1" fillId="41" borderId="37" xfId="335" applyNumberFormat="1" applyFill="1" applyBorder="1" applyAlignment="1">
      <alignment horizontal="center" vertical="center" wrapText="1"/>
    </xf>
    <xf numFmtId="0" fontId="1" fillId="41" borderId="37" xfId="335" applyFill="1" applyBorder="1" applyAlignment="1">
      <alignment horizontal="left" vertical="center" wrapText="1"/>
    </xf>
    <xf numFmtId="0" fontId="1" fillId="41" borderId="37" xfId="335" applyFill="1" applyBorder="1" applyAlignment="1">
      <alignment horizontal="center" vertical="center" wrapText="1"/>
    </xf>
    <xf numFmtId="184" fontId="1" fillId="41" borderId="37" xfId="233" applyNumberFormat="1" applyFill="1" applyBorder="1" applyAlignment="1">
      <alignment horizontal="center" vertical="center" wrapText="1"/>
    </xf>
    <xf numFmtId="44" fontId="1" fillId="41" borderId="37" xfId="11688" applyFont="1" applyFill="1" applyBorder="1" applyAlignment="1">
      <alignment horizontal="center" vertical="center" wrapText="1"/>
    </xf>
    <xf numFmtId="44" fontId="1" fillId="41" borderId="49" xfId="11688" applyFont="1" applyFill="1" applyBorder="1" applyAlignment="1">
      <alignment horizontal="center" vertical="center" wrapText="1"/>
    </xf>
    <xf numFmtId="0" fontId="1" fillId="41" borderId="0" xfId="61" applyFill="1" applyAlignment="1">
      <alignment vertical="center"/>
    </xf>
    <xf numFmtId="0" fontId="1" fillId="48" borderId="48" xfId="335" applyFill="1" applyBorder="1" applyAlignment="1">
      <alignment horizontal="center" vertical="center" wrapText="1"/>
    </xf>
    <xf numFmtId="3" fontId="1" fillId="48" borderId="37" xfId="335" applyNumberFormat="1" applyFill="1" applyBorder="1" applyAlignment="1">
      <alignment horizontal="center" vertical="center" wrapText="1"/>
    </xf>
    <xf numFmtId="0" fontId="1" fillId="48" borderId="37" xfId="335" applyFill="1" applyBorder="1" applyAlignment="1">
      <alignment horizontal="left" vertical="center" wrapText="1"/>
    </xf>
    <xf numFmtId="0" fontId="1" fillId="48" borderId="37" xfId="335" applyFill="1" applyBorder="1" applyAlignment="1">
      <alignment horizontal="center" vertical="center" wrapText="1"/>
    </xf>
    <xf numFmtId="165" fontId="1" fillId="48" borderId="37" xfId="233" applyFill="1" applyBorder="1" applyAlignment="1">
      <alignment horizontal="center" vertical="center" wrapText="1"/>
    </xf>
    <xf numFmtId="184" fontId="1" fillId="48" borderId="37" xfId="233" applyNumberFormat="1" applyFill="1" applyBorder="1" applyAlignment="1">
      <alignment horizontal="center" vertical="center" wrapText="1"/>
    </xf>
    <xf numFmtId="44" fontId="1" fillId="48" borderId="37" xfId="11688" applyFont="1" applyFill="1" applyBorder="1" applyAlignment="1">
      <alignment horizontal="center" vertical="center" wrapText="1"/>
    </xf>
    <xf numFmtId="44" fontId="1" fillId="48" borderId="49" xfId="11688" applyFont="1" applyFill="1" applyBorder="1" applyAlignment="1">
      <alignment horizontal="center" vertical="center" wrapText="1"/>
    </xf>
    <xf numFmtId="0" fontId="1" fillId="48" borderId="0" xfId="61" applyFill="1" applyAlignment="1">
      <alignment vertical="center"/>
    </xf>
    <xf numFmtId="0" fontId="12" fillId="0" borderId="0" xfId="61" applyFont="1" applyAlignment="1">
      <alignment horizontal="center" vertical="center"/>
    </xf>
    <xf numFmtId="44" fontId="1" fillId="0" borderId="0" xfId="11688" applyFont="1" applyFill="1" applyBorder="1" applyAlignment="1">
      <alignment vertical="center"/>
    </xf>
    <xf numFmtId="180" fontId="12" fillId="0" borderId="0" xfId="61" applyNumberFormat="1" applyFont="1" applyAlignment="1">
      <alignment horizontal="center" vertical="center"/>
    </xf>
    <xf numFmtId="10" fontId="1" fillId="0" borderId="0" xfId="334" applyNumberFormat="1" applyFont="1" applyBorder="1" applyAlignment="1">
      <alignment horizontal="center" vertical="center"/>
    </xf>
    <xf numFmtId="0" fontId="1" fillId="41" borderId="174" xfId="335" applyFill="1" applyBorder="1" applyAlignment="1">
      <alignment horizontal="center" vertical="center" wrapText="1"/>
    </xf>
    <xf numFmtId="3" fontId="1" fillId="41" borderId="175" xfId="335" applyNumberFormat="1" applyFill="1" applyBorder="1" applyAlignment="1">
      <alignment horizontal="center" vertical="center" wrapText="1"/>
    </xf>
    <xf numFmtId="0" fontId="1" fillId="41" borderId="175" xfId="335" applyFill="1" applyBorder="1" applyAlignment="1">
      <alignment horizontal="left" vertical="center" wrapText="1"/>
    </xf>
    <xf numFmtId="0" fontId="1" fillId="41" borderId="175" xfId="335" applyFill="1" applyBorder="1" applyAlignment="1">
      <alignment horizontal="center" vertical="center" wrapText="1"/>
    </xf>
    <xf numFmtId="165" fontId="1" fillId="41" borderId="175" xfId="233" applyFill="1" applyBorder="1" applyAlignment="1">
      <alignment horizontal="center" vertical="center" wrapText="1"/>
    </xf>
    <xf numFmtId="184" fontId="1" fillId="41" borderId="175" xfId="233" applyNumberFormat="1" applyFill="1" applyBorder="1" applyAlignment="1">
      <alignment horizontal="center" vertical="center" wrapText="1"/>
    </xf>
    <xf numFmtId="184" fontId="64" fillId="31" borderId="37" xfId="233" applyNumberFormat="1" applyFont="1" applyFill="1" applyBorder="1" applyAlignment="1">
      <alignment horizontal="center" vertical="center" wrapText="1"/>
    </xf>
    <xf numFmtId="44" fontId="64" fillId="31" borderId="37" xfId="11688" applyFont="1" applyFill="1" applyBorder="1" applyAlignment="1">
      <alignment horizontal="center" vertical="center" wrapText="1"/>
    </xf>
    <xf numFmtId="184" fontId="12" fillId="41" borderId="37" xfId="233" applyNumberFormat="1" applyFont="1" applyFill="1" applyBorder="1" applyAlignment="1">
      <alignment horizontal="center" vertical="center" wrapText="1"/>
    </xf>
    <xf numFmtId="44" fontId="12" fillId="41" borderId="37" xfId="11688" applyFont="1" applyFill="1" applyBorder="1" applyAlignment="1">
      <alignment horizontal="center" vertical="center" wrapText="1"/>
    </xf>
    <xf numFmtId="180" fontId="12" fillId="0" borderId="0" xfId="61" applyNumberFormat="1" applyFont="1" applyAlignment="1">
      <alignment horizontal="right" vertical="center"/>
    </xf>
    <xf numFmtId="44" fontId="12" fillId="0" borderId="147" xfId="11688" applyFont="1" applyBorder="1" applyAlignment="1">
      <alignment vertical="center"/>
    </xf>
    <xf numFmtId="0" fontId="12" fillId="31" borderId="40" xfId="335" applyFont="1" applyFill="1" applyBorder="1" applyAlignment="1">
      <alignment vertical="center" wrapText="1"/>
    </xf>
    <xf numFmtId="44" fontId="12" fillId="31" borderId="40" xfId="11688" applyFont="1" applyFill="1" applyBorder="1" applyAlignment="1">
      <alignment vertical="center" wrapText="1"/>
    </xf>
    <xf numFmtId="184" fontId="12" fillId="48" borderId="37" xfId="233" applyNumberFormat="1" applyFont="1" applyFill="1" applyBorder="1" applyAlignment="1">
      <alignment horizontal="center" vertical="center" wrapText="1"/>
    </xf>
    <xf numFmtId="44" fontId="12" fillId="48" borderId="37" xfId="11688" applyFont="1" applyFill="1" applyBorder="1" applyAlignment="1">
      <alignment horizontal="center" vertical="center" wrapText="1"/>
    </xf>
    <xf numFmtId="44" fontId="12" fillId="31" borderId="49" xfId="11688" applyFont="1" applyFill="1" applyBorder="1" applyAlignment="1">
      <alignment horizontal="center" vertical="center" wrapText="1"/>
    </xf>
    <xf numFmtId="180" fontId="12" fillId="3" borderId="38" xfId="337" applyNumberFormat="1" applyFont="1" applyFill="1" applyBorder="1" applyAlignment="1">
      <alignment horizontal="right" vertical="center"/>
    </xf>
    <xf numFmtId="180" fontId="12" fillId="0" borderId="41" xfId="61" applyNumberFormat="1" applyFont="1" applyBorder="1" applyAlignment="1">
      <alignment horizontal="right" vertical="center"/>
    </xf>
    <xf numFmtId="44" fontId="12" fillId="0" borderId="41" xfId="11688" applyFont="1" applyFill="1" applyBorder="1" applyAlignment="1">
      <alignment vertical="center"/>
    </xf>
    <xf numFmtId="44" fontId="12" fillId="0" borderId="0" xfId="11688" applyFont="1" applyFill="1" applyAlignment="1">
      <alignment vertical="center"/>
    </xf>
    <xf numFmtId="44" fontId="12" fillId="0" borderId="0" xfId="11688" applyFont="1" applyAlignment="1">
      <alignment vertical="center"/>
    </xf>
    <xf numFmtId="180" fontId="12" fillId="31" borderId="0" xfId="61" applyNumberFormat="1" applyFont="1" applyFill="1" applyAlignment="1">
      <alignment horizontal="right" vertical="center"/>
    </xf>
    <xf numFmtId="44" fontId="12" fillId="31" borderId="0" xfId="11688" applyFont="1" applyFill="1" applyAlignment="1">
      <alignment vertical="center"/>
    </xf>
    <xf numFmtId="0" fontId="57" fillId="28" borderId="42" xfId="61" applyFont="1" applyFill="1" applyBorder="1" applyAlignment="1">
      <alignment horizontal="right" vertical="center" wrapText="1"/>
    </xf>
    <xf numFmtId="0" fontId="57" fillId="28" borderId="50" xfId="61" applyFont="1" applyFill="1" applyBorder="1" applyAlignment="1">
      <alignment horizontal="right" vertical="center" wrapText="1"/>
    </xf>
    <xf numFmtId="0" fontId="57" fillId="28" borderId="43" xfId="61" applyFont="1" applyFill="1" applyBorder="1" applyAlignment="1">
      <alignment horizontal="right" vertical="center" wrapText="1"/>
    </xf>
    <xf numFmtId="0" fontId="57" fillId="28" borderId="144" xfId="0" applyFont="1" applyFill="1" applyBorder="1" applyAlignment="1">
      <alignment horizontal="right" vertical="center" wrapText="1"/>
    </xf>
    <xf numFmtId="0" fontId="57" fillId="28" borderId="147" xfId="0" applyFont="1" applyFill="1" applyBorder="1" applyAlignment="1">
      <alignment horizontal="right" vertical="center" wrapText="1"/>
    </xf>
    <xf numFmtId="0" fontId="57" fillId="28" borderId="148" xfId="0" applyFont="1" applyFill="1" applyBorder="1" applyAlignment="1">
      <alignment horizontal="right" vertical="center" wrapText="1"/>
    </xf>
    <xf numFmtId="167" fontId="57" fillId="28" borderId="42" xfId="61" applyNumberFormat="1" applyFont="1" applyFill="1" applyBorder="1" applyAlignment="1">
      <alignment horizontal="right" vertical="center" wrapText="1"/>
    </xf>
    <xf numFmtId="167" fontId="57" fillId="28" borderId="43" xfId="61" applyNumberFormat="1" applyFont="1" applyFill="1" applyBorder="1" applyAlignment="1">
      <alignment horizontal="right" vertical="center" wrapText="1"/>
    </xf>
    <xf numFmtId="0" fontId="57" fillId="28" borderId="39" xfId="61" applyFont="1" applyFill="1" applyBorder="1" applyAlignment="1">
      <alignment horizontal="right" vertical="center" wrapText="1"/>
    </xf>
    <xf numFmtId="0" fontId="44" fillId="2" borderId="24" xfId="61" applyFont="1" applyFill="1" applyBorder="1" applyAlignment="1">
      <alignment horizontal="center" vertical="center" wrapText="1"/>
    </xf>
    <xf numFmtId="0" fontId="44" fillId="2" borderId="3" xfId="61" applyFont="1" applyFill="1" applyBorder="1" applyAlignment="1">
      <alignment horizontal="center" vertical="center" wrapText="1"/>
    </xf>
    <xf numFmtId="0" fontId="44" fillId="2" borderId="149" xfId="61" applyFont="1" applyFill="1" applyBorder="1" applyAlignment="1">
      <alignment horizontal="center" wrapText="1"/>
    </xf>
    <xf numFmtId="0" fontId="44" fillId="2" borderId="3" xfId="61" applyFont="1" applyFill="1" applyBorder="1" applyAlignment="1">
      <alignment horizontal="center" wrapText="1"/>
    </xf>
    <xf numFmtId="0" fontId="44" fillId="2" borderId="95" xfId="328" applyFont="1" applyFill="1" applyBorder="1" applyAlignment="1">
      <alignment horizontal="center" vertical="center" wrapText="1"/>
    </xf>
    <xf numFmtId="0" fontId="57" fillId="28" borderId="143" xfId="0" applyFont="1" applyFill="1" applyBorder="1" applyAlignment="1">
      <alignment horizontal="right" vertical="center" wrapText="1"/>
    </xf>
    <xf numFmtId="0" fontId="57" fillId="28" borderId="152" xfId="0" applyFont="1" applyFill="1" applyBorder="1" applyAlignment="1">
      <alignment horizontal="right" vertical="center" wrapText="1"/>
    </xf>
    <xf numFmtId="0" fontId="57" fillId="28" borderId="151" xfId="0" applyFont="1" applyFill="1" applyBorder="1" applyAlignment="1">
      <alignment horizontal="right" vertical="center" wrapText="1"/>
    </xf>
    <xf numFmtId="0" fontId="57" fillId="28" borderId="145" xfId="0" applyFont="1" applyFill="1" applyBorder="1" applyAlignment="1">
      <alignment horizontal="right" vertical="center" wrapText="1"/>
    </xf>
    <xf numFmtId="0" fontId="57" fillId="28" borderId="150" xfId="0" applyFont="1" applyFill="1" applyBorder="1" applyAlignment="1">
      <alignment horizontal="right" vertical="center" wrapText="1"/>
    </xf>
    <xf numFmtId="0" fontId="57" fillId="28" borderId="146" xfId="0" applyFont="1" applyFill="1" applyBorder="1" applyAlignment="1">
      <alignment horizontal="right" vertical="center" wrapText="1"/>
    </xf>
    <xf numFmtId="10" fontId="57" fillId="28" borderId="7" xfId="61" applyNumberFormat="1" applyFont="1" applyFill="1" applyBorder="1" applyAlignment="1">
      <alignment horizontal="right" vertical="center" wrapText="1"/>
    </xf>
    <xf numFmtId="10" fontId="57" fillId="28" borderId="23" xfId="61" applyNumberFormat="1" applyFont="1" applyFill="1" applyBorder="1" applyAlignment="1">
      <alignment horizontal="right" vertical="center" wrapText="1"/>
    </xf>
    <xf numFmtId="10" fontId="57" fillId="28" borderId="5" xfId="61" applyNumberFormat="1" applyFont="1" applyFill="1" applyBorder="1" applyAlignment="1">
      <alignment horizontal="right" vertical="center" wrapText="1"/>
    </xf>
    <xf numFmtId="10" fontId="57" fillId="28" borderId="6" xfId="61" applyNumberFormat="1" applyFont="1" applyFill="1" applyBorder="1" applyAlignment="1">
      <alignment horizontal="right" vertical="center" wrapText="1"/>
    </xf>
    <xf numFmtId="180" fontId="57" fillId="28" borderId="24" xfId="61" applyNumberFormat="1" applyFont="1" applyFill="1" applyBorder="1" applyAlignment="1">
      <alignment horizontal="left" vertical="center" wrapText="1"/>
    </xf>
    <xf numFmtId="180" fontId="57" fillId="28" borderId="3" xfId="61" applyNumberFormat="1" applyFont="1" applyFill="1" applyBorder="1" applyAlignment="1">
      <alignment horizontal="left" vertical="center" wrapText="1"/>
    </xf>
    <xf numFmtId="0" fontId="54" fillId="2" borderId="0" xfId="61" applyFont="1" applyFill="1" applyAlignment="1">
      <alignment horizontal="left" vertical="center"/>
    </xf>
    <xf numFmtId="0" fontId="54" fillId="2" borderId="29" xfId="61" applyFont="1" applyFill="1" applyBorder="1" applyAlignment="1">
      <alignment horizontal="left" vertical="center"/>
    </xf>
    <xf numFmtId="0" fontId="44" fillId="2" borderId="67" xfId="61" applyFont="1" applyFill="1" applyBorder="1" applyAlignment="1">
      <alignment horizontal="center" vertical="center" wrapText="1"/>
    </xf>
    <xf numFmtId="0" fontId="13" fillId="2" borderId="67" xfId="61" applyFont="1" applyFill="1" applyBorder="1" applyAlignment="1">
      <alignment horizontal="center" vertical="center"/>
    </xf>
    <xf numFmtId="0" fontId="44" fillId="0" borderId="0" xfId="328" applyFont="1" applyAlignment="1">
      <alignment horizontal="left" vertical="center"/>
    </xf>
    <xf numFmtId="0" fontId="44" fillId="3" borderId="7" xfId="61" applyFont="1" applyFill="1" applyBorder="1" applyAlignment="1">
      <alignment horizontal="center" vertical="center"/>
    </xf>
    <xf numFmtId="0" fontId="44" fillId="3" borderId="2" xfId="61" applyFont="1" applyFill="1" applyBorder="1" applyAlignment="1">
      <alignment horizontal="center" vertical="center"/>
    </xf>
    <xf numFmtId="0" fontId="44" fillId="3" borderId="23" xfId="61" applyFont="1" applyFill="1" applyBorder="1" applyAlignment="1">
      <alignment horizontal="center" vertical="center"/>
    </xf>
    <xf numFmtId="0" fontId="44" fillId="3" borderId="42" xfId="61" applyFont="1" applyFill="1" applyBorder="1" applyAlignment="1">
      <alignment horizontal="center" vertical="center" wrapText="1"/>
    </xf>
    <xf numFmtId="0" fontId="44" fillId="3" borderId="39" xfId="61" applyFont="1" applyFill="1" applyBorder="1" applyAlignment="1">
      <alignment horizontal="center" vertical="center" wrapText="1"/>
    </xf>
    <xf numFmtId="0" fontId="44" fillId="3" borderId="43" xfId="61" applyFont="1" applyFill="1" applyBorder="1" applyAlignment="1">
      <alignment horizontal="center" vertical="center" wrapText="1"/>
    </xf>
    <xf numFmtId="0" fontId="44" fillId="3" borderId="42" xfId="61" applyFont="1" applyFill="1" applyBorder="1" applyAlignment="1">
      <alignment horizontal="center" vertical="center"/>
    </xf>
    <xf numFmtId="0" fontId="44" fillId="3" borderId="39" xfId="61" applyFont="1" applyFill="1" applyBorder="1" applyAlignment="1">
      <alignment horizontal="center" vertical="center"/>
    </xf>
    <xf numFmtId="0" fontId="44" fillId="3" borderId="43" xfId="61" applyFont="1" applyFill="1" applyBorder="1" applyAlignment="1">
      <alignment horizontal="center" vertical="center"/>
    </xf>
    <xf numFmtId="3" fontId="44" fillId="2" borderId="24" xfId="61" applyNumberFormat="1" applyFont="1" applyFill="1" applyBorder="1" applyAlignment="1">
      <alignment horizontal="center" vertical="center" wrapText="1"/>
    </xf>
    <xf numFmtId="3" fontId="44" fillId="2" borderId="3" xfId="61" applyNumberFormat="1" applyFont="1" applyFill="1" applyBorder="1" applyAlignment="1">
      <alignment horizontal="center" vertical="center" wrapText="1"/>
    </xf>
    <xf numFmtId="1" fontId="44" fillId="2" borderId="24" xfId="61" applyNumberFormat="1" applyFont="1" applyFill="1" applyBorder="1" applyAlignment="1">
      <alignment horizontal="left" vertical="center" wrapText="1"/>
    </xf>
    <xf numFmtId="1" fontId="44" fillId="2" borderId="3" xfId="61" applyNumberFormat="1" applyFont="1" applyFill="1" applyBorder="1" applyAlignment="1">
      <alignment horizontal="left" vertical="center" wrapText="1"/>
    </xf>
    <xf numFmtId="0" fontId="44" fillId="2" borderId="24" xfId="61" applyFont="1" applyFill="1" applyBorder="1" applyAlignment="1">
      <alignment horizontal="center" vertical="distributed" wrapText="1"/>
    </xf>
    <xf numFmtId="0" fontId="44" fillId="2" borderId="3" xfId="61" applyFont="1" applyFill="1" applyBorder="1" applyAlignment="1">
      <alignment horizontal="center" vertical="distributed" wrapText="1"/>
    </xf>
    <xf numFmtId="167" fontId="44" fillId="2" borderId="24" xfId="61" applyNumberFormat="1" applyFont="1" applyFill="1" applyBorder="1" applyAlignment="1">
      <alignment horizontal="center" vertical="center" wrapText="1"/>
    </xf>
    <xf numFmtId="167" fontId="44" fillId="2" borderId="3" xfId="61" applyNumberFormat="1" applyFont="1" applyFill="1" applyBorder="1" applyAlignment="1">
      <alignment horizontal="center" vertical="center" wrapText="1"/>
    </xf>
    <xf numFmtId="2" fontId="59" fillId="2" borderId="27" xfId="61" applyNumberFormat="1" applyFont="1" applyFill="1" applyBorder="1" applyAlignment="1">
      <alignment horizontal="center" vertical="center" wrapText="1"/>
    </xf>
    <xf numFmtId="2" fontId="59" fillId="2" borderId="153" xfId="61" applyNumberFormat="1" applyFont="1" applyFill="1" applyBorder="1" applyAlignment="1">
      <alignment horizontal="center" vertical="center" wrapText="1"/>
    </xf>
    <xf numFmtId="2" fontId="59" fillId="2" borderId="154" xfId="61" applyNumberFormat="1" applyFont="1" applyFill="1" applyBorder="1" applyAlignment="1">
      <alignment horizontal="center" vertical="center" wrapText="1"/>
    </xf>
    <xf numFmtId="2" fontId="59" fillId="2" borderId="26" xfId="61" applyNumberFormat="1" applyFont="1" applyFill="1" applyBorder="1" applyAlignment="1">
      <alignment horizontal="center" vertical="center" wrapText="1"/>
    </xf>
    <xf numFmtId="2" fontId="59" fillId="2" borderId="4" xfId="61" applyNumberFormat="1" applyFont="1" applyFill="1" applyBorder="1" applyAlignment="1">
      <alignment horizontal="center" vertical="center" wrapText="1"/>
    </xf>
    <xf numFmtId="2" fontId="59" fillId="2" borderId="30" xfId="61" applyNumberFormat="1" applyFont="1" applyFill="1" applyBorder="1" applyAlignment="1">
      <alignment horizontal="center" vertical="center" wrapText="1"/>
    </xf>
    <xf numFmtId="1" fontId="59" fillId="2" borderId="27" xfId="61" applyNumberFormat="1" applyFont="1" applyFill="1" applyBorder="1" applyAlignment="1">
      <alignment horizontal="center" vertical="center" wrapText="1"/>
    </xf>
    <xf numFmtId="1" fontId="59" fillId="2" borderId="153" xfId="61" applyNumberFormat="1" applyFont="1" applyFill="1" applyBorder="1" applyAlignment="1">
      <alignment horizontal="center" vertical="center" wrapText="1"/>
    </xf>
    <xf numFmtId="1" fontId="59" fillId="2" borderId="154" xfId="61" applyNumberFormat="1" applyFont="1" applyFill="1" applyBorder="1" applyAlignment="1">
      <alignment horizontal="center" vertical="center" wrapText="1"/>
    </xf>
    <xf numFmtId="9" fontId="59" fillId="2" borderId="27" xfId="334" applyFont="1" applyFill="1" applyBorder="1" applyAlignment="1">
      <alignment horizontal="center" vertical="center" wrapText="1"/>
    </xf>
    <xf numFmtId="9" fontId="59" fillId="2" borderId="153" xfId="334" applyFont="1" applyFill="1" applyBorder="1" applyAlignment="1">
      <alignment horizontal="center" vertical="center" wrapText="1"/>
    </xf>
    <xf numFmtId="9" fontId="59" fillId="2" borderId="154" xfId="334" applyFont="1" applyFill="1" applyBorder="1" applyAlignment="1">
      <alignment horizontal="center" vertical="center" wrapText="1"/>
    </xf>
    <xf numFmtId="1" fontId="59" fillId="2" borderId="26" xfId="61" applyNumberFormat="1" applyFont="1" applyFill="1" applyBorder="1" applyAlignment="1">
      <alignment horizontal="center" vertical="center" wrapText="1"/>
    </xf>
    <xf numFmtId="1" fontId="59" fillId="2" borderId="4" xfId="61" applyNumberFormat="1" applyFont="1" applyFill="1" applyBorder="1" applyAlignment="1">
      <alignment horizontal="center" vertical="center" wrapText="1"/>
    </xf>
    <xf numFmtId="1" fontId="59" fillId="2" borderId="30" xfId="61" applyNumberFormat="1" applyFont="1" applyFill="1" applyBorder="1" applyAlignment="1">
      <alignment horizontal="center" vertical="center" wrapText="1"/>
    </xf>
    <xf numFmtId="0" fontId="59" fillId="0" borderId="155" xfId="61" applyFont="1" applyBorder="1" applyAlignment="1">
      <alignment horizontal="center" vertical="distributed" wrapText="1"/>
    </xf>
    <xf numFmtId="0" fontId="59" fillId="0" borderId="31" xfId="61" applyFont="1" applyBorder="1" applyAlignment="1">
      <alignment horizontal="center" vertical="distributed" wrapText="1"/>
    </xf>
    <xf numFmtId="0" fontId="59" fillId="0" borderId="156" xfId="61" applyFont="1" applyBorder="1" applyAlignment="1">
      <alignment horizontal="center" vertical="distributed" wrapText="1"/>
    </xf>
    <xf numFmtId="44" fontId="44" fillId="0" borderId="95" xfId="11690" applyFont="1" applyFill="1" applyBorder="1" applyAlignment="1">
      <alignment vertical="center" wrapText="1"/>
    </xf>
    <xf numFmtId="44" fontId="44" fillId="0" borderId="95" xfId="11690" applyFont="1" applyFill="1" applyBorder="1" applyAlignment="1">
      <alignment horizontal="center" vertical="center" wrapText="1"/>
    </xf>
    <xf numFmtId="44" fontId="44" fillId="31" borderId="95" xfId="11690" applyFont="1" applyFill="1" applyBorder="1" applyAlignment="1">
      <alignment horizontal="center" vertical="center" wrapText="1"/>
    </xf>
    <xf numFmtId="0" fontId="13" fillId="0" borderId="163" xfId="11689" applyFont="1" applyBorder="1" applyAlignment="1">
      <alignment horizontal="center" vertical="center" wrapText="1"/>
    </xf>
    <xf numFmtId="0" fontId="13" fillId="0" borderId="164" xfId="11689" applyFont="1" applyBorder="1" applyAlignment="1">
      <alignment horizontal="center" vertical="center" wrapText="1"/>
    </xf>
    <xf numFmtId="0" fontId="13" fillId="0" borderId="165" xfId="11689" applyFont="1" applyBorder="1" applyAlignment="1">
      <alignment horizontal="center" vertical="center" wrapText="1"/>
    </xf>
    <xf numFmtId="0" fontId="13" fillId="0" borderId="29" xfId="11689" applyFont="1" applyBorder="1" applyAlignment="1">
      <alignment horizontal="center" vertical="center" wrapText="1"/>
    </xf>
    <xf numFmtId="0" fontId="13" fillId="0" borderId="166" xfId="11689" applyFont="1" applyBorder="1" applyAlignment="1">
      <alignment horizontal="center" vertical="center" wrapText="1"/>
    </xf>
    <xf numFmtId="0" fontId="13" fillId="0" borderId="167" xfId="11689" applyFont="1" applyBorder="1" applyAlignment="1">
      <alignment horizontal="center" vertical="center" wrapText="1"/>
    </xf>
    <xf numFmtId="0" fontId="44" fillId="0" borderId="25" xfId="11689" applyFont="1" applyBorder="1" applyAlignment="1">
      <alignment horizontal="center" vertical="center"/>
    </xf>
    <xf numFmtId="0" fontId="44" fillId="0" borderId="0" xfId="11689" applyFont="1" applyAlignment="1">
      <alignment horizontal="center" vertical="center"/>
    </xf>
    <xf numFmtId="0" fontId="44" fillId="0" borderId="29" xfId="11689" applyFont="1" applyBorder="1" applyAlignment="1">
      <alignment horizontal="center" vertical="center"/>
    </xf>
    <xf numFmtId="44" fontId="67" fillId="0" borderId="143" xfId="11690" applyFont="1" applyBorder="1" applyAlignment="1">
      <alignment horizontal="center" vertical="center" wrapText="1"/>
    </xf>
    <xf numFmtId="44" fontId="67" fillId="0" borderId="152" xfId="11690" applyFont="1" applyBorder="1" applyAlignment="1">
      <alignment horizontal="center" vertical="center" wrapText="1"/>
    </xf>
    <xf numFmtId="44" fontId="67" fillId="0" borderId="25" xfId="11690" applyFont="1" applyBorder="1" applyAlignment="1">
      <alignment horizontal="center" vertical="center" wrapText="1"/>
    </xf>
    <xf numFmtId="44" fontId="67" fillId="0" borderId="0" xfId="11690" applyFont="1" applyBorder="1" applyAlignment="1">
      <alignment horizontal="center" vertical="center" wrapText="1"/>
    </xf>
    <xf numFmtId="44" fontId="67" fillId="0" borderId="145" xfId="11690" applyFont="1" applyBorder="1" applyAlignment="1">
      <alignment horizontal="center" vertical="center" wrapText="1"/>
    </xf>
    <xf numFmtId="44" fontId="67" fillId="0" borderId="150" xfId="11690" applyFont="1" applyBorder="1" applyAlignment="1">
      <alignment horizontal="center" vertical="center" wrapText="1"/>
    </xf>
    <xf numFmtId="180" fontId="68" fillId="0" borderId="0" xfId="11689" applyNumberFormat="1" applyFont="1" applyAlignment="1">
      <alignment horizontal="center" vertical="center"/>
    </xf>
    <xf numFmtId="0" fontId="13" fillId="0" borderId="0" xfId="11689" applyFont="1" applyAlignment="1">
      <alignment horizontal="center" vertical="center" wrapText="1"/>
    </xf>
    <xf numFmtId="0" fontId="44" fillId="0" borderId="95" xfId="11689" applyFont="1" applyBorder="1" applyAlignment="1">
      <alignment horizontal="center" vertical="center" wrapText="1"/>
    </xf>
    <xf numFmtId="0" fontId="12" fillId="2" borderId="25" xfId="61" applyFont="1" applyFill="1" applyBorder="1" applyAlignment="1">
      <alignment horizontal="center" vertical="center" wrapText="1"/>
    </xf>
    <xf numFmtId="0" fontId="12" fillId="2" borderId="0" xfId="61" applyFont="1" applyFill="1" applyAlignment="1">
      <alignment horizontal="center" vertical="center" wrapText="1"/>
    </xf>
    <xf numFmtId="0" fontId="12" fillId="3" borderId="144" xfId="61" applyFont="1" applyFill="1" applyBorder="1" applyAlignment="1">
      <alignment horizontal="center" vertical="center"/>
    </xf>
    <xf numFmtId="0" fontId="12" fillId="3" borderId="147" xfId="61" applyFont="1" applyFill="1" applyBorder="1" applyAlignment="1">
      <alignment horizontal="center" vertical="center"/>
    </xf>
    <xf numFmtId="0" fontId="50" fillId="2" borderId="0" xfId="328" applyFont="1" applyFill="1" applyAlignment="1">
      <alignment horizontal="left" vertical="center"/>
    </xf>
    <xf numFmtId="0" fontId="10" fillId="3" borderId="25" xfId="328" applyFont="1" applyFill="1" applyBorder="1" applyAlignment="1">
      <alignment horizontal="center" vertical="center"/>
    </xf>
    <xf numFmtId="0" fontId="10" fillId="3" borderId="0" xfId="328" applyFont="1" applyFill="1" applyAlignment="1">
      <alignment horizontal="center" vertical="center"/>
    </xf>
    <xf numFmtId="0" fontId="53" fillId="29" borderId="157" xfId="61" applyFont="1" applyFill="1" applyBorder="1" applyAlignment="1" applyProtection="1">
      <alignment horizontal="center" vertical="center"/>
      <protection locked="0"/>
    </xf>
    <xf numFmtId="0" fontId="53" fillId="29" borderId="44" xfId="61" applyFont="1" applyFill="1" applyBorder="1" applyAlignment="1" applyProtection="1">
      <alignment horizontal="center" vertical="center"/>
      <protection locked="0"/>
    </xf>
    <xf numFmtId="3" fontId="53" fillId="29" borderId="157" xfId="61" applyNumberFormat="1" applyFont="1" applyFill="1" applyBorder="1" applyAlignment="1" applyProtection="1">
      <alignment horizontal="center" vertical="center"/>
      <protection locked="0"/>
    </xf>
    <xf numFmtId="3" fontId="53" fillId="29" borderId="44" xfId="61" applyNumberFormat="1" applyFont="1" applyFill="1" applyBorder="1" applyAlignment="1" applyProtection="1">
      <alignment horizontal="center" vertical="center"/>
      <protection locked="0"/>
    </xf>
    <xf numFmtId="0" fontId="53" fillId="29" borderId="158" xfId="61" applyFont="1" applyFill="1" applyBorder="1" applyAlignment="1" applyProtection="1">
      <alignment horizontal="left" vertical="center" indent="1"/>
      <protection locked="0"/>
    </xf>
    <xf numFmtId="0" fontId="53" fillId="29" borderId="173" xfId="61" applyFont="1" applyFill="1" applyBorder="1" applyAlignment="1" applyProtection="1">
      <alignment horizontal="left" vertical="center" indent="1"/>
      <protection locked="0"/>
    </xf>
    <xf numFmtId="0" fontId="53" fillId="29" borderId="158" xfId="61" applyFont="1" applyFill="1" applyBorder="1" applyAlignment="1" applyProtection="1">
      <alignment horizontal="center" vertical="center" wrapText="1"/>
      <protection locked="0"/>
    </xf>
    <xf numFmtId="0" fontId="53" fillId="29" borderId="173" xfId="61" applyFont="1" applyFill="1" applyBorder="1" applyAlignment="1" applyProtection="1">
      <alignment horizontal="center" vertical="center" wrapText="1"/>
      <protection locked="0"/>
    </xf>
    <xf numFmtId="0" fontId="53" fillId="29" borderId="159" xfId="61" applyFont="1" applyFill="1" applyBorder="1" applyAlignment="1" applyProtection="1">
      <alignment horizontal="center" vertical="center"/>
      <protection locked="0"/>
    </xf>
    <xf numFmtId="0" fontId="53" fillId="29" borderId="119" xfId="61" applyFont="1" applyFill="1" applyBorder="1" applyAlignment="1" applyProtection="1">
      <alignment horizontal="center" vertical="center"/>
      <protection locked="0"/>
    </xf>
    <xf numFmtId="0" fontId="53" fillId="29" borderId="160" xfId="61" applyFont="1" applyFill="1" applyBorder="1" applyAlignment="1" applyProtection="1">
      <alignment horizontal="center" vertical="center"/>
      <protection locked="0"/>
    </xf>
    <xf numFmtId="0" fontId="1" fillId="0" borderId="144" xfId="61" applyBorder="1" applyAlignment="1">
      <alignment horizontal="center"/>
    </xf>
    <xf numFmtId="0" fontId="1" fillId="0" borderId="147" xfId="61" applyBorder="1" applyAlignment="1">
      <alignment horizontal="center"/>
    </xf>
    <xf numFmtId="0" fontId="1" fillId="0" borderId="148" xfId="61" applyBorder="1" applyAlignment="1">
      <alignment horizontal="center"/>
    </xf>
    <xf numFmtId="182" fontId="50" fillId="30" borderId="161" xfId="61" applyNumberFormat="1" applyFont="1" applyFill="1" applyBorder="1" applyAlignment="1">
      <alignment horizontal="center" vertical="center"/>
    </xf>
    <xf numFmtId="182" fontId="50" fillId="30" borderId="162" xfId="61" applyNumberFormat="1" applyFont="1" applyFill="1" applyBorder="1" applyAlignment="1">
      <alignment horizontal="center" vertical="center"/>
    </xf>
    <xf numFmtId="0" fontId="53" fillId="31" borderId="159" xfId="61" applyFont="1" applyFill="1" applyBorder="1" applyAlignment="1" applyProtection="1">
      <alignment horizontal="center" vertical="center"/>
      <protection locked="0"/>
    </xf>
    <xf numFmtId="0" fontId="53" fillId="31" borderId="160" xfId="61" applyFont="1" applyFill="1" applyBorder="1" applyAlignment="1" applyProtection="1">
      <alignment horizontal="center" vertical="center"/>
      <protection locked="0"/>
    </xf>
    <xf numFmtId="0" fontId="50" fillId="29" borderId="159" xfId="61" applyFont="1" applyFill="1" applyBorder="1" applyAlignment="1" applyProtection="1">
      <alignment horizontal="center" vertical="center"/>
      <protection locked="0"/>
    </xf>
    <xf numFmtId="0" fontId="50" fillId="29" borderId="160" xfId="61" applyFont="1" applyFill="1" applyBorder="1" applyAlignment="1" applyProtection="1">
      <alignment horizontal="center" vertical="center"/>
      <protection locked="0"/>
    </xf>
    <xf numFmtId="0" fontId="12" fillId="0" borderId="95" xfId="61" applyFont="1" applyBorder="1" applyAlignment="1">
      <alignment horizontal="center"/>
    </xf>
    <xf numFmtId="0" fontId="1" fillId="0" borderId="95" xfId="61" applyBorder="1" applyAlignment="1">
      <alignment horizontal="center"/>
    </xf>
    <xf numFmtId="44" fontId="12" fillId="0" borderId="144" xfId="11688" applyFont="1" applyBorder="1" applyAlignment="1">
      <alignment horizontal="center" vertical="center"/>
    </xf>
    <xf numFmtId="44" fontId="12" fillId="0" borderId="147" xfId="11688" applyFont="1" applyBorder="1" applyAlignment="1">
      <alignment horizontal="center" vertical="center"/>
    </xf>
    <xf numFmtId="3" fontId="12" fillId="0" borderId="144" xfId="61" applyNumberFormat="1" applyFont="1" applyBorder="1" applyAlignment="1">
      <alignment horizontal="center" vertical="center"/>
    </xf>
    <xf numFmtId="3" fontId="12" fillId="0" borderId="147" xfId="61" applyNumberFormat="1" applyFont="1" applyBorder="1" applyAlignment="1">
      <alignment horizontal="center" vertical="center"/>
    </xf>
    <xf numFmtId="3" fontId="12" fillId="0" borderId="148" xfId="61" applyNumberFormat="1" applyFont="1" applyBorder="1" applyAlignment="1">
      <alignment horizontal="center" vertical="center"/>
    </xf>
    <xf numFmtId="180" fontId="1" fillId="0" borderId="152" xfId="61" applyNumberFormat="1" applyBorder="1" applyAlignment="1">
      <alignment horizontal="center"/>
    </xf>
    <xf numFmtId="191" fontId="57" fillId="28" borderId="7" xfId="61" applyNumberFormat="1" applyFont="1" applyFill="1" applyBorder="1" applyAlignment="1">
      <alignment horizontal="right" vertical="center" wrapText="1"/>
    </xf>
    <xf numFmtId="191" fontId="57" fillId="28" borderId="23" xfId="61" applyNumberFormat="1" applyFont="1" applyFill="1" applyBorder="1" applyAlignment="1">
      <alignment horizontal="right" vertical="center" wrapText="1"/>
    </xf>
    <xf numFmtId="191" fontId="57" fillId="28" borderId="5" xfId="61" applyNumberFormat="1" applyFont="1" applyFill="1" applyBorder="1" applyAlignment="1">
      <alignment horizontal="right" vertical="center" wrapText="1"/>
    </xf>
    <xf numFmtId="191" fontId="57" fillId="28" borderId="6" xfId="61" applyNumberFormat="1" applyFont="1" applyFill="1" applyBorder="1" applyAlignment="1">
      <alignment horizontal="right" vertical="center" wrapText="1"/>
    </xf>
    <xf numFmtId="0" fontId="59" fillId="0" borderId="27" xfId="61" applyFont="1" applyBorder="1" applyAlignment="1">
      <alignment horizontal="center" vertical="center" wrapText="1"/>
    </xf>
    <xf numFmtId="0" fontId="59" fillId="0" borderId="153" xfId="61" applyFont="1" applyBorder="1" applyAlignment="1">
      <alignment horizontal="center" vertical="center" wrapText="1"/>
    </xf>
    <xf numFmtId="0" fontId="59" fillId="0" borderId="154" xfId="61" applyFont="1" applyBorder="1" applyAlignment="1">
      <alignment horizontal="center" vertical="center" wrapText="1"/>
    </xf>
    <xf numFmtId="187" fontId="59" fillId="2" borderId="27" xfId="61" applyNumberFormat="1" applyFont="1" applyFill="1" applyBorder="1" applyAlignment="1">
      <alignment horizontal="center" vertical="center" wrapText="1"/>
    </xf>
    <xf numFmtId="187" fontId="59" fillId="2" borderId="153" xfId="61" applyNumberFormat="1" applyFont="1" applyFill="1" applyBorder="1" applyAlignment="1">
      <alignment horizontal="center" vertical="center" wrapText="1"/>
    </xf>
    <xf numFmtId="187" fontId="59" fillId="2" borderId="154" xfId="61" applyNumberFormat="1" applyFont="1" applyFill="1" applyBorder="1" applyAlignment="1">
      <alignment horizontal="center" vertical="center" wrapText="1"/>
    </xf>
    <xf numFmtId="180" fontId="1" fillId="0" borderId="152" xfId="61" applyNumberFormat="1" applyBorder="1" applyAlignment="1">
      <alignment horizontal="center" vertical="center"/>
    </xf>
    <xf numFmtId="0" fontId="1" fillId="0" borderId="144" xfId="61" applyBorder="1" applyAlignment="1">
      <alignment horizontal="center" vertical="center"/>
    </xf>
    <xf numFmtId="0" fontId="1" fillId="0" borderId="147" xfId="61" applyBorder="1" applyAlignment="1">
      <alignment horizontal="center" vertical="center"/>
    </xf>
    <xf numFmtId="0" fontId="1" fillId="0" borderId="148" xfId="61" applyBorder="1" applyAlignment="1">
      <alignment horizontal="center" vertical="center"/>
    </xf>
    <xf numFmtId="0" fontId="1" fillId="0" borderId="95" xfId="61" applyBorder="1" applyAlignment="1">
      <alignment horizontal="center" vertical="center"/>
    </xf>
    <xf numFmtId="44" fontId="64" fillId="31" borderId="144" xfId="11688" applyFont="1" applyFill="1" applyBorder="1" applyAlignment="1">
      <alignment horizontal="center" vertical="center"/>
    </xf>
    <xf numFmtId="44" fontId="64" fillId="31" borderId="148" xfId="11688" applyFont="1" applyFill="1" applyBorder="1" applyAlignment="1">
      <alignment horizontal="center" vertical="center"/>
    </xf>
    <xf numFmtId="0" fontId="12" fillId="0" borderId="95" xfId="61" applyFont="1" applyBorder="1" applyAlignment="1">
      <alignment horizontal="center" vertical="center"/>
    </xf>
    <xf numFmtId="0" fontId="12" fillId="3" borderId="93" xfId="61" applyFont="1" applyFill="1" applyBorder="1" applyAlignment="1">
      <alignment horizontal="center" vertical="center"/>
    </xf>
    <xf numFmtId="0" fontId="12" fillId="3" borderId="94" xfId="61" applyFont="1" applyFill="1" applyBorder="1" applyAlignment="1">
      <alignment horizontal="center" vertical="center"/>
    </xf>
    <xf numFmtId="0" fontId="10" fillId="3" borderId="144" xfId="328" applyFont="1" applyFill="1" applyBorder="1" applyAlignment="1">
      <alignment horizontal="center" vertical="center"/>
    </xf>
    <xf numFmtId="0" fontId="10" fillId="3" borderId="147" xfId="328" applyFont="1" applyFill="1" applyBorder="1" applyAlignment="1">
      <alignment horizontal="center" vertical="center"/>
    </xf>
    <xf numFmtId="0" fontId="10" fillId="3" borderId="148" xfId="328" applyFont="1" applyFill="1" applyBorder="1" applyAlignment="1">
      <alignment horizontal="center" vertical="center"/>
    </xf>
    <xf numFmtId="0" fontId="53" fillId="29" borderId="158" xfId="61" applyFont="1" applyFill="1" applyBorder="1" applyAlignment="1" applyProtection="1">
      <alignment horizontal="left" vertical="center"/>
      <protection locked="0"/>
    </xf>
    <xf numFmtId="0" fontId="53" fillId="29" borderId="45" xfId="61" applyFont="1" applyFill="1" applyBorder="1" applyAlignment="1" applyProtection="1">
      <alignment horizontal="left" vertical="center"/>
      <protection locked="0"/>
    </xf>
    <xf numFmtId="0" fontId="53" fillId="29" borderId="45" xfId="61" applyFont="1" applyFill="1" applyBorder="1" applyAlignment="1" applyProtection="1">
      <alignment horizontal="center" vertical="center" wrapText="1"/>
      <protection locked="0"/>
    </xf>
    <xf numFmtId="0" fontId="53" fillId="29" borderId="161" xfId="61" applyFont="1" applyFill="1" applyBorder="1" applyAlignment="1" applyProtection="1">
      <alignment horizontal="center" vertical="center"/>
      <protection locked="0"/>
    </xf>
    <xf numFmtId="0" fontId="53" fillId="29" borderId="172" xfId="61" applyFont="1" applyFill="1" applyBorder="1" applyAlignment="1" applyProtection="1">
      <alignment horizontal="center" vertical="center"/>
      <protection locked="0"/>
    </xf>
    <xf numFmtId="0" fontId="53" fillId="29" borderId="162" xfId="61" applyFont="1" applyFill="1" applyBorder="1" applyAlignment="1" applyProtection="1">
      <alignment horizontal="center" vertical="center"/>
      <protection locked="0"/>
    </xf>
    <xf numFmtId="0" fontId="12" fillId="31" borderId="95" xfId="61" applyFont="1" applyFill="1" applyBorder="1" applyAlignment="1">
      <alignment horizontal="center" vertical="center"/>
    </xf>
    <xf numFmtId="0" fontId="50" fillId="0" borderId="0" xfId="328" applyFont="1" applyAlignment="1">
      <alignment horizontal="left" vertical="center"/>
    </xf>
    <xf numFmtId="185" fontId="59" fillId="2" borderId="144" xfId="333" applyNumberFormat="1" applyFont="1" applyFill="1" applyBorder="1" applyAlignment="1">
      <alignment horizontal="center" vertical="distributed" wrapText="1"/>
    </xf>
    <xf numFmtId="185" fontId="59" fillId="2" borderId="147" xfId="333" applyNumberFormat="1" applyFont="1" applyFill="1" applyBorder="1" applyAlignment="1">
      <alignment horizontal="center" vertical="distributed" wrapText="1"/>
    </xf>
    <xf numFmtId="185" fontId="59" fillId="2" borderId="148" xfId="333" applyNumberFormat="1" applyFont="1" applyFill="1" applyBorder="1" applyAlignment="1">
      <alignment horizontal="center" vertical="distributed" wrapText="1"/>
    </xf>
    <xf numFmtId="180" fontId="57" fillId="28" borderId="24" xfId="61" applyNumberFormat="1" applyFont="1" applyFill="1" applyBorder="1" applyAlignment="1">
      <alignment horizontal="center" vertical="center" wrapText="1"/>
    </xf>
    <xf numFmtId="180" fontId="57" fillId="28" borderId="3" xfId="61" applyNumberFormat="1" applyFont="1" applyFill="1" applyBorder="1" applyAlignment="1">
      <alignment horizontal="center" vertical="center" wrapText="1"/>
    </xf>
    <xf numFmtId="43" fontId="59" fillId="2" borderId="144" xfId="333" applyFont="1" applyFill="1" applyBorder="1" applyAlignment="1">
      <alignment horizontal="center" vertical="center" wrapText="1"/>
    </xf>
    <xf numFmtId="43" fontId="59" fillId="2" borderId="147" xfId="333" applyFont="1" applyFill="1" applyBorder="1" applyAlignment="1">
      <alignment horizontal="center" vertical="center" wrapText="1"/>
    </xf>
    <xf numFmtId="43" fontId="59" fillId="2" borderId="148" xfId="333" applyFont="1" applyFill="1" applyBorder="1" applyAlignment="1">
      <alignment horizontal="center" vertical="center" wrapText="1"/>
    </xf>
    <xf numFmtId="1" fontId="59" fillId="2" borderId="144" xfId="61" applyNumberFormat="1" applyFont="1" applyFill="1" applyBorder="1" applyAlignment="1">
      <alignment horizontal="center" vertical="center" wrapText="1"/>
    </xf>
    <xf numFmtId="1" fontId="59" fillId="2" borderId="147" xfId="61" applyNumberFormat="1" applyFont="1" applyFill="1" applyBorder="1" applyAlignment="1">
      <alignment horizontal="center" vertical="center" wrapText="1"/>
    </xf>
    <xf numFmtId="1" fontId="59" fillId="2" borderId="148" xfId="61" applyNumberFormat="1" applyFont="1" applyFill="1" applyBorder="1" applyAlignment="1">
      <alignment horizontal="center" vertical="center" wrapText="1"/>
    </xf>
    <xf numFmtId="2" fontId="59" fillId="2" borderId="144" xfId="61" applyNumberFormat="1" applyFont="1" applyFill="1" applyBorder="1" applyAlignment="1">
      <alignment horizontal="center" vertical="center" wrapText="1"/>
    </xf>
    <xf numFmtId="2" fontId="59" fillId="2" borderId="147" xfId="61" applyNumberFormat="1" applyFont="1" applyFill="1" applyBorder="1" applyAlignment="1">
      <alignment horizontal="center" vertical="center" wrapText="1"/>
    </xf>
    <xf numFmtId="2" fontId="59" fillId="2" borderId="148" xfId="61" applyNumberFormat="1" applyFont="1" applyFill="1" applyBorder="1" applyAlignment="1">
      <alignment horizontal="center" vertical="center" wrapText="1"/>
    </xf>
    <xf numFmtId="0" fontId="44" fillId="2" borderId="143" xfId="328" applyFont="1" applyFill="1" applyBorder="1" applyAlignment="1">
      <alignment horizontal="center" vertical="center" wrapText="1"/>
    </xf>
    <xf numFmtId="0" fontId="44" fillId="2" borderId="152" xfId="328" applyFont="1" applyFill="1" applyBorder="1" applyAlignment="1">
      <alignment horizontal="center" vertical="center" wrapText="1"/>
    </xf>
    <xf numFmtId="0" fontId="44" fillId="2" borderId="151" xfId="328" applyFont="1" applyFill="1" applyBorder="1" applyAlignment="1">
      <alignment horizontal="center" vertical="center" wrapText="1"/>
    </xf>
    <xf numFmtId="0" fontId="44" fillId="2" borderId="145" xfId="328" applyFont="1" applyFill="1" applyBorder="1" applyAlignment="1">
      <alignment horizontal="center" vertical="center" wrapText="1"/>
    </xf>
    <xf numFmtId="0" fontId="44" fillId="2" borderId="150" xfId="328" applyFont="1" applyFill="1" applyBorder="1" applyAlignment="1">
      <alignment horizontal="center" vertical="center" wrapText="1"/>
    </xf>
    <xf numFmtId="0" fontId="44" fillId="2" borderId="146" xfId="328" applyFont="1" applyFill="1" applyBorder="1" applyAlignment="1">
      <alignment horizontal="center" vertical="center" wrapText="1"/>
    </xf>
    <xf numFmtId="0" fontId="75" fillId="3" borderId="95" xfId="11695" applyFont="1" applyFill="1" applyBorder="1" applyAlignment="1">
      <alignment horizontal="center" vertical="center" wrapText="1"/>
    </xf>
    <xf numFmtId="192" fontId="59" fillId="2" borderId="26" xfId="61" applyNumberFormat="1" applyFont="1" applyFill="1" applyBorder="1" applyAlignment="1">
      <alignment horizontal="center" vertical="center" wrapText="1"/>
    </xf>
    <xf numFmtId="192" fontId="59" fillId="2" borderId="4" xfId="61" applyNumberFormat="1" applyFont="1" applyFill="1" applyBorder="1" applyAlignment="1">
      <alignment horizontal="center" vertical="center" wrapText="1"/>
    </xf>
    <xf numFmtId="192" fontId="59" fillId="2" borderId="30" xfId="61" applyNumberFormat="1" applyFont="1" applyFill="1" applyBorder="1" applyAlignment="1">
      <alignment horizontal="center" vertical="center" wrapText="1"/>
    </xf>
    <xf numFmtId="167" fontId="44" fillId="2" borderId="149" xfId="61" applyNumberFormat="1" applyFont="1" applyFill="1" applyBorder="1" applyAlignment="1">
      <alignment horizontal="center" vertical="center" wrapText="1"/>
    </xf>
    <xf numFmtId="0" fontId="44" fillId="2" borderId="149" xfId="61" applyFont="1" applyFill="1" applyBorder="1" applyAlignment="1">
      <alignment horizontal="center" vertical="center" wrapText="1"/>
    </xf>
    <xf numFmtId="0" fontId="44" fillId="2" borderId="149" xfId="61" applyFont="1" applyFill="1" applyBorder="1" applyAlignment="1">
      <alignment horizontal="center" vertical="distributed" wrapText="1"/>
    </xf>
  </cellXfs>
  <cellStyles count="11704">
    <cellStyle name="20% - Ênfase1 2" xfId="74" xr:uid="{00000000-0005-0000-0000-000000000000}"/>
    <cellStyle name="20% - Ênfase2 2" xfId="75" xr:uid="{00000000-0005-0000-0000-000001000000}"/>
    <cellStyle name="20% - Ênfase3 2" xfId="76" xr:uid="{00000000-0005-0000-0000-000002000000}"/>
    <cellStyle name="20% - Ênfase4 2" xfId="77" xr:uid="{00000000-0005-0000-0000-000003000000}"/>
    <cellStyle name="20% - Ênfase5 2" xfId="78" xr:uid="{00000000-0005-0000-0000-000004000000}"/>
    <cellStyle name="20% - Ênfase6 2" xfId="79" xr:uid="{00000000-0005-0000-0000-000005000000}"/>
    <cellStyle name="40% - Ênfase1 2" xfId="80" xr:uid="{00000000-0005-0000-0000-000006000000}"/>
    <cellStyle name="40% - Ênfase2 2" xfId="81" xr:uid="{00000000-0005-0000-0000-000007000000}"/>
    <cellStyle name="40% - Ênfase3 2" xfId="82" xr:uid="{00000000-0005-0000-0000-000008000000}"/>
    <cellStyle name="40% - Ênfase4 2" xfId="83" xr:uid="{00000000-0005-0000-0000-000009000000}"/>
    <cellStyle name="40% - Ênfase5 2" xfId="84" xr:uid="{00000000-0005-0000-0000-00000A000000}"/>
    <cellStyle name="40% - Ênfase6 2" xfId="85" xr:uid="{00000000-0005-0000-0000-00000B000000}"/>
    <cellStyle name="60% - Ênfase1 2" xfId="86" xr:uid="{00000000-0005-0000-0000-00000C000000}"/>
    <cellStyle name="60% - Ênfase2 2" xfId="87" xr:uid="{00000000-0005-0000-0000-00000D000000}"/>
    <cellStyle name="60% - Ênfase3 2" xfId="88" xr:uid="{00000000-0005-0000-0000-00000E000000}"/>
    <cellStyle name="60% - Ênfase4 2" xfId="89" xr:uid="{00000000-0005-0000-0000-00000F000000}"/>
    <cellStyle name="60% - Ênfase5 2" xfId="90" xr:uid="{00000000-0005-0000-0000-000010000000}"/>
    <cellStyle name="60% - Ênfase6 2" xfId="91" xr:uid="{00000000-0005-0000-0000-000011000000}"/>
    <cellStyle name="asd" xfId="4" xr:uid="{00000000-0005-0000-0000-000012000000}"/>
    <cellStyle name="asd 2" xfId="92" xr:uid="{00000000-0005-0000-0000-000013000000}"/>
    <cellStyle name="asd 2 2" xfId="1390" xr:uid="{00000000-0005-0000-0000-000014000000}"/>
    <cellStyle name="asd 2 2 2" xfId="4270" xr:uid="{00000000-0005-0000-0000-000015000000}"/>
    <cellStyle name="asd 2 2 3" xfId="7241" xr:uid="{00000000-0005-0000-0000-000016000000}"/>
    <cellStyle name="asd 2 2 4" xfId="8684" xr:uid="{00000000-0005-0000-0000-000017000000}"/>
    <cellStyle name="asd 2 2 5" xfId="10059" xr:uid="{00000000-0005-0000-0000-000018000000}"/>
    <cellStyle name="asd 2 2 6" xfId="10877" xr:uid="{00000000-0005-0000-0000-000019000000}"/>
    <cellStyle name="asd 2 3" xfId="6343" xr:uid="{00000000-0005-0000-0000-00001A000000}"/>
    <cellStyle name="asd 2 4" xfId="8442" xr:uid="{00000000-0005-0000-0000-00001B000000}"/>
    <cellStyle name="asd 2 5" xfId="7522" xr:uid="{00000000-0005-0000-0000-00001C000000}"/>
    <cellStyle name="asd 2 6" xfId="11492" xr:uid="{00000000-0005-0000-0000-00001D000000}"/>
    <cellStyle name="asd 3" xfId="740" xr:uid="{00000000-0005-0000-0000-00001E000000}"/>
    <cellStyle name="asd 3 2" xfId="1882" xr:uid="{00000000-0005-0000-0000-00001F000000}"/>
    <cellStyle name="asd 3 2 2" xfId="4762" xr:uid="{00000000-0005-0000-0000-000020000000}"/>
    <cellStyle name="asd 3 2 3" xfId="7846" xr:uid="{00000000-0005-0000-0000-000021000000}"/>
    <cellStyle name="asd 3 2 4" xfId="7728" xr:uid="{00000000-0005-0000-0000-000022000000}"/>
    <cellStyle name="asd 3 2 5" xfId="8934" xr:uid="{00000000-0005-0000-0000-000023000000}"/>
    <cellStyle name="asd 3 2 6" xfId="10150" xr:uid="{00000000-0005-0000-0000-000024000000}"/>
    <cellStyle name="asd 3 3" xfId="3620" xr:uid="{00000000-0005-0000-0000-000025000000}"/>
    <cellStyle name="asd 3 4" xfId="7564" xr:uid="{00000000-0005-0000-0000-000026000000}"/>
    <cellStyle name="asd 3 5" xfId="7055" xr:uid="{00000000-0005-0000-0000-000027000000}"/>
    <cellStyle name="asd 3 6" xfId="10171" xr:uid="{00000000-0005-0000-0000-000028000000}"/>
    <cellStyle name="asd 3 7" xfId="11601" xr:uid="{00000000-0005-0000-0000-000029000000}"/>
    <cellStyle name="asd 4" xfId="1349" xr:uid="{00000000-0005-0000-0000-00002A000000}"/>
    <cellStyle name="asd 4 2" xfId="4229" xr:uid="{00000000-0005-0000-0000-00002B000000}"/>
    <cellStyle name="asd 4 3" xfId="7160" xr:uid="{00000000-0005-0000-0000-00002C000000}"/>
    <cellStyle name="asd 4 4" xfId="8606" xr:uid="{00000000-0005-0000-0000-00002D000000}"/>
    <cellStyle name="asd 4 5" xfId="7923" xr:uid="{00000000-0005-0000-0000-00002E000000}"/>
    <cellStyle name="asd 4 6" xfId="11487" xr:uid="{00000000-0005-0000-0000-00002F000000}"/>
    <cellStyle name="asd 5" xfId="2895" xr:uid="{00000000-0005-0000-0000-000030000000}"/>
    <cellStyle name="Bom 2" xfId="93" xr:uid="{00000000-0005-0000-0000-000031000000}"/>
    <cellStyle name="CABEÇALHO" xfId="5" xr:uid="{00000000-0005-0000-0000-000032000000}"/>
    <cellStyle name="Cabeçalho 1" xfId="94" xr:uid="{00000000-0005-0000-0000-000033000000}"/>
    <cellStyle name="CABEÇALHO 10" xfId="643" xr:uid="{00000000-0005-0000-0000-000034000000}"/>
    <cellStyle name="CABEÇALHO 10 10" xfId="6912" xr:uid="{00000000-0005-0000-0000-000035000000}"/>
    <cellStyle name="CABEÇALHO 10 11" xfId="6622" xr:uid="{00000000-0005-0000-0000-000036000000}"/>
    <cellStyle name="CABEÇALHO 10 12" xfId="8224" xr:uid="{00000000-0005-0000-0000-000037000000}"/>
    <cellStyle name="CABEÇALHO 10 13" xfId="10493" xr:uid="{00000000-0005-0000-0000-000038000000}"/>
    <cellStyle name="CABEÇALHO 10 2" xfId="1119" xr:uid="{00000000-0005-0000-0000-000039000000}"/>
    <cellStyle name="CABEÇALHO 10 2 2" xfId="2261" xr:uid="{00000000-0005-0000-0000-00003A000000}"/>
    <cellStyle name="CABEÇALHO 10 2 2 2" xfId="5141" xr:uid="{00000000-0005-0000-0000-00003B000000}"/>
    <cellStyle name="CABEÇALHO 10 2 2 3" xfId="7864" xr:uid="{00000000-0005-0000-0000-00003C000000}"/>
    <cellStyle name="CABEÇALHO 10 2 2 4" xfId="7297" xr:uid="{00000000-0005-0000-0000-00003D000000}"/>
    <cellStyle name="CABEÇALHO 10 2 2 5" xfId="10760" xr:uid="{00000000-0005-0000-0000-00003E000000}"/>
    <cellStyle name="CABEÇALHO 10 2 2 6" xfId="6719" xr:uid="{00000000-0005-0000-0000-00003F000000}"/>
    <cellStyle name="CABEÇALHO 10 2 3" xfId="2605" xr:uid="{00000000-0005-0000-0000-000040000000}"/>
    <cellStyle name="CABEÇALHO 10 2 3 2" xfId="5485" xr:uid="{00000000-0005-0000-0000-000041000000}"/>
    <cellStyle name="CABEÇALHO 10 2 3 3" xfId="5943" xr:uid="{00000000-0005-0000-0000-000042000000}"/>
    <cellStyle name="CABEÇALHO 10 2 3 4" xfId="8910" xr:uid="{00000000-0005-0000-0000-000043000000}"/>
    <cellStyle name="CABEÇALHO 10 2 3 5" xfId="10094" xr:uid="{00000000-0005-0000-0000-000044000000}"/>
    <cellStyle name="CABEÇALHO 10 2 3 6" xfId="9712" xr:uid="{00000000-0005-0000-0000-000045000000}"/>
    <cellStyle name="CABEÇALHO 10 2 4" xfId="3999" xr:uid="{00000000-0005-0000-0000-000046000000}"/>
    <cellStyle name="CABEÇALHO 10 2 5" xfId="7497" xr:uid="{00000000-0005-0000-0000-000047000000}"/>
    <cellStyle name="CABEÇALHO 10 2 6" xfId="6182" xr:uid="{00000000-0005-0000-0000-000048000000}"/>
    <cellStyle name="CABEÇALHO 10 2 7" xfId="10116" xr:uid="{00000000-0005-0000-0000-000049000000}"/>
    <cellStyle name="CABEÇALHO 10 2 8" xfId="10554" xr:uid="{00000000-0005-0000-0000-00004A000000}"/>
    <cellStyle name="CABEÇALHO 10 3" xfId="774" xr:uid="{00000000-0005-0000-0000-00004B000000}"/>
    <cellStyle name="CABEÇALHO 10 3 2" xfId="1916" xr:uid="{00000000-0005-0000-0000-00004C000000}"/>
    <cellStyle name="CABEÇALHO 10 3 2 2" xfId="4796" xr:uid="{00000000-0005-0000-0000-00004D000000}"/>
    <cellStyle name="CABEÇALHO 10 3 2 3" xfId="7250" xr:uid="{00000000-0005-0000-0000-00004E000000}"/>
    <cellStyle name="CABEÇALHO 10 3 2 4" xfId="8226" xr:uid="{00000000-0005-0000-0000-00004F000000}"/>
    <cellStyle name="CABEÇALHO 10 3 2 5" xfId="10815" xr:uid="{00000000-0005-0000-0000-000050000000}"/>
    <cellStyle name="CABEÇALHO 10 3 2 6" xfId="11109" xr:uid="{00000000-0005-0000-0000-000051000000}"/>
    <cellStyle name="CABEÇALHO 10 3 3" xfId="1403" xr:uid="{00000000-0005-0000-0000-000052000000}"/>
    <cellStyle name="CABEÇALHO 10 3 3 2" xfId="4283" xr:uid="{00000000-0005-0000-0000-000053000000}"/>
    <cellStyle name="CABEÇALHO 10 3 3 3" xfId="7166" xr:uid="{00000000-0005-0000-0000-000054000000}"/>
    <cellStyle name="CABEÇALHO 10 3 3 4" xfId="8611" xr:uid="{00000000-0005-0000-0000-000055000000}"/>
    <cellStyle name="CABEÇALHO 10 3 3 5" xfId="6747" xr:uid="{00000000-0005-0000-0000-000056000000}"/>
    <cellStyle name="CABEÇALHO 10 3 3 6" xfId="11339" xr:uid="{00000000-0005-0000-0000-000057000000}"/>
    <cellStyle name="CABEÇALHO 10 3 4" xfId="3654" xr:uid="{00000000-0005-0000-0000-000058000000}"/>
    <cellStyle name="CABEÇALHO 10 3 5" xfId="7562" xr:uid="{00000000-0005-0000-0000-000059000000}"/>
    <cellStyle name="CABEÇALHO 10 3 6" xfId="8105" xr:uid="{00000000-0005-0000-0000-00005A000000}"/>
    <cellStyle name="CABEÇALHO 10 3 7" xfId="10169" xr:uid="{00000000-0005-0000-0000-00005B000000}"/>
    <cellStyle name="CABEÇALHO 10 3 8" xfId="11094" xr:uid="{00000000-0005-0000-0000-00005C000000}"/>
    <cellStyle name="CABEÇALHO 10 4" xfId="1259" xr:uid="{00000000-0005-0000-0000-00005D000000}"/>
    <cellStyle name="CABEÇALHO 10 4 2" xfId="2401" xr:uid="{00000000-0005-0000-0000-00005E000000}"/>
    <cellStyle name="CABEÇALHO 10 4 2 2" xfId="5281" xr:uid="{00000000-0005-0000-0000-00005F000000}"/>
    <cellStyle name="CABEÇALHO 10 4 2 3" xfId="6814" xr:uid="{00000000-0005-0000-0000-000060000000}"/>
    <cellStyle name="CABEÇALHO 10 4 2 4" xfId="6926" xr:uid="{00000000-0005-0000-0000-000061000000}"/>
    <cellStyle name="CABEÇALHO 10 4 2 5" xfId="6200" xr:uid="{00000000-0005-0000-0000-000062000000}"/>
    <cellStyle name="CABEÇALHO 10 4 2 6" xfId="11511" xr:uid="{00000000-0005-0000-0000-000063000000}"/>
    <cellStyle name="CABEÇALHO 10 4 3" xfId="2798" xr:uid="{00000000-0005-0000-0000-000064000000}"/>
    <cellStyle name="CABEÇALHO 10 4 3 2" xfId="5678" xr:uid="{00000000-0005-0000-0000-000065000000}"/>
    <cellStyle name="CABEÇALHO 10 4 3 3" xfId="8128" xr:uid="{00000000-0005-0000-0000-000066000000}"/>
    <cellStyle name="CABEÇALHO 10 4 3 4" xfId="9107" xr:uid="{00000000-0005-0000-0000-000067000000}"/>
    <cellStyle name="CABEÇALHO 10 4 3 5" xfId="10346" xr:uid="{00000000-0005-0000-0000-000068000000}"/>
    <cellStyle name="CABEÇALHO 10 4 3 6" xfId="7874" xr:uid="{00000000-0005-0000-0000-000069000000}"/>
    <cellStyle name="CABEÇALHO 10 4 4" xfId="4139" xr:uid="{00000000-0005-0000-0000-00006A000000}"/>
    <cellStyle name="CABEÇALHO 10 4 5" xfId="5780" xr:uid="{00000000-0005-0000-0000-00006B000000}"/>
    <cellStyle name="CABEÇALHO 10 4 6" xfId="6942" xr:uid="{00000000-0005-0000-0000-00006C000000}"/>
    <cellStyle name="CABEÇALHO 10 4 7" xfId="7936" xr:uid="{00000000-0005-0000-0000-00006D000000}"/>
    <cellStyle name="CABEÇALHO 10 4 8" xfId="9947" xr:uid="{00000000-0005-0000-0000-00006E000000}"/>
    <cellStyle name="CABEÇALHO 10 5" xfId="1292" xr:uid="{00000000-0005-0000-0000-00006F000000}"/>
    <cellStyle name="CABEÇALHO 10 5 2" xfId="2434" xr:uid="{00000000-0005-0000-0000-000070000000}"/>
    <cellStyle name="CABEÇALHO 10 5 2 2" xfId="5314" xr:uid="{00000000-0005-0000-0000-000071000000}"/>
    <cellStyle name="CABEÇALHO 10 5 2 3" xfId="8171" xr:uid="{00000000-0005-0000-0000-000072000000}"/>
    <cellStyle name="CABEÇALHO 10 5 2 4" xfId="2958" xr:uid="{00000000-0005-0000-0000-000073000000}"/>
    <cellStyle name="CABEÇALHO 10 5 2 5" xfId="6454" xr:uid="{00000000-0005-0000-0000-000074000000}"/>
    <cellStyle name="CABEÇALHO 10 5 2 6" xfId="6913" xr:uid="{00000000-0005-0000-0000-000075000000}"/>
    <cellStyle name="CABEÇALHO 10 5 3" xfId="1436" xr:uid="{00000000-0005-0000-0000-000076000000}"/>
    <cellStyle name="CABEÇALHO 10 5 3 2" xfId="4316" xr:uid="{00000000-0005-0000-0000-000077000000}"/>
    <cellStyle name="CABEÇALHO 10 5 3 3" xfId="6532" xr:uid="{00000000-0005-0000-0000-000078000000}"/>
    <cellStyle name="CABEÇALHO 10 5 3 4" xfId="7440" xr:uid="{00000000-0005-0000-0000-000079000000}"/>
    <cellStyle name="CABEÇALHO 10 5 3 5" xfId="8220" xr:uid="{00000000-0005-0000-0000-00007A000000}"/>
    <cellStyle name="CABEÇALHO 10 5 3 6" xfId="10274" xr:uid="{00000000-0005-0000-0000-00007B000000}"/>
    <cellStyle name="CABEÇALHO 10 5 4" xfId="4172" xr:uid="{00000000-0005-0000-0000-00007C000000}"/>
    <cellStyle name="CABEÇALHO 10 5 5" xfId="3038" xr:uid="{00000000-0005-0000-0000-00007D000000}"/>
    <cellStyle name="CABEÇALHO 10 5 6" xfId="8000" xr:uid="{00000000-0005-0000-0000-00007E000000}"/>
    <cellStyle name="CABEÇALHO 10 5 7" xfId="7479" xr:uid="{00000000-0005-0000-0000-00007F000000}"/>
    <cellStyle name="CABEÇALHO 10 5 8" xfId="9279" xr:uid="{00000000-0005-0000-0000-000080000000}"/>
    <cellStyle name="CABEÇALHO 10 6" xfId="1324" xr:uid="{00000000-0005-0000-0000-000081000000}"/>
    <cellStyle name="CABEÇALHO 10 6 2" xfId="2466" xr:uid="{00000000-0005-0000-0000-000082000000}"/>
    <cellStyle name="CABEÇALHO 10 6 2 2" xfId="5346" xr:uid="{00000000-0005-0000-0000-000083000000}"/>
    <cellStyle name="CABEÇALHO 10 6 2 3" xfId="6561" xr:uid="{00000000-0005-0000-0000-000084000000}"/>
    <cellStyle name="CABEÇALHO 10 6 2 4" xfId="9058" xr:uid="{00000000-0005-0000-0000-000085000000}"/>
    <cellStyle name="CABEÇALHO 10 6 2 5" xfId="10783" xr:uid="{00000000-0005-0000-0000-000086000000}"/>
    <cellStyle name="CABEÇALHO 10 6 2 6" xfId="7448" xr:uid="{00000000-0005-0000-0000-000087000000}"/>
    <cellStyle name="CABEÇALHO 10 6 3" xfId="2653" xr:uid="{00000000-0005-0000-0000-000088000000}"/>
    <cellStyle name="CABEÇALHO 10 6 3 2" xfId="5533" xr:uid="{00000000-0005-0000-0000-000089000000}"/>
    <cellStyle name="CABEÇALHO 10 6 3 3" xfId="8006" xr:uid="{00000000-0005-0000-0000-00008A000000}"/>
    <cellStyle name="CABEÇALHO 10 6 3 4" xfId="9159" xr:uid="{00000000-0005-0000-0000-00008B000000}"/>
    <cellStyle name="CABEÇALHO 10 6 3 5" xfId="10477" xr:uid="{00000000-0005-0000-0000-00008C000000}"/>
    <cellStyle name="CABEÇALHO 10 6 3 6" xfId="10242" xr:uid="{00000000-0005-0000-0000-00008D000000}"/>
    <cellStyle name="CABEÇALHO 10 6 4" xfId="4204" xr:uid="{00000000-0005-0000-0000-00008E000000}"/>
    <cellStyle name="CABEÇALHO 10 6 5" xfId="3141" xr:uid="{00000000-0005-0000-0000-00008F000000}"/>
    <cellStyle name="CABEÇALHO 10 6 6" xfId="7116" xr:uid="{00000000-0005-0000-0000-000090000000}"/>
    <cellStyle name="CABEÇALHO 10 6 7" xfId="6506" xr:uid="{00000000-0005-0000-0000-000091000000}"/>
    <cellStyle name="CABEÇALHO 10 6 8" xfId="10270" xr:uid="{00000000-0005-0000-0000-000092000000}"/>
    <cellStyle name="CABEÇALHO 10 7" xfId="1784" xr:uid="{00000000-0005-0000-0000-000093000000}"/>
    <cellStyle name="CABEÇALHO 10 7 2" xfId="4664" xr:uid="{00000000-0005-0000-0000-000094000000}"/>
    <cellStyle name="CABEÇALHO 10 7 3" xfId="7811" xr:uid="{00000000-0005-0000-0000-000095000000}"/>
    <cellStyle name="CABEÇALHO 10 7 4" xfId="9591" xr:uid="{00000000-0005-0000-0000-000096000000}"/>
    <cellStyle name="CABEÇALHO 10 7 5" xfId="6401" xr:uid="{00000000-0005-0000-0000-000097000000}"/>
    <cellStyle name="CABEÇALHO 10 7 6" xfId="11602" xr:uid="{00000000-0005-0000-0000-000098000000}"/>
    <cellStyle name="CABEÇALHO 10 8" xfId="2751" xr:uid="{00000000-0005-0000-0000-000099000000}"/>
    <cellStyle name="CABEÇALHO 10 8 2" xfId="5631" xr:uid="{00000000-0005-0000-0000-00009A000000}"/>
    <cellStyle name="CABEÇALHO 10 8 3" xfId="7946" xr:uid="{00000000-0005-0000-0000-00009B000000}"/>
    <cellStyle name="CABEÇALHO 10 8 4" xfId="7529" xr:uid="{00000000-0005-0000-0000-00009C000000}"/>
    <cellStyle name="CABEÇALHO 10 8 5" xfId="8519" xr:uid="{00000000-0005-0000-0000-00009D000000}"/>
    <cellStyle name="CABEÇALHO 10 8 6" xfId="11503" xr:uid="{00000000-0005-0000-0000-00009E000000}"/>
    <cellStyle name="CABEÇALHO 10 9" xfId="3523" xr:uid="{00000000-0005-0000-0000-00009F000000}"/>
    <cellStyle name="CABEÇALHO 11" xfId="504" xr:uid="{00000000-0005-0000-0000-0000A0000000}"/>
    <cellStyle name="CABEÇALHO 11 10" xfId="5844" xr:uid="{00000000-0005-0000-0000-0000A1000000}"/>
    <cellStyle name="CABEÇALHO 11 11" xfId="5827" xr:uid="{00000000-0005-0000-0000-0000A2000000}"/>
    <cellStyle name="CABEÇALHO 11 12" xfId="10277" xr:uid="{00000000-0005-0000-0000-0000A3000000}"/>
    <cellStyle name="CABEÇALHO 11 13" xfId="11490" xr:uid="{00000000-0005-0000-0000-0000A4000000}"/>
    <cellStyle name="CABEÇALHO 11 2" xfId="980" xr:uid="{00000000-0005-0000-0000-0000A5000000}"/>
    <cellStyle name="CABEÇALHO 11 2 2" xfId="2122" xr:uid="{00000000-0005-0000-0000-0000A6000000}"/>
    <cellStyle name="CABEÇALHO 11 2 2 2" xfId="5002" xr:uid="{00000000-0005-0000-0000-0000A7000000}"/>
    <cellStyle name="CABEÇALHO 11 2 2 3" xfId="6084" xr:uid="{00000000-0005-0000-0000-0000A8000000}"/>
    <cellStyle name="CABEÇALHO 11 2 2 4" xfId="3181" xr:uid="{00000000-0005-0000-0000-0000A9000000}"/>
    <cellStyle name="CABEÇALHO 11 2 2 5" xfId="3190" xr:uid="{00000000-0005-0000-0000-0000AA000000}"/>
    <cellStyle name="CABEÇALHO 11 2 2 6" xfId="9778" xr:uid="{00000000-0005-0000-0000-0000AB000000}"/>
    <cellStyle name="CABEÇALHO 11 2 3" xfId="2668" xr:uid="{00000000-0005-0000-0000-0000AC000000}"/>
    <cellStyle name="CABEÇALHO 11 2 3 2" xfId="5548" xr:uid="{00000000-0005-0000-0000-0000AD000000}"/>
    <cellStyle name="CABEÇALHO 11 2 3 3" xfId="7883" xr:uid="{00000000-0005-0000-0000-0000AE000000}"/>
    <cellStyle name="CABEÇALHO 11 2 3 4" xfId="9197" xr:uid="{00000000-0005-0000-0000-0000AF000000}"/>
    <cellStyle name="CABEÇALHO 11 2 3 5" xfId="10513" xr:uid="{00000000-0005-0000-0000-0000B0000000}"/>
    <cellStyle name="CABEÇALHO 11 2 3 6" xfId="11551" xr:uid="{00000000-0005-0000-0000-0000B1000000}"/>
    <cellStyle name="CABEÇALHO 11 2 4" xfId="3860" xr:uid="{00000000-0005-0000-0000-0000B2000000}"/>
    <cellStyle name="CABEÇALHO 11 2 5" xfId="5971" xr:uid="{00000000-0005-0000-0000-0000B3000000}"/>
    <cellStyle name="CABEÇALHO 11 2 6" xfId="8931" xr:uid="{00000000-0005-0000-0000-0000B4000000}"/>
    <cellStyle name="CABEÇALHO 11 2 7" xfId="9878" xr:uid="{00000000-0005-0000-0000-0000B5000000}"/>
    <cellStyle name="CABEÇALHO 11 2 8" xfId="11096" xr:uid="{00000000-0005-0000-0000-0000B6000000}"/>
    <cellStyle name="CABEÇALHO 11 3" xfId="697" xr:uid="{00000000-0005-0000-0000-0000B7000000}"/>
    <cellStyle name="CABEÇALHO 11 3 2" xfId="1839" xr:uid="{00000000-0005-0000-0000-0000B8000000}"/>
    <cellStyle name="CABEÇALHO 11 3 2 2" xfId="4719" xr:uid="{00000000-0005-0000-0000-0000B9000000}"/>
    <cellStyle name="CABEÇALHO 11 3 2 3" xfId="6232" xr:uid="{00000000-0005-0000-0000-0000BA000000}"/>
    <cellStyle name="CABEÇALHO 11 3 2 4" xfId="8760" xr:uid="{00000000-0005-0000-0000-0000BB000000}"/>
    <cellStyle name="CABEÇALHO 11 3 2 5" xfId="10711" xr:uid="{00000000-0005-0000-0000-0000BC000000}"/>
    <cellStyle name="CABEÇALHO 11 3 2 6" xfId="11524" xr:uid="{00000000-0005-0000-0000-0000BD000000}"/>
    <cellStyle name="CABEÇALHO 11 3 3" xfId="2584" xr:uid="{00000000-0005-0000-0000-0000BE000000}"/>
    <cellStyle name="CABEÇALHO 11 3 3 2" xfId="5464" xr:uid="{00000000-0005-0000-0000-0000BF000000}"/>
    <cellStyle name="CABEÇALHO 11 3 3 3" xfId="6781" xr:uid="{00000000-0005-0000-0000-0000C0000000}"/>
    <cellStyle name="CABEÇALHO 11 3 3 4" xfId="8625" xr:uid="{00000000-0005-0000-0000-0000C1000000}"/>
    <cellStyle name="CABEÇALHO 11 3 3 5" xfId="10405" xr:uid="{00000000-0005-0000-0000-0000C2000000}"/>
    <cellStyle name="CABEÇALHO 11 3 3 6" xfId="11276" xr:uid="{00000000-0005-0000-0000-0000C3000000}"/>
    <cellStyle name="CABEÇALHO 11 3 4" xfId="3577" xr:uid="{00000000-0005-0000-0000-0000C4000000}"/>
    <cellStyle name="CABEÇALHO 11 3 5" xfId="6269" xr:uid="{00000000-0005-0000-0000-0000C5000000}"/>
    <cellStyle name="CABEÇALHO 11 3 6" xfId="8379" xr:uid="{00000000-0005-0000-0000-0000C6000000}"/>
    <cellStyle name="CABEÇALHO 11 3 7" xfId="8217" xr:uid="{00000000-0005-0000-0000-0000C7000000}"/>
    <cellStyle name="CABEÇALHO 11 3 8" xfId="10072" xr:uid="{00000000-0005-0000-0000-0000C8000000}"/>
    <cellStyle name="CABEÇALHO 11 4" xfId="796" xr:uid="{00000000-0005-0000-0000-0000C9000000}"/>
    <cellStyle name="CABEÇALHO 11 4 2" xfId="1938" xr:uid="{00000000-0005-0000-0000-0000CA000000}"/>
    <cellStyle name="CABEÇALHO 11 4 2 2" xfId="4818" xr:uid="{00000000-0005-0000-0000-0000CB000000}"/>
    <cellStyle name="CABEÇALHO 11 4 2 3" xfId="6355" xr:uid="{00000000-0005-0000-0000-0000CC000000}"/>
    <cellStyle name="CABEÇALHO 11 4 2 4" xfId="8871" xr:uid="{00000000-0005-0000-0000-0000CD000000}"/>
    <cellStyle name="CABEÇALHO 11 4 2 5" xfId="10038" xr:uid="{00000000-0005-0000-0000-0000CE000000}"/>
    <cellStyle name="CABEÇALHO 11 4 2 6" xfId="10733" xr:uid="{00000000-0005-0000-0000-0000CF000000}"/>
    <cellStyle name="CABEÇALHO 11 4 3" xfId="1386" xr:uid="{00000000-0005-0000-0000-0000D0000000}"/>
    <cellStyle name="CABEÇALHO 11 4 3 2" xfId="4266" xr:uid="{00000000-0005-0000-0000-0000D1000000}"/>
    <cellStyle name="CABEÇALHO 11 4 3 3" xfId="8068" xr:uid="{00000000-0005-0000-0000-0000D2000000}"/>
    <cellStyle name="CABEÇALHO 11 4 3 4" xfId="9474" xr:uid="{00000000-0005-0000-0000-0000D3000000}"/>
    <cellStyle name="CABEÇALHO 11 4 3 5" xfId="8339" xr:uid="{00000000-0005-0000-0000-0000D4000000}"/>
    <cellStyle name="CABEÇALHO 11 4 3 6" xfId="11635" xr:uid="{00000000-0005-0000-0000-0000D5000000}"/>
    <cellStyle name="CABEÇALHO 11 4 4" xfId="3676" xr:uid="{00000000-0005-0000-0000-0000D6000000}"/>
    <cellStyle name="CABEÇALHO 11 4 5" xfId="2899" xr:uid="{00000000-0005-0000-0000-0000D7000000}"/>
    <cellStyle name="CABEÇALHO 11 4 6" xfId="7978" xr:uid="{00000000-0005-0000-0000-0000D8000000}"/>
    <cellStyle name="CABEÇALHO 11 4 7" xfId="8195" xr:uid="{00000000-0005-0000-0000-0000D9000000}"/>
    <cellStyle name="CABEÇALHO 11 4 8" xfId="10907" xr:uid="{00000000-0005-0000-0000-0000DA000000}"/>
    <cellStyle name="CABEÇALHO 11 5" xfId="1181" xr:uid="{00000000-0005-0000-0000-0000DB000000}"/>
    <cellStyle name="CABEÇALHO 11 5 2" xfId="2323" xr:uid="{00000000-0005-0000-0000-0000DC000000}"/>
    <cellStyle name="CABEÇALHO 11 5 2 2" xfId="5203" xr:uid="{00000000-0005-0000-0000-0000DD000000}"/>
    <cellStyle name="CABEÇALHO 11 5 2 3" xfId="7822" xr:uid="{00000000-0005-0000-0000-0000DE000000}"/>
    <cellStyle name="CABEÇALHO 11 5 2 4" xfId="5790" xr:uid="{00000000-0005-0000-0000-0000DF000000}"/>
    <cellStyle name="CABEÇALHO 11 5 2 5" xfId="6845" xr:uid="{00000000-0005-0000-0000-0000E0000000}"/>
    <cellStyle name="CABEÇALHO 11 5 2 6" xfId="8765" xr:uid="{00000000-0005-0000-0000-0000E1000000}"/>
    <cellStyle name="CABEÇALHO 11 5 3" xfId="2692" xr:uid="{00000000-0005-0000-0000-0000E2000000}"/>
    <cellStyle name="CABEÇALHO 11 5 3 2" xfId="5572" xr:uid="{00000000-0005-0000-0000-0000E3000000}"/>
    <cellStyle name="CABEÇALHO 11 5 3 3" xfId="6192" xr:uid="{00000000-0005-0000-0000-0000E4000000}"/>
    <cellStyle name="CABEÇALHO 11 5 3 4" xfId="9444" xr:uid="{00000000-0005-0000-0000-0000E5000000}"/>
    <cellStyle name="CABEÇALHO 11 5 3 5" xfId="10587" xr:uid="{00000000-0005-0000-0000-0000E6000000}"/>
    <cellStyle name="CABEÇALHO 11 5 3 6" xfId="11097" xr:uid="{00000000-0005-0000-0000-0000E7000000}"/>
    <cellStyle name="CABEÇALHO 11 5 4" xfId="4061" xr:uid="{00000000-0005-0000-0000-0000E8000000}"/>
    <cellStyle name="CABEÇALHO 11 5 5" xfId="3065" xr:uid="{00000000-0005-0000-0000-0000E9000000}"/>
    <cellStyle name="CABEÇALHO 11 5 6" xfId="5944" xr:uid="{00000000-0005-0000-0000-0000EA000000}"/>
    <cellStyle name="CABEÇALHO 11 5 7" xfId="10841" xr:uid="{00000000-0005-0000-0000-0000EB000000}"/>
    <cellStyle name="CABEÇALHO 11 5 8" xfId="9812" xr:uid="{00000000-0005-0000-0000-0000EC000000}"/>
    <cellStyle name="CABEÇALHO 11 6" xfId="1154" xr:uid="{00000000-0005-0000-0000-0000ED000000}"/>
    <cellStyle name="CABEÇALHO 11 6 2" xfId="2296" xr:uid="{00000000-0005-0000-0000-0000EE000000}"/>
    <cellStyle name="CABEÇALHO 11 6 2 2" xfId="5176" xr:uid="{00000000-0005-0000-0000-0000EF000000}"/>
    <cellStyle name="CABEÇALHO 11 6 2 3" xfId="6082" xr:uid="{00000000-0005-0000-0000-0000F0000000}"/>
    <cellStyle name="CABEÇALHO 11 6 2 4" xfId="7195" xr:uid="{00000000-0005-0000-0000-0000F1000000}"/>
    <cellStyle name="CABEÇALHO 11 6 2 5" xfId="7882" xr:uid="{00000000-0005-0000-0000-0000F2000000}"/>
    <cellStyle name="CABEÇALHO 11 6 2 6" xfId="9505" xr:uid="{00000000-0005-0000-0000-0000F3000000}"/>
    <cellStyle name="CABEÇALHO 11 6 3" xfId="2690" xr:uid="{00000000-0005-0000-0000-0000F4000000}"/>
    <cellStyle name="CABEÇALHO 11 6 3 2" xfId="5570" xr:uid="{00000000-0005-0000-0000-0000F5000000}"/>
    <cellStyle name="CABEÇALHO 11 6 3 3" xfId="8036" xr:uid="{00000000-0005-0000-0000-0000F6000000}"/>
    <cellStyle name="CABEÇALHO 11 6 3 4" xfId="9147" xr:uid="{00000000-0005-0000-0000-0000F7000000}"/>
    <cellStyle name="CABEÇALHO 11 6 3 5" xfId="10465" xr:uid="{00000000-0005-0000-0000-0000F8000000}"/>
    <cellStyle name="CABEÇALHO 11 6 3 6" xfId="10867" xr:uid="{00000000-0005-0000-0000-0000F9000000}"/>
    <cellStyle name="CABEÇALHO 11 6 4" xfId="4034" xr:uid="{00000000-0005-0000-0000-0000FA000000}"/>
    <cellStyle name="CABEÇALHO 11 6 5" xfId="7222" xr:uid="{00000000-0005-0000-0000-0000FB000000}"/>
    <cellStyle name="CABEÇALHO 11 6 6" xfId="8665" xr:uid="{00000000-0005-0000-0000-0000FC000000}"/>
    <cellStyle name="CABEÇALHO 11 6 7" xfId="6797" xr:uid="{00000000-0005-0000-0000-0000FD000000}"/>
    <cellStyle name="CABEÇALHO 11 6 8" xfId="11028" xr:uid="{00000000-0005-0000-0000-0000FE000000}"/>
    <cellStyle name="CABEÇALHO 11 7" xfId="1645" xr:uid="{00000000-0005-0000-0000-0000FF000000}"/>
    <cellStyle name="CABEÇALHO 11 7 2" xfId="4525" xr:uid="{00000000-0005-0000-0000-000000010000}"/>
    <cellStyle name="CABEÇALHO 11 7 3" xfId="7209" xr:uid="{00000000-0005-0000-0000-000001010000}"/>
    <cellStyle name="CABEÇALHO 11 7 4" xfId="8652" xr:uid="{00000000-0005-0000-0000-000002010000}"/>
    <cellStyle name="CABEÇALHO 11 7 5" xfId="10406" xr:uid="{00000000-0005-0000-0000-000003010000}"/>
    <cellStyle name="CABEÇALHO 11 7 6" xfId="10692" xr:uid="{00000000-0005-0000-0000-000004010000}"/>
    <cellStyle name="CABEÇALHO 11 8" xfId="2849" xr:uid="{00000000-0005-0000-0000-000005010000}"/>
    <cellStyle name="CABEÇALHO 11 8 2" xfId="5729" xr:uid="{00000000-0005-0000-0000-000006010000}"/>
    <cellStyle name="CABEÇALHO 11 8 3" xfId="8112" xr:uid="{00000000-0005-0000-0000-000007010000}"/>
    <cellStyle name="CABEÇALHO 11 8 4" xfId="9178" xr:uid="{00000000-0005-0000-0000-000008010000}"/>
    <cellStyle name="CABEÇALHO 11 8 5" xfId="10492" xr:uid="{00000000-0005-0000-0000-000009010000}"/>
    <cellStyle name="CABEÇALHO 11 8 6" xfId="10981" xr:uid="{00000000-0005-0000-0000-00000A010000}"/>
    <cellStyle name="CABEÇALHO 11 9" xfId="3384" xr:uid="{00000000-0005-0000-0000-00000B010000}"/>
    <cellStyle name="CABEÇALHO 12" xfId="490" xr:uid="{00000000-0005-0000-0000-00000C010000}"/>
    <cellStyle name="CABEÇALHO 12 10" xfId="6881" xr:uid="{00000000-0005-0000-0000-00000D010000}"/>
    <cellStyle name="CABEÇALHO 12 11" xfId="7039" xr:uid="{00000000-0005-0000-0000-00000E010000}"/>
    <cellStyle name="CABEÇALHO 12 12" xfId="8917" xr:uid="{00000000-0005-0000-0000-00000F010000}"/>
    <cellStyle name="CABEÇALHO 12 13" xfId="10536" xr:uid="{00000000-0005-0000-0000-000010010000}"/>
    <cellStyle name="CABEÇALHO 12 2" xfId="966" xr:uid="{00000000-0005-0000-0000-000011010000}"/>
    <cellStyle name="CABEÇALHO 12 2 2" xfId="2108" xr:uid="{00000000-0005-0000-0000-000012010000}"/>
    <cellStyle name="CABEÇALHO 12 2 2 2" xfId="4988" xr:uid="{00000000-0005-0000-0000-000013010000}"/>
    <cellStyle name="CABEÇALHO 12 2 2 3" xfId="7812" xr:uid="{00000000-0005-0000-0000-000014010000}"/>
    <cellStyle name="CABEÇALHO 12 2 2 4" xfId="9592" xr:uid="{00000000-0005-0000-0000-000015010000}"/>
    <cellStyle name="CABEÇALHO 12 2 2 5" xfId="6529" xr:uid="{00000000-0005-0000-0000-000016010000}"/>
    <cellStyle name="CABEÇALHO 12 2 2 6" xfId="11334" xr:uid="{00000000-0005-0000-0000-000017010000}"/>
    <cellStyle name="CABEÇALHO 12 2 3" xfId="2610" xr:uid="{00000000-0005-0000-0000-000018010000}"/>
    <cellStyle name="CABEÇALHO 12 2 3 2" xfId="5490" xr:uid="{00000000-0005-0000-0000-000019010000}"/>
    <cellStyle name="CABEÇALHO 12 2 3 3" xfId="6718" xr:uid="{00000000-0005-0000-0000-00001A010000}"/>
    <cellStyle name="CABEÇALHO 12 2 3 4" xfId="9286" xr:uid="{00000000-0005-0000-0000-00001B010000}"/>
    <cellStyle name="CABEÇALHO 12 2 3 5" xfId="8306" xr:uid="{00000000-0005-0000-0000-00001C010000}"/>
    <cellStyle name="CABEÇALHO 12 2 3 6" xfId="11468" xr:uid="{00000000-0005-0000-0000-00001D010000}"/>
    <cellStyle name="CABEÇALHO 12 2 4" xfId="3846" xr:uid="{00000000-0005-0000-0000-00001E010000}"/>
    <cellStyle name="CABEÇALHO 12 2 5" xfId="2909" xr:uid="{00000000-0005-0000-0000-00001F010000}"/>
    <cellStyle name="CABEÇALHO 12 2 6" xfId="6272" xr:uid="{00000000-0005-0000-0000-000020010000}"/>
    <cellStyle name="CABEÇALHO 12 2 7" xfId="6034" xr:uid="{00000000-0005-0000-0000-000021010000}"/>
    <cellStyle name="CABEÇALHO 12 2 8" xfId="11177" xr:uid="{00000000-0005-0000-0000-000022010000}"/>
    <cellStyle name="CABEÇALHO 12 3" xfId="757" xr:uid="{00000000-0005-0000-0000-000023010000}"/>
    <cellStyle name="CABEÇALHO 12 3 2" xfId="1899" xr:uid="{00000000-0005-0000-0000-000024010000}"/>
    <cellStyle name="CABEÇALHO 12 3 2 2" xfId="4779" xr:uid="{00000000-0005-0000-0000-000025010000}"/>
    <cellStyle name="CABEÇALHO 12 3 2 3" xfId="6169" xr:uid="{00000000-0005-0000-0000-000026010000}"/>
    <cellStyle name="CABEÇALHO 12 3 2 4" xfId="8701" xr:uid="{00000000-0005-0000-0000-000027010000}"/>
    <cellStyle name="CABEÇALHO 12 3 2 5" xfId="10081" xr:uid="{00000000-0005-0000-0000-000028010000}"/>
    <cellStyle name="CABEÇALHO 12 3 2 6" xfId="11275" xr:uid="{00000000-0005-0000-0000-000029010000}"/>
    <cellStyle name="CABEÇALHO 12 3 3" xfId="2549" xr:uid="{00000000-0005-0000-0000-00002A010000}"/>
    <cellStyle name="CABEÇALHO 12 3 3 2" xfId="5429" xr:uid="{00000000-0005-0000-0000-00002B010000}"/>
    <cellStyle name="CABEÇALHO 12 3 3 3" xfId="7472" xr:uid="{00000000-0005-0000-0000-00002C010000}"/>
    <cellStyle name="CABEÇALHO 12 3 3 4" xfId="6888" xr:uid="{00000000-0005-0000-0000-00002D010000}"/>
    <cellStyle name="CABEÇALHO 12 3 3 5" xfId="9229" xr:uid="{00000000-0005-0000-0000-00002E010000}"/>
    <cellStyle name="CABEÇALHO 12 3 3 6" xfId="10989" xr:uid="{00000000-0005-0000-0000-00002F010000}"/>
    <cellStyle name="CABEÇALHO 12 3 4" xfId="3637" xr:uid="{00000000-0005-0000-0000-000030010000}"/>
    <cellStyle name="CABEÇALHO 12 3 5" xfId="7563" xr:uid="{00000000-0005-0000-0000-000031010000}"/>
    <cellStyle name="CABEÇALHO 12 3 6" xfId="7555" xr:uid="{00000000-0005-0000-0000-000032010000}"/>
    <cellStyle name="CABEÇALHO 12 3 7" xfId="10170" xr:uid="{00000000-0005-0000-0000-000033010000}"/>
    <cellStyle name="CABEÇALHO 12 3 8" xfId="10156" xr:uid="{00000000-0005-0000-0000-000034010000}"/>
    <cellStyle name="CABEÇALHO 12 4" xfId="1209" xr:uid="{00000000-0005-0000-0000-000035010000}"/>
    <cellStyle name="CABEÇALHO 12 4 2" xfId="2351" xr:uid="{00000000-0005-0000-0000-000036010000}"/>
    <cellStyle name="CABEÇALHO 12 4 2 2" xfId="5231" xr:uid="{00000000-0005-0000-0000-000037010000}"/>
    <cellStyle name="CABEÇALHO 12 4 2 3" xfId="8027" xr:uid="{00000000-0005-0000-0000-000038010000}"/>
    <cellStyle name="CABEÇALHO 12 4 2 4" xfId="7540" xr:uid="{00000000-0005-0000-0000-000039010000}"/>
    <cellStyle name="CABEÇALHO 12 4 2 5" xfId="5838" xr:uid="{00000000-0005-0000-0000-00003A010000}"/>
    <cellStyle name="CABEÇALHO 12 4 2 6" xfId="10246" xr:uid="{00000000-0005-0000-0000-00003B010000}"/>
    <cellStyle name="CABEÇALHO 12 4 3" xfId="1369" xr:uid="{00000000-0005-0000-0000-00003C010000}"/>
    <cellStyle name="CABEÇALHO 12 4 3 2" xfId="4249" xr:uid="{00000000-0005-0000-0000-00003D010000}"/>
    <cellStyle name="CABEÇALHO 12 4 3 3" xfId="7694" xr:uid="{00000000-0005-0000-0000-00003E010000}"/>
    <cellStyle name="CABEÇALHO 12 4 3 4" xfId="9115" xr:uid="{00000000-0005-0000-0000-00003F010000}"/>
    <cellStyle name="CABEÇALHO 12 4 3 5" xfId="10688" xr:uid="{00000000-0005-0000-0000-000040010000}"/>
    <cellStyle name="CABEÇALHO 12 4 3 6" xfId="8923" xr:uid="{00000000-0005-0000-0000-000041010000}"/>
    <cellStyle name="CABEÇALHO 12 4 4" xfId="4089" xr:uid="{00000000-0005-0000-0000-000042010000}"/>
    <cellStyle name="CABEÇALHO 12 4 5" xfId="3079" xr:uid="{00000000-0005-0000-0000-000043010000}"/>
    <cellStyle name="CABEÇALHO 12 4 6" xfId="6003" xr:uid="{00000000-0005-0000-0000-000044010000}"/>
    <cellStyle name="CABEÇALHO 12 4 7" xfId="9494" xr:uid="{00000000-0005-0000-0000-000045010000}"/>
    <cellStyle name="CABEÇALHO 12 4 8" xfId="11008" xr:uid="{00000000-0005-0000-0000-000046010000}"/>
    <cellStyle name="CABEÇALHO 12 5" xfId="691" xr:uid="{00000000-0005-0000-0000-000047010000}"/>
    <cellStyle name="CABEÇALHO 12 5 2" xfId="1833" xr:uid="{00000000-0005-0000-0000-000048010000}"/>
    <cellStyle name="CABEÇALHO 12 5 2 2" xfId="4713" xr:uid="{00000000-0005-0000-0000-000049010000}"/>
    <cellStyle name="CABEÇALHO 12 5 2 3" xfId="6527" xr:uid="{00000000-0005-0000-0000-00004A010000}"/>
    <cellStyle name="CABEÇALHO 12 5 2 4" xfId="9026" xr:uid="{00000000-0005-0000-0000-00004B010000}"/>
    <cellStyle name="CABEÇALHO 12 5 2 5" xfId="10070" xr:uid="{00000000-0005-0000-0000-00004C010000}"/>
    <cellStyle name="CABEÇALHO 12 5 2 6" xfId="7490" xr:uid="{00000000-0005-0000-0000-00004D010000}"/>
    <cellStyle name="CABEÇALHO 12 5 3" xfId="2665" xr:uid="{00000000-0005-0000-0000-00004E010000}"/>
    <cellStyle name="CABEÇALHO 12 5 3 2" xfId="5545" xr:uid="{00000000-0005-0000-0000-00004F010000}"/>
    <cellStyle name="CABEÇALHO 12 5 3 3" xfId="8066" xr:uid="{00000000-0005-0000-0000-000050010000}"/>
    <cellStyle name="CABEÇALHO 12 5 3 4" xfId="9226" xr:uid="{00000000-0005-0000-0000-000051010000}"/>
    <cellStyle name="CABEÇALHO 12 5 3 5" xfId="10676" xr:uid="{00000000-0005-0000-0000-000052010000}"/>
    <cellStyle name="CABEÇALHO 12 5 3 6" xfId="9890" xr:uid="{00000000-0005-0000-0000-000053010000}"/>
    <cellStyle name="CABEÇALHO 12 5 4" xfId="3571" xr:uid="{00000000-0005-0000-0000-000054010000}"/>
    <cellStyle name="CABEÇALHO 12 5 5" xfId="6042" xr:uid="{00000000-0005-0000-0000-000055010000}"/>
    <cellStyle name="CABEÇALHO 12 5 6" xfId="9000" xr:uid="{00000000-0005-0000-0000-000056010000}"/>
    <cellStyle name="CABEÇALHO 12 5 7" xfId="9927" xr:uid="{00000000-0005-0000-0000-000057010000}"/>
    <cellStyle name="CABEÇALHO 12 5 8" xfId="11011" xr:uid="{00000000-0005-0000-0000-000058010000}"/>
    <cellStyle name="CABEÇALHO 12 6" xfId="1222" xr:uid="{00000000-0005-0000-0000-000059010000}"/>
    <cellStyle name="CABEÇALHO 12 6 2" xfId="2364" xr:uid="{00000000-0005-0000-0000-00005A010000}"/>
    <cellStyle name="CABEÇALHO 12 6 2 2" xfId="5244" xr:uid="{00000000-0005-0000-0000-00005B010000}"/>
    <cellStyle name="CABEÇALHO 12 6 2 3" xfId="6127" xr:uid="{00000000-0005-0000-0000-00005C010000}"/>
    <cellStyle name="CABEÇALHO 12 6 2 4" xfId="8661" xr:uid="{00000000-0005-0000-0000-00005D010000}"/>
    <cellStyle name="CABEÇALHO 12 6 2 5" xfId="10378" xr:uid="{00000000-0005-0000-0000-00005E010000}"/>
    <cellStyle name="CABEÇALHO 12 6 2 6" xfId="11046" xr:uid="{00000000-0005-0000-0000-00005F010000}"/>
    <cellStyle name="CABEÇALHO 12 6 3" xfId="2609" xr:uid="{00000000-0005-0000-0000-000060010000}"/>
    <cellStyle name="CABEÇALHO 12 6 3 2" xfId="5489" xr:uid="{00000000-0005-0000-0000-000061010000}"/>
    <cellStyle name="CABEÇALHO 12 6 3 3" xfId="7791" xr:uid="{00000000-0005-0000-0000-000062010000}"/>
    <cellStyle name="CABEÇALHO 12 6 3 4" xfId="8598" xr:uid="{00000000-0005-0000-0000-000063010000}"/>
    <cellStyle name="CABEÇALHO 12 6 3 5" xfId="6399" xr:uid="{00000000-0005-0000-0000-000064010000}"/>
    <cellStyle name="CABEÇALHO 12 6 3 6" xfId="11664" xr:uid="{00000000-0005-0000-0000-000065010000}"/>
    <cellStyle name="CABEÇALHO 12 6 4" xfId="4102" xr:uid="{00000000-0005-0000-0000-000066010000}"/>
    <cellStyle name="CABEÇALHO 12 6 5" xfId="3178" xr:uid="{00000000-0005-0000-0000-000067010000}"/>
    <cellStyle name="CABEÇALHO 12 6 6" xfId="7879" xr:uid="{00000000-0005-0000-0000-000068010000}"/>
    <cellStyle name="CABEÇALHO 12 6 7" xfId="8065" xr:uid="{00000000-0005-0000-0000-000069010000}"/>
    <cellStyle name="CABEÇALHO 12 6 8" xfId="10794" xr:uid="{00000000-0005-0000-0000-00006A010000}"/>
    <cellStyle name="CABEÇALHO 12 7" xfId="1631" xr:uid="{00000000-0005-0000-0000-00006B010000}"/>
    <cellStyle name="CABEÇALHO 12 7 2" xfId="4511" xr:uid="{00000000-0005-0000-0000-00006C010000}"/>
    <cellStyle name="CABEÇALHO 12 7 3" xfId="6173" xr:uid="{00000000-0005-0000-0000-00006D010000}"/>
    <cellStyle name="CABEÇALHO 12 7 4" xfId="5931" xr:uid="{00000000-0005-0000-0000-00006E010000}"/>
    <cellStyle name="CABEÇALHO 12 7 5" xfId="7850" xr:uid="{00000000-0005-0000-0000-00006F010000}"/>
    <cellStyle name="CABEÇALHO 12 7 6" xfId="10846" xr:uid="{00000000-0005-0000-0000-000070010000}"/>
    <cellStyle name="CABEÇALHO 12 8" xfId="2748" xr:uid="{00000000-0005-0000-0000-000071010000}"/>
    <cellStyle name="CABEÇALHO 12 8 2" xfId="5628" xr:uid="{00000000-0005-0000-0000-000072010000}"/>
    <cellStyle name="CABEÇALHO 12 8 3" xfId="7439" xr:uid="{00000000-0005-0000-0000-000073010000}"/>
    <cellStyle name="CABEÇALHO 12 8 4" xfId="6425" xr:uid="{00000000-0005-0000-0000-000074010000}"/>
    <cellStyle name="CABEÇALHO 12 8 5" xfId="6013" xr:uid="{00000000-0005-0000-0000-000075010000}"/>
    <cellStyle name="CABEÇALHO 12 8 6" xfId="11251" xr:uid="{00000000-0005-0000-0000-000076010000}"/>
    <cellStyle name="CABEÇALHO 12 9" xfId="3370" xr:uid="{00000000-0005-0000-0000-000077010000}"/>
    <cellStyle name="CABEÇALHO 13" xfId="502" xr:uid="{00000000-0005-0000-0000-000078010000}"/>
    <cellStyle name="CABEÇALHO 13 10" xfId="6462" xr:uid="{00000000-0005-0000-0000-000079010000}"/>
    <cellStyle name="CABEÇALHO 13 11" xfId="8551" xr:uid="{00000000-0005-0000-0000-00007A010000}"/>
    <cellStyle name="CABEÇALHO 13 12" xfId="6403" xr:uid="{00000000-0005-0000-0000-00007B010000}"/>
    <cellStyle name="CABEÇALHO 13 13" xfId="11390" xr:uid="{00000000-0005-0000-0000-00007C010000}"/>
    <cellStyle name="CABEÇALHO 13 2" xfId="978" xr:uid="{00000000-0005-0000-0000-00007D010000}"/>
    <cellStyle name="CABEÇALHO 13 2 2" xfId="2120" xr:uid="{00000000-0005-0000-0000-00007E010000}"/>
    <cellStyle name="CABEÇALHO 13 2 2 2" xfId="5000" xr:uid="{00000000-0005-0000-0000-00007F010000}"/>
    <cellStyle name="CABEÇALHO 13 2 2 3" xfId="7609" xr:uid="{00000000-0005-0000-0000-000080010000}"/>
    <cellStyle name="CABEÇALHO 13 2 2 4" xfId="9452" xr:uid="{00000000-0005-0000-0000-000081010000}"/>
    <cellStyle name="CABEÇALHO 13 2 2 5" xfId="10581" xr:uid="{00000000-0005-0000-0000-000082010000}"/>
    <cellStyle name="CABEÇALHO 13 2 2 6" xfId="11072" xr:uid="{00000000-0005-0000-0000-000083010000}"/>
    <cellStyle name="CABEÇALHO 13 2 3" xfId="2602" xr:uid="{00000000-0005-0000-0000-000084010000}"/>
    <cellStyle name="CABEÇALHO 13 2 3 2" xfId="5482" xr:uid="{00000000-0005-0000-0000-000085010000}"/>
    <cellStyle name="CABEÇALHO 13 2 3 3" xfId="7899" xr:uid="{00000000-0005-0000-0000-000086010000}"/>
    <cellStyle name="CABEÇALHO 13 2 3 4" xfId="8752" xr:uid="{00000000-0005-0000-0000-000087010000}"/>
    <cellStyle name="CABEÇALHO 13 2 3 5" xfId="10385" xr:uid="{00000000-0005-0000-0000-000088010000}"/>
    <cellStyle name="CABEÇALHO 13 2 3 6" xfId="6281" xr:uid="{00000000-0005-0000-0000-000089010000}"/>
    <cellStyle name="CABEÇALHO 13 2 4" xfId="3858" xr:uid="{00000000-0005-0000-0000-00008A010000}"/>
    <cellStyle name="CABEÇALHO 13 2 5" xfId="7500" xr:uid="{00000000-0005-0000-0000-00008B010000}"/>
    <cellStyle name="CABEÇALHO 13 2 6" xfId="6920" xr:uid="{00000000-0005-0000-0000-00008C010000}"/>
    <cellStyle name="CABEÇALHO 13 2 7" xfId="10119" xr:uid="{00000000-0005-0000-0000-00008D010000}"/>
    <cellStyle name="CABEÇALHO 13 2 8" xfId="9735" xr:uid="{00000000-0005-0000-0000-00008E010000}"/>
    <cellStyle name="CABEÇALHO 13 3" xfId="679" xr:uid="{00000000-0005-0000-0000-00008F010000}"/>
    <cellStyle name="CABEÇALHO 13 3 2" xfId="1821" xr:uid="{00000000-0005-0000-0000-000090010000}"/>
    <cellStyle name="CABEÇALHO 13 3 2 2" xfId="4701" xr:uid="{00000000-0005-0000-0000-000091010000}"/>
    <cellStyle name="CABEÇALHO 13 3 2 3" xfId="6729" xr:uid="{00000000-0005-0000-0000-000092010000}"/>
    <cellStyle name="CABEÇALHO 13 3 2 4" xfId="9213" xr:uid="{00000000-0005-0000-0000-000093010000}"/>
    <cellStyle name="CABEÇALHO 13 3 2 5" xfId="10621" xr:uid="{00000000-0005-0000-0000-000094010000}"/>
    <cellStyle name="CABEÇALHO 13 3 2 6" xfId="9918" xr:uid="{00000000-0005-0000-0000-000095010000}"/>
    <cellStyle name="CABEÇALHO 13 3 3" xfId="2815" xr:uid="{00000000-0005-0000-0000-000096010000}"/>
    <cellStyle name="CABEÇALHO 13 3 3 2" xfId="5695" xr:uid="{00000000-0005-0000-0000-000097010000}"/>
    <cellStyle name="CABEÇALHO 13 3 3 3" xfId="6607" xr:uid="{00000000-0005-0000-0000-000098010000}"/>
    <cellStyle name="CABEÇALHO 13 3 3 4" xfId="8237" xr:uid="{00000000-0005-0000-0000-000099010000}"/>
    <cellStyle name="CABEÇALHO 13 3 3 5" xfId="10658" xr:uid="{00000000-0005-0000-0000-00009A010000}"/>
    <cellStyle name="CABEÇALHO 13 3 3 6" xfId="8914" xr:uid="{00000000-0005-0000-0000-00009B010000}"/>
    <cellStyle name="CABEÇALHO 13 3 4" xfId="3559" xr:uid="{00000000-0005-0000-0000-00009C010000}"/>
    <cellStyle name="CABEÇALHO 13 3 5" xfId="7355" xr:uid="{00000000-0005-0000-0000-00009D010000}"/>
    <cellStyle name="CABEÇALHO 13 3 6" xfId="6020" xr:uid="{00000000-0005-0000-0000-00009E010000}"/>
    <cellStyle name="CABEÇALHO 13 3 7" xfId="6982" xr:uid="{00000000-0005-0000-0000-00009F010000}"/>
    <cellStyle name="CABEÇALHO 13 3 8" xfId="11298" xr:uid="{00000000-0005-0000-0000-0000A0010000}"/>
    <cellStyle name="CABEÇALHO 13 4" xfId="1215" xr:uid="{00000000-0005-0000-0000-0000A1010000}"/>
    <cellStyle name="CABEÇALHO 13 4 2" xfId="2357" xr:uid="{00000000-0005-0000-0000-0000A2010000}"/>
    <cellStyle name="CABEÇALHO 13 4 2 2" xfId="5237" xr:uid="{00000000-0005-0000-0000-0000A3010000}"/>
    <cellStyle name="CABEÇALHO 13 4 2 3" xfId="7717" xr:uid="{00000000-0005-0000-0000-0000A4010000}"/>
    <cellStyle name="CABEÇALHO 13 4 2 4" xfId="9264" xr:uid="{00000000-0005-0000-0000-0000A5010000}"/>
    <cellStyle name="CABEÇALHO 13 4 2 5" xfId="9445" xr:uid="{00000000-0005-0000-0000-0000A6010000}"/>
    <cellStyle name="CABEÇALHO 13 4 2 6" xfId="11358" xr:uid="{00000000-0005-0000-0000-0000A7010000}"/>
    <cellStyle name="CABEÇALHO 13 4 3" xfId="2534" xr:uid="{00000000-0005-0000-0000-0000A8010000}"/>
    <cellStyle name="CABEÇALHO 13 4 3 2" xfId="5414" xr:uid="{00000000-0005-0000-0000-0000A9010000}"/>
    <cellStyle name="CABEÇALHO 13 4 3 3" xfId="8127" xr:uid="{00000000-0005-0000-0000-0000AA010000}"/>
    <cellStyle name="CABEÇALHO 13 4 3 4" xfId="7521" xr:uid="{00000000-0005-0000-0000-0000AB010000}"/>
    <cellStyle name="CABEÇALHO 13 4 3 5" xfId="7792" xr:uid="{00000000-0005-0000-0000-0000AC010000}"/>
    <cellStyle name="CABEÇALHO 13 4 3 6" xfId="11523" xr:uid="{00000000-0005-0000-0000-0000AD010000}"/>
    <cellStyle name="CABEÇALHO 13 4 4" xfId="4095" xr:uid="{00000000-0005-0000-0000-0000AE010000}"/>
    <cellStyle name="CABEÇALHO 13 4 5" xfId="3008" xr:uid="{00000000-0005-0000-0000-0000AF010000}"/>
    <cellStyle name="CABEÇALHO 13 4 6" xfId="6243" xr:uid="{00000000-0005-0000-0000-0000B0010000}"/>
    <cellStyle name="CABEÇALHO 13 4 7" xfId="5995" xr:uid="{00000000-0005-0000-0000-0000B1010000}"/>
    <cellStyle name="CABEÇALHO 13 4 8" xfId="11198" xr:uid="{00000000-0005-0000-0000-0000B2010000}"/>
    <cellStyle name="CABEÇALHO 13 5" xfId="1147" xr:uid="{00000000-0005-0000-0000-0000B3010000}"/>
    <cellStyle name="CABEÇALHO 13 5 2" xfId="2289" xr:uid="{00000000-0005-0000-0000-0000B4010000}"/>
    <cellStyle name="CABEÇALHO 13 5 2 2" xfId="5169" xr:uid="{00000000-0005-0000-0000-0000B5010000}"/>
    <cellStyle name="CABEÇALHO 13 5 2 3" xfId="6673" xr:uid="{00000000-0005-0000-0000-0000B6010000}"/>
    <cellStyle name="CABEÇALHO 13 5 2 4" xfId="9162" xr:uid="{00000000-0005-0000-0000-0000B7010000}"/>
    <cellStyle name="CABEÇALHO 13 5 2 5" xfId="10480" xr:uid="{00000000-0005-0000-0000-0000B8010000}"/>
    <cellStyle name="CABEÇALHO 13 5 2 6" xfId="10967" xr:uid="{00000000-0005-0000-0000-0000B9010000}"/>
    <cellStyle name="CABEÇALHO 13 5 3" xfId="2840" xr:uid="{00000000-0005-0000-0000-0000BA010000}"/>
    <cellStyle name="CABEÇALHO 13 5 3 2" xfId="5720" xr:uid="{00000000-0005-0000-0000-0000BB010000}"/>
    <cellStyle name="CABEÇALHO 13 5 3 3" xfId="5935" xr:uid="{00000000-0005-0000-0000-0000BC010000}"/>
    <cellStyle name="CABEÇALHO 13 5 3 4" xfId="8903" xr:uid="{00000000-0005-0000-0000-0000BD010000}"/>
    <cellStyle name="CABEÇALHO 13 5 3 5" xfId="9996" xr:uid="{00000000-0005-0000-0000-0000BE010000}"/>
    <cellStyle name="CABEÇALHO 13 5 3 6" xfId="9488" xr:uid="{00000000-0005-0000-0000-0000BF010000}"/>
    <cellStyle name="CABEÇALHO 13 5 4" xfId="4027" xr:uid="{00000000-0005-0000-0000-0000C0010000}"/>
    <cellStyle name="CABEÇALHO 13 5 5" xfId="3171" xr:uid="{00000000-0005-0000-0000-0000C1010000}"/>
    <cellStyle name="CABEÇALHO 13 5 6" xfId="7150" xr:uid="{00000000-0005-0000-0000-0000C2010000}"/>
    <cellStyle name="CABEÇALHO 13 5 7" xfId="6064" xr:uid="{00000000-0005-0000-0000-0000C3010000}"/>
    <cellStyle name="CABEÇALHO 13 5 8" xfId="10944" xr:uid="{00000000-0005-0000-0000-0000C4010000}"/>
    <cellStyle name="CABEÇALHO 13 6" xfId="1152" xr:uid="{00000000-0005-0000-0000-0000C5010000}"/>
    <cellStyle name="CABEÇALHO 13 6 2" xfId="2294" xr:uid="{00000000-0005-0000-0000-0000C6010000}"/>
    <cellStyle name="CABEÇALHO 13 6 2 2" xfId="5174" xr:uid="{00000000-0005-0000-0000-0000C7010000}"/>
    <cellStyle name="CABEÇALHO 13 6 2 3" xfId="7607" xr:uid="{00000000-0005-0000-0000-0000C8010000}"/>
    <cellStyle name="CABEÇALHO 13 6 2 4" xfId="9339" xr:uid="{00000000-0005-0000-0000-0000C9010000}"/>
    <cellStyle name="CABEÇALHO 13 6 2 5" xfId="10700" xr:uid="{00000000-0005-0000-0000-0000CA010000}"/>
    <cellStyle name="CABEÇALHO 13 6 2 6" xfId="11087" xr:uid="{00000000-0005-0000-0000-0000CB010000}"/>
    <cellStyle name="CABEÇALHO 13 6 3" xfId="2515" xr:uid="{00000000-0005-0000-0000-0000CC010000}"/>
    <cellStyle name="CABEÇALHO 13 6 3 2" xfId="5395" xr:uid="{00000000-0005-0000-0000-0000CD010000}"/>
    <cellStyle name="CABEÇALHO 13 6 3 3" xfId="5925" xr:uid="{00000000-0005-0000-0000-0000CE010000}"/>
    <cellStyle name="CABEÇALHO 13 6 3 4" xfId="8893" xr:uid="{00000000-0005-0000-0000-0000CF010000}"/>
    <cellStyle name="CABEÇALHO 13 6 3 5" xfId="9987" xr:uid="{00000000-0005-0000-0000-0000D0010000}"/>
    <cellStyle name="CABEÇALHO 13 6 3 6" xfId="11110" xr:uid="{00000000-0005-0000-0000-0000D1010000}"/>
    <cellStyle name="CABEÇALHO 13 6 4" xfId="4032" xr:uid="{00000000-0005-0000-0000-0000D2010000}"/>
    <cellStyle name="CABEÇALHO 13 6 5" xfId="3020" xr:uid="{00000000-0005-0000-0000-0000D3010000}"/>
    <cellStyle name="CABEÇALHO 13 6 6" xfId="7789" xr:uid="{00000000-0005-0000-0000-0000D4010000}"/>
    <cellStyle name="CABEÇALHO 13 6 7" xfId="9594" xr:uid="{00000000-0005-0000-0000-0000D5010000}"/>
    <cellStyle name="CABEÇALHO 13 6 8" xfId="10982" xr:uid="{00000000-0005-0000-0000-0000D6010000}"/>
    <cellStyle name="CABEÇALHO 13 7" xfId="1643" xr:uid="{00000000-0005-0000-0000-0000D7010000}"/>
    <cellStyle name="CABEÇALHO 13 7 2" xfId="4523" xr:uid="{00000000-0005-0000-0000-0000D8010000}"/>
    <cellStyle name="CABEÇALHO 13 7 3" xfId="6619" xr:uid="{00000000-0005-0000-0000-0000D9010000}"/>
    <cellStyle name="CABEÇALHO 13 7 4" xfId="6230" xr:uid="{00000000-0005-0000-0000-0000DA010000}"/>
    <cellStyle name="CABEÇALHO 13 7 5" xfId="7549" xr:uid="{00000000-0005-0000-0000-0000DB010000}"/>
    <cellStyle name="CABEÇALHO 13 7 6" xfId="10282" xr:uid="{00000000-0005-0000-0000-0000DC010000}"/>
    <cellStyle name="CABEÇALHO 13 8" xfId="2596" xr:uid="{00000000-0005-0000-0000-0000DD010000}"/>
    <cellStyle name="CABEÇALHO 13 8 2" xfId="5476" xr:uid="{00000000-0005-0000-0000-0000DE010000}"/>
    <cellStyle name="CABEÇALHO 13 8 3" xfId="6804" xr:uid="{00000000-0005-0000-0000-0000DF010000}"/>
    <cellStyle name="CABEÇALHO 13 8 4" xfId="8672" xr:uid="{00000000-0005-0000-0000-0000E0010000}"/>
    <cellStyle name="CABEÇALHO 13 8 5" xfId="10085" xr:uid="{00000000-0005-0000-0000-0000E1010000}"/>
    <cellStyle name="CABEÇALHO 13 8 6" xfId="11565" xr:uid="{00000000-0005-0000-0000-0000E2010000}"/>
    <cellStyle name="CABEÇALHO 13 9" xfId="3382" xr:uid="{00000000-0005-0000-0000-0000E3010000}"/>
    <cellStyle name="CABEÇALHO 14" xfId="654" xr:uid="{00000000-0005-0000-0000-0000E4010000}"/>
    <cellStyle name="CABEÇALHO 14 10" xfId="7568" xr:uid="{00000000-0005-0000-0000-0000E5010000}"/>
    <cellStyle name="CABEÇALHO 14 11" xfId="8118" xr:uid="{00000000-0005-0000-0000-0000E6010000}"/>
    <cellStyle name="CABEÇALHO 14 12" xfId="10175" xr:uid="{00000000-0005-0000-0000-0000E7010000}"/>
    <cellStyle name="CABEÇALHO 14 13" xfId="9905" xr:uid="{00000000-0005-0000-0000-0000E8010000}"/>
    <cellStyle name="CABEÇALHO 14 2" xfId="1130" xr:uid="{00000000-0005-0000-0000-0000E9010000}"/>
    <cellStyle name="CABEÇALHO 14 2 2" xfId="2272" xr:uid="{00000000-0005-0000-0000-0000EA010000}"/>
    <cellStyle name="CABEÇALHO 14 2 2 2" xfId="5152" xr:uid="{00000000-0005-0000-0000-0000EB010000}"/>
    <cellStyle name="CABEÇALHO 14 2 2 3" xfId="8074" xr:uid="{00000000-0005-0000-0000-0000EC010000}"/>
    <cellStyle name="CABEÇALHO 14 2 2 4" xfId="6000" xr:uid="{00000000-0005-0000-0000-0000ED010000}"/>
    <cellStyle name="CABEÇALHO 14 2 2 5" xfId="6901" xr:uid="{00000000-0005-0000-0000-0000EE010000}"/>
    <cellStyle name="CABEÇALHO 14 2 2 6" xfId="11579" xr:uid="{00000000-0005-0000-0000-0000EF010000}"/>
    <cellStyle name="CABEÇALHO 14 2 3" xfId="2509" xr:uid="{00000000-0005-0000-0000-0000F0010000}"/>
    <cellStyle name="CABEÇALHO 14 2 3 2" xfId="5389" xr:uid="{00000000-0005-0000-0000-0000F1010000}"/>
    <cellStyle name="CABEÇALHO 14 2 3 3" xfId="7845" xr:uid="{00000000-0005-0000-0000-0000F2010000}"/>
    <cellStyle name="CABEÇALHO 14 2 3 4" xfId="9068" xr:uid="{00000000-0005-0000-0000-0000F3010000}"/>
    <cellStyle name="CABEÇALHO 14 2 3 5" xfId="9973" xr:uid="{00000000-0005-0000-0000-0000F4010000}"/>
    <cellStyle name="CABEÇALHO 14 2 3 6" xfId="6855" xr:uid="{00000000-0005-0000-0000-0000F5010000}"/>
    <cellStyle name="CABEÇALHO 14 2 4" xfId="4010" xr:uid="{00000000-0005-0000-0000-0000F6010000}"/>
    <cellStyle name="CABEÇALHO 14 2 5" xfId="5801" xr:uid="{00000000-0005-0000-0000-0000F7010000}"/>
    <cellStyle name="CABEÇALHO 14 2 6" xfId="6195" xr:uid="{00000000-0005-0000-0000-0000F8010000}"/>
    <cellStyle name="CABEÇALHO 14 2 7" xfId="7341" xr:uid="{00000000-0005-0000-0000-0000F9010000}"/>
    <cellStyle name="CABEÇALHO 14 2 8" xfId="10308" xr:uid="{00000000-0005-0000-0000-0000FA010000}"/>
    <cellStyle name="CABEÇALHO 14 3" xfId="784" xr:uid="{00000000-0005-0000-0000-0000FB010000}"/>
    <cellStyle name="CABEÇALHO 14 3 2" xfId="1926" xr:uid="{00000000-0005-0000-0000-0000FC010000}"/>
    <cellStyle name="CABEÇALHO 14 3 2 2" xfId="4806" xr:uid="{00000000-0005-0000-0000-0000FD010000}"/>
    <cellStyle name="CABEÇALHO 14 3 2 3" xfId="6580" xr:uid="{00000000-0005-0000-0000-0000FE010000}"/>
    <cellStyle name="CABEÇALHO 14 3 2 4" xfId="9076" xr:uid="{00000000-0005-0000-0000-0000FF010000}"/>
    <cellStyle name="CABEÇALHO 14 3 2 5" xfId="10611" xr:uid="{00000000-0005-0000-0000-000000020000}"/>
    <cellStyle name="CABEÇALHO 14 3 2 6" xfId="10934" xr:uid="{00000000-0005-0000-0000-000001020000}"/>
    <cellStyle name="CABEÇALHO 14 3 3" xfId="2705" xr:uid="{00000000-0005-0000-0000-000002020000}"/>
    <cellStyle name="CABEÇALHO 14 3 3 2" xfId="5585" xr:uid="{00000000-0005-0000-0000-000003020000}"/>
    <cellStyle name="CABEÇALHO 14 3 3 3" xfId="6812" xr:uid="{00000000-0005-0000-0000-000004020000}"/>
    <cellStyle name="CABEÇALHO 14 3 3 4" xfId="9196" xr:uid="{00000000-0005-0000-0000-000005020000}"/>
    <cellStyle name="CABEÇALHO 14 3 3 5" xfId="10512" xr:uid="{00000000-0005-0000-0000-000006020000}"/>
    <cellStyle name="CABEÇALHO 14 3 3 6" xfId="11335" xr:uid="{00000000-0005-0000-0000-000007020000}"/>
    <cellStyle name="CABEÇALHO 14 3 4" xfId="3664" xr:uid="{00000000-0005-0000-0000-000008020000}"/>
    <cellStyle name="CABEÇALHO 14 3 5" xfId="7504" xr:uid="{00000000-0005-0000-0000-000009020000}"/>
    <cellStyle name="CABEÇALHO 14 3 6" xfId="6951" xr:uid="{00000000-0005-0000-0000-00000A020000}"/>
    <cellStyle name="CABEÇALHO 14 3 7" xfId="10123" xr:uid="{00000000-0005-0000-0000-00000B020000}"/>
    <cellStyle name="CABEÇALHO 14 3 8" xfId="11479" xr:uid="{00000000-0005-0000-0000-00000C020000}"/>
    <cellStyle name="CABEÇALHO 14 4" xfId="1270" xr:uid="{00000000-0005-0000-0000-00000D020000}"/>
    <cellStyle name="CABEÇALHO 14 4 2" xfId="2412" xr:uid="{00000000-0005-0000-0000-00000E020000}"/>
    <cellStyle name="CABEÇALHO 14 4 2 2" xfId="5292" xr:uid="{00000000-0005-0000-0000-00000F020000}"/>
    <cellStyle name="CABEÇALHO 14 4 2 3" xfId="6591" xr:uid="{00000000-0005-0000-0000-000010020000}"/>
    <cellStyle name="CABEÇALHO 14 4 2 4" xfId="9086" xr:uid="{00000000-0005-0000-0000-000011020000}"/>
    <cellStyle name="CABEÇALHO 14 4 2 5" xfId="9703" xr:uid="{00000000-0005-0000-0000-000012020000}"/>
    <cellStyle name="CABEÇALHO 14 4 2 6" xfId="10933" xr:uid="{00000000-0005-0000-0000-000013020000}"/>
    <cellStyle name="CABEÇALHO 14 4 3" xfId="2679" xr:uid="{00000000-0005-0000-0000-000014020000}"/>
    <cellStyle name="CABEÇALHO 14 4 3 2" xfId="5559" xr:uid="{00000000-0005-0000-0000-000015020000}"/>
    <cellStyle name="CABEÇALHO 14 4 3 3" xfId="6771" xr:uid="{00000000-0005-0000-0000-000016020000}"/>
    <cellStyle name="CABEÇALHO 14 4 3 4" xfId="6312" xr:uid="{00000000-0005-0000-0000-000017020000}"/>
    <cellStyle name="CABEÇALHO 14 4 3 5" xfId="10663" xr:uid="{00000000-0005-0000-0000-000018020000}"/>
    <cellStyle name="CABEÇALHO 14 4 3 6" xfId="11637" xr:uid="{00000000-0005-0000-0000-000019020000}"/>
    <cellStyle name="CABEÇALHO 14 4 4" xfId="4150" xr:uid="{00000000-0005-0000-0000-00001A020000}"/>
    <cellStyle name="CABEÇALHO 14 4 5" xfId="2892" xr:uid="{00000000-0005-0000-0000-00001B020000}"/>
    <cellStyle name="CABEÇALHO 14 4 6" xfId="6295" xr:uid="{00000000-0005-0000-0000-00001C020000}"/>
    <cellStyle name="CABEÇALHO 14 4 7" xfId="10344" xr:uid="{00000000-0005-0000-0000-00001D020000}"/>
    <cellStyle name="CABEÇALHO 14 4 8" xfId="11287" xr:uid="{00000000-0005-0000-0000-00001E020000}"/>
    <cellStyle name="CABEÇALHO 14 5" xfId="1303" xr:uid="{00000000-0005-0000-0000-00001F020000}"/>
    <cellStyle name="CABEÇALHO 14 5 2" xfId="2445" xr:uid="{00000000-0005-0000-0000-000020020000}"/>
    <cellStyle name="CABEÇALHO 14 5 2 2" xfId="5325" xr:uid="{00000000-0005-0000-0000-000021020000}"/>
    <cellStyle name="CABEÇALHO 14 5 2 3" xfId="7031" xr:uid="{00000000-0005-0000-0000-000022020000}"/>
    <cellStyle name="CABEÇALHO 14 5 2 4" xfId="9307" xr:uid="{00000000-0005-0000-0000-000023020000}"/>
    <cellStyle name="CABEÇALHO 14 5 2 5" xfId="10317" xr:uid="{00000000-0005-0000-0000-000024020000}"/>
    <cellStyle name="CABEÇALHO 14 5 2 6" xfId="11021" xr:uid="{00000000-0005-0000-0000-000025020000}"/>
    <cellStyle name="CABEÇALHO 14 5 3" xfId="2582" xr:uid="{00000000-0005-0000-0000-000026020000}"/>
    <cellStyle name="CABEÇALHO 14 5 3 2" xfId="5462" xr:uid="{00000000-0005-0000-0000-000027020000}"/>
    <cellStyle name="CABEÇALHO 14 5 3 3" xfId="7179" xr:uid="{00000000-0005-0000-0000-000028020000}"/>
    <cellStyle name="CABEÇALHO 14 5 3 4" xfId="5774" xr:uid="{00000000-0005-0000-0000-000029020000}"/>
    <cellStyle name="CABEÇALHO 14 5 3 5" xfId="3049" xr:uid="{00000000-0005-0000-0000-00002A020000}"/>
    <cellStyle name="CABEÇALHO 14 5 3 6" xfId="11496" xr:uid="{00000000-0005-0000-0000-00002B020000}"/>
    <cellStyle name="CABEÇALHO 14 5 4" xfId="4183" xr:uid="{00000000-0005-0000-0000-00002C020000}"/>
    <cellStyle name="CABEÇALHO 14 5 5" xfId="3129" xr:uid="{00000000-0005-0000-0000-00002D020000}"/>
    <cellStyle name="CABEÇALHO 14 5 6" xfId="7824" xr:uid="{00000000-0005-0000-0000-00002E020000}"/>
    <cellStyle name="CABEÇALHO 14 5 7" xfId="9575" xr:uid="{00000000-0005-0000-0000-00002F020000}"/>
    <cellStyle name="CABEÇALHO 14 5 8" xfId="8315" xr:uid="{00000000-0005-0000-0000-000030020000}"/>
    <cellStyle name="CABEÇALHO 14 6" xfId="1335" xr:uid="{00000000-0005-0000-0000-000031020000}"/>
    <cellStyle name="CABEÇALHO 14 6 2" xfId="2477" xr:uid="{00000000-0005-0000-0000-000032020000}"/>
    <cellStyle name="CABEÇALHO 14 6 2 2" xfId="5357" xr:uid="{00000000-0005-0000-0000-000033020000}"/>
    <cellStyle name="CABEÇALHO 14 6 2 3" xfId="7451" xr:uid="{00000000-0005-0000-0000-000034020000}"/>
    <cellStyle name="CABEÇALHO 14 6 2 4" xfId="9464" xr:uid="{00000000-0005-0000-0000-000035020000}"/>
    <cellStyle name="CABEÇALHO 14 6 2 5" xfId="10695" xr:uid="{00000000-0005-0000-0000-000036020000}"/>
    <cellStyle name="CABEÇALHO 14 6 2 6" xfId="10769" xr:uid="{00000000-0005-0000-0000-000037020000}"/>
    <cellStyle name="CABEÇALHO 14 6 3" xfId="2872" xr:uid="{00000000-0005-0000-0000-000038020000}"/>
    <cellStyle name="CABEÇALHO 14 6 3 2" xfId="5752" xr:uid="{00000000-0005-0000-0000-000039020000}"/>
    <cellStyle name="CABEÇALHO 14 6 3 3" xfId="3026" xr:uid="{00000000-0005-0000-0000-00003A020000}"/>
    <cellStyle name="CABEÇALHO 14 6 3 4" xfId="6961" xr:uid="{00000000-0005-0000-0000-00003B020000}"/>
    <cellStyle name="CABEÇALHO 14 6 3 5" xfId="2970" xr:uid="{00000000-0005-0000-0000-00003C020000}"/>
    <cellStyle name="CABEÇALHO 14 6 3 6" xfId="11256" xr:uid="{00000000-0005-0000-0000-00003D020000}"/>
    <cellStyle name="CABEÇALHO 14 6 4" xfId="4215" xr:uid="{00000000-0005-0000-0000-00003E020000}"/>
    <cellStyle name="CABEÇALHO 14 6 5" xfId="8086" xr:uid="{00000000-0005-0000-0000-00003F020000}"/>
    <cellStyle name="CABEÇALHO 14 6 6" xfId="9492" xr:uid="{00000000-0005-0000-0000-000040020000}"/>
    <cellStyle name="CABEÇALHO 14 6 7" xfId="10753" xr:uid="{00000000-0005-0000-0000-000041020000}"/>
    <cellStyle name="CABEÇALHO 14 6 8" xfId="6649" xr:uid="{00000000-0005-0000-0000-000042020000}"/>
    <cellStyle name="CABEÇALHO 14 7" xfId="1795" xr:uid="{00000000-0005-0000-0000-000043020000}"/>
    <cellStyle name="CABEÇALHO 14 7 2" xfId="4675" xr:uid="{00000000-0005-0000-0000-000044020000}"/>
    <cellStyle name="CABEÇALHO 14 7 3" xfId="7951" xr:uid="{00000000-0005-0000-0000-000045020000}"/>
    <cellStyle name="CABEÇALHO 14 7 4" xfId="8005" xr:uid="{00000000-0005-0000-0000-000046020000}"/>
    <cellStyle name="CABEÇALHO 14 7 5" xfId="8810" xr:uid="{00000000-0005-0000-0000-000047020000}"/>
    <cellStyle name="CABEÇALHO 14 7 6" xfId="11241" xr:uid="{00000000-0005-0000-0000-000048020000}"/>
    <cellStyle name="CABEÇALHO 14 8" xfId="2741" xr:uid="{00000000-0005-0000-0000-000049020000}"/>
    <cellStyle name="CABEÇALHO 14 8 2" xfId="5621" xr:uid="{00000000-0005-0000-0000-00004A020000}"/>
    <cellStyle name="CABEÇALHO 14 8 3" xfId="6857" xr:uid="{00000000-0005-0000-0000-00004B020000}"/>
    <cellStyle name="CABEÇALHO 14 8 4" xfId="8655" xr:uid="{00000000-0005-0000-0000-00004C020000}"/>
    <cellStyle name="CABEÇALHO 14 8 5" xfId="10028" xr:uid="{00000000-0005-0000-0000-00004D020000}"/>
    <cellStyle name="CABEÇALHO 14 8 6" xfId="11539" xr:uid="{00000000-0005-0000-0000-00004E020000}"/>
    <cellStyle name="CABEÇALHO 14 9" xfId="3534" xr:uid="{00000000-0005-0000-0000-00004F020000}"/>
    <cellStyle name="CABEÇALHO 15" xfId="652" xr:uid="{00000000-0005-0000-0000-000050020000}"/>
    <cellStyle name="CABEÇALHO 15 10" xfId="6330" xr:uid="{00000000-0005-0000-0000-000051020000}"/>
    <cellStyle name="CABEÇALHO 15 11" xfId="8432" xr:uid="{00000000-0005-0000-0000-000052020000}"/>
    <cellStyle name="CABEÇALHO 15 12" xfId="8916" xr:uid="{00000000-0005-0000-0000-000053020000}"/>
    <cellStyle name="CABEÇALHO 15 13" xfId="10109" xr:uid="{00000000-0005-0000-0000-000054020000}"/>
    <cellStyle name="CABEÇALHO 15 2" xfId="1128" xr:uid="{00000000-0005-0000-0000-000055020000}"/>
    <cellStyle name="CABEÇALHO 15 2 2" xfId="2270" xr:uid="{00000000-0005-0000-0000-000056020000}"/>
    <cellStyle name="CABEÇALHO 15 2 2 2" xfId="5150" xr:uid="{00000000-0005-0000-0000-000057020000}"/>
    <cellStyle name="CABEÇALHO 15 2 2 3" xfId="7744" xr:uid="{00000000-0005-0000-0000-000058020000}"/>
    <cellStyle name="CABEÇALHO 15 2 2 4" xfId="8324" xr:uid="{00000000-0005-0000-0000-000059020000}"/>
    <cellStyle name="CABEÇALHO 15 2 2 5" xfId="10758" xr:uid="{00000000-0005-0000-0000-00005A020000}"/>
    <cellStyle name="CABEÇALHO 15 2 2 6" xfId="9692" xr:uid="{00000000-0005-0000-0000-00005B020000}"/>
    <cellStyle name="CABEÇALHO 15 2 3" xfId="2621" xr:uid="{00000000-0005-0000-0000-00005C020000}"/>
    <cellStyle name="CABEÇALHO 15 2 3 2" xfId="5501" xr:uid="{00000000-0005-0000-0000-00005D020000}"/>
    <cellStyle name="CABEÇALHO 15 2 3 3" xfId="7588" xr:uid="{00000000-0005-0000-0000-00005E020000}"/>
    <cellStyle name="CABEÇALHO 15 2 3 4" xfId="7551" xr:uid="{00000000-0005-0000-0000-00005F020000}"/>
    <cellStyle name="CABEÇALHO 15 2 3 5" xfId="8391" xr:uid="{00000000-0005-0000-0000-000060020000}"/>
    <cellStyle name="CABEÇALHO 15 2 3 6" xfId="11336" xr:uid="{00000000-0005-0000-0000-000061020000}"/>
    <cellStyle name="CABEÇALHO 15 2 4" xfId="4008" xr:uid="{00000000-0005-0000-0000-000062020000}"/>
    <cellStyle name="CABEÇALHO 15 2 5" xfId="6027" xr:uid="{00000000-0005-0000-0000-000063020000}"/>
    <cellStyle name="CABEÇALHO 15 2 6" xfId="8985" xr:uid="{00000000-0005-0000-0000-000064020000}"/>
    <cellStyle name="CABEÇALHO 15 2 7" xfId="9913" xr:uid="{00000000-0005-0000-0000-000065020000}"/>
    <cellStyle name="CABEÇALHO 15 2 8" xfId="8170" xr:uid="{00000000-0005-0000-0000-000066020000}"/>
    <cellStyle name="CABEÇALHO 15 3" xfId="782" xr:uid="{00000000-0005-0000-0000-000067020000}"/>
    <cellStyle name="CABEÇALHO 15 3 2" xfId="1924" xr:uid="{00000000-0005-0000-0000-000068020000}"/>
    <cellStyle name="CABEÇALHO 15 3 2 2" xfId="4804" xr:uid="{00000000-0005-0000-0000-000069020000}"/>
    <cellStyle name="CABEÇALHO 15 3 2 3" xfId="8053" xr:uid="{00000000-0005-0000-0000-00006A020000}"/>
    <cellStyle name="CABEÇALHO 15 3 2 4" xfId="8454" xr:uid="{00000000-0005-0000-0000-00006B020000}"/>
    <cellStyle name="CABEÇALHO 15 3 2 5" xfId="8694" xr:uid="{00000000-0005-0000-0000-00006C020000}"/>
    <cellStyle name="CABEÇALHO 15 3 2 6" xfId="11388" xr:uid="{00000000-0005-0000-0000-00006D020000}"/>
    <cellStyle name="CABEÇALHO 15 3 3" xfId="2792" xr:uid="{00000000-0005-0000-0000-00006E020000}"/>
    <cellStyle name="CABEÇALHO 15 3 3 2" xfId="5672" xr:uid="{00000000-0005-0000-0000-00006F020000}"/>
    <cellStyle name="CABEÇALHO 15 3 3 3" xfId="8152" xr:uid="{00000000-0005-0000-0000-000070020000}"/>
    <cellStyle name="CABEÇALHO 15 3 3 4" xfId="9050" xr:uid="{00000000-0005-0000-0000-000071020000}"/>
    <cellStyle name="CABEÇALHO 15 3 3 5" xfId="10600" xr:uid="{00000000-0005-0000-0000-000072020000}"/>
    <cellStyle name="CABEÇALHO 15 3 3 6" xfId="11182" xr:uid="{00000000-0005-0000-0000-000073020000}"/>
    <cellStyle name="CABEÇALHO 15 3 4" xfId="3662" xr:uid="{00000000-0005-0000-0000-000074020000}"/>
    <cellStyle name="CABEÇALHO 15 3 5" xfId="6264" xr:uid="{00000000-0005-0000-0000-000075020000}"/>
    <cellStyle name="CABEÇALHO 15 3 6" xfId="8374" xr:uid="{00000000-0005-0000-0000-000076020000}"/>
    <cellStyle name="CABEÇALHO 15 3 7" xfId="8402" xr:uid="{00000000-0005-0000-0000-000077020000}"/>
    <cellStyle name="CABEÇALHO 15 3 8" xfId="10977" xr:uid="{00000000-0005-0000-0000-000078020000}"/>
    <cellStyle name="CABEÇALHO 15 4" xfId="1268" xr:uid="{00000000-0005-0000-0000-000079020000}"/>
    <cellStyle name="CABEÇALHO 15 4 2" xfId="2410" xr:uid="{00000000-0005-0000-0000-00007A020000}"/>
    <cellStyle name="CABEÇALHO 15 4 2 2" xfId="5290" xr:uid="{00000000-0005-0000-0000-00007B020000}"/>
    <cellStyle name="CABEÇALHO 15 4 2 3" xfId="8044" xr:uid="{00000000-0005-0000-0000-00007C020000}"/>
    <cellStyle name="CABEÇALHO 15 4 2 4" xfId="8481" xr:uid="{00000000-0005-0000-0000-00007D020000}"/>
    <cellStyle name="CABEÇALHO 15 4 2 5" xfId="9382" xr:uid="{00000000-0005-0000-0000-00007E020000}"/>
    <cellStyle name="CABEÇALHO 15 4 2 6" xfId="11621" xr:uid="{00000000-0005-0000-0000-00007F020000}"/>
    <cellStyle name="CABEÇALHO 15 4 3" xfId="2843" xr:uid="{00000000-0005-0000-0000-000080020000}"/>
    <cellStyle name="CABEÇALHO 15 4 3 2" xfId="5723" xr:uid="{00000000-0005-0000-0000-000081020000}"/>
    <cellStyle name="CABEÇALHO 15 4 3 3" xfId="7971" xr:uid="{00000000-0005-0000-0000-000082020000}"/>
    <cellStyle name="CABEÇALHO 15 4 3 4" xfId="9473" xr:uid="{00000000-0005-0000-0000-000083020000}"/>
    <cellStyle name="CABEÇALHO 15 4 3 5" xfId="10221" xr:uid="{00000000-0005-0000-0000-000084020000}"/>
    <cellStyle name="CABEÇALHO 15 4 3 6" xfId="11221" xr:uid="{00000000-0005-0000-0000-000085020000}"/>
    <cellStyle name="CABEÇALHO 15 4 4" xfId="4148" xr:uid="{00000000-0005-0000-0000-000086020000}"/>
    <cellStyle name="CABEÇALHO 15 4 5" xfId="6544" xr:uid="{00000000-0005-0000-0000-000087020000}"/>
    <cellStyle name="CABEÇALHO 15 4 6" xfId="5791" xr:uid="{00000000-0005-0000-0000-000088020000}"/>
    <cellStyle name="CABEÇALHO 15 4 7" xfId="9968" xr:uid="{00000000-0005-0000-0000-000089020000}"/>
    <cellStyle name="CABEÇALHO 15 4 8" xfId="9739" xr:uid="{00000000-0005-0000-0000-00008A020000}"/>
    <cellStyle name="CABEÇALHO 15 5" xfId="1301" xr:uid="{00000000-0005-0000-0000-00008B020000}"/>
    <cellStyle name="CABEÇALHO 15 5 2" xfId="2443" xr:uid="{00000000-0005-0000-0000-00008C020000}"/>
    <cellStyle name="CABEÇALHO 15 5 2 2" xfId="5323" xr:uid="{00000000-0005-0000-0000-00008D020000}"/>
    <cellStyle name="CABEÇALHO 15 5 2 3" xfId="6062" xr:uid="{00000000-0005-0000-0000-00008E020000}"/>
    <cellStyle name="CABEÇALHO 15 5 2 4" xfId="7123" xr:uid="{00000000-0005-0000-0000-00008F020000}"/>
    <cellStyle name="CABEÇALHO 15 5 2 5" xfId="8390" xr:uid="{00000000-0005-0000-0000-000090020000}"/>
    <cellStyle name="CABEÇALHO 15 5 2 6" xfId="10719" xr:uid="{00000000-0005-0000-0000-000091020000}"/>
    <cellStyle name="CABEÇALHO 15 5 3" xfId="1465" xr:uid="{00000000-0005-0000-0000-000092020000}"/>
    <cellStyle name="CABEÇALHO 15 5 3 2" xfId="4345" xr:uid="{00000000-0005-0000-0000-000093020000}"/>
    <cellStyle name="CABEÇALHO 15 5 3 3" xfId="7690" xr:uid="{00000000-0005-0000-0000-000094020000}"/>
    <cellStyle name="CABEÇALHO 15 5 3 4" xfId="9111" xr:uid="{00000000-0005-0000-0000-000095020000}"/>
    <cellStyle name="CABEÇALHO 15 5 3 5" xfId="10357" xr:uid="{00000000-0005-0000-0000-000096020000}"/>
    <cellStyle name="CABEÇALHO 15 5 3 6" xfId="9880" xr:uid="{00000000-0005-0000-0000-000097020000}"/>
    <cellStyle name="CABEÇALHO 15 5 4" xfId="4181" xr:uid="{00000000-0005-0000-0000-000098020000}"/>
    <cellStyle name="CABEÇALHO 15 5 5" xfId="3127" xr:uid="{00000000-0005-0000-0000-000099020000}"/>
    <cellStyle name="CABEÇALHO 15 5 6" xfId="6716" xr:uid="{00000000-0005-0000-0000-00009A020000}"/>
    <cellStyle name="CABEÇALHO 15 5 7" xfId="6337" xr:uid="{00000000-0005-0000-0000-00009B020000}"/>
    <cellStyle name="CABEÇALHO 15 5 8" xfId="3166" xr:uid="{00000000-0005-0000-0000-00009C020000}"/>
    <cellStyle name="CABEÇALHO 15 6" xfId="1333" xr:uid="{00000000-0005-0000-0000-00009D020000}"/>
    <cellStyle name="CABEÇALHO 15 6 2" xfId="2475" xr:uid="{00000000-0005-0000-0000-00009E020000}"/>
    <cellStyle name="CABEÇALHO 15 6 2 2" xfId="5355" xr:uid="{00000000-0005-0000-0000-00009F020000}"/>
    <cellStyle name="CABEÇALHO 15 6 2 3" xfId="6172" xr:uid="{00000000-0005-0000-0000-0000A0020000}"/>
    <cellStyle name="CABEÇALHO 15 6 2 4" xfId="8703" xr:uid="{00000000-0005-0000-0000-0000A1020000}"/>
    <cellStyle name="CABEÇALHO 15 6 2 5" xfId="10009" xr:uid="{00000000-0005-0000-0000-0000A2020000}"/>
    <cellStyle name="CABEÇALHO 15 6 2 6" xfId="10653" xr:uid="{00000000-0005-0000-0000-0000A3020000}"/>
    <cellStyle name="CABEÇALHO 15 6 3" xfId="2870" xr:uid="{00000000-0005-0000-0000-0000A4020000}"/>
    <cellStyle name="CABEÇALHO 15 6 3 2" xfId="5750" xr:uid="{00000000-0005-0000-0000-0000A5020000}"/>
    <cellStyle name="CABEÇALHO 15 6 3 3" xfId="3151" xr:uid="{00000000-0005-0000-0000-0000A6020000}"/>
    <cellStyle name="CABEÇALHO 15 6 3 4" xfId="6605" xr:uid="{00000000-0005-0000-0000-0000A7020000}"/>
    <cellStyle name="CABEÇALHO 15 6 3 5" xfId="8854" xr:uid="{00000000-0005-0000-0000-0000A8020000}"/>
    <cellStyle name="CABEÇALHO 15 6 3 6" xfId="10552" xr:uid="{00000000-0005-0000-0000-0000A9020000}"/>
    <cellStyle name="CABEÇALHO 15 6 4" xfId="4213" xr:uid="{00000000-0005-0000-0000-0000AA020000}"/>
    <cellStyle name="CABEÇALHO 15 6 5" xfId="7704" xr:uid="{00000000-0005-0000-0000-0000AB020000}"/>
    <cellStyle name="CABEÇALHO 15 6 6" xfId="9125" xr:uid="{00000000-0005-0000-0000-0000AC020000}"/>
    <cellStyle name="CABEÇALHO 15 6 7" xfId="10517" xr:uid="{00000000-0005-0000-0000-0000AD020000}"/>
    <cellStyle name="CABEÇALHO 15 6 8" xfId="11018" xr:uid="{00000000-0005-0000-0000-0000AE020000}"/>
    <cellStyle name="CABEÇALHO 15 7" xfId="1793" xr:uid="{00000000-0005-0000-0000-0000AF020000}"/>
    <cellStyle name="CABEÇALHO 15 7 2" xfId="4673" xr:uid="{00000000-0005-0000-0000-0000B0020000}"/>
    <cellStyle name="CABEÇALHO 15 7 3" xfId="7231" xr:uid="{00000000-0005-0000-0000-0000B1020000}"/>
    <cellStyle name="CABEÇALHO 15 7 4" xfId="8261" xr:uid="{00000000-0005-0000-0000-0000B2020000}"/>
    <cellStyle name="CABEÇALHO 15 7 5" xfId="10656" xr:uid="{00000000-0005-0000-0000-0000B3020000}"/>
    <cellStyle name="CABEÇALHO 15 7 6" xfId="11464" xr:uid="{00000000-0005-0000-0000-0000B4020000}"/>
    <cellStyle name="CABEÇALHO 15 8" xfId="2627" xr:uid="{00000000-0005-0000-0000-0000B5020000}"/>
    <cellStyle name="CABEÇALHO 15 8 2" xfId="5507" xr:uid="{00000000-0005-0000-0000-0000B6020000}"/>
    <cellStyle name="CABEÇALHO 15 8 3" xfId="7816" xr:uid="{00000000-0005-0000-0000-0000B7020000}"/>
    <cellStyle name="CABEÇALHO 15 8 4" xfId="8622" xr:uid="{00000000-0005-0000-0000-0000B8020000}"/>
    <cellStyle name="CABEÇALHO 15 8 5" xfId="7734" xr:uid="{00000000-0005-0000-0000-0000B9020000}"/>
    <cellStyle name="CABEÇALHO 15 8 6" xfId="11157" xr:uid="{00000000-0005-0000-0000-0000BA020000}"/>
    <cellStyle name="CABEÇALHO 15 9" xfId="3532" xr:uid="{00000000-0005-0000-0000-0000BB020000}"/>
    <cellStyle name="CABEÇALHO 16" xfId="475" xr:uid="{00000000-0005-0000-0000-0000BC020000}"/>
    <cellStyle name="CABEÇALHO 16 10" xfId="6472" xr:uid="{00000000-0005-0000-0000-0000BD020000}"/>
    <cellStyle name="CABEÇALHO 16 11" xfId="8559" xr:uid="{00000000-0005-0000-0000-0000BE020000}"/>
    <cellStyle name="CABEÇALHO 16 12" xfId="5927" xr:uid="{00000000-0005-0000-0000-0000BF020000}"/>
    <cellStyle name="CABEÇALHO 16 13" xfId="5947" xr:uid="{00000000-0005-0000-0000-0000C0020000}"/>
    <cellStyle name="CABEÇALHO 16 2" xfId="951" xr:uid="{00000000-0005-0000-0000-0000C1020000}"/>
    <cellStyle name="CABEÇALHO 16 2 2" xfId="2093" xr:uid="{00000000-0005-0000-0000-0000C2020000}"/>
    <cellStyle name="CABEÇALHO 16 2 2 2" xfId="4973" xr:uid="{00000000-0005-0000-0000-0000C3020000}"/>
    <cellStyle name="CABEÇALHO 16 2 2 3" xfId="7654" xr:uid="{00000000-0005-0000-0000-0000C4020000}"/>
    <cellStyle name="CABEÇALHO 16 2 2 4" xfId="9346" xr:uid="{00000000-0005-0000-0000-0000C5020000}"/>
    <cellStyle name="CABEÇALHO 16 2 2 5" xfId="9682" xr:uid="{00000000-0005-0000-0000-0000C6020000}"/>
    <cellStyle name="CABEÇALHO 16 2 2 6" xfId="10186" xr:uid="{00000000-0005-0000-0000-0000C7020000}"/>
    <cellStyle name="CABEÇALHO 16 2 3" xfId="1381" xr:uid="{00000000-0005-0000-0000-0000C8020000}"/>
    <cellStyle name="CABEÇALHO 16 2 3 2" xfId="4261" xr:uid="{00000000-0005-0000-0000-0000C9020000}"/>
    <cellStyle name="CABEÇALHO 16 2 3 3" xfId="7441" xr:uid="{00000000-0005-0000-0000-0000CA020000}"/>
    <cellStyle name="CABEÇALHO 16 2 3 4" xfId="8877" xr:uid="{00000000-0005-0000-0000-0000CB020000}"/>
    <cellStyle name="CABEÇALHO 16 2 3 5" xfId="10087" xr:uid="{00000000-0005-0000-0000-0000CC020000}"/>
    <cellStyle name="CABEÇALHO 16 2 3 6" xfId="6060" xr:uid="{00000000-0005-0000-0000-0000CD020000}"/>
    <cellStyle name="CABEÇALHO 16 2 4" xfId="3831" xr:uid="{00000000-0005-0000-0000-0000CE020000}"/>
    <cellStyle name="CABEÇALHO 16 2 5" xfId="6960" xr:uid="{00000000-0005-0000-0000-0000CF020000}"/>
    <cellStyle name="CABEÇALHO 16 2 6" xfId="6286" xr:uid="{00000000-0005-0000-0000-0000D0020000}"/>
    <cellStyle name="CABEÇALHO 16 2 7" xfId="10249" xr:uid="{00000000-0005-0000-0000-0000D1020000}"/>
    <cellStyle name="CABEÇALHO 16 2 8" xfId="11228" xr:uid="{00000000-0005-0000-0000-0000D2020000}"/>
    <cellStyle name="CABEÇALHO 16 3" xfId="814" xr:uid="{00000000-0005-0000-0000-0000D3020000}"/>
    <cellStyle name="CABEÇALHO 16 3 2" xfId="1956" xr:uid="{00000000-0005-0000-0000-0000D4020000}"/>
    <cellStyle name="CABEÇALHO 16 3 2 2" xfId="4836" xr:uid="{00000000-0005-0000-0000-0000D5020000}"/>
    <cellStyle name="CABEÇALHO 16 3 2 3" xfId="6375" xr:uid="{00000000-0005-0000-0000-0000D6020000}"/>
    <cellStyle name="CABEÇALHO 16 3 2 4" xfId="8890" xr:uid="{00000000-0005-0000-0000-0000D7020000}"/>
    <cellStyle name="CABEÇALHO 16 3 2 5" xfId="10047" xr:uid="{00000000-0005-0000-0000-0000D8020000}"/>
    <cellStyle name="CABEÇALHO 16 3 2 6" xfId="11224" xr:uid="{00000000-0005-0000-0000-0000D9020000}"/>
    <cellStyle name="CABEÇALHO 16 3 3" xfId="1435" xr:uid="{00000000-0005-0000-0000-0000DA020000}"/>
    <cellStyle name="CABEÇALHO 16 3 3 2" xfId="4315" xr:uid="{00000000-0005-0000-0000-0000DB020000}"/>
    <cellStyle name="CABEÇALHO 16 3 3 3" xfId="7603" xr:uid="{00000000-0005-0000-0000-0000DC020000}"/>
    <cellStyle name="CABEÇALHO 16 3 3 4" xfId="9031" xr:uid="{00000000-0005-0000-0000-0000DD020000}"/>
    <cellStyle name="CABEÇALHO 16 3 3 5" xfId="10075" xr:uid="{00000000-0005-0000-0000-0000DE020000}"/>
    <cellStyle name="CABEÇALHO 16 3 3 6" xfId="8711" xr:uid="{00000000-0005-0000-0000-0000DF020000}"/>
    <cellStyle name="CABEÇALHO 16 3 4" xfId="3694" xr:uid="{00000000-0005-0000-0000-0000E0020000}"/>
    <cellStyle name="CABEÇALHO 16 3 5" xfId="6892" xr:uid="{00000000-0005-0000-0000-0000E1020000}"/>
    <cellStyle name="CABEÇALHO 16 3 6" xfId="6524" xr:uid="{00000000-0005-0000-0000-0000E2020000}"/>
    <cellStyle name="CABEÇALHO 16 3 7" xfId="6277" xr:uid="{00000000-0005-0000-0000-0000E3020000}"/>
    <cellStyle name="CABEÇALHO 16 3 8" xfId="11191" xr:uid="{00000000-0005-0000-0000-0000E4020000}"/>
    <cellStyle name="CABEÇALHO 16 4" xfId="708" xr:uid="{00000000-0005-0000-0000-0000E5020000}"/>
    <cellStyle name="CABEÇALHO 16 4 2" xfId="1850" xr:uid="{00000000-0005-0000-0000-0000E6020000}"/>
    <cellStyle name="CABEÇALHO 16 4 2 2" xfId="4730" xr:uid="{00000000-0005-0000-0000-0000E7020000}"/>
    <cellStyle name="CABEÇALHO 16 4 2 3" xfId="7986" xr:uid="{00000000-0005-0000-0000-0000E8020000}"/>
    <cellStyle name="CABEÇALHO 16 4 2 4" xfId="6376" xr:uid="{00000000-0005-0000-0000-0000E9020000}"/>
    <cellStyle name="CABEÇALHO 16 4 2 5" xfId="10774" xr:uid="{00000000-0005-0000-0000-0000EA020000}"/>
    <cellStyle name="CABEÇALHO 16 4 2 6" xfId="11104" xr:uid="{00000000-0005-0000-0000-0000EB020000}"/>
    <cellStyle name="CABEÇALHO 16 4 3" xfId="1462" xr:uid="{00000000-0005-0000-0000-0000EC020000}"/>
    <cellStyle name="CABEÇALHO 16 4 3 2" xfId="4342" xr:uid="{00000000-0005-0000-0000-0000ED020000}"/>
    <cellStyle name="CABEÇALHO 16 4 3 3" xfId="7630" xr:uid="{00000000-0005-0000-0000-0000EE020000}"/>
    <cellStyle name="CABEÇALHO 16 4 3 4" xfId="9056" xr:uid="{00000000-0005-0000-0000-0000EF020000}"/>
    <cellStyle name="CABEÇALHO 16 4 3 5" xfId="10363" xr:uid="{00000000-0005-0000-0000-0000F0020000}"/>
    <cellStyle name="CABEÇALHO 16 4 3 6" xfId="9011" xr:uid="{00000000-0005-0000-0000-0000F1020000}"/>
    <cellStyle name="CABEÇALHO 16 4 4" xfId="3588" xr:uid="{00000000-0005-0000-0000-0000F2020000}"/>
    <cellStyle name="CABEÇALHO 16 4 5" xfId="6041" xr:uid="{00000000-0005-0000-0000-0000F3020000}"/>
    <cellStyle name="CABEÇALHO 16 4 6" xfId="8999" xr:uid="{00000000-0005-0000-0000-0000F4020000}"/>
    <cellStyle name="CABEÇALHO 16 4 7" xfId="9926" xr:uid="{00000000-0005-0000-0000-0000F5020000}"/>
    <cellStyle name="CABEÇALHO 16 4 8" xfId="10035" xr:uid="{00000000-0005-0000-0000-0000F6020000}"/>
    <cellStyle name="CABEÇALHO 16 5" xfId="701" xr:uid="{00000000-0005-0000-0000-0000F7020000}"/>
    <cellStyle name="CABEÇALHO 16 5 2" xfId="1843" xr:uid="{00000000-0005-0000-0000-0000F8020000}"/>
    <cellStyle name="CABEÇALHO 16 5 2 2" xfId="4723" xr:uid="{00000000-0005-0000-0000-0000F9020000}"/>
    <cellStyle name="CABEÇALHO 16 5 2 3" xfId="6825" xr:uid="{00000000-0005-0000-0000-0000FA020000}"/>
    <cellStyle name="CABEÇALHO 16 5 2 4" xfId="5999" xr:uid="{00000000-0005-0000-0000-0000FB020000}"/>
    <cellStyle name="CABEÇALHO 16 5 2 5" xfId="8231" xr:uid="{00000000-0005-0000-0000-0000FC020000}"/>
    <cellStyle name="CABEÇALHO 16 5 2 6" xfId="8072" xr:uid="{00000000-0005-0000-0000-0000FD020000}"/>
    <cellStyle name="CABEÇALHO 16 5 3" xfId="1420" xr:uid="{00000000-0005-0000-0000-0000FE020000}"/>
    <cellStyle name="CABEÇALHO 16 5 3 2" xfId="4300" xr:uid="{00000000-0005-0000-0000-0000FF020000}"/>
    <cellStyle name="CABEÇALHO 16 5 3 3" xfId="8079" xr:uid="{00000000-0005-0000-0000-000000030000}"/>
    <cellStyle name="CABEÇALHO 16 5 3 4" xfId="9485" xr:uid="{00000000-0005-0000-0000-000001030000}"/>
    <cellStyle name="CABEÇALHO 16 5 3 5" xfId="10332" xr:uid="{00000000-0005-0000-0000-000002030000}"/>
    <cellStyle name="CABEÇALHO 16 5 3 6" xfId="11022" xr:uid="{00000000-0005-0000-0000-000003030000}"/>
    <cellStyle name="CABEÇALHO 16 5 4" xfId="3581" xr:uid="{00000000-0005-0000-0000-000004030000}"/>
    <cellStyle name="CABEÇALHO 16 5 5" xfId="5982" xr:uid="{00000000-0005-0000-0000-000005030000}"/>
    <cellStyle name="CABEÇALHO 16 5 6" xfId="8942" xr:uid="{00000000-0005-0000-0000-000006030000}"/>
    <cellStyle name="CABEÇALHO 16 5 7" xfId="9889" xr:uid="{00000000-0005-0000-0000-000007030000}"/>
    <cellStyle name="CABEÇALHO 16 5 8" xfId="11271" xr:uid="{00000000-0005-0000-0000-000008030000}"/>
    <cellStyle name="CABEÇALHO 16 6" xfId="735" xr:uid="{00000000-0005-0000-0000-000009030000}"/>
    <cellStyle name="CABEÇALHO 16 6 2" xfId="1877" xr:uid="{00000000-0005-0000-0000-00000A030000}"/>
    <cellStyle name="CABEÇALHO 16 6 2 2" xfId="4757" xr:uid="{00000000-0005-0000-0000-00000B030000}"/>
    <cellStyle name="CABEÇALHO 16 6 2 3" xfId="7238" xr:uid="{00000000-0005-0000-0000-00000C030000}"/>
    <cellStyle name="CABEÇALHO 16 6 2 4" xfId="9425" xr:uid="{00000000-0005-0000-0000-00000D030000}"/>
    <cellStyle name="CABEÇALHO 16 6 2 5" xfId="10596" xr:uid="{00000000-0005-0000-0000-00000E030000}"/>
    <cellStyle name="CABEÇALHO 16 6 2 6" xfId="11374" xr:uid="{00000000-0005-0000-0000-00000F030000}"/>
    <cellStyle name="CABEÇALHO 16 6 3" xfId="1393" xr:uid="{00000000-0005-0000-0000-000010030000}"/>
    <cellStyle name="CABEÇALHO 16 6 3 2" xfId="4273" xr:uid="{00000000-0005-0000-0000-000011030000}"/>
    <cellStyle name="CABEÇALHO 16 6 3 3" xfId="7689" xr:uid="{00000000-0005-0000-0000-000012030000}"/>
    <cellStyle name="CABEÇALHO 16 6 3 4" xfId="9110" xr:uid="{00000000-0005-0000-0000-000013030000}"/>
    <cellStyle name="CABEÇALHO 16 6 3 5" xfId="10026" xr:uid="{00000000-0005-0000-0000-000014030000}"/>
    <cellStyle name="CABEÇALHO 16 6 3 6" xfId="11385" xr:uid="{00000000-0005-0000-0000-000015030000}"/>
    <cellStyle name="CABEÇALHO 16 6 4" xfId="3615" xr:uid="{00000000-0005-0000-0000-000016030000}"/>
    <cellStyle name="CABEÇALHO 16 6 5" xfId="5980" xr:uid="{00000000-0005-0000-0000-000017030000}"/>
    <cellStyle name="CABEÇALHO 16 6 6" xfId="8940" xr:uid="{00000000-0005-0000-0000-000018030000}"/>
    <cellStyle name="CABEÇALHO 16 6 7" xfId="9887" xr:uid="{00000000-0005-0000-0000-000019030000}"/>
    <cellStyle name="CABEÇALHO 16 6 8" xfId="10560" xr:uid="{00000000-0005-0000-0000-00001A030000}"/>
    <cellStyle name="CABEÇALHO 16 7" xfId="1616" xr:uid="{00000000-0005-0000-0000-00001B030000}"/>
    <cellStyle name="CABEÇALHO 16 7 2" xfId="4496" xr:uid="{00000000-0005-0000-0000-00001C030000}"/>
    <cellStyle name="CABEÇALHO 16 7 3" xfId="6354" xr:uid="{00000000-0005-0000-0000-00001D030000}"/>
    <cellStyle name="CABEÇALHO 16 7 4" xfId="6753" xr:uid="{00000000-0005-0000-0000-00001E030000}"/>
    <cellStyle name="CABEÇALHO 16 7 5" xfId="8518" xr:uid="{00000000-0005-0000-0000-00001F030000}"/>
    <cellStyle name="CABEÇALHO 16 7 6" xfId="11560" xr:uid="{00000000-0005-0000-0000-000020030000}"/>
    <cellStyle name="CABEÇALHO 16 8" xfId="2845" xr:uid="{00000000-0005-0000-0000-000021030000}"/>
    <cellStyle name="CABEÇALHO 16 8 2" xfId="5725" xr:uid="{00000000-0005-0000-0000-000022030000}"/>
    <cellStyle name="CABEÇALHO 16 8 3" xfId="6721" xr:uid="{00000000-0005-0000-0000-000023030000}"/>
    <cellStyle name="CABEÇALHO 16 8 4" xfId="9380" xr:uid="{00000000-0005-0000-0000-000024030000}"/>
    <cellStyle name="CABEÇALHO 16 8 5" xfId="5900" xr:uid="{00000000-0005-0000-0000-000025030000}"/>
    <cellStyle name="CABEÇALHO 16 8 6" xfId="11612" xr:uid="{00000000-0005-0000-0000-000026030000}"/>
    <cellStyle name="CABEÇALHO 16 9" xfId="3355" xr:uid="{00000000-0005-0000-0000-000027030000}"/>
    <cellStyle name="CABEÇALHO 17" xfId="659" xr:uid="{00000000-0005-0000-0000-000028030000}"/>
    <cellStyle name="CABEÇALHO 17 10" xfId="2999" xr:uid="{00000000-0005-0000-0000-000029030000}"/>
    <cellStyle name="CABEÇALHO 17 11" xfId="7428" xr:uid="{00000000-0005-0000-0000-00002A030000}"/>
    <cellStyle name="CABEÇALHO 17 12" xfId="9458" xr:uid="{00000000-0005-0000-0000-00002B030000}"/>
    <cellStyle name="CABEÇALHO 17 13" xfId="8236" xr:uid="{00000000-0005-0000-0000-00002C030000}"/>
    <cellStyle name="CABEÇALHO 17 2" xfId="1135" xr:uid="{00000000-0005-0000-0000-00002D030000}"/>
    <cellStyle name="CABEÇALHO 17 2 2" xfId="2277" xr:uid="{00000000-0005-0000-0000-00002E030000}"/>
    <cellStyle name="CABEÇALHO 17 2 2 2" xfId="5157" xr:uid="{00000000-0005-0000-0000-00002F030000}"/>
    <cellStyle name="CABEÇALHO 17 2 2 3" xfId="6534" xr:uid="{00000000-0005-0000-0000-000030030000}"/>
    <cellStyle name="CABEÇALHO 17 2 2 4" xfId="9033" xr:uid="{00000000-0005-0000-0000-000031030000}"/>
    <cellStyle name="CABEÇALHO 17 2 2 5" xfId="10077" xr:uid="{00000000-0005-0000-0000-000032030000}"/>
    <cellStyle name="CABEÇALHO 17 2 2 6" xfId="9902" xr:uid="{00000000-0005-0000-0000-000033030000}"/>
    <cellStyle name="CABEÇALHO 17 2 3" xfId="2799" xr:uid="{00000000-0005-0000-0000-000034030000}"/>
    <cellStyle name="CABEÇALHO 17 2 3 2" xfId="5679" xr:uid="{00000000-0005-0000-0000-000035030000}"/>
    <cellStyle name="CABEÇALHO 17 2 3 3" xfId="7190" xr:uid="{00000000-0005-0000-0000-000036030000}"/>
    <cellStyle name="CABEÇALHO 17 2 3 4" xfId="6449" xr:uid="{00000000-0005-0000-0000-000037030000}"/>
    <cellStyle name="CABEÇALHO 17 2 3 5" xfId="8385" xr:uid="{00000000-0005-0000-0000-000038030000}"/>
    <cellStyle name="CABEÇALHO 17 2 3 6" xfId="11556" xr:uid="{00000000-0005-0000-0000-000039030000}"/>
    <cellStyle name="CABEÇALHO 17 2 4" xfId="4015" xr:uid="{00000000-0005-0000-0000-00003A030000}"/>
    <cellStyle name="CABEÇALHO 17 2 5" xfId="7719" xr:uid="{00000000-0005-0000-0000-00003B030000}"/>
    <cellStyle name="CABEÇALHO 17 2 6" xfId="5901" xr:uid="{00000000-0005-0000-0000-00003C030000}"/>
    <cellStyle name="CABEÇALHO 17 2 7" xfId="7681" xr:uid="{00000000-0005-0000-0000-00003D030000}"/>
    <cellStyle name="CABEÇALHO 17 2 8" xfId="11231" xr:uid="{00000000-0005-0000-0000-00003E030000}"/>
    <cellStyle name="CABEÇALHO 17 3" xfId="789" xr:uid="{00000000-0005-0000-0000-00003F030000}"/>
    <cellStyle name="CABEÇALHO 17 3 2" xfId="1931" xr:uid="{00000000-0005-0000-0000-000040030000}"/>
    <cellStyle name="CABEÇALHO 17 3 2 2" xfId="4811" xr:uid="{00000000-0005-0000-0000-000041030000}"/>
    <cellStyle name="CABEÇALHO 17 3 2 3" xfId="7239" xr:uid="{00000000-0005-0000-0000-000042030000}"/>
    <cellStyle name="CABEÇALHO 17 3 2 4" xfId="9290" xr:uid="{00000000-0005-0000-0000-000043030000}"/>
    <cellStyle name="CABEÇALHO 17 3 2 5" xfId="10814" xr:uid="{00000000-0005-0000-0000-000044030000}"/>
    <cellStyle name="CABEÇALHO 17 3 2 6" xfId="11235" xr:uid="{00000000-0005-0000-0000-000045030000}"/>
    <cellStyle name="CABEÇALHO 17 3 3" xfId="2579" xr:uid="{00000000-0005-0000-0000-000046030000}"/>
    <cellStyle name="CABEÇALHO 17 3 3 2" xfId="5459" xr:uid="{00000000-0005-0000-0000-000047030000}"/>
    <cellStyle name="CABEÇALHO 17 3 3 3" xfId="7691" xr:uid="{00000000-0005-0000-0000-000048030000}"/>
    <cellStyle name="CABEÇALHO 17 3 3 4" xfId="7542" xr:uid="{00000000-0005-0000-0000-000049030000}"/>
    <cellStyle name="CABEÇALHO 17 3 3 5" xfId="6103" xr:uid="{00000000-0005-0000-0000-00004A030000}"/>
    <cellStyle name="CABEÇALHO 17 3 3 6" xfId="11568" xr:uid="{00000000-0005-0000-0000-00004B030000}"/>
    <cellStyle name="CABEÇALHO 17 3 4" xfId="3669" xr:uid="{00000000-0005-0000-0000-00004C030000}"/>
    <cellStyle name="CABEÇALHO 17 3 5" xfId="6323" xr:uid="{00000000-0005-0000-0000-00004D030000}"/>
    <cellStyle name="CABEÇALHO 17 3 6" xfId="8425" xr:uid="{00000000-0005-0000-0000-00004E030000}"/>
    <cellStyle name="CABEÇALHO 17 3 7" xfId="6398" xr:uid="{00000000-0005-0000-0000-00004F030000}"/>
    <cellStyle name="CABEÇALHO 17 3 8" xfId="10431" xr:uid="{00000000-0005-0000-0000-000050030000}"/>
    <cellStyle name="CABEÇALHO 17 4" xfId="1275" xr:uid="{00000000-0005-0000-0000-000051030000}"/>
    <cellStyle name="CABEÇALHO 17 4 2" xfId="2417" xr:uid="{00000000-0005-0000-0000-000052030000}"/>
    <cellStyle name="CABEÇALHO 17 4 2 2" xfId="5297" xr:uid="{00000000-0005-0000-0000-000053030000}"/>
    <cellStyle name="CABEÇALHO 17 4 2 3" xfId="7266" xr:uid="{00000000-0005-0000-0000-000054030000}"/>
    <cellStyle name="CABEÇALHO 17 4 2 4" xfId="9476" xr:uid="{00000000-0005-0000-0000-000055030000}"/>
    <cellStyle name="CABEÇALHO 17 4 2 5" xfId="10571" xr:uid="{00000000-0005-0000-0000-000056030000}"/>
    <cellStyle name="CABEÇALHO 17 4 2 6" xfId="10918" xr:uid="{00000000-0005-0000-0000-000057030000}"/>
    <cellStyle name="CABEÇALHO 17 4 3" xfId="2699" xr:uid="{00000000-0005-0000-0000-000058030000}"/>
    <cellStyle name="CABEÇALHO 17 4 3 2" xfId="5579" xr:uid="{00000000-0005-0000-0000-000059030000}"/>
    <cellStyle name="CABEÇALHO 17 4 3 3" xfId="8190" xr:uid="{00000000-0005-0000-0000-00005A030000}"/>
    <cellStyle name="CABEÇALHO 17 4 3 4" xfId="9547" xr:uid="{00000000-0005-0000-0000-00005B030000}"/>
    <cellStyle name="CABEÇALHO 17 4 3 5" xfId="10323" xr:uid="{00000000-0005-0000-0000-00005C030000}"/>
    <cellStyle name="CABEÇALHO 17 4 3 6" xfId="7085" xr:uid="{00000000-0005-0000-0000-00005D030000}"/>
    <cellStyle name="CABEÇALHO 17 4 4" xfId="4155" xr:uid="{00000000-0005-0000-0000-00005E030000}"/>
    <cellStyle name="CABEÇALHO 17 4 5" xfId="3199" xr:uid="{00000000-0005-0000-0000-00005F030000}"/>
    <cellStyle name="CABEÇALHO 17 4 6" xfId="7626" xr:uid="{00000000-0005-0000-0000-000060030000}"/>
    <cellStyle name="CABEÇALHO 17 4 7" xfId="8967" xr:uid="{00000000-0005-0000-0000-000061030000}"/>
    <cellStyle name="CABEÇALHO 17 4 8" xfId="9833" xr:uid="{00000000-0005-0000-0000-000062030000}"/>
    <cellStyle name="CABEÇALHO 17 5" xfId="1308" xr:uid="{00000000-0005-0000-0000-000063030000}"/>
    <cellStyle name="CABEÇALHO 17 5 2" xfId="2450" xr:uid="{00000000-0005-0000-0000-000064030000}"/>
    <cellStyle name="CABEÇALHO 17 5 2 2" xfId="5330" xr:uid="{00000000-0005-0000-0000-000065030000}"/>
    <cellStyle name="CABEÇALHO 17 5 2 3" xfId="7198" xr:uid="{00000000-0005-0000-0000-000066030000}"/>
    <cellStyle name="CABEÇALHO 17 5 2 4" xfId="9301" xr:uid="{00000000-0005-0000-0000-000067030000}"/>
    <cellStyle name="CABEÇALHO 17 5 2 5" xfId="10523" xr:uid="{00000000-0005-0000-0000-000068030000}"/>
    <cellStyle name="CABEÇALHO 17 5 2 6" xfId="11100" xr:uid="{00000000-0005-0000-0000-000069030000}"/>
    <cellStyle name="CABEÇALHO 17 5 3" xfId="2577" xr:uid="{00000000-0005-0000-0000-00006A030000}"/>
    <cellStyle name="CABEÇALHO 17 5 3 2" xfId="5457" xr:uid="{00000000-0005-0000-0000-00006B030000}"/>
    <cellStyle name="CABEÇALHO 17 5 3 3" xfId="6560" xr:uid="{00000000-0005-0000-0000-00006C030000}"/>
    <cellStyle name="CABEÇALHO 17 5 3 4" xfId="8227" xr:uid="{00000000-0005-0000-0000-00006D030000}"/>
    <cellStyle name="CABEÇALHO 17 5 3 5" xfId="10655" xr:uid="{00000000-0005-0000-0000-00006E030000}"/>
    <cellStyle name="CABEÇALHO 17 5 3 6" xfId="11533" xr:uid="{00000000-0005-0000-0000-00006F030000}"/>
    <cellStyle name="CABEÇALHO 17 5 4" xfId="4188" xr:uid="{00000000-0005-0000-0000-000070030000}"/>
    <cellStyle name="CABEÇALHO 17 5 5" xfId="3205" xr:uid="{00000000-0005-0000-0000-000071030000}"/>
    <cellStyle name="CABEÇALHO 17 5 6" xfId="7702" xr:uid="{00000000-0005-0000-0000-000072030000}"/>
    <cellStyle name="CABEÇALHO 17 5 7" xfId="8362" xr:uid="{00000000-0005-0000-0000-000073030000}"/>
    <cellStyle name="CABEÇALHO 17 5 8" xfId="7423" xr:uid="{00000000-0005-0000-0000-000074030000}"/>
    <cellStyle name="CABEÇALHO 17 6" xfId="1340" xr:uid="{00000000-0005-0000-0000-000075030000}"/>
    <cellStyle name="CABEÇALHO 17 6 2" xfId="2482" xr:uid="{00000000-0005-0000-0000-000076030000}"/>
    <cellStyle name="CABEÇALHO 17 6 2 2" xfId="5362" xr:uid="{00000000-0005-0000-0000-000077030000}"/>
    <cellStyle name="CABEÇALHO 17 6 2 3" xfId="6862" xr:uid="{00000000-0005-0000-0000-000078030000}"/>
    <cellStyle name="CABEÇALHO 17 6 2 4" xfId="8483" xr:uid="{00000000-0005-0000-0000-000079030000}"/>
    <cellStyle name="CABEÇALHO 17 6 2 5" xfId="8439" xr:uid="{00000000-0005-0000-0000-00007A030000}"/>
    <cellStyle name="CABEÇALHO 17 6 2 6" xfId="10912" xr:uid="{00000000-0005-0000-0000-00007B030000}"/>
    <cellStyle name="CABEÇALHO 17 6 3" xfId="2877" xr:uid="{00000000-0005-0000-0000-00007C030000}"/>
    <cellStyle name="CABEÇALHO 17 6 3 2" xfId="5757" xr:uid="{00000000-0005-0000-0000-00007D030000}"/>
    <cellStyle name="CABEÇALHO 17 6 3 3" xfId="3158" xr:uid="{00000000-0005-0000-0000-00007E030000}"/>
    <cellStyle name="CABEÇALHO 17 6 3 4" xfId="3276" xr:uid="{00000000-0005-0000-0000-00007F030000}"/>
    <cellStyle name="CABEÇALHO 17 6 3 5" xfId="8676" xr:uid="{00000000-0005-0000-0000-000080030000}"/>
    <cellStyle name="CABEÇALHO 17 6 3 6" xfId="11678" xr:uid="{00000000-0005-0000-0000-000081030000}"/>
    <cellStyle name="CABEÇALHO 17 6 4" xfId="4220" xr:uid="{00000000-0005-0000-0000-000082030000}"/>
    <cellStyle name="CABEÇALHO 17 6 5" xfId="6129" xr:uid="{00000000-0005-0000-0000-000083030000}"/>
    <cellStyle name="CABEÇALHO 17 6 6" xfId="6980" xr:uid="{00000000-0005-0000-0000-000084030000}"/>
    <cellStyle name="CABEÇALHO 17 6 7" xfId="8920" xr:uid="{00000000-0005-0000-0000-000085030000}"/>
    <cellStyle name="CABEÇALHO 17 6 8" xfId="11443" xr:uid="{00000000-0005-0000-0000-000086030000}"/>
    <cellStyle name="CABEÇALHO 17 7" xfId="1800" xr:uid="{00000000-0005-0000-0000-000087030000}"/>
    <cellStyle name="CABEÇALHO 17 7 2" xfId="4680" xr:uid="{00000000-0005-0000-0000-000088030000}"/>
    <cellStyle name="CABEÇALHO 17 7 3" xfId="7037" xr:uid="{00000000-0005-0000-0000-000089030000}"/>
    <cellStyle name="CABEÇALHO 17 7 4" xfId="9411" xr:uid="{00000000-0005-0000-0000-00008A030000}"/>
    <cellStyle name="CABEÇALHO 17 7 5" xfId="10338" xr:uid="{00000000-0005-0000-0000-00008B030000}"/>
    <cellStyle name="CABEÇALHO 17 7 6" xfId="10056" xr:uid="{00000000-0005-0000-0000-00008C030000}"/>
    <cellStyle name="CABEÇALHO 17 8" xfId="2838" xr:uid="{00000000-0005-0000-0000-00008D030000}"/>
    <cellStyle name="CABEÇALHO 17 8 2" xfId="5718" xr:uid="{00000000-0005-0000-0000-00008E030000}"/>
    <cellStyle name="CABEÇALHO 17 8 3" xfId="7467" xr:uid="{00000000-0005-0000-0000-00008F030000}"/>
    <cellStyle name="CABEÇALHO 17 8 4" xfId="7277" xr:uid="{00000000-0005-0000-0000-000090030000}"/>
    <cellStyle name="CABEÇALHO 17 8 5" xfId="9552" xr:uid="{00000000-0005-0000-0000-000091030000}"/>
    <cellStyle name="CABEÇALHO 17 8 6" xfId="11340" xr:uid="{00000000-0005-0000-0000-000092030000}"/>
    <cellStyle name="CABEÇALHO 17 9" xfId="3539" xr:uid="{00000000-0005-0000-0000-000093030000}"/>
    <cellStyle name="CABEÇALHO 18" xfId="663" xr:uid="{00000000-0005-0000-0000-000094030000}"/>
    <cellStyle name="CABEÇALHO 18 10" xfId="6252" xr:uid="{00000000-0005-0000-0000-000095030000}"/>
    <cellStyle name="CABEÇALHO 18 11" xfId="8360" xr:uid="{00000000-0005-0000-0000-000096030000}"/>
    <cellStyle name="CABEÇALHO 18 12" xfId="6313" xr:uid="{00000000-0005-0000-0000-000097030000}"/>
    <cellStyle name="CABEÇALHO 18 13" xfId="7347" xr:uid="{00000000-0005-0000-0000-000098030000}"/>
    <cellStyle name="CABEÇALHO 18 2" xfId="1139" xr:uid="{00000000-0005-0000-0000-000099030000}"/>
    <cellStyle name="CABEÇALHO 18 2 2" xfId="2281" xr:uid="{00000000-0005-0000-0000-00009A030000}"/>
    <cellStyle name="CABEÇALHO 18 2 2 2" xfId="5161" xr:uid="{00000000-0005-0000-0000-00009B030000}"/>
    <cellStyle name="CABEÇALHO 18 2 2 3" xfId="8187" xr:uid="{00000000-0005-0000-0000-00009C030000}"/>
    <cellStyle name="CABEÇALHO 18 2 2 4" xfId="8616" xr:uid="{00000000-0005-0000-0000-00009D030000}"/>
    <cellStyle name="CABEÇALHO 18 2 2 5" xfId="9606" xr:uid="{00000000-0005-0000-0000-00009E030000}"/>
    <cellStyle name="CABEÇALHO 18 2 2 6" xfId="11254" xr:uid="{00000000-0005-0000-0000-00009F030000}"/>
    <cellStyle name="CABEÇALHO 18 2 3" xfId="2687" xr:uid="{00000000-0005-0000-0000-0000A0030000}"/>
    <cellStyle name="CABEÇALHO 18 2 3 2" xfId="5567" xr:uid="{00000000-0005-0000-0000-0000A1030000}"/>
    <cellStyle name="CABEÇALHO 18 2 3 3" xfId="7902" xr:uid="{00000000-0005-0000-0000-0000A2030000}"/>
    <cellStyle name="CABEÇALHO 18 2 3 4" xfId="9179" xr:uid="{00000000-0005-0000-0000-0000A3030000}"/>
    <cellStyle name="CABEÇALHO 18 2 3 5" xfId="10494" xr:uid="{00000000-0005-0000-0000-0000A4030000}"/>
    <cellStyle name="CABEÇALHO 18 2 3 6" xfId="11005" xr:uid="{00000000-0005-0000-0000-0000A5030000}"/>
    <cellStyle name="CABEÇALHO 18 2 4" xfId="4019" xr:uid="{00000000-0005-0000-0000-0000A6030000}"/>
    <cellStyle name="CABEÇALHO 18 2 5" xfId="2928" xr:uid="{00000000-0005-0000-0000-0000A7030000}"/>
    <cellStyle name="CABEÇALHO 18 2 6" xfId="5983" xr:uid="{00000000-0005-0000-0000-0000A8030000}"/>
    <cellStyle name="CABEÇALHO 18 2 7" xfId="7695" xr:uid="{00000000-0005-0000-0000-0000A9030000}"/>
    <cellStyle name="CABEÇALHO 18 2 8" xfId="11042" xr:uid="{00000000-0005-0000-0000-0000AA030000}"/>
    <cellStyle name="CABEÇALHO 18 3" xfId="1240" xr:uid="{00000000-0005-0000-0000-0000AB030000}"/>
    <cellStyle name="CABEÇALHO 18 3 2" xfId="2382" xr:uid="{00000000-0005-0000-0000-0000AC030000}"/>
    <cellStyle name="CABEÇALHO 18 3 2 2" xfId="5262" xr:uid="{00000000-0005-0000-0000-0000AD030000}"/>
    <cellStyle name="CABEÇALHO 18 3 2 3" xfId="6610" xr:uid="{00000000-0005-0000-0000-0000AE030000}"/>
    <cellStyle name="CABEÇALHO 18 3 2 4" xfId="9104" xr:uid="{00000000-0005-0000-0000-0000AF030000}"/>
    <cellStyle name="CABEÇALHO 18 3 2 5" xfId="10356" xr:uid="{00000000-0005-0000-0000-0000B0030000}"/>
    <cellStyle name="CABEÇALHO 18 3 2 6" xfId="9792" xr:uid="{00000000-0005-0000-0000-0000B1030000}"/>
    <cellStyle name="CABEÇALHO 18 3 3" xfId="1433" xr:uid="{00000000-0005-0000-0000-0000B2030000}"/>
    <cellStyle name="CABEÇALHO 18 3 3 2" xfId="4313" xr:uid="{00000000-0005-0000-0000-0000B3030000}"/>
    <cellStyle name="CABEÇALHO 18 3 3 3" xfId="6203" xr:uid="{00000000-0005-0000-0000-0000B4030000}"/>
    <cellStyle name="CABEÇALHO 18 3 3 4" xfId="8169" xr:uid="{00000000-0005-0000-0000-0000B5030000}"/>
    <cellStyle name="CABEÇALHO 18 3 3 5" xfId="6877" xr:uid="{00000000-0005-0000-0000-0000B6030000}"/>
    <cellStyle name="CABEÇALHO 18 3 3 6" xfId="11093" xr:uid="{00000000-0005-0000-0000-0000B7030000}"/>
    <cellStyle name="CABEÇALHO 18 3 4" xfId="4120" xr:uid="{00000000-0005-0000-0000-0000B8030000}"/>
    <cellStyle name="CABEÇALHO 18 3 5" xfId="3215" xr:uid="{00000000-0005-0000-0000-0000B9030000}"/>
    <cellStyle name="CABEÇALHO 18 3 6" xfId="7973" xr:uid="{00000000-0005-0000-0000-0000BA030000}"/>
    <cellStyle name="CABEÇALHO 18 3 7" xfId="8836" xr:uid="{00000000-0005-0000-0000-0000BB030000}"/>
    <cellStyle name="CABEÇALHO 18 3 8" xfId="8811" xr:uid="{00000000-0005-0000-0000-0000BC030000}"/>
    <cellStyle name="CABEÇALHO 18 4" xfId="1279" xr:uid="{00000000-0005-0000-0000-0000BD030000}"/>
    <cellStyle name="CABEÇALHO 18 4 2" xfId="2421" xr:uid="{00000000-0005-0000-0000-0000BE030000}"/>
    <cellStyle name="CABEÇALHO 18 4 2 2" xfId="5301" xr:uid="{00000000-0005-0000-0000-0000BF030000}"/>
    <cellStyle name="CABEÇALHO 18 4 2 3" xfId="6185" xr:uid="{00000000-0005-0000-0000-0000C0030000}"/>
    <cellStyle name="CABEÇALHO 18 4 2 4" xfId="8715" xr:uid="{00000000-0005-0000-0000-0000C1030000}"/>
    <cellStyle name="CABEÇALHO 18 4 2 5" xfId="10051" xr:uid="{00000000-0005-0000-0000-0000C2030000}"/>
    <cellStyle name="CABEÇALHO 18 4 2 6" xfId="7030" xr:uid="{00000000-0005-0000-0000-0000C3030000}"/>
    <cellStyle name="CABEÇALHO 18 4 3" xfId="1416" xr:uid="{00000000-0005-0000-0000-0000C4030000}"/>
    <cellStyle name="CABEÇALHO 18 4 3 2" xfId="4296" xr:uid="{00000000-0005-0000-0000-0000C5030000}"/>
    <cellStyle name="CABEÇALHO 18 4 3 3" xfId="6842" xr:uid="{00000000-0005-0000-0000-0000C6030000}"/>
    <cellStyle name="CABEÇALHO 18 4 3 4" xfId="8312" xr:uid="{00000000-0005-0000-0000-0000C7030000}"/>
    <cellStyle name="CABEÇALHO 18 4 3 5" xfId="10624" xr:uid="{00000000-0005-0000-0000-0000C8030000}"/>
    <cellStyle name="CABEÇALHO 18 4 3 6" xfId="11577" xr:uid="{00000000-0005-0000-0000-0000C9030000}"/>
    <cellStyle name="CABEÇALHO 18 4 4" xfId="4159" xr:uid="{00000000-0005-0000-0000-0000CA030000}"/>
    <cellStyle name="CABEÇALHO 18 4 5" xfId="3203" xr:uid="{00000000-0005-0000-0000-0000CB030000}"/>
    <cellStyle name="CABEÇALHO 18 4 6" xfId="7847" xr:uid="{00000000-0005-0000-0000-0000CC030000}"/>
    <cellStyle name="CABEÇALHO 18 4 7" xfId="8304" xr:uid="{00000000-0005-0000-0000-0000CD030000}"/>
    <cellStyle name="CABEÇALHO 18 4 8" xfId="11038" xr:uid="{00000000-0005-0000-0000-0000CE030000}"/>
    <cellStyle name="CABEÇALHO 18 5" xfId="1312" xr:uid="{00000000-0005-0000-0000-0000CF030000}"/>
    <cellStyle name="CABEÇALHO 18 5 2" xfId="2454" xr:uid="{00000000-0005-0000-0000-0000D0030000}"/>
    <cellStyle name="CABEÇALHO 18 5 2 2" xfId="5334" xr:uid="{00000000-0005-0000-0000-0000D1030000}"/>
    <cellStyle name="CABEÇALHO 18 5 2 3" xfId="6628" xr:uid="{00000000-0005-0000-0000-0000D2030000}"/>
    <cellStyle name="CABEÇALHO 18 5 2 4" xfId="9122" xr:uid="{00000000-0005-0000-0000-0000D3030000}"/>
    <cellStyle name="CABEÇALHO 18 5 2 5" xfId="9986" xr:uid="{00000000-0005-0000-0000-0000D4030000}"/>
    <cellStyle name="CABEÇALHO 18 5 2 6" xfId="9852" xr:uid="{00000000-0005-0000-0000-0000D5030000}"/>
    <cellStyle name="CABEÇALHO 18 5 3" xfId="2616" xr:uid="{00000000-0005-0000-0000-0000D6030000}"/>
    <cellStyle name="CABEÇALHO 18 5 3 2" xfId="5496" xr:uid="{00000000-0005-0000-0000-0000D7030000}"/>
    <cellStyle name="CABEÇALHO 18 5 3 3" xfId="6654" xr:uid="{00000000-0005-0000-0000-0000D8030000}"/>
    <cellStyle name="CABEÇALHO 18 5 3 4" xfId="9242" xr:uid="{00000000-0005-0000-0000-0000D9030000}"/>
    <cellStyle name="CABEÇALHO 18 5 3 5" xfId="10751" xr:uid="{00000000-0005-0000-0000-0000DA030000}"/>
    <cellStyle name="CABEÇALHO 18 5 3 6" xfId="10880" xr:uid="{00000000-0005-0000-0000-0000DB030000}"/>
    <cellStyle name="CABEÇALHO 18 5 4" xfId="4192" xr:uid="{00000000-0005-0000-0000-0000DC030000}"/>
    <cellStyle name="CABEÇALHO 18 5 5" xfId="6793" xr:uid="{00000000-0005-0000-0000-0000DD030000}"/>
    <cellStyle name="CABEÇALHO 18 5 6" xfId="8262" xr:uid="{00000000-0005-0000-0000-0000DE030000}"/>
    <cellStyle name="CABEÇALHO 18 5 7" xfId="6050" xr:uid="{00000000-0005-0000-0000-0000DF030000}"/>
    <cellStyle name="CABEÇALHO 18 5 8" xfId="11317" xr:uid="{00000000-0005-0000-0000-0000E0030000}"/>
    <cellStyle name="CABEÇALHO 18 6" xfId="1344" xr:uid="{00000000-0005-0000-0000-0000E1030000}"/>
    <cellStyle name="CABEÇALHO 18 6 2" xfId="2486" xr:uid="{00000000-0005-0000-0000-0000E2030000}"/>
    <cellStyle name="CABEÇALHO 18 6 2 2" xfId="5366" xr:uid="{00000000-0005-0000-0000-0000E3030000}"/>
    <cellStyle name="CABEÇALHO 18 6 2 3" xfId="7205" xr:uid="{00000000-0005-0000-0000-0000E4030000}"/>
    <cellStyle name="CABEÇALHO 18 6 2 4" xfId="8264" xr:uid="{00000000-0005-0000-0000-0000E5030000}"/>
    <cellStyle name="CABEÇALHO 18 6 2 5" xfId="9720" xr:uid="{00000000-0005-0000-0000-0000E6030000}"/>
    <cellStyle name="CABEÇALHO 18 6 2 6" xfId="10287" xr:uid="{00000000-0005-0000-0000-0000E7030000}"/>
    <cellStyle name="CABEÇALHO 18 6 3" xfId="2881" xr:uid="{00000000-0005-0000-0000-0000E8030000}"/>
    <cellStyle name="CABEÇALHO 18 6 3 2" xfId="5761" xr:uid="{00000000-0005-0000-0000-0000E9030000}"/>
    <cellStyle name="CABEÇALHO 18 6 3 3" xfId="3162" xr:uid="{00000000-0005-0000-0000-0000EA030000}"/>
    <cellStyle name="CABEÇALHO 18 6 3 4" xfId="6556" xr:uid="{00000000-0005-0000-0000-0000EB030000}"/>
    <cellStyle name="CABEÇALHO 18 6 3 5" xfId="8266" xr:uid="{00000000-0005-0000-0000-0000EC030000}"/>
    <cellStyle name="CABEÇALHO 18 6 3 6" xfId="11682" xr:uid="{00000000-0005-0000-0000-0000ED030000}"/>
    <cellStyle name="CABEÇALHO 18 6 4" xfId="4224" xr:uid="{00000000-0005-0000-0000-0000EE030000}"/>
    <cellStyle name="CABEÇALHO 18 6 5" xfId="8052" xr:uid="{00000000-0005-0000-0000-0000EF030000}"/>
    <cellStyle name="CABEÇALHO 18 6 6" xfId="9459" xr:uid="{00000000-0005-0000-0000-0000F0030000}"/>
    <cellStyle name="CABEÇALHO 18 6 7" xfId="9642" xr:uid="{00000000-0005-0000-0000-0000F1030000}"/>
    <cellStyle name="CABEÇALHO 18 6 8" xfId="9944" xr:uid="{00000000-0005-0000-0000-0000F2030000}"/>
    <cellStyle name="CABEÇALHO 18 7" xfId="1804" xr:uid="{00000000-0005-0000-0000-0000F3030000}"/>
    <cellStyle name="CABEÇALHO 18 7 2" xfId="4684" xr:uid="{00000000-0005-0000-0000-0000F4030000}"/>
    <cellStyle name="CABEÇALHO 18 7 3" xfId="8174" xr:uid="{00000000-0005-0000-0000-0000F5030000}"/>
    <cellStyle name="CABEÇALHO 18 7 4" xfId="5957" xr:uid="{00000000-0005-0000-0000-0000F6030000}"/>
    <cellStyle name="CABEÇALHO 18 7 5" xfId="9859" xr:uid="{00000000-0005-0000-0000-0000F7030000}"/>
    <cellStyle name="CABEÇALHO 18 7 6" xfId="11280" xr:uid="{00000000-0005-0000-0000-0000F8030000}"/>
    <cellStyle name="CABEÇALHO 18 8" xfId="2834" xr:uid="{00000000-0005-0000-0000-0000F9030000}"/>
    <cellStyle name="CABEÇALHO 18 8 2" xfId="5714" xr:uid="{00000000-0005-0000-0000-0000FA030000}"/>
    <cellStyle name="CABEÇALHO 18 8 3" xfId="7905" xr:uid="{00000000-0005-0000-0000-0000FB030000}"/>
    <cellStyle name="CABEÇALHO 18 8 4" xfId="8741" xr:uid="{00000000-0005-0000-0000-0000FC030000}"/>
    <cellStyle name="CABEÇALHO 18 8 5" xfId="10373" xr:uid="{00000000-0005-0000-0000-0000FD030000}"/>
    <cellStyle name="CABEÇALHO 18 8 6" xfId="6479" xr:uid="{00000000-0005-0000-0000-0000FE030000}"/>
    <cellStyle name="CABEÇALHO 18 9" xfId="3543" xr:uid="{00000000-0005-0000-0000-0000FF030000}"/>
    <cellStyle name="CABEÇALHO 19" xfId="645" xr:uid="{00000000-0005-0000-0000-000000040000}"/>
    <cellStyle name="CABEÇALHO 19 10" xfId="6271" xr:uid="{00000000-0005-0000-0000-000001040000}"/>
    <cellStyle name="CABEÇALHO 19 11" xfId="8381" xr:uid="{00000000-0005-0000-0000-000002040000}"/>
    <cellStyle name="CABEÇALHO 19 12" xfId="8512" xr:uid="{00000000-0005-0000-0000-000003040000}"/>
    <cellStyle name="CABEÇALHO 19 13" xfId="7105" xr:uid="{00000000-0005-0000-0000-000004040000}"/>
    <cellStyle name="CABEÇALHO 19 2" xfId="1121" xr:uid="{00000000-0005-0000-0000-000005040000}"/>
    <cellStyle name="CABEÇALHO 19 2 2" xfId="2263" xr:uid="{00000000-0005-0000-0000-000006040000}"/>
    <cellStyle name="CABEÇALHO 19 2 2 2" xfId="5143" xr:uid="{00000000-0005-0000-0000-000007040000}"/>
    <cellStyle name="CABEÇALHO 19 2 2 3" xfId="8185" xr:uid="{00000000-0005-0000-0000-000008040000}"/>
    <cellStyle name="CABEÇALHO 19 2 2 4" xfId="8614" xr:uid="{00000000-0005-0000-0000-000009040000}"/>
    <cellStyle name="CABEÇALHO 19 2 2 5" xfId="9471" xr:uid="{00000000-0005-0000-0000-00000A040000}"/>
    <cellStyle name="CABEÇALHO 19 2 2 6" xfId="9815" xr:uid="{00000000-0005-0000-0000-00000B040000}"/>
    <cellStyle name="CABEÇALHO 19 2 3" xfId="2536" xr:uid="{00000000-0005-0000-0000-00000C040000}"/>
    <cellStyle name="CABEÇALHO 19 2 3 2" xfId="5416" xr:uid="{00000000-0005-0000-0000-00000D040000}"/>
    <cellStyle name="CABEÇALHO 19 2 3 3" xfId="7945" xr:uid="{00000000-0005-0000-0000-00000E040000}"/>
    <cellStyle name="CABEÇALHO 19 2 3 4" xfId="9531" xr:uid="{00000000-0005-0000-0000-00000F040000}"/>
    <cellStyle name="CABEÇALHO 19 2 3 5" xfId="10212" xr:uid="{00000000-0005-0000-0000-000010040000}"/>
    <cellStyle name="CABEÇALHO 19 2 3 6" xfId="11272" xr:uid="{00000000-0005-0000-0000-000011040000}"/>
    <cellStyle name="CABEÇALHO 19 2 4" xfId="4001" xr:uid="{00000000-0005-0000-0000-000012040000}"/>
    <cellStyle name="CABEÇALHO 19 2 5" xfId="5967" xr:uid="{00000000-0005-0000-0000-000013040000}"/>
    <cellStyle name="CABEÇALHO 19 2 6" xfId="8928" xr:uid="{00000000-0005-0000-0000-000014040000}"/>
    <cellStyle name="CABEÇALHO 19 2 7" xfId="9875" xr:uid="{00000000-0005-0000-0000-000015040000}"/>
    <cellStyle name="CABEÇALHO 19 2 8" xfId="11442" xr:uid="{00000000-0005-0000-0000-000016040000}"/>
    <cellStyle name="CABEÇALHO 19 3" xfId="775" xr:uid="{00000000-0005-0000-0000-000017040000}"/>
    <cellStyle name="CABEÇALHO 19 3 2" xfId="1917" xr:uid="{00000000-0005-0000-0000-000018040000}"/>
    <cellStyle name="CABEÇALHO 19 3 2 2" xfId="4797" xr:uid="{00000000-0005-0000-0000-000019040000}"/>
    <cellStyle name="CABEÇALHO 19 3 2 3" xfId="6163" xr:uid="{00000000-0005-0000-0000-00001A040000}"/>
    <cellStyle name="CABEÇALHO 19 3 2 4" xfId="8695" xr:uid="{00000000-0005-0000-0000-00001B040000}"/>
    <cellStyle name="CABEÇALHO 19 3 2 5" xfId="10384" xr:uid="{00000000-0005-0000-0000-00001C040000}"/>
    <cellStyle name="CABEÇALHO 19 3 2 6" xfId="9716" xr:uid="{00000000-0005-0000-0000-00001D040000}"/>
    <cellStyle name="CABEÇALHO 19 3 3" xfId="2720" xr:uid="{00000000-0005-0000-0000-00001E040000}"/>
    <cellStyle name="CABEÇALHO 19 3 3 2" xfId="5600" xr:uid="{00000000-0005-0000-0000-00001F040000}"/>
    <cellStyle name="CABEÇALHO 19 3 3 3" xfId="7898" xr:uid="{00000000-0005-0000-0000-000020040000}"/>
    <cellStyle name="CABEÇALHO 19 3 3 4" xfId="9221" xr:uid="{00000000-0005-0000-0000-000021040000}"/>
    <cellStyle name="CABEÇALHO 19 3 3 5" xfId="10801" xr:uid="{00000000-0005-0000-0000-000022040000}"/>
    <cellStyle name="CABEÇALHO 19 3 3 6" xfId="9079" xr:uid="{00000000-0005-0000-0000-000023040000}"/>
    <cellStyle name="CABEÇALHO 19 3 4" xfId="3655" xr:uid="{00000000-0005-0000-0000-000024040000}"/>
    <cellStyle name="CABEÇALHO 19 3 5" xfId="6489" xr:uid="{00000000-0005-0000-0000-000025040000}"/>
    <cellStyle name="CABEÇALHO 19 3 6" xfId="8573" xr:uid="{00000000-0005-0000-0000-000026040000}"/>
    <cellStyle name="CABEÇALHO 19 3 7" xfId="8206" xr:uid="{00000000-0005-0000-0000-000027040000}"/>
    <cellStyle name="CABEÇALHO 19 3 8" xfId="11083" xr:uid="{00000000-0005-0000-0000-000028040000}"/>
    <cellStyle name="CABEÇALHO 19 4" xfId="1261" xr:uid="{00000000-0005-0000-0000-000029040000}"/>
    <cellStyle name="CABEÇALHO 19 4 2" xfId="2403" xr:uid="{00000000-0005-0000-0000-00002A040000}"/>
    <cellStyle name="CABEÇALHO 19 4 2 2" xfId="5283" xr:uid="{00000000-0005-0000-0000-00002B040000}"/>
    <cellStyle name="CABEÇALHO 19 4 2 3" xfId="6194" xr:uid="{00000000-0005-0000-0000-00002C040000}"/>
    <cellStyle name="CABEÇALHO 19 4 2 4" xfId="8724" xr:uid="{00000000-0005-0000-0000-00002D040000}"/>
    <cellStyle name="CABEÇALHO 19 4 2 5" xfId="10439" xr:uid="{00000000-0005-0000-0000-00002E040000}"/>
    <cellStyle name="CABEÇALHO 19 4 2 6" xfId="6065" xr:uid="{00000000-0005-0000-0000-00002F040000}"/>
    <cellStyle name="CABEÇALHO 19 4 3" xfId="2581" xr:uid="{00000000-0005-0000-0000-000030040000}"/>
    <cellStyle name="CABEÇALHO 19 4 3 2" xfId="5461" xr:uid="{00000000-0005-0000-0000-000031040000}"/>
    <cellStyle name="CABEÇALHO 19 4 3 3" xfId="8025" xr:uid="{00000000-0005-0000-0000-000032040000}"/>
    <cellStyle name="CABEÇALHO 19 4 3 4" xfId="9112" xr:uid="{00000000-0005-0000-0000-000033040000}"/>
    <cellStyle name="CABEÇALHO 19 4 3 5" xfId="10358" xr:uid="{00000000-0005-0000-0000-000034040000}"/>
    <cellStyle name="CABEÇALHO 19 4 3 6" xfId="9912" xr:uid="{00000000-0005-0000-0000-000035040000}"/>
    <cellStyle name="CABEÇALHO 19 4 4" xfId="4141" xr:uid="{00000000-0005-0000-0000-000036040000}"/>
    <cellStyle name="CABEÇALHO 19 4 5" xfId="3043" xr:uid="{00000000-0005-0000-0000-000037040000}"/>
    <cellStyle name="CABEÇALHO 19 4 6" xfId="7104" xr:uid="{00000000-0005-0000-0000-000038040000}"/>
    <cellStyle name="CABEÇALHO 19 4 7" xfId="9185" xr:uid="{00000000-0005-0000-0000-000039040000}"/>
    <cellStyle name="CABEÇALHO 19 4 8" xfId="9130" xr:uid="{00000000-0005-0000-0000-00003A040000}"/>
    <cellStyle name="CABEÇALHO 19 5" xfId="1294" xr:uid="{00000000-0005-0000-0000-00003B040000}"/>
    <cellStyle name="CABEÇALHO 19 5 2" xfId="2436" xr:uid="{00000000-0005-0000-0000-00003C040000}"/>
    <cellStyle name="CABEÇALHO 19 5 2 2" xfId="5316" xr:uid="{00000000-0005-0000-0000-00003D040000}"/>
    <cellStyle name="CABEÇALHO 19 5 2 3" xfId="6653" xr:uid="{00000000-0005-0000-0000-00003E040000}"/>
    <cellStyle name="CABEÇALHO 19 5 2 4" xfId="9142" xr:uid="{00000000-0005-0000-0000-00003F040000}"/>
    <cellStyle name="CABEÇALHO 19 5 2 5" xfId="10461" xr:uid="{00000000-0005-0000-0000-000040040000}"/>
    <cellStyle name="CABEÇALHO 19 5 2 6" xfId="10293" xr:uid="{00000000-0005-0000-0000-000041040000}"/>
    <cellStyle name="CABEÇALHO 19 5 3" xfId="2553" xr:uid="{00000000-0005-0000-0000-000042040000}"/>
    <cellStyle name="CABEÇALHO 19 5 3 2" xfId="5433" xr:uid="{00000000-0005-0000-0000-000043040000}"/>
    <cellStyle name="CABEÇALHO 19 5 3 3" xfId="7157" xr:uid="{00000000-0005-0000-0000-000044040000}"/>
    <cellStyle name="CABEÇALHO 19 5 3 4" xfId="6824" xr:uid="{00000000-0005-0000-0000-000045040000}"/>
    <cellStyle name="CABEÇALHO 19 5 3 5" xfId="10718" xr:uid="{00000000-0005-0000-0000-000046040000}"/>
    <cellStyle name="CABEÇALHO 19 5 3 6" xfId="5841" xr:uid="{00000000-0005-0000-0000-000047040000}"/>
    <cellStyle name="CABEÇALHO 19 5 4" xfId="4174" xr:uid="{00000000-0005-0000-0000-000048040000}"/>
    <cellStyle name="CABEÇALHO 19 5 5" xfId="3041" xr:uid="{00000000-0005-0000-0000-000049040000}"/>
    <cellStyle name="CABEÇALHO 19 5 6" xfId="8124" xr:uid="{00000000-0005-0000-0000-00004A040000}"/>
    <cellStyle name="CABEÇALHO 19 5 7" xfId="8632" xr:uid="{00000000-0005-0000-0000-00004B040000}"/>
    <cellStyle name="CABEÇALHO 19 5 8" xfId="11260" xr:uid="{00000000-0005-0000-0000-00004C040000}"/>
    <cellStyle name="CABEÇALHO 19 6" xfId="1326" xr:uid="{00000000-0005-0000-0000-00004D040000}"/>
    <cellStyle name="CABEÇALHO 19 6 2" xfId="2468" xr:uid="{00000000-0005-0000-0000-00004E040000}"/>
    <cellStyle name="CABEÇALHO 19 6 2 2" xfId="5348" xr:uid="{00000000-0005-0000-0000-00004F040000}"/>
    <cellStyle name="CABEÇALHO 19 6 2 3" xfId="7698" xr:uid="{00000000-0005-0000-0000-000050040000}"/>
    <cellStyle name="CABEÇALHO 19 6 2 4" xfId="9577" xr:uid="{00000000-0005-0000-0000-000051040000}"/>
    <cellStyle name="CABEÇALHO 19 6 2 5" xfId="9638" xr:uid="{00000000-0005-0000-0000-000052040000}"/>
    <cellStyle name="CABEÇALHO 19 6 2 6" xfId="10916" xr:uid="{00000000-0005-0000-0000-000053040000}"/>
    <cellStyle name="CABEÇALHO 19 6 3" xfId="2599" xr:uid="{00000000-0005-0000-0000-000054040000}"/>
    <cellStyle name="CABEÇALHO 19 6 3 2" xfId="5479" xr:uid="{00000000-0005-0000-0000-000055040000}"/>
    <cellStyle name="CABEÇALHO 19 6 3 3" xfId="6861" xr:uid="{00000000-0005-0000-0000-000056040000}"/>
    <cellStyle name="CABEÇALHO 19 6 3 4" xfId="9090" xr:uid="{00000000-0005-0000-0000-000057040000}"/>
    <cellStyle name="CABEÇALHO 19 6 3 5" xfId="10015" xr:uid="{00000000-0005-0000-0000-000058040000}"/>
    <cellStyle name="CABEÇALHO 19 6 3 6" xfId="10003" xr:uid="{00000000-0005-0000-0000-000059040000}"/>
    <cellStyle name="CABEÇALHO 19 6 4" xfId="4206" xr:uid="{00000000-0005-0000-0000-00005A040000}"/>
    <cellStyle name="CABEÇALHO 19 6 5" xfId="6789" xr:uid="{00000000-0005-0000-0000-00005B040000}"/>
    <cellStyle name="CABEÇALHO 19 6 6" xfId="8258" xr:uid="{00000000-0005-0000-0000-00005C040000}"/>
    <cellStyle name="CABEÇALHO 19 6 7" xfId="8945" xr:uid="{00000000-0005-0000-0000-00005D040000}"/>
    <cellStyle name="CABEÇALHO 19 6 8" xfId="11153" xr:uid="{00000000-0005-0000-0000-00005E040000}"/>
    <cellStyle name="CABEÇALHO 19 7" xfId="1786" xr:uid="{00000000-0005-0000-0000-00005F040000}"/>
    <cellStyle name="CABEÇALHO 19 7 2" xfId="4666" xr:uid="{00000000-0005-0000-0000-000060040000}"/>
    <cellStyle name="CABEÇALHO 19 7 3" xfId="6796" xr:uid="{00000000-0005-0000-0000-000061040000}"/>
    <cellStyle name="CABEÇALHO 19 7 4" xfId="8214" xr:uid="{00000000-0005-0000-0000-000062040000}"/>
    <cellStyle name="CABEÇALHO 19 7 5" xfId="9962" xr:uid="{00000000-0005-0000-0000-000063040000}"/>
    <cellStyle name="CABEÇALHO 19 7 6" xfId="8055" xr:uid="{00000000-0005-0000-0000-000064040000}"/>
    <cellStyle name="CABEÇALHO 19 8" xfId="1374" xr:uid="{00000000-0005-0000-0000-000065040000}"/>
    <cellStyle name="CABEÇALHO 19 8 2" xfId="4254" xr:uid="{00000000-0005-0000-0000-000066040000}"/>
    <cellStyle name="CABEÇALHO 19 8 3" xfId="6757" xr:uid="{00000000-0005-0000-0000-000067040000}"/>
    <cellStyle name="CABEÇALHO 19 8 4" xfId="8228" xr:uid="{00000000-0005-0000-0000-000068040000}"/>
    <cellStyle name="CABEÇALHO 19 8 5" xfId="10670" xr:uid="{00000000-0005-0000-0000-000069040000}"/>
    <cellStyle name="CABEÇALHO 19 8 6" xfId="10189" xr:uid="{00000000-0005-0000-0000-00006A040000}"/>
    <cellStyle name="CABEÇALHO 19 9" xfId="3525" xr:uid="{00000000-0005-0000-0000-00006B040000}"/>
    <cellStyle name="Cabeçalho 2" xfId="95" xr:uid="{00000000-0005-0000-0000-00006C040000}"/>
    <cellStyle name="CABEÇALHO 20" xfId="665" xr:uid="{00000000-0005-0000-0000-00006D040000}"/>
    <cellStyle name="CABEÇALHO 20 10" xfId="7493" xr:uid="{00000000-0005-0000-0000-00006E040000}"/>
    <cellStyle name="CABEÇALHO 20 11" xfId="7817" xr:uid="{00000000-0005-0000-0000-00006F040000}"/>
    <cellStyle name="CABEÇALHO 20 12" xfId="10114" xr:uid="{00000000-0005-0000-0000-000070040000}"/>
    <cellStyle name="CABEÇALHO 20 13" xfId="9907" xr:uid="{00000000-0005-0000-0000-000071040000}"/>
    <cellStyle name="CABEÇALHO 20 2" xfId="1141" xr:uid="{00000000-0005-0000-0000-000072040000}"/>
    <cellStyle name="CABEÇALHO 20 2 2" xfId="2283" xr:uid="{00000000-0005-0000-0000-000073040000}"/>
    <cellStyle name="CABEÇALHO 20 2 2 2" xfId="5163" xr:uid="{00000000-0005-0000-0000-000074040000}"/>
    <cellStyle name="CABEÇALHO 20 2 2 3" xfId="6738" xr:uid="{00000000-0005-0000-0000-000075040000}"/>
    <cellStyle name="CABEÇALHO 20 2 2 4" xfId="9222" xr:uid="{00000000-0005-0000-0000-000076040000}"/>
    <cellStyle name="CABEÇALHO 20 2 2 5" xfId="10757" xr:uid="{00000000-0005-0000-0000-000077040000}"/>
    <cellStyle name="CABEÇALHO 20 2 2 6" xfId="9997" xr:uid="{00000000-0005-0000-0000-000078040000}"/>
    <cellStyle name="CABEÇALHO 20 2 3" xfId="2671" xr:uid="{00000000-0005-0000-0000-000079040000}"/>
    <cellStyle name="CABEÇALHO 20 2 3 2" xfId="5551" xr:uid="{00000000-0005-0000-0000-00007A040000}"/>
    <cellStyle name="CABEÇALHO 20 2 3 3" xfId="8135" xr:uid="{00000000-0005-0000-0000-00007B040000}"/>
    <cellStyle name="CABEÇALHO 20 2 3 4" xfId="9167" xr:uid="{00000000-0005-0000-0000-00007C040000}"/>
    <cellStyle name="CABEÇALHO 20 2 3 5" xfId="10484" xr:uid="{00000000-0005-0000-0000-00007D040000}"/>
    <cellStyle name="CABEÇALHO 20 2 3 6" xfId="10864" xr:uid="{00000000-0005-0000-0000-00007E040000}"/>
    <cellStyle name="CABEÇALHO 20 2 4" xfId="4021" xr:uid="{00000000-0005-0000-0000-00007F040000}"/>
    <cellStyle name="CABEÇALHO 20 2 5" xfId="2954" xr:uid="{00000000-0005-0000-0000-000080040000}"/>
    <cellStyle name="CABEÇALHO 20 2 6" xfId="6884" xr:uid="{00000000-0005-0000-0000-000081040000}"/>
    <cellStyle name="CABEÇALHO 20 2 7" xfId="9396" xr:uid="{00000000-0005-0000-0000-000082040000}"/>
    <cellStyle name="CABEÇALHO 20 2 8" xfId="8115" xr:uid="{00000000-0005-0000-0000-000083040000}"/>
    <cellStyle name="CABEÇALHO 20 3" xfId="1242" xr:uid="{00000000-0005-0000-0000-000084040000}"/>
    <cellStyle name="CABEÇALHO 20 3 2" xfId="2384" xr:uid="{00000000-0005-0000-0000-000085040000}"/>
    <cellStyle name="CABEÇALHO 20 3 2 2" xfId="5264" xr:uid="{00000000-0005-0000-0000-000086040000}"/>
    <cellStyle name="CABEÇALHO 20 3 2 3" xfId="7249" xr:uid="{00000000-0005-0000-0000-000087040000}"/>
    <cellStyle name="CABEÇALHO 20 3 2 4" xfId="9544" xr:uid="{00000000-0005-0000-0000-000088040000}"/>
    <cellStyle name="CABEÇALHO 20 3 2 5" xfId="9646" xr:uid="{00000000-0005-0000-0000-000089040000}"/>
    <cellStyle name="CABEÇALHO 20 3 2 6" xfId="11654" xr:uid="{00000000-0005-0000-0000-00008A040000}"/>
    <cellStyle name="CABEÇALHO 20 3 3" xfId="2822" xr:uid="{00000000-0005-0000-0000-00008B040000}"/>
    <cellStyle name="CABEÇALHO 20 3 3 2" xfId="5702" xr:uid="{00000000-0005-0000-0000-00008C040000}"/>
    <cellStyle name="CABEÇALHO 20 3 3 3" xfId="5921" xr:uid="{00000000-0005-0000-0000-00008D040000}"/>
    <cellStyle name="CABEÇALHO 20 3 3 4" xfId="8889" xr:uid="{00000000-0005-0000-0000-00008E040000}"/>
    <cellStyle name="CABEÇALHO 20 3 3 5" xfId="10046" xr:uid="{00000000-0005-0000-0000-00008F040000}"/>
    <cellStyle name="CABEÇALHO 20 3 3 6" xfId="10709" xr:uid="{00000000-0005-0000-0000-000090040000}"/>
    <cellStyle name="CABEÇALHO 20 3 4" xfId="4122" xr:uid="{00000000-0005-0000-0000-000091040000}"/>
    <cellStyle name="CABEÇALHO 20 3 5" xfId="3098" xr:uid="{00000000-0005-0000-0000-000092040000}"/>
    <cellStyle name="CABEÇALHO 20 3 6" xfId="7585" xr:uid="{00000000-0005-0000-0000-000093040000}"/>
    <cellStyle name="CABEÇALHO 20 3 7" xfId="6473" xr:uid="{00000000-0005-0000-0000-000094040000}"/>
    <cellStyle name="CABEÇALHO 20 3 8" xfId="10118" xr:uid="{00000000-0005-0000-0000-000095040000}"/>
    <cellStyle name="CABEÇALHO 20 4" xfId="1281" xr:uid="{00000000-0005-0000-0000-000096040000}"/>
    <cellStyle name="CABEÇALHO 20 4 2" xfId="2423" xr:uid="{00000000-0005-0000-0000-000097040000}"/>
    <cellStyle name="CABEÇALHO 20 4 2 2" xfId="5303" xr:uid="{00000000-0005-0000-0000-000098040000}"/>
    <cellStyle name="CABEÇALHO 20 4 2 3" xfId="7464" xr:uid="{00000000-0005-0000-0000-000099040000}"/>
    <cellStyle name="CABEÇALHO 20 4 2 4" xfId="9370" xr:uid="{00000000-0005-0000-0000-00009A040000}"/>
    <cellStyle name="CABEÇALHO 20 4 2 5" xfId="10805" xr:uid="{00000000-0005-0000-0000-00009B040000}"/>
    <cellStyle name="CABEÇALHO 20 4 2 6" xfId="11437" xr:uid="{00000000-0005-0000-0000-00009C040000}"/>
    <cellStyle name="CABEÇALHO 20 4 3" xfId="2561" xr:uid="{00000000-0005-0000-0000-00009D040000}"/>
    <cellStyle name="CABEÇALHO 20 4 3 2" xfId="5441" xr:uid="{00000000-0005-0000-0000-00009E040000}"/>
    <cellStyle name="CABEÇALHO 20 4 3 3" xfId="7732" xr:uid="{00000000-0005-0000-0000-00009F040000}"/>
    <cellStyle name="CABEÇALHO 20 4 3 4" xfId="6303" xr:uid="{00000000-0005-0000-0000-0000A0040000}"/>
    <cellStyle name="CABEÇALHO 20 4 3 5" xfId="8547" xr:uid="{00000000-0005-0000-0000-0000A1040000}"/>
    <cellStyle name="CABEÇALHO 20 4 3 6" xfId="11333" xr:uid="{00000000-0005-0000-0000-0000A2040000}"/>
    <cellStyle name="CABEÇALHO 20 4 4" xfId="4161" xr:uid="{00000000-0005-0000-0000-0000A3040000}"/>
    <cellStyle name="CABEÇALHO 20 4 5" xfId="3204" xr:uid="{00000000-0005-0000-0000-0000A4040000}"/>
    <cellStyle name="CABEÇALHO 20 4 6" xfId="6498" xr:uid="{00000000-0005-0000-0000-0000A5040000}"/>
    <cellStyle name="CABEÇALHO 20 4 7" xfId="9078" xr:uid="{00000000-0005-0000-0000-0000A6040000}"/>
    <cellStyle name="CABEÇALHO 20 4 8" xfId="11203" xr:uid="{00000000-0005-0000-0000-0000A7040000}"/>
    <cellStyle name="CABEÇALHO 20 5" xfId="1314" xr:uid="{00000000-0005-0000-0000-0000A8040000}"/>
    <cellStyle name="CABEÇALHO 20 5 2" xfId="2456" xr:uid="{00000000-0005-0000-0000-0000A9040000}"/>
    <cellStyle name="CABEÇALHO 20 5 2 2" xfId="5336" xr:uid="{00000000-0005-0000-0000-0000AA040000}"/>
    <cellStyle name="CABEÇALHO 20 5 2 3" xfId="7305" xr:uid="{00000000-0005-0000-0000-0000AB040000}"/>
    <cellStyle name="CABEÇALHO 20 5 2 4" xfId="9305" xr:uid="{00000000-0005-0000-0000-0000AC040000}"/>
    <cellStyle name="CABEÇALHO 20 5 2 5" xfId="9634" xr:uid="{00000000-0005-0000-0000-0000AD040000}"/>
    <cellStyle name="CABEÇALHO 20 5 2 6" xfId="11529" xr:uid="{00000000-0005-0000-0000-0000AE040000}"/>
    <cellStyle name="CABEÇALHO 20 5 3" xfId="2750" xr:uid="{00000000-0005-0000-0000-0000AF040000}"/>
    <cellStyle name="CABEÇALHO 20 5 3 2" xfId="5630" xr:uid="{00000000-0005-0000-0000-0000B0040000}"/>
    <cellStyle name="CABEÇALHO 20 5 3 3" xfId="5906" xr:uid="{00000000-0005-0000-0000-0000B1040000}"/>
    <cellStyle name="CABEÇALHO 20 5 3 4" xfId="8875" xr:uid="{00000000-0005-0000-0000-0000B2040000}"/>
    <cellStyle name="CABEÇALHO 20 5 3 5" xfId="10097" xr:uid="{00000000-0005-0000-0000-0000B3040000}"/>
    <cellStyle name="CABEÇALHO 20 5 3 6" xfId="11084" xr:uid="{00000000-0005-0000-0000-0000B4040000}"/>
    <cellStyle name="CABEÇALHO 20 5 4" xfId="4194" xr:uid="{00000000-0005-0000-0000-0000B5040000}"/>
    <cellStyle name="CABEÇALHO 20 5 5" xfId="6635" xr:uid="{00000000-0005-0000-0000-0000B6040000}"/>
    <cellStyle name="CABEÇALHO 20 5 6" xfId="6441" xr:uid="{00000000-0005-0000-0000-0000B7040000}"/>
    <cellStyle name="CABEÇALHO 20 5 7" xfId="8596" xr:uid="{00000000-0005-0000-0000-0000B8040000}"/>
    <cellStyle name="CABEÇALHO 20 5 8" xfId="10899" xr:uid="{00000000-0005-0000-0000-0000B9040000}"/>
    <cellStyle name="CABEÇALHO 20 6" xfId="1346" xr:uid="{00000000-0005-0000-0000-0000BA040000}"/>
    <cellStyle name="CABEÇALHO 20 6 2" xfId="2488" xr:uid="{00000000-0005-0000-0000-0000BB040000}"/>
    <cellStyle name="CABEÇALHO 20 6 2 2" xfId="5368" xr:uid="{00000000-0005-0000-0000-0000BC040000}"/>
    <cellStyle name="CABEÇALHO 20 6 2 3" xfId="8026" xr:uid="{00000000-0005-0000-0000-0000BD040000}"/>
    <cellStyle name="CABEÇALHO 20 6 2 4" xfId="7722" xr:uid="{00000000-0005-0000-0000-0000BE040000}"/>
    <cellStyle name="CABEÇALHO 20 6 2 5" xfId="6420" xr:uid="{00000000-0005-0000-0000-0000BF040000}"/>
    <cellStyle name="CABEÇALHO 20 6 2 6" xfId="11525" xr:uid="{00000000-0005-0000-0000-0000C0040000}"/>
    <cellStyle name="CABEÇALHO 20 6 3" xfId="2883" xr:uid="{00000000-0005-0000-0000-0000C1040000}"/>
    <cellStyle name="CABEÇALHO 20 6 3 2" xfId="5763" xr:uid="{00000000-0005-0000-0000-0000C2040000}"/>
    <cellStyle name="CABEÇALHO 20 6 3 3" xfId="3164" xr:uid="{00000000-0005-0000-0000-0000C3040000}"/>
    <cellStyle name="CABEÇALHO 20 6 3 4" xfId="7416" xr:uid="{00000000-0005-0000-0000-0000C4040000}"/>
    <cellStyle name="CABEÇALHO 20 6 3 5" xfId="5965" xr:uid="{00000000-0005-0000-0000-0000C5040000}"/>
    <cellStyle name="CABEÇALHO 20 6 3 6" xfId="11684" xr:uid="{00000000-0005-0000-0000-0000C6040000}"/>
    <cellStyle name="CABEÇALHO 20 6 4" xfId="4226" xr:uid="{00000000-0005-0000-0000-0000C7040000}"/>
    <cellStyle name="CABEÇALHO 20 6 5" xfId="6358" xr:uid="{00000000-0005-0000-0000-0000C8040000}"/>
    <cellStyle name="CABEÇALHO 20 6 6" xfId="6749" xr:uid="{00000000-0005-0000-0000-0000C9040000}"/>
    <cellStyle name="CABEÇALHO 20 6 7" xfId="8561" xr:uid="{00000000-0005-0000-0000-0000CA040000}"/>
    <cellStyle name="CABEÇALHO 20 6 8" xfId="11558" xr:uid="{00000000-0005-0000-0000-0000CB040000}"/>
    <cellStyle name="CABEÇALHO 20 7" xfId="1806" xr:uid="{00000000-0005-0000-0000-0000CC040000}"/>
    <cellStyle name="CABEÇALHO 20 7 2" xfId="4686" xr:uid="{00000000-0005-0000-0000-0000CD040000}"/>
    <cellStyle name="CABEÇALHO 20 7 3" xfId="6637" xr:uid="{00000000-0005-0000-0000-0000CE040000}"/>
    <cellStyle name="CABEÇALHO 20 7 4" xfId="9131" xr:uid="{00000000-0005-0000-0000-0000CF040000}"/>
    <cellStyle name="CABEÇALHO 20 7 5" xfId="10000" xr:uid="{00000000-0005-0000-0000-0000D0040000}"/>
    <cellStyle name="CABEÇALHO 20 7 6" xfId="10313" xr:uid="{00000000-0005-0000-0000-0000D1040000}"/>
    <cellStyle name="CABEÇALHO 20 8" xfId="2685" xr:uid="{00000000-0005-0000-0000-0000D2040000}"/>
    <cellStyle name="CABEÇALHO 20 8 2" xfId="5565" xr:uid="{00000000-0005-0000-0000-0000D3040000}"/>
    <cellStyle name="CABEÇALHO 20 8 3" xfId="7764" xr:uid="{00000000-0005-0000-0000-0000D4040000}"/>
    <cellStyle name="CABEÇALHO 20 8 4" xfId="6007" xr:uid="{00000000-0005-0000-0000-0000D5040000}"/>
    <cellStyle name="CABEÇALHO 20 8 5" xfId="9948" xr:uid="{00000000-0005-0000-0000-0000D6040000}"/>
    <cellStyle name="CABEÇALHO 20 8 6" xfId="8960" xr:uid="{00000000-0005-0000-0000-0000D7040000}"/>
    <cellStyle name="CABEÇALHO 20 9" xfId="3545" xr:uid="{00000000-0005-0000-0000-0000D8040000}"/>
    <cellStyle name="CABEÇALHO 21" xfId="657" xr:uid="{00000000-0005-0000-0000-0000D9040000}"/>
    <cellStyle name="CABEÇALHO 21 10" xfId="5875" xr:uid="{00000000-0005-0000-0000-0000DA040000}"/>
    <cellStyle name="CABEÇALHO 21 11" xfId="3168" xr:uid="{00000000-0005-0000-0000-0000DB040000}"/>
    <cellStyle name="CABEÇALHO 21 12" xfId="10304" xr:uid="{00000000-0005-0000-0000-0000DC040000}"/>
    <cellStyle name="CABEÇALHO 21 13" xfId="7760" xr:uid="{00000000-0005-0000-0000-0000DD040000}"/>
    <cellStyle name="CABEÇALHO 21 2" xfId="1133" xr:uid="{00000000-0005-0000-0000-0000DE040000}"/>
    <cellStyle name="CABEÇALHO 21 2 2" xfId="2275" xr:uid="{00000000-0005-0000-0000-0000DF040000}"/>
    <cellStyle name="CABEÇALHO 21 2 2 2" xfId="5155" xr:uid="{00000000-0005-0000-0000-0000E0040000}"/>
    <cellStyle name="CABEÇALHO 21 2 2 3" xfId="8081" xr:uid="{00000000-0005-0000-0000-0000E1040000}"/>
    <cellStyle name="CABEÇALHO 21 2 2 4" xfId="6142" xr:uid="{00000000-0005-0000-0000-0000E2040000}"/>
    <cellStyle name="CABEÇALHO 21 2 2 5" xfId="8959" xr:uid="{00000000-0005-0000-0000-0000E3040000}"/>
    <cellStyle name="CABEÇALHO 21 2 2 6" xfId="11598" xr:uid="{00000000-0005-0000-0000-0000E4040000}"/>
    <cellStyle name="CABEÇALHO 21 2 3" xfId="1469" xr:uid="{00000000-0005-0000-0000-0000E5040000}"/>
    <cellStyle name="CABEÇALHO 21 2 3 2" xfId="4349" xr:uid="{00000000-0005-0000-0000-0000E6040000}"/>
    <cellStyle name="CABEÇALHO 21 2 3 3" xfId="6223" xr:uid="{00000000-0005-0000-0000-0000E7040000}"/>
    <cellStyle name="CABEÇALHO 21 2 3 4" xfId="7798" xr:uid="{00000000-0005-0000-0000-0000E8040000}"/>
    <cellStyle name="CABEÇALHO 21 2 3 5" xfId="7002" xr:uid="{00000000-0005-0000-0000-0000E9040000}"/>
    <cellStyle name="CABEÇALHO 21 2 3 6" xfId="11439" xr:uid="{00000000-0005-0000-0000-0000EA040000}"/>
    <cellStyle name="CABEÇALHO 21 2 4" xfId="4013" xr:uid="{00000000-0005-0000-0000-0000EB040000}"/>
    <cellStyle name="CABEÇALHO 21 2 5" xfId="3015" xr:uid="{00000000-0005-0000-0000-0000EC040000}"/>
    <cellStyle name="CABEÇALHO 21 2 6" xfId="8059" xr:uid="{00000000-0005-0000-0000-0000ED040000}"/>
    <cellStyle name="CABEÇALHO 21 2 7" xfId="7730" xr:uid="{00000000-0005-0000-0000-0000EE040000}"/>
    <cellStyle name="CABEÇALHO 21 2 8" xfId="10819" xr:uid="{00000000-0005-0000-0000-0000EF040000}"/>
    <cellStyle name="CABEÇALHO 21 3" xfId="787" xr:uid="{00000000-0005-0000-0000-0000F0040000}"/>
    <cellStyle name="CABEÇALHO 21 3 2" xfId="1929" xr:uid="{00000000-0005-0000-0000-0000F1040000}"/>
    <cellStyle name="CABEÇALHO 21 3 2 2" xfId="4809" xr:uid="{00000000-0005-0000-0000-0000F2040000}"/>
    <cellStyle name="CABEÇALHO 21 3 2 3" xfId="6602" xr:uid="{00000000-0005-0000-0000-0000F3040000}"/>
    <cellStyle name="CABEÇALHO 21 3 2 4" xfId="9097" xr:uid="{00000000-0005-0000-0000-0000F4040000}"/>
    <cellStyle name="CABEÇALHO 21 3 2 5" xfId="10372" xr:uid="{00000000-0005-0000-0000-0000F5040000}"/>
    <cellStyle name="CABEÇALHO 21 3 2 6" xfId="10921" xr:uid="{00000000-0005-0000-0000-0000F6040000}"/>
    <cellStyle name="CABEÇALHO 21 3 3" xfId="2689" xr:uid="{00000000-0005-0000-0000-0000F7040000}"/>
    <cellStyle name="CABEÇALHO 21 3 3 2" xfId="5569" xr:uid="{00000000-0005-0000-0000-0000F8040000}"/>
    <cellStyle name="CABEÇALHO 21 3 3 3" xfId="6658" xr:uid="{00000000-0005-0000-0000-0000F9040000}"/>
    <cellStyle name="CABEÇALHO 21 3 3 4" xfId="9313" xr:uid="{00000000-0005-0000-0000-0000FA040000}"/>
    <cellStyle name="CABEÇALHO 21 3 3 5" xfId="10565" xr:uid="{00000000-0005-0000-0000-0000FB040000}"/>
    <cellStyle name="CABEÇALHO 21 3 3 6" xfId="10914" xr:uid="{00000000-0005-0000-0000-0000FC040000}"/>
    <cellStyle name="CABEÇALHO 21 3 4" xfId="3667" xr:uid="{00000000-0005-0000-0000-0000FD040000}"/>
    <cellStyle name="CABEÇALHO 21 3 5" xfId="6965" xr:uid="{00000000-0005-0000-0000-0000FE040000}"/>
    <cellStyle name="CABEÇALHO 21 3 6" xfId="6419" xr:uid="{00000000-0005-0000-0000-0000FF040000}"/>
    <cellStyle name="CABEÇALHO 21 3 7" xfId="10252" xr:uid="{00000000-0005-0000-0000-000000050000}"/>
    <cellStyle name="CABEÇALHO 21 3 8" xfId="10802" xr:uid="{00000000-0005-0000-0000-000001050000}"/>
    <cellStyle name="CABEÇALHO 21 4" xfId="1273" xr:uid="{00000000-0005-0000-0000-000002050000}"/>
    <cellStyle name="CABEÇALHO 21 4 2" xfId="2415" xr:uid="{00000000-0005-0000-0000-000003050000}"/>
    <cellStyle name="CABEÇALHO 21 4 2 2" xfId="5295" xr:uid="{00000000-0005-0000-0000-000004050000}"/>
    <cellStyle name="CABEÇALHO 21 4 2 3" xfId="6592" xr:uid="{00000000-0005-0000-0000-000005050000}"/>
    <cellStyle name="CABEÇALHO 21 4 2 4" xfId="9087" xr:uid="{00000000-0005-0000-0000-000006050000}"/>
    <cellStyle name="CABEÇALHO 21 4 2 5" xfId="10382" xr:uid="{00000000-0005-0000-0000-000007050000}"/>
    <cellStyle name="CABEÇALHO 21 4 2 6" xfId="9749" xr:uid="{00000000-0005-0000-0000-000008050000}"/>
    <cellStyle name="CABEÇALHO 21 4 3" xfId="2583" xr:uid="{00000000-0005-0000-0000-000009050000}"/>
    <cellStyle name="CABEÇALHO 21 4 3 2" xfId="5463" xr:uid="{00000000-0005-0000-0000-00000A050000}"/>
    <cellStyle name="CABEÇALHO 21 4 3 3" xfId="6090" xr:uid="{00000000-0005-0000-0000-00000B050000}"/>
    <cellStyle name="CABEÇALHO 21 4 3 4" xfId="9432" xr:uid="{00000000-0005-0000-0000-00000C050000}"/>
    <cellStyle name="CABEÇALHO 21 4 3 5" xfId="9630" xr:uid="{00000000-0005-0000-0000-00000D050000}"/>
    <cellStyle name="CABEÇALHO 21 4 3 6" xfId="11355" xr:uid="{00000000-0005-0000-0000-00000E050000}"/>
    <cellStyle name="CABEÇALHO 21 4 4" xfId="4153" xr:uid="{00000000-0005-0000-0000-00000F050000}"/>
    <cellStyle name="CABEÇALHO 21 4 5" xfId="3197" xr:uid="{00000000-0005-0000-0000-000010050000}"/>
    <cellStyle name="CABEÇALHO 21 4 6" xfId="7413" xr:uid="{00000000-0005-0000-0000-000011050000}"/>
    <cellStyle name="CABEÇALHO 21 4 7" xfId="8401" xr:uid="{00000000-0005-0000-0000-000012050000}"/>
    <cellStyle name="CABEÇALHO 21 4 8" xfId="11199" xr:uid="{00000000-0005-0000-0000-000013050000}"/>
    <cellStyle name="CABEÇALHO 21 5" xfId="1306" xr:uid="{00000000-0005-0000-0000-000014050000}"/>
    <cellStyle name="CABEÇALHO 21 5 2" xfId="2448" xr:uid="{00000000-0005-0000-0000-000015050000}"/>
    <cellStyle name="CABEÇALHO 21 5 2 2" xfId="5328" xr:uid="{00000000-0005-0000-0000-000016050000}"/>
    <cellStyle name="CABEÇALHO 21 5 2 3" xfId="6095" xr:uid="{00000000-0005-0000-0000-000017050000}"/>
    <cellStyle name="CABEÇALHO 21 5 2 4" xfId="8630" xr:uid="{00000000-0005-0000-0000-000018050000}"/>
    <cellStyle name="CABEÇALHO 21 5 2 5" xfId="10582" xr:uid="{00000000-0005-0000-0000-000019050000}"/>
    <cellStyle name="CABEÇALHO 21 5 2 6" xfId="10970" xr:uid="{00000000-0005-0000-0000-00001A050000}"/>
    <cellStyle name="CABEÇALHO 21 5 3" xfId="1387" xr:uid="{00000000-0005-0000-0000-00001B050000}"/>
    <cellStyle name="CABEÇALHO 21 5 3 2" xfId="4267" xr:uid="{00000000-0005-0000-0000-00001C050000}"/>
    <cellStyle name="CABEÇALHO 21 5 3 3" xfId="7274" xr:uid="{00000000-0005-0000-0000-00001D050000}"/>
    <cellStyle name="CABEÇALHO 21 5 3 4" xfId="8717" xr:uid="{00000000-0005-0000-0000-00001E050000}"/>
    <cellStyle name="CABEÇALHO 21 5 3 5" xfId="10777" xr:uid="{00000000-0005-0000-0000-00001F050000}"/>
    <cellStyle name="CABEÇALHO 21 5 3 6" xfId="11036" xr:uid="{00000000-0005-0000-0000-000020050000}"/>
    <cellStyle name="CABEÇALHO 21 5 4" xfId="4186" xr:uid="{00000000-0005-0000-0000-000021050000}"/>
    <cellStyle name="CABEÇALHO 21 5 5" xfId="3132" xr:uid="{00000000-0005-0000-0000-000022050000}"/>
    <cellStyle name="CABEÇALHO 21 5 6" xfId="7118" xr:uid="{00000000-0005-0000-0000-000023050000}"/>
    <cellStyle name="CABEÇALHO 21 5 7" xfId="6984" xr:uid="{00000000-0005-0000-0000-000024050000}"/>
    <cellStyle name="CABEÇALHO 21 5 8" xfId="10020" xr:uid="{00000000-0005-0000-0000-000025050000}"/>
    <cellStyle name="CABEÇALHO 21 6" xfId="1338" xr:uid="{00000000-0005-0000-0000-000026050000}"/>
    <cellStyle name="CABEÇALHO 21 6 2" xfId="2480" xr:uid="{00000000-0005-0000-0000-000027050000}"/>
    <cellStyle name="CABEÇALHO 21 6 2 2" xfId="5360" xr:uid="{00000000-0005-0000-0000-000028050000}"/>
    <cellStyle name="CABEÇALHO 21 6 2 3" xfId="6777" xr:uid="{00000000-0005-0000-0000-000029050000}"/>
    <cellStyle name="CABEÇALHO 21 6 2 4" xfId="7620" xr:uid="{00000000-0005-0000-0000-00002A050000}"/>
    <cellStyle name="CABEÇALHO 21 6 2 5" xfId="10726" xr:uid="{00000000-0005-0000-0000-00002B050000}"/>
    <cellStyle name="CABEÇALHO 21 6 2 6" xfId="10822" xr:uid="{00000000-0005-0000-0000-00002C050000}"/>
    <cellStyle name="CABEÇALHO 21 6 3" xfId="2875" xr:uid="{00000000-0005-0000-0000-00002D050000}"/>
    <cellStyle name="CABEÇALHO 21 6 3 2" xfId="5755" xr:uid="{00000000-0005-0000-0000-00002E050000}"/>
    <cellStyle name="CABEÇALHO 21 6 3 3" xfId="3156" xr:uid="{00000000-0005-0000-0000-00002F050000}"/>
    <cellStyle name="CABEÇALHO 21 6 3 4" xfId="5904" xr:uid="{00000000-0005-0000-0000-000030050000}"/>
    <cellStyle name="CABEÇALHO 21 6 3 5" xfId="6650" xr:uid="{00000000-0005-0000-0000-000031050000}"/>
    <cellStyle name="CABEÇALHO 21 6 3 6" xfId="11676" xr:uid="{00000000-0005-0000-0000-000032050000}"/>
    <cellStyle name="CABEÇALHO 21 6 4" xfId="4218" xr:uid="{00000000-0005-0000-0000-000033050000}"/>
    <cellStyle name="CABEÇALHO 21 6 5" xfId="8011" xr:uid="{00000000-0005-0000-0000-000034050000}"/>
    <cellStyle name="CABEÇALHO 21 6 6" xfId="9418" xr:uid="{00000000-0005-0000-0000-000035050000}"/>
    <cellStyle name="CABEÇALHO 21 6 7" xfId="10752" xr:uid="{00000000-0005-0000-0000-000036050000}"/>
    <cellStyle name="CABEÇALHO 21 6 8" xfId="11382" xr:uid="{00000000-0005-0000-0000-000037050000}"/>
    <cellStyle name="CABEÇALHO 21 7" xfId="1798" xr:uid="{00000000-0005-0000-0000-000038050000}"/>
    <cellStyle name="CABEÇALHO 21 7 2" xfId="4678" xr:uid="{00000000-0005-0000-0000-000039050000}"/>
    <cellStyle name="CABEÇALHO 21 7 3" xfId="6083" xr:uid="{00000000-0005-0000-0000-00003A050000}"/>
    <cellStyle name="CABEÇALHO 21 7 4" xfId="6769" xr:uid="{00000000-0005-0000-0000-00003B050000}"/>
    <cellStyle name="CABEÇALHO 21 7 5" xfId="6946" xr:uid="{00000000-0005-0000-0000-00003C050000}"/>
    <cellStyle name="CABEÇALHO 21 7 6" xfId="11500" xr:uid="{00000000-0005-0000-0000-00003D050000}"/>
    <cellStyle name="CABEÇALHO 21 8" xfId="2504" xr:uid="{00000000-0005-0000-0000-00003E050000}"/>
    <cellStyle name="CABEÇALHO 21 8 2" xfId="5384" xr:uid="{00000000-0005-0000-0000-00003F050000}"/>
    <cellStyle name="CABEÇALHO 21 8 3" xfId="7183" xr:uid="{00000000-0005-0000-0000-000040050000}"/>
    <cellStyle name="CABEÇALHO 21 8 4" xfId="5856" xr:uid="{00000000-0005-0000-0000-000041050000}"/>
    <cellStyle name="CABEÇALHO 21 8 5" xfId="9843" xr:uid="{00000000-0005-0000-0000-000042050000}"/>
    <cellStyle name="CABEÇALHO 21 8 6" xfId="11169" xr:uid="{00000000-0005-0000-0000-000043050000}"/>
    <cellStyle name="CABEÇALHO 21 9" xfId="3537" xr:uid="{00000000-0005-0000-0000-000044050000}"/>
    <cellStyle name="CABEÇALHO 22" xfId="666" xr:uid="{00000000-0005-0000-0000-000045050000}"/>
    <cellStyle name="CABEÇALHO 22 10" xfId="6413" xr:uid="{00000000-0005-0000-0000-000046050000}"/>
    <cellStyle name="CABEÇALHO 22 11" xfId="8507" xr:uid="{00000000-0005-0000-0000-000047050000}"/>
    <cellStyle name="CABEÇALHO 22 12" xfId="9597" xr:uid="{00000000-0005-0000-0000-000048050000}"/>
    <cellStyle name="CABEÇALHO 22 13" xfId="11457" xr:uid="{00000000-0005-0000-0000-000049050000}"/>
    <cellStyle name="CABEÇALHO 22 2" xfId="1142" xr:uid="{00000000-0005-0000-0000-00004A050000}"/>
    <cellStyle name="CABEÇALHO 22 2 2" xfId="2284" xr:uid="{00000000-0005-0000-0000-00004B050000}"/>
    <cellStyle name="CABEÇALHO 22 2 2 2" xfId="5164" xr:uid="{00000000-0005-0000-0000-00004C050000}"/>
    <cellStyle name="CABEÇALHO 22 2 2 3" xfId="7918" xr:uid="{00000000-0005-0000-0000-00004D050000}"/>
    <cellStyle name="CABEÇALHO 22 2 2 4" xfId="8213" xr:uid="{00000000-0005-0000-0000-00004E050000}"/>
    <cellStyle name="CABEÇALHO 22 2 2 5" xfId="9961" xr:uid="{00000000-0005-0000-0000-00004F050000}"/>
    <cellStyle name="CABEÇALHO 22 2 2 6" xfId="10776" xr:uid="{00000000-0005-0000-0000-000050050000}"/>
    <cellStyle name="CABEÇALHO 22 2 3" xfId="2551" xr:uid="{00000000-0005-0000-0000-000051050000}"/>
    <cellStyle name="CABEÇALHO 22 2 3 2" xfId="5431" xr:uid="{00000000-0005-0000-0000-000052050000}"/>
    <cellStyle name="CABEÇALHO 22 2 3 3" xfId="5940" xr:uid="{00000000-0005-0000-0000-000053050000}"/>
    <cellStyle name="CABEÇALHO 22 2 3 4" xfId="8907" xr:uid="{00000000-0005-0000-0000-000054050000}"/>
    <cellStyle name="CABEÇALHO 22 2 3 5" xfId="10091" xr:uid="{00000000-0005-0000-0000-000055050000}"/>
    <cellStyle name="CABEÇALHO 22 2 3 6" xfId="10263" xr:uid="{00000000-0005-0000-0000-000056050000}"/>
    <cellStyle name="CABEÇALHO 22 2 4" xfId="4022" xr:uid="{00000000-0005-0000-0000-000057050000}"/>
    <cellStyle name="CABEÇALHO 22 2 5" xfId="2929" xr:uid="{00000000-0005-0000-0000-000058050000}"/>
    <cellStyle name="CABEÇALHO 22 2 6" xfId="7482" xr:uid="{00000000-0005-0000-0000-000059050000}"/>
    <cellStyle name="CABEÇALHO 22 2 7" xfId="8644" xr:uid="{00000000-0005-0000-0000-00005A050000}"/>
    <cellStyle name="CABEÇALHO 22 2 8" xfId="9645" xr:uid="{00000000-0005-0000-0000-00005B050000}"/>
    <cellStyle name="CABEÇALHO 22 3" xfId="1243" xr:uid="{00000000-0005-0000-0000-00005C050000}"/>
    <cellStyle name="CABEÇALHO 22 3 2" xfId="2385" xr:uid="{00000000-0005-0000-0000-00005D050000}"/>
    <cellStyle name="CABEÇALHO 22 3 2 2" xfId="5265" xr:uid="{00000000-0005-0000-0000-00005E050000}"/>
    <cellStyle name="CABEÇALHO 22 3 2 3" xfId="6161" xr:uid="{00000000-0005-0000-0000-00005F050000}"/>
    <cellStyle name="CABEÇALHO 22 3 2 4" xfId="8693" xr:uid="{00000000-0005-0000-0000-000060050000}"/>
    <cellStyle name="CABEÇALHO 22 3 2 5" xfId="10397" xr:uid="{00000000-0005-0000-0000-000061050000}"/>
    <cellStyle name="CABEÇALHO 22 3 2 6" xfId="9182" xr:uid="{00000000-0005-0000-0000-000062050000}"/>
    <cellStyle name="CABEÇALHO 22 3 3" xfId="2800" xr:uid="{00000000-0005-0000-0000-000063050000}"/>
    <cellStyle name="CABEÇALHO 22 3 3 2" xfId="5680" xr:uid="{00000000-0005-0000-0000-000064050000}"/>
    <cellStyle name="CABEÇALHO 22 3 3 3" xfId="6101" xr:uid="{00000000-0005-0000-0000-000065050000}"/>
    <cellStyle name="CABEÇALHO 22 3 3 4" xfId="9532" xr:uid="{00000000-0005-0000-0000-000066050000}"/>
    <cellStyle name="CABEÇALHO 22 3 3 5" xfId="10549" xr:uid="{00000000-0005-0000-0000-000067050000}"/>
    <cellStyle name="CABEÇALHO 22 3 3 6" xfId="11144" xr:uid="{00000000-0005-0000-0000-000068050000}"/>
    <cellStyle name="CABEÇALHO 22 3 4" xfId="4123" xr:uid="{00000000-0005-0000-0000-000069050000}"/>
    <cellStyle name="CABEÇALHO 22 3 5" xfId="3099" xr:uid="{00000000-0005-0000-0000-00006A050000}"/>
    <cellStyle name="CABEÇALHO 22 3 6" xfId="6626" xr:uid="{00000000-0005-0000-0000-00006B050000}"/>
    <cellStyle name="CABEÇALHO 22 3 7" xfId="5997" xr:uid="{00000000-0005-0000-0000-00006C050000}"/>
    <cellStyle name="CABEÇALHO 22 3 8" xfId="9934" xr:uid="{00000000-0005-0000-0000-00006D050000}"/>
    <cellStyle name="CABEÇALHO 22 4" xfId="1282" xr:uid="{00000000-0005-0000-0000-00006E050000}"/>
    <cellStyle name="CABEÇALHO 22 4 2" xfId="2424" xr:uid="{00000000-0005-0000-0000-00006F050000}"/>
    <cellStyle name="CABEÇALHO 22 4 2 2" xfId="5304" xr:uid="{00000000-0005-0000-0000-000070050000}"/>
    <cellStyle name="CABEÇALHO 22 4 2 3" xfId="6385" xr:uid="{00000000-0005-0000-0000-000071050000}"/>
    <cellStyle name="CABEÇALHO 22 4 2 4" xfId="8900" xr:uid="{00000000-0005-0000-0000-000072050000}"/>
    <cellStyle name="CABEÇALHO 22 4 2 5" xfId="10057" xr:uid="{00000000-0005-0000-0000-000073050000}"/>
    <cellStyle name="CABEÇALHO 22 4 2 6" xfId="9829" xr:uid="{00000000-0005-0000-0000-000074050000}"/>
    <cellStyle name="CABEÇALHO 22 4 3" xfId="2717" xr:uid="{00000000-0005-0000-0000-000075050000}"/>
    <cellStyle name="CABEÇALHO 22 4 3 2" xfId="5597" xr:uid="{00000000-0005-0000-0000-000076050000}"/>
    <cellStyle name="CABEÇALHO 22 4 3 3" xfId="8186" xr:uid="{00000000-0005-0000-0000-000077050000}"/>
    <cellStyle name="CABEÇALHO 22 4 3 4" xfId="9551" xr:uid="{00000000-0005-0000-0000-000078050000}"/>
    <cellStyle name="CABEÇALHO 22 4 3 5" xfId="10340" xr:uid="{00000000-0005-0000-0000-000079050000}"/>
    <cellStyle name="CABEÇALHO 22 4 3 6" xfId="10487" xr:uid="{00000000-0005-0000-0000-00007A050000}"/>
    <cellStyle name="CABEÇALHO 22 4 4" xfId="4162" xr:uid="{00000000-0005-0000-0000-00007B050000}"/>
    <cellStyle name="CABEÇALHO 22 4 5" xfId="2938" xr:uid="{00000000-0005-0000-0000-00007C050000}"/>
    <cellStyle name="CABEÇALHO 22 4 6" xfId="3004" xr:uid="{00000000-0005-0000-0000-00007D050000}"/>
    <cellStyle name="CABEÇALHO 22 4 7" xfId="9258" xr:uid="{00000000-0005-0000-0000-00007E050000}"/>
    <cellStyle name="CABEÇALHO 22 4 8" xfId="10460" xr:uid="{00000000-0005-0000-0000-00007F050000}"/>
    <cellStyle name="CABEÇALHO 22 5" xfId="1315" xr:uid="{00000000-0005-0000-0000-000080050000}"/>
    <cellStyle name="CABEÇALHO 22 5 2" xfId="2457" xr:uid="{00000000-0005-0000-0000-000081050000}"/>
    <cellStyle name="CABEÇALHO 22 5 2 2" xfId="5337" xr:uid="{00000000-0005-0000-0000-000082050000}"/>
    <cellStyle name="CABEÇALHO 22 5 2 3" xfId="6220" xr:uid="{00000000-0005-0000-0000-000083050000}"/>
    <cellStyle name="CABEÇALHO 22 5 2 4" xfId="8748" xr:uid="{00000000-0005-0000-0000-000084050000}"/>
    <cellStyle name="CABEÇALHO 22 5 2 5" xfId="10413" xr:uid="{00000000-0005-0000-0000-000085050000}"/>
    <cellStyle name="CABEÇALHO 22 5 2 6" xfId="8422" xr:uid="{00000000-0005-0000-0000-000086050000}"/>
    <cellStyle name="CABEÇALHO 22 5 3" xfId="2652" xr:uid="{00000000-0005-0000-0000-000087050000}"/>
    <cellStyle name="CABEÇALHO 22 5 3 2" xfId="5532" xr:uid="{00000000-0005-0000-0000-000088050000}"/>
    <cellStyle name="CABEÇALHO 22 5 3 3" xfId="6670" xr:uid="{00000000-0005-0000-0000-000089050000}"/>
    <cellStyle name="CABEÇALHO 22 5 3 4" xfId="9315" xr:uid="{00000000-0005-0000-0000-00008A050000}"/>
    <cellStyle name="CABEÇALHO 22 5 3 5" xfId="9650" xr:uid="{00000000-0005-0000-0000-00008B050000}"/>
    <cellStyle name="CABEÇALHO 22 5 3 6" xfId="7188" xr:uid="{00000000-0005-0000-0000-00008C050000}"/>
    <cellStyle name="CABEÇALHO 22 5 4" xfId="4195" xr:uid="{00000000-0005-0000-0000-00008D050000}"/>
    <cellStyle name="CABEÇALHO 22 5 5" xfId="3133" xr:uid="{00000000-0005-0000-0000-00008E050000}"/>
    <cellStyle name="CABEÇALHO 22 5 6" xfId="7885" xr:uid="{00000000-0005-0000-0000-00008F050000}"/>
    <cellStyle name="CABEÇALHO 22 5 7" xfId="9658" xr:uid="{00000000-0005-0000-0000-000090050000}"/>
    <cellStyle name="CABEÇALHO 22 5 8" xfId="9783" xr:uid="{00000000-0005-0000-0000-000091050000}"/>
    <cellStyle name="CABEÇALHO 22 6" xfId="1347" xr:uid="{00000000-0005-0000-0000-000092050000}"/>
    <cellStyle name="CABEÇALHO 22 6 2" xfId="2489" xr:uid="{00000000-0005-0000-0000-000093050000}"/>
    <cellStyle name="CABEÇALHO 22 6 2 2" xfId="5369" xr:uid="{00000000-0005-0000-0000-000094050000}"/>
    <cellStyle name="CABEÇALHO 22 6 2 3" xfId="7299" xr:uid="{00000000-0005-0000-0000-000095050000}"/>
    <cellStyle name="CABEÇALHO 22 6 2 4" xfId="9433" xr:uid="{00000000-0005-0000-0000-000096050000}"/>
    <cellStyle name="CABEÇALHO 22 6 2 5" xfId="9660" xr:uid="{00000000-0005-0000-0000-000097050000}"/>
    <cellStyle name="CABEÇALHO 22 6 2 6" xfId="11092" xr:uid="{00000000-0005-0000-0000-000098050000}"/>
    <cellStyle name="CABEÇALHO 22 6 3" xfId="2884" xr:uid="{00000000-0005-0000-0000-000099050000}"/>
    <cellStyle name="CABEÇALHO 22 6 3 2" xfId="5764" xr:uid="{00000000-0005-0000-0000-00009A050000}"/>
    <cellStyle name="CABEÇALHO 22 6 3 3" xfId="3027" xr:uid="{00000000-0005-0000-0000-00009B050000}"/>
    <cellStyle name="CABEÇALHO 22 6 3 4" xfId="2917" xr:uid="{00000000-0005-0000-0000-00009C050000}"/>
    <cellStyle name="CABEÇALHO 22 6 3 5" xfId="9053" xr:uid="{00000000-0005-0000-0000-00009D050000}"/>
    <cellStyle name="CABEÇALHO 22 6 3 6" xfId="11685" xr:uid="{00000000-0005-0000-0000-00009E050000}"/>
    <cellStyle name="CABEÇALHO 22 6 4" xfId="4227" xr:uid="{00000000-0005-0000-0000-00009F050000}"/>
    <cellStyle name="CABEÇALHO 22 6 5" xfId="5905" xr:uid="{00000000-0005-0000-0000-0000A0050000}"/>
    <cellStyle name="CABEÇALHO 22 6 6" xfId="7358" xr:uid="{00000000-0005-0000-0000-0000A1050000}"/>
    <cellStyle name="CABEÇALHO 22 6 7" xfId="10720" xr:uid="{00000000-0005-0000-0000-0000A2050000}"/>
    <cellStyle name="CABEÇALHO 22 6 8" xfId="9813" xr:uid="{00000000-0005-0000-0000-0000A3050000}"/>
    <cellStyle name="CABEÇALHO 22 7" xfId="1807" xr:uid="{00000000-0005-0000-0000-0000A4050000}"/>
    <cellStyle name="CABEÇALHO 22 7 2" xfId="4687" xr:uid="{00000000-0005-0000-0000-0000A5050000}"/>
    <cellStyle name="CABEÇALHO 22 7 3" xfId="8069" xr:uid="{00000000-0005-0000-0000-0000A6050000}"/>
    <cellStyle name="CABEÇALHO 22 7 4" xfId="7541" xr:uid="{00000000-0005-0000-0000-0000A7050000}"/>
    <cellStyle name="CABEÇALHO 22 7 5" xfId="8922" xr:uid="{00000000-0005-0000-0000-0000A8050000}"/>
    <cellStyle name="CABEÇALHO 22 7 6" xfId="10874" xr:uid="{00000000-0005-0000-0000-0000A9050000}"/>
    <cellStyle name="CABEÇALHO 22 8" xfId="2857" xr:uid="{00000000-0005-0000-0000-0000AA050000}"/>
    <cellStyle name="CABEÇALHO 22 8 2" xfId="5737" xr:uid="{00000000-0005-0000-0000-0000AB050000}"/>
    <cellStyle name="CABEÇALHO 22 8 3" xfId="6519" xr:uid="{00000000-0005-0000-0000-0000AC050000}"/>
    <cellStyle name="CABEÇALHO 22 8 4" xfId="9336" xr:uid="{00000000-0005-0000-0000-0000AD050000}"/>
    <cellStyle name="CABEÇALHO 22 8 5" xfId="9665" xr:uid="{00000000-0005-0000-0000-0000AE050000}"/>
    <cellStyle name="CABEÇALHO 22 8 6" xfId="11285" xr:uid="{00000000-0005-0000-0000-0000AF050000}"/>
    <cellStyle name="CABEÇALHO 22 9" xfId="3546" xr:uid="{00000000-0005-0000-0000-0000B0050000}"/>
    <cellStyle name="CABEÇALHO 23" xfId="640" xr:uid="{00000000-0005-0000-0000-0000B1050000}"/>
    <cellStyle name="CABEÇALHO 23 10" xfId="5876" xr:uid="{00000000-0005-0000-0000-0000B2050000}"/>
    <cellStyle name="CABEÇALHO 23 11" xfId="7437" xr:uid="{00000000-0005-0000-0000-0000B3050000}"/>
    <cellStyle name="CABEÇALHO 23 12" xfId="10305" xr:uid="{00000000-0005-0000-0000-0000B4050000}"/>
    <cellStyle name="CABEÇALHO 23 13" xfId="9536" xr:uid="{00000000-0005-0000-0000-0000B5050000}"/>
    <cellStyle name="CABEÇALHO 23 2" xfId="1116" xr:uid="{00000000-0005-0000-0000-0000B6050000}"/>
    <cellStyle name="CABEÇALHO 23 2 2" xfId="2258" xr:uid="{00000000-0005-0000-0000-0000B7050000}"/>
    <cellStyle name="CABEÇALHO 23 2 2 2" xfId="5138" xr:uid="{00000000-0005-0000-0000-0000B8050000}"/>
    <cellStyle name="CABEÇALHO 23 2 2 3" xfId="7469" xr:uid="{00000000-0005-0000-0000-0000B9050000}"/>
    <cellStyle name="CABEÇALHO 23 2 2 4" xfId="9503" xr:uid="{00000000-0005-0000-0000-0000BA050000}"/>
    <cellStyle name="CABEÇALHO 23 2 2 5" xfId="10542" xr:uid="{00000000-0005-0000-0000-0000BB050000}"/>
    <cellStyle name="CABEÇALHO 23 2 2 6" xfId="9447" xr:uid="{00000000-0005-0000-0000-0000BC050000}"/>
    <cellStyle name="CABEÇALHO 23 2 3" xfId="2649" xr:uid="{00000000-0005-0000-0000-0000BD050000}"/>
    <cellStyle name="CABEÇALHO 23 2 3 2" xfId="5529" xr:uid="{00000000-0005-0000-0000-0000BE050000}"/>
    <cellStyle name="CABEÇALHO 23 2 3 3" xfId="6703" xr:uid="{00000000-0005-0000-0000-0000BF050000}"/>
    <cellStyle name="CABEÇALHO 23 2 3 4" xfId="8254" xr:uid="{00000000-0005-0000-0000-0000C0050000}"/>
    <cellStyle name="CABEÇALHO 23 2 3 5" xfId="10832" xr:uid="{00000000-0005-0000-0000-0000C1050000}"/>
    <cellStyle name="CABEÇALHO 23 2 3 6" xfId="11071" xr:uid="{00000000-0005-0000-0000-0000C2050000}"/>
    <cellStyle name="CABEÇALHO 23 2 4" xfId="3996" xr:uid="{00000000-0005-0000-0000-0000C3050000}"/>
    <cellStyle name="CABEÇALHO 23 2 5" xfId="7339" xr:uid="{00000000-0005-0000-0000-0000C4050000}"/>
    <cellStyle name="CABEÇALHO 23 2 6" xfId="7398" xr:uid="{00000000-0005-0000-0000-0000C5050000}"/>
    <cellStyle name="CABEÇALHO 23 2 7" xfId="9539" xr:uid="{00000000-0005-0000-0000-0000C6050000}"/>
    <cellStyle name="CABEÇALHO 23 2 8" xfId="9935" xr:uid="{00000000-0005-0000-0000-0000C7050000}"/>
    <cellStyle name="CABEÇALHO 23 3" xfId="1232" xr:uid="{00000000-0005-0000-0000-0000C8050000}"/>
    <cellStyle name="CABEÇALHO 23 3 2" xfId="2374" xr:uid="{00000000-0005-0000-0000-0000C9050000}"/>
    <cellStyle name="CABEÇALHO 23 3 2 2" xfId="5254" xr:uid="{00000000-0005-0000-0000-0000CA050000}"/>
    <cellStyle name="CABEÇALHO 23 3 2 3" xfId="7999" xr:uid="{00000000-0005-0000-0000-0000CB050000}"/>
    <cellStyle name="CABEÇALHO 23 3 2 4" xfId="8450" xr:uid="{00000000-0005-0000-0000-0000CC050000}"/>
    <cellStyle name="CABEÇALHO 23 3 2 5" xfId="6107" xr:uid="{00000000-0005-0000-0000-0000CD050000}"/>
    <cellStyle name="CABEÇALHO 23 3 2 6" xfId="9931" xr:uid="{00000000-0005-0000-0000-0000CE050000}"/>
    <cellStyle name="CABEÇALHO 23 3 3" xfId="2732" xr:uid="{00000000-0005-0000-0000-0000CF050000}"/>
    <cellStyle name="CABEÇALHO 23 3 3 2" xfId="5612" xr:uid="{00000000-0005-0000-0000-0000D0050000}"/>
    <cellStyle name="CABEÇALHO 23 3 3 3" xfId="6081" xr:uid="{00000000-0005-0000-0000-0000D1050000}"/>
    <cellStyle name="CABEÇALHO 23 3 3 4" xfId="9034" xr:uid="{00000000-0005-0000-0000-0000D2050000}"/>
    <cellStyle name="CABEÇALHO 23 3 3 5" xfId="10078" xr:uid="{00000000-0005-0000-0000-0000D3050000}"/>
    <cellStyle name="CABEÇALHO 23 3 3 6" xfId="11055" xr:uid="{00000000-0005-0000-0000-0000D4050000}"/>
    <cellStyle name="CABEÇALHO 23 3 4" xfId="4112" xr:uid="{00000000-0005-0000-0000-0000D5050000}"/>
    <cellStyle name="CABEÇALHO 23 3 5" xfId="3091" xr:uid="{00000000-0005-0000-0000-0000D6050000}"/>
    <cellStyle name="CABEÇALHO 23 3 6" xfId="5895" xr:uid="{00000000-0005-0000-0000-0000D7050000}"/>
    <cellStyle name="CABEÇALHO 23 3 7" xfId="9420" xr:uid="{00000000-0005-0000-0000-0000D8050000}"/>
    <cellStyle name="CABEÇALHO 23 3 8" xfId="10121" xr:uid="{00000000-0005-0000-0000-0000D9050000}"/>
    <cellStyle name="CABEÇALHO 23 4" xfId="1256" xr:uid="{00000000-0005-0000-0000-0000DA050000}"/>
    <cellStyle name="CABEÇALHO 23 4 2" xfId="2398" xr:uid="{00000000-0005-0000-0000-0000DB050000}"/>
    <cellStyle name="CABEÇALHO 23 4 2 2" xfId="5278" xr:uid="{00000000-0005-0000-0000-0000DC050000}"/>
    <cellStyle name="CABEÇALHO 23 4 2 3" xfId="7833" xr:uid="{00000000-0005-0000-0000-0000DD050000}"/>
    <cellStyle name="CABEÇALHO 23 4 2 4" xfId="7387" xr:uid="{00000000-0005-0000-0000-0000DE050000}"/>
    <cellStyle name="CABEÇALHO 23 4 2 5" xfId="6125" xr:uid="{00000000-0005-0000-0000-0000DF050000}"/>
    <cellStyle name="CABEÇALHO 23 4 2 6" xfId="11564" xr:uid="{00000000-0005-0000-0000-0000E0050000}"/>
    <cellStyle name="CABEÇALHO 23 4 3" xfId="2505" xr:uid="{00000000-0005-0000-0000-0000E1050000}"/>
    <cellStyle name="CABEÇALHO 23 4 3 2" xfId="5385" xr:uid="{00000000-0005-0000-0000-0000E2050000}"/>
    <cellStyle name="CABEÇALHO 23 4 3 3" xfId="6094" xr:uid="{00000000-0005-0000-0000-0000E3050000}"/>
    <cellStyle name="CABEÇALHO 23 4 3 4" xfId="9335" xr:uid="{00000000-0005-0000-0000-0000E4050000}"/>
    <cellStyle name="CABEÇALHO 23 4 3 5" xfId="10773" xr:uid="{00000000-0005-0000-0000-0000E5050000}"/>
    <cellStyle name="CABEÇALHO 23 4 3 6" xfId="11536" xr:uid="{00000000-0005-0000-0000-0000E6050000}"/>
    <cellStyle name="CABEÇALHO 23 4 4" xfId="4136" xr:uid="{00000000-0005-0000-0000-0000E7050000}"/>
    <cellStyle name="CABEÇALHO 23 4 5" xfId="3107" xr:uid="{00000000-0005-0000-0000-0000E8050000}"/>
    <cellStyle name="CABEÇALHO 23 4 6" xfId="2994" xr:uid="{00000000-0005-0000-0000-0000E9050000}"/>
    <cellStyle name="CABEÇALHO 23 4 7" xfId="6629" xr:uid="{00000000-0005-0000-0000-0000EA050000}"/>
    <cellStyle name="CABEÇALHO 23 4 8" xfId="11193" xr:uid="{00000000-0005-0000-0000-0000EB050000}"/>
    <cellStyle name="CABEÇALHO 23 5" xfId="1289" xr:uid="{00000000-0005-0000-0000-0000EC050000}"/>
    <cellStyle name="CABEÇALHO 23 5 2" xfId="2431" xr:uid="{00000000-0005-0000-0000-0000ED050000}"/>
    <cellStyle name="CABEÇALHO 23 5 2 2" xfId="5311" xr:uid="{00000000-0005-0000-0000-0000EE050000}"/>
    <cellStyle name="CABEÇALHO 23 5 2 3" xfId="6847" xr:uid="{00000000-0005-0000-0000-0000EF050000}"/>
    <cellStyle name="CABEÇALHO 23 5 2 4" xfId="7525" xr:uid="{00000000-0005-0000-0000-0000F0050000}"/>
    <cellStyle name="CABEÇALHO 23 5 2 5" xfId="9942" xr:uid="{00000000-0005-0000-0000-0000F1050000}"/>
    <cellStyle name="CABEÇALHO 23 5 2 6" xfId="11058" xr:uid="{00000000-0005-0000-0000-0000F2050000}"/>
    <cellStyle name="CABEÇALHO 23 5 3" xfId="2771" xr:uid="{00000000-0005-0000-0000-0000F3050000}"/>
    <cellStyle name="CABEÇALHO 23 5 3 2" xfId="5651" xr:uid="{00000000-0005-0000-0000-0000F4050000}"/>
    <cellStyle name="CABEÇALHO 23 5 3 3" xfId="8181" xr:uid="{00000000-0005-0000-0000-0000F5050000}"/>
    <cellStyle name="CABEÇALHO 23 5 3 4" xfId="9463" xr:uid="{00000000-0005-0000-0000-0000F6050000}"/>
    <cellStyle name="CABEÇALHO 23 5 3 5" xfId="10329" xr:uid="{00000000-0005-0000-0000-0000F7050000}"/>
    <cellStyle name="CABEÇALHO 23 5 3 6" xfId="11186" xr:uid="{00000000-0005-0000-0000-0000F8050000}"/>
    <cellStyle name="CABEÇALHO 23 5 4" xfId="4169" xr:uid="{00000000-0005-0000-0000-0000F9050000}"/>
    <cellStyle name="CABEÇALHO 23 5 5" xfId="3035" xr:uid="{00000000-0005-0000-0000-0000FA050000}"/>
    <cellStyle name="CABEÇALHO 23 5 6" xfId="2990" xr:uid="{00000000-0005-0000-0000-0000FB050000}"/>
    <cellStyle name="CABEÇALHO 23 5 7" xfId="8283" xr:uid="{00000000-0005-0000-0000-0000FC050000}"/>
    <cellStyle name="CABEÇALHO 23 5 8" xfId="9777" xr:uid="{00000000-0005-0000-0000-0000FD050000}"/>
    <cellStyle name="CABEÇALHO 23 6" xfId="1321" xr:uid="{00000000-0005-0000-0000-0000FE050000}"/>
    <cellStyle name="CABEÇALHO 23 6 2" xfId="2463" xr:uid="{00000000-0005-0000-0000-0000FF050000}"/>
    <cellStyle name="CABEÇALHO 23 6 2 2" xfId="5343" xr:uid="{00000000-0005-0000-0000-000000060000}"/>
    <cellStyle name="CABEÇALHO 23 6 2 3" xfId="7012" xr:uid="{00000000-0005-0000-0000-000001060000}"/>
    <cellStyle name="CABEÇALHO 23 6 2 4" xfId="9533" xr:uid="{00000000-0005-0000-0000-000002060000}"/>
    <cellStyle name="CABEÇALHO 23 6 2 5" xfId="10224" xr:uid="{00000000-0005-0000-0000-000003060000}"/>
    <cellStyle name="CABEÇALHO 23 6 2 6" xfId="10579" xr:uid="{00000000-0005-0000-0000-000004060000}"/>
    <cellStyle name="CABEÇALHO 23 6 3" xfId="2550" xr:uid="{00000000-0005-0000-0000-000005060000}"/>
    <cellStyle name="CABEÇALHO 23 6 3 2" xfId="5430" xr:uid="{00000000-0005-0000-0000-000006060000}"/>
    <cellStyle name="CABEÇALHO 23 6 3 3" xfId="6393" xr:uid="{00000000-0005-0000-0000-000007060000}"/>
    <cellStyle name="CABEÇALHO 23 6 3 4" xfId="9456" xr:uid="{00000000-0005-0000-0000-000008060000}"/>
    <cellStyle name="CABEÇALHO 23 6 3 5" xfId="9667" xr:uid="{00000000-0005-0000-0000-000009060000}"/>
    <cellStyle name="CABEÇALHO 23 6 3 6" xfId="6549" xr:uid="{00000000-0005-0000-0000-00000A060000}"/>
    <cellStyle name="CABEÇALHO 23 6 4" xfId="4201" xr:uid="{00000000-0005-0000-0000-00000B060000}"/>
    <cellStyle name="CABEÇALHO 23 6 5" xfId="3138" xr:uid="{00000000-0005-0000-0000-00000C060000}"/>
    <cellStyle name="CABEÇALHO 23 6 6" xfId="5847" xr:uid="{00000000-0005-0000-0000-00000D060000}"/>
    <cellStyle name="CABEÇALHO 23 6 7" xfId="8601" xr:uid="{00000000-0005-0000-0000-00000E060000}"/>
    <cellStyle name="CABEÇALHO 23 6 8" xfId="10780" xr:uid="{00000000-0005-0000-0000-00000F060000}"/>
    <cellStyle name="CABEÇALHO 23 7" xfId="1781" xr:uid="{00000000-0005-0000-0000-000010060000}"/>
    <cellStyle name="CABEÇALHO 23 7 2" xfId="4661" xr:uid="{00000000-0005-0000-0000-000011060000}"/>
    <cellStyle name="CABEÇALHO 23 7 3" xfId="8083" xr:uid="{00000000-0005-0000-0000-000012060000}"/>
    <cellStyle name="CABEÇALHO 23 7 4" xfId="2944" xr:uid="{00000000-0005-0000-0000-000013060000}"/>
    <cellStyle name="CABEÇALHO 23 7 5" xfId="10690" xr:uid="{00000000-0005-0000-0000-000014060000}"/>
    <cellStyle name="CABEÇALHO 23 7 6" xfId="10897" xr:uid="{00000000-0005-0000-0000-000015060000}"/>
    <cellStyle name="CABEÇALHO 23 8" xfId="2659" xr:uid="{00000000-0005-0000-0000-000016060000}"/>
    <cellStyle name="CABEÇALHO 23 8 2" xfId="5539" xr:uid="{00000000-0005-0000-0000-000017060000}"/>
    <cellStyle name="CABEÇALHO 23 8 3" xfId="6079" xr:uid="{00000000-0005-0000-0000-000018060000}"/>
    <cellStyle name="CABEÇALHO 23 8 4" xfId="9032" xr:uid="{00000000-0005-0000-0000-000019060000}"/>
    <cellStyle name="CABEÇALHO 23 8 5" xfId="10076" xr:uid="{00000000-0005-0000-0000-00001A060000}"/>
    <cellStyle name="CABEÇALHO 23 8 6" xfId="8895" xr:uid="{00000000-0005-0000-0000-00001B060000}"/>
    <cellStyle name="CABEÇALHO 23 9" xfId="3520" xr:uid="{00000000-0005-0000-0000-00001C060000}"/>
    <cellStyle name="CABEÇALHO 24" xfId="512" xr:uid="{00000000-0005-0000-0000-00001D060000}"/>
    <cellStyle name="CABEÇALHO 24 10" xfId="6438" xr:uid="{00000000-0005-0000-0000-00001E060000}"/>
    <cellStyle name="CABEÇALHO 24 11" xfId="8532" xr:uid="{00000000-0005-0000-0000-00001F060000}"/>
    <cellStyle name="CABEÇALHO 24 12" xfId="6879" xr:uid="{00000000-0005-0000-0000-000020060000}"/>
    <cellStyle name="CABEÇALHO 24 13" xfId="9786" xr:uid="{00000000-0005-0000-0000-000021060000}"/>
    <cellStyle name="CABEÇALHO 24 2" xfId="988" xr:uid="{00000000-0005-0000-0000-000022060000}"/>
    <cellStyle name="CABEÇALHO 24 2 2" xfId="2130" xr:uid="{00000000-0005-0000-0000-000023060000}"/>
    <cellStyle name="CABEÇALHO 24 2 2 2" xfId="5010" xr:uid="{00000000-0005-0000-0000-000024060000}"/>
    <cellStyle name="CABEÇALHO 24 2 2 3" xfId="6683" xr:uid="{00000000-0005-0000-0000-000025060000}"/>
    <cellStyle name="CABEÇALHO 24 2 2 4" xfId="9172" xr:uid="{00000000-0005-0000-0000-000026060000}"/>
    <cellStyle name="CABEÇALHO 24 2 2 5" xfId="10488" xr:uid="{00000000-0005-0000-0000-000027060000}"/>
    <cellStyle name="CABEÇALHO 24 2 2 6" xfId="11406" xr:uid="{00000000-0005-0000-0000-000028060000}"/>
    <cellStyle name="CABEÇALHO 24 2 3" xfId="2578" xr:uid="{00000000-0005-0000-0000-000029060000}"/>
    <cellStyle name="CABEÇALHO 24 2 3 2" xfId="5458" xr:uid="{00000000-0005-0000-0000-00002A060000}"/>
    <cellStyle name="CABEÇALHO 24 2 3 3" xfId="6758" xr:uid="{00000000-0005-0000-0000-00002B060000}"/>
    <cellStyle name="CABEÇALHO 24 2 3 4" xfId="9057" xr:uid="{00000000-0005-0000-0000-00002C060000}"/>
    <cellStyle name="CABEÇALHO 24 2 3 5" xfId="10389" xr:uid="{00000000-0005-0000-0000-00002D060000}"/>
    <cellStyle name="CABEÇALHO 24 2 3 6" xfId="11604" xr:uid="{00000000-0005-0000-0000-00002E060000}"/>
    <cellStyle name="CABEÇALHO 24 2 4" xfId="3868" xr:uid="{00000000-0005-0000-0000-00002F060000}"/>
    <cellStyle name="CABEÇALHO 24 2 5" xfId="5865" xr:uid="{00000000-0005-0000-0000-000030060000}"/>
    <cellStyle name="CABEÇALHO 24 2 6" xfId="6840" xr:uid="{00000000-0005-0000-0000-000031060000}"/>
    <cellStyle name="CABEÇALHO 24 2 7" xfId="10292" xr:uid="{00000000-0005-0000-0000-000032060000}"/>
    <cellStyle name="CABEÇALHO 24 2 8" xfId="11319" xr:uid="{00000000-0005-0000-0000-000033060000}"/>
    <cellStyle name="CABEÇALHO 24 3" xfId="807" xr:uid="{00000000-0005-0000-0000-000034060000}"/>
    <cellStyle name="CABEÇALHO 24 3 2" xfId="1949" xr:uid="{00000000-0005-0000-0000-000035060000}"/>
    <cellStyle name="CABEÇALHO 24 3 2 2" xfId="4829" xr:uid="{00000000-0005-0000-0000-000036060000}"/>
    <cellStyle name="CABEÇALHO 24 3 2 3" xfId="7227" xr:uid="{00000000-0005-0000-0000-000037060000}"/>
    <cellStyle name="CABEÇALHO 24 3 2 4" xfId="9384" xr:uid="{00000000-0005-0000-0000-000038060000}"/>
    <cellStyle name="CABEÇALHO 24 3 2 5" xfId="9656" xr:uid="{00000000-0005-0000-0000-000039060000}"/>
    <cellStyle name="CABEÇALHO 24 3 2 6" xfId="10873" xr:uid="{00000000-0005-0000-0000-00003A060000}"/>
    <cellStyle name="CABEÇALHO 24 3 3" xfId="1466" xr:uid="{00000000-0005-0000-0000-00003B060000}"/>
    <cellStyle name="CABEÇALHO 24 3 3 2" xfId="4346" xr:uid="{00000000-0005-0000-0000-00003C060000}"/>
    <cellStyle name="CABEÇALHO 24 3 3 3" xfId="6617" xr:uid="{00000000-0005-0000-0000-00003D060000}"/>
    <cellStyle name="CABEÇALHO 24 3 3 4" xfId="3012" xr:uid="{00000000-0005-0000-0000-00003E060000}"/>
    <cellStyle name="CABEÇALHO 24 3 3 5" xfId="8807" xr:uid="{00000000-0005-0000-0000-00003F060000}"/>
    <cellStyle name="CABEÇALHO 24 3 3 6" xfId="9977" xr:uid="{00000000-0005-0000-0000-000040060000}"/>
    <cellStyle name="CABEÇALHO 24 3 4" xfId="3687" xr:uid="{00000000-0005-0000-0000-000041060000}"/>
    <cellStyle name="CABEÇALHO 24 3 5" xfId="7124" xr:uid="{00000000-0005-0000-0000-000042060000}"/>
    <cellStyle name="CABEÇALHO 24 3 6" xfId="8843" xr:uid="{00000000-0005-0000-0000-000043060000}"/>
    <cellStyle name="CABEÇALHO 24 3 7" xfId="9797" xr:uid="{00000000-0005-0000-0000-000044060000}"/>
    <cellStyle name="CABEÇALHO 24 3 8" xfId="10605" xr:uid="{00000000-0005-0000-0000-000045060000}"/>
    <cellStyle name="CABEÇALHO 24 4" xfId="1197" xr:uid="{00000000-0005-0000-0000-000046060000}"/>
    <cellStyle name="CABEÇALHO 24 4 2" xfId="2339" xr:uid="{00000000-0005-0000-0000-000047060000}"/>
    <cellStyle name="CABEÇALHO 24 4 2 2" xfId="5219" xr:uid="{00000000-0005-0000-0000-000048060000}"/>
    <cellStyle name="CABEÇALHO 24 4 2 3" xfId="7663" xr:uid="{00000000-0005-0000-0000-000049060000}"/>
    <cellStyle name="CABEÇALHO 24 4 2 4" xfId="9269" xr:uid="{00000000-0005-0000-0000-00004A060000}"/>
    <cellStyle name="CABEÇALHO 24 4 2 5" xfId="10642" xr:uid="{00000000-0005-0000-0000-00004B060000}"/>
    <cellStyle name="CABEÇALHO 24 4 2 6" xfId="10891" xr:uid="{00000000-0005-0000-0000-00004C060000}"/>
    <cellStyle name="CABEÇALHO 24 4 3" xfId="1407" xr:uid="{00000000-0005-0000-0000-00004D060000}"/>
    <cellStyle name="CABEÇALHO 24 4 3 2" xfId="4287" xr:uid="{00000000-0005-0000-0000-00004E060000}"/>
    <cellStyle name="CABEÇALHO 24 4 3 3" xfId="6827" xr:uid="{00000000-0005-0000-0000-00004F060000}"/>
    <cellStyle name="CABEÇALHO 24 4 3 4" xfId="8297" xr:uid="{00000000-0005-0000-0000-000050060000}"/>
    <cellStyle name="CABEÇALHO 24 4 3 5" xfId="10830" xr:uid="{00000000-0005-0000-0000-000051060000}"/>
    <cellStyle name="CABEÇALHO 24 4 3 6" xfId="11641" xr:uid="{00000000-0005-0000-0000-000052060000}"/>
    <cellStyle name="CABEÇALHO 24 4 4" xfId="4077" xr:uid="{00000000-0005-0000-0000-000053060000}"/>
    <cellStyle name="CABEÇALHO 24 4 5" xfId="2923" xr:uid="{00000000-0005-0000-0000-000054060000}"/>
    <cellStyle name="CABEÇALHO 24 4 6" xfId="5917" xr:uid="{00000000-0005-0000-0000-000055060000}"/>
    <cellStyle name="CABEÇALHO 24 4 7" xfId="9563" xr:uid="{00000000-0005-0000-0000-000056060000}"/>
    <cellStyle name="CABEÇALHO 24 4 8" xfId="11259" xr:uid="{00000000-0005-0000-0000-000057060000}"/>
    <cellStyle name="CABEÇALHO 24 5" xfId="719" xr:uid="{00000000-0005-0000-0000-000058060000}"/>
    <cellStyle name="CABEÇALHO 24 5 2" xfId="1861" xr:uid="{00000000-0005-0000-0000-000059060000}"/>
    <cellStyle name="CABEÇALHO 24 5 2 2" xfId="4741" xr:uid="{00000000-0005-0000-0000-00005A060000}"/>
    <cellStyle name="CABEÇALHO 24 5 2 3" xfId="6563" xr:uid="{00000000-0005-0000-0000-00005B060000}"/>
    <cellStyle name="CABEÇALHO 24 5 2 4" xfId="9060" xr:uid="{00000000-0005-0000-0000-00005C060000}"/>
    <cellStyle name="CABEÇALHO 24 5 2 5" xfId="10371" xr:uid="{00000000-0005-0000-0000-00005D060000}"/>
    <cellStyle name="CABEÇALHO 24 5 2 6" xfId="9254" xr:uid="{00000000-0005-0000-0000-00005E060000}"/>
    <cellStyle name="CABEÇALHO 24 5 3" xfId="2731" xr:uid="{00000000-0005-0000-0000-00005F060000}"/>
    <cellStyle name="CABEÇALHO 24 5 3 2" xfId="5611" xr:uid="{00000000-0005-0000-0000-000060060000}"/>
    <cellStyle name="CABEÇALHO 24 5 3 3" xfId="6535" xr:uid="{00000000-0005-0000-0000-000061060000}"/>
    <cellStyle name="CABEÇALHO 24 5 3 4" xfId="9517" xr:uid="{00000000-0005-0000-0000-000062060000}"/>
    <cellStyle name="CABEÇALHO 24 5 3 5" xfId="10585" xr:uid="{00000000-0005-0000-0000-000063060000}"/>
    <cellStyle name="CABEÇALHO 24 5 3 6" xfId="11623" xr:uid="{00000000-0005-0000-0000-000064060000}"/>
    <cellStyle name="CABEÇALHO 24 5 4" xfId="3599" xr:uid="{00000000-0005-0000-0000-000065060000}"/>
    <cellStyle name="CABEÇALHO 24 5 5" xfId="6969" xr:uid="{00000000-0005-0000-0000-000066060000}"/>
    <cellStyle name="CABEÇALHO 24 5 6" xfId="6930" xr:uid="{00000000-0005-0000-0000-000067060000}"/>
    <cellStyle name="CABEÇALHO 24 5 7" xfId="10256" xr:uid="{00000000-0005-0000-0000-000068060000}"/>
    <cellStyle name="CABEÇALHO 24 5 8" xfId="7142" xr:uid="{00000000-0005-0000-0000-000069060000}"/>
    <cellStyle name="CABEÇALHO 24 6" xfId="798" xr:uid="{00000000-0005-0000-0000-00006A060000}"/>
    <cellStyle name="CABEÇALHO 24 6 2" xfId="1940" xr:uid="{00000000-0005-0000-0000-00006B060000}"/>
    <cellStyle name="CABEÇALHO 24 6 2 2" xfId="4820" xr:uid="{00000000-0005-0000-0000-00006C060000}"/>
    <cellStyle name="CABEÇALHO 24 6 2 3" xfId="8120" xr:uid="{00000000-0005-0000-0000-00006D060000}"/>
    <cellStyle name="CABEÇALHO 24 6 2 4" xfId="6684" xr:uid="{00000000-0005-0000-0000-00006E060000}"/>
    <cellStyle name="CABEÇALHO 24 6 2 5" xfId="10669" xr:uid="{00000000-0005-0000-0000-00006F060000}"/>
    <cellStyle name="CABEÇALHO 24 6 2 6" xfId="10556" xr:uid="{00000000-0005-0000-0000-000070060000}"/>
    <cellStyle name="CABEÇALHO 24 6 3" xfId="1473" xr:uid="{00000000-0005-0000-0000-000071060000}"/>
    <cellStyle name="CABEÇALHO 24 6 3 2" xfId="4353" xr:uid="{00000000-0005-0000-0000-000072060000}"/>
    <cellStyle name="CABEÇALHO 24 6 3 3" xfId="5942" xr:uid="{00000000-0005-0000-0000-000073060000}"/>
    <cellStyle name="CABEÇALHO 24 6 3 4" xfId="6915" xr:uid="{00000000-0005-0000-0000-000074060000}"/>
    <cellStyle name="CABEÇALHO 24 6 3 5" xfId="10696" xr:uid="{00000000-0005-0000-0000-000075060000}"/>
    <cellStyle name="CABEÇALHO 24 6 3 6" xfId="11456" xr:uid="{00000000-0005-0000-0000-000076060000}"/>
    <cellStyle name="CABEÇALHO 24 6 4" xfId="3678" xr:uid="{00000000-0005-0000-0000-000077060000}"/>
    <cellStyle name="CABEÇALHO 24 6 5" xfId="7348" xr:uid="{00000000-0005-0000-0000-000078060000}"/>
    <cellStyle name="CABEÇALHO 24 6 6" xfId="6858" xr:uid="{00000000-0005-0000-0000-000079060000}"/>
    <cellStyle name="CABEÇALHO 24 6 7" xfId="7108" xr:uid="{00000000-0005-0000-0000-00007A060000}"/>
    <cellStyle name="CABEÇALHO 24 6 8" xfId="11264" xr:uid="{00000000-0005-0000-0000-00007B060000}"/>
    <cellStyle name="CABEÇALHO 24 7" xfId="1653" xr:uid="{00000000-0005-0000-0000-00007C060000}"/>
    <cellStyle name="CABEÇALHO 24 7 2" xfId="4533" xr:uid="{00000000-0005-0000-0000-00007D060000}"/>
    <cellStyle name="CABEÇALHO 24 7 3" xfId="5930" xr:uid="{00000000-0005-0000-0000-00007E060000}"/>
    <cellStyle name="CABEÇALHO 24 7 4" xfId="8019" xr:uid="{00000000-0005-0000-0000-00007F060000}"/>
    <cellStyle name="CABEÇALHO 24 7 5" xfId="10750" xr:uid="{00000000-0005-0000-0000-000080060000}"/>
    <cellStyle name="CABEÇALHO 24 7 6" xfId="10986" xr:uid="{00000000-0005-0000-0000-000081060000}"/>
    <cellStyle name="CABEÇALHO 24 8" xfId="2848" xr:uid="{00000000-0005-0000-0000-000082060000}"/>
    <cellStyle name="CABEÇALHO 24 8 2" xfId="5728" xr:uid="{00000000-0005-0000-0000-000083060000}"/>
    <cellStyle name="CABEÇALHO 24 8 3" xfId="6689" xr:uid="{00000000-0005-0000-0000-000084060000}"/>
    <cellStyle name="CABEÇALHO 24 8 4" xfId="8302" xr:uid="{00000000-0005-0000-0000-000085060000}"/>
    <cellStyle name="CABEÇALHO 24 8 5" xfId="10647" xr:uid="{00000000-0005-0000-0000-000086060000}"/>
    <cellStyle name="CABEÇALHO 24 8 6" xfId="11230" xr:uid="{00000000-0005-0000-0000-000087060000}"/>
    <cellStyle name="CABEÇALHO 24 9" xfId="3392" xr:uid="{00000000-0005-0000-0000-000088060000}"/>
    <cellStyle name="CABEÇALHO 25" xfId="487" xr:uid="{00000000-0005-0000-0000-000089060000}"/>
    <cellStyle name="CABEÇALHO 25 10" xfId="2983" xr:uid="{00000000-0005-0000-0000-00008A060000}"/>
    <cellStyle name="CABEÇALHO 25 11" xfId="6225" xr:uid="{00000000-0005-0000-0000-00008B060000}"/>
    <cellStyle name="CABEÇALHO 25 12" xfId="6785" xr:uid="{00000000-0005-0000-0000-00008C060000}"/>
    <cellStyle name="CABEÇALHO 25 13" xfId="11554" xr:uid="{00000000-0005-0000-0000-00008D060000}"/>
    <cellStyle name="CABEÇALHO 25 2" xfId="963" xr:uid="{00000000-0005-0000-0000-00008E060000}"/>
    <cellStyle name="CABEÇALHO 25 2 2" xfId="2105" xr:uid="{00000000-0005-0000-0000-00008F060000}"/>
    <cellStyle name="CABEÇALHO 25 2 2 2" xfId="4985" xr:uid="{00000000-0005-0000-0000-000090060000}"/>
    <cellStyle name="CABEÇALHO 25 2 2 3" xfId="7998" xr:uid="{00000000-0005-0000-0000-000091060000}"/>
    <cellStyle name="CABEÇALHO 25 2 2 4" xfId="5881" xr:uid="{00000000-0005-0000-0000-000092060000}"/>
    <cellStyle name="CABEÇALHO 25 2 2 5" xfId="10784" xr:uid="{00000000-0005-0000-0000-000093060000}"/>
    <cellStyle name="CABEÇALHO 25 2 2 6" xfId="11347" xr:uid="{00000000-0005-0000-0000-000094060000}"/>
    <cellStyle name="CABEÇALHO 25 2 3" xfId="1384" xr:uid="{00000000-0005-0000-0000-000095060000}"/>
    <cellStyle name="CABEÇALHO 25 2 3 2" xfId="4264" xr:uid="{00000000-0005-0000-0000-000096060000}"/>
    <cellStyle name="CABEÇALHO 25 2 3 3" xfId="8122" xr:uid="{00000000-0005-0000-0000-000097060000}"/>
    <cellStyle name="CABEÇALHO 25 2 3 4" xfId="9527" xr:uid="{00000000-0005-0000-0000-000098060000}"/>
    <cellStyle name="CABEÇALHO 25 2 3 5" xfId="10200" xr:uid="{00000000-0005-0000-0000-000099060000}"/>
    <cellStyle name="CABEÇALHO 25 2 3 6" xfId="8447" xr:uid="{00000000-0005-0000-0000-00009A060000}"/>
    <cellStyle name="CABEÇALHO 25 2 4" xfId="3843" xr:uid="{00000000-0005-0000-0000-00009B060000}"/>
    <cellStyle name="CABEÇALHO 25 2 5" xfId="2906" xr:uid="{00000000-0005-0000-0000-00009C060000}"/>
    <cellStyle name="CABEÇALHO 25 2 6" xfId="2993" xr:uid="{00000000-0005-0000-0000-00009D060000}"/>
    <cellStyle name="CABEÇALHO 25 2 7" xfId="2898" xr:uid="{00000000-0005-0000-0000-00009E060000}"/>
    <cellStyle name="CABEÇALHO 25 2 8" xfId="11304" xr:uid="{00000000-0005-0000-0000-00009F060000}"/>
    <cellStyle name="CABEÇALHO 25 3" xfId="668" xr:uid="{00000000-0005-0000-0000-0000A0060000}"/>
    <cellStyle name="CABEÇALHO 25 3 2" xfId="1810" xr:uid="{00000000-0005-0000-0000-0000A1060000}"/>
    <cellStyle name="CABEÇALHO 25 3 2 2" xfId="4690" xr:uid="{00000000-0005-0000-0000-0000A2060000}"/>
    <cellStyle name="CABEÇALHO 25 3 2 3" xfId="7881" xr:uid="{00000000-0005-0000-0000-0000A3060000}"/>
    <cellStyle name="CABEÇALHO 25 3 2 4" xfId="6843" xr:uid="{00000000-0005-0000-0000-0000A4060000}"/>
    <cellStyle name="CABEÇALHO 25 3 2 5" xfId="7684" xr:uid="{00000000-0005-0000-0000-0000A5060000}"/>
    <cellStyle name="CABEÇALHO 25 3 2 6" xfId="10888" xr:uid="{00000000-0005-0000-0000-0000A6060000}"/>
    <cellStyle name="CABEÇALHO 25 3 3" xfId="2708" xr:uid="{00000000-0005-0000-0000-0000A7060000}"/>
    <cellStyle name="CABEÇALHO 25 3 3 2" xfId="5588" xr:uid="{00000000-0005-0000-0000-0000A8060000}"/>
    <cellStyle name="CABEÇALHO 25 3 3 3" xfId="6829" xr:uid="{00000000-0005-0000-0000-0000A9060000}"/>
    <cellStyle name="CABEÇALHO 25 3 3 4" xfId="9165" xr:uid="{00000000-0005-0000-0000-0000AA060000}"/>
    <cellStyle name="CABEÇALHO 25 3 3 5" xfId="10483" xr:uid="{00000000-0005-0000-0000-0000AB060000}"/>
    <cellStyle name="CABEÇALHO 25 3 3 6" xfId="10107" xr:uid="{00000000-0005-0000-0000-0000AC060000}"/>
    <cellStyle name="CABEÇALHO 25 3 4" xfId="3548" xr:uid="{00000000-0005-0000-0000-0000AD060000}"/>
    <cellStyle name="CABEÇALHO 25 3 5" xfId="6953" xr:uid="{00000000-0005-0000-0000-0000AE060000}"/>
    <cellStyle name="CABEÇALHO 25 3 6" xfId="6505" xr:uid="{00000000-0005-0000-0000-0000AF060000}"/>
    <cellStyle name="CABEÇALHO 25 3 7" xfId="10244" xr:uid="{00000000-0005-0000-0000-0000B0060000}"/>
    <cellStyle name="CABEÇALHO 25 3 8" xfId="10895" xr:uid="{00000000-0005-0000-0000-0000B1060000}"/>
    <cellStyle name="CABEÇALHO 25 4" xfId="1220" xr:uid="{00000000-0005-0000-0000-0000B2060000}"/>
    <cellStyle name="CABEÇALHO 25 4 2" xfId="2362" xr:uid="{00000000-0005-0000-0000-0000B3060000}"/>
    <cellStyle name="CABEÇALHO 25 4 2 2" xfId="5242" xr:uid="{00000000-0005-0000-0000-0000B4060000}"/>
    <cellStyle name="CABEÇALHO 25 4 2 3" xfId="7961" xr:uid="{00000000-0005-0000-0000-0000B5060000}"/>
    <cellStyle name="CABEÇALHO 25 4 2 4" xfId="7524" xr:uid="{00000000-0005-0000-0000-0000B6060000}"/>
    <cellStyle name="CABEÇALHO 25 4 2 5" xfId="6513" xr:uid="{00000000-0005-0000-0000-0000B7060000}"/>
    <cellStyle name="CABEÇALHO 25 4 2 6" xfId="10140" xr:uid="{00000000-0005-0000-0000-0000B8060000}"/>
    <cellStyle name="CABEÇALHO 25 4 3" xfId="1361" xr:uid="{00000000-0005-0000-0000-0000B9060000}"/>
    <cellStyle name="CABEÇALHO 25 4 3 2" xfId="4241" xr:uid="{00000000-0005-0000-0000-0000BA060000}"/>
    <cellStyle name="CABEÇALHO 25 4 3 3" xfId="6139" xr:uid="{00000000-0005-0000-0000-0000BB060000}"/>
    <cellStyle name="CABEÇALHO 25 4 3 4" xfId="8039" xr:uid="{00000000-0005-0000-0000-0000BC060000}"/>
    <cellStyle name="CABEÇALHO 25 4 3 5" xfId="3165" xr:uid="{00000000-0005-0000-0000-0000BD060000}"/>
    <cellStyle name="CABEÇALHO 25 4 3 6" xfId="11398" xr:uid="{00000000-0005-0000-0000-0000BE060000}"/>
    <cellStyle name="CABEÇALHO 25 4 4" xfId="4100" xr:uid="{00000000-0005-0000-0000-0000BF060000}"/>
    <cellStyle name="CABEÇALHO 25 4 5" xfId="3009" xr:uid="{00000000-0005-0000-0000-0000C0060000}"/>
    <cellStyle name="CABEÇALHO 25 4 6" xfId="6978" xr:uid="{00000000-0005-0000-0000-0000C1060000}"/>
    <cellStyle name="CABEÇALHO 25 4 7" xfId="7538" xr:uid="{00000000-0005-0000-0000-0000C2060000}"/>
    <cellStyle name="CABEÇALHO 25 4 8" xfId="6550" xr:uid="{00000000-0005-0000-0000-0000C3060000}"/>
    <cellStyle name="CABEÇALHO 25 5" xfId="1160" xr:uid="{00000000-0005-0000-0000-0000C4060000}"/>
    <cellStyle name="CABEÇALHO 25 5 2" xfId="2302" xr:uid="{00000000-0005-0000-0000-0000C5060000}"/>
    <cellStyle name="CABEÇALHO 25 5 2 2" xfId="5182" xr:uid="{00000000-0005-0000-0000-0000C6060000}"/>
    <cellStyle name="CABEÇALHO 25 5 2 3" xfId="6801" xr:uid="{00000000-0005-0000-0000-0000C7060000}"/>
    <cellStyle name="CABEÇALHO 25 5 2 4" xfId="6957" xr:uid="{00000000-0005-0000-0000-0000C8060000}"/>
    <cellStyle name="CABEÇALHO 25 5 2 5" xfId="9832" xr:uid="{00000000-0005-0000-0000-0000C9060000}"/>
    <cellStyle name="CABEÇALHO 25 5 2 6" xfId="10398" xr:uid="{00000000-0005-0000-0000-0000CA060000}"/>
    <cellStyle name="CABEÇALHO 25 5 3" xfId="1359" xr:uid="{00000000-0005-0000-0000-0000CB060000}"/>
    <cellStyle name="CABEÇALHO 25 5 3 2" xfId="4239" xr:uid="{00000000-0005-0000-0000-0000CC060000}"/>
    <cellStyle name="CABEÇALHO 25 5 3 3" xfId="7976" xr:uid="{00000000-0005-0000-0000-0000CD060000}"/>
    <cellStyle name="CABEÇALHO 25 5 3 4" xfId="9385" xr:uid="{00000000-0005-0000-0000-0000CE060000}"/>
    <cellStyle name="CABEÇALHO 25 5 3 5" xfId="10702" xr:uid="{00000000-0005-0000-0000-0000CF060000}"/>
    <cellStyle name="CABEÇALHO 25 5 3 6" xfId="11463" xr:uid="{00000000-0005-0000-0000-0000D0060000}"/>
    <cellStyle name="CABEÇALHO 25 5 4" xfId="4040" xr:uid="{00000000-0005-0000-0000-0000D1060000}"/>
    <cellStyle name="CABEÇALHO 25 5 5" xfId="2963" xr:uid="{00000000-0005-0000-0000-0000D2060000}"/>
    <cellStyle name="CABEÇALHO 25 5 6" xfId="6938" xr:uid="{00000000-0005-0000-0000-0000D3060000}"/>
    <cellStyle name="CABEÇALHO 25 5 7" xfId="9519" xr:uid="{00000000-0005-0000-0000-0000D4060000}"/>
    <cellStyle name="CABEÇALHO 25 5 8" xfId="8667" xr:uid="{00000000-0005-0000-0000-0000D5060000}"/>
    <cellStyle name="CABEÇALHO 25 6" xfId="1202" xr:uid="{00000000-0005-0000-0000-0000D6060000}"/>
    <cellStyle name="CABEÇALHO 25 6 2" xfId="2344" xr:uid="{00000000-0005-0000-0000-0000D7060000}"/>
    <cellStyle name="CABEÇALHO 25 6 2 2" xfId="5224" xr:uid="{00000000-0005-0000-0000-0000D8060000}"/>
    <cellStyle name="CABEÇALHO 25 6 2 3" xfId="7859" xr:uid="{00000000-0005-0000-0000-0000D9060000}"/>
    <cellStyle name="CABEÇALHO 25 6 2 4" xfId="7838" xr:uid="{00000000-0005-0000-0000-0000DA060000}"/>
    <cellStyle name="CABEÇALHO 25 6 2 5" xfId="6233" xr:uid="{00000000-0005-0000-0000-0000DB060000}"/>
    <cellStyle name="CABEÇALHO 25 6 2 6" xfId="11138" xr:uid="{00000000-0005-0000-0000-0000DC060000}"/>
    <cellStyle name="CABEÇALHO 25 6 3" xfId="2662" xr:uid="{00000000-0005-0000-0000-0000DD060000}"/>
    <cellStyle name="CABEÇALHO 25 6 3 2" xfId="5542" xr:uid="{00000000-0005-0000-0000-0000DE060000}"/>
    <cellStyle name="CABEÇALHO 25 6 3 3" xfId="8192" xr:uid="{00000000-0005-0000-0000-0000DF060000}"/>
    <cellStyle name="CABEÇALHO 25 6 3 4" xfId="9410" xr:uid="{00000000-0005-0000-0000-0000E0060000}"/>
    <cellStyle name="CABEÇALHO 25 6 3 5" xfId="10334" xr:uid="{00000000-0005-0000-0000-0000E1060000}"/>
    <cellStyle name="CABEÇALHO 25 6 3 6" xfId="2897" xr:uid="{00000000-0005-0000-0000-0000E2060000}"/>
    <cellStyle name="CABEÇALHO 25 6 4" xfId="4082" xr:uid="{00000000-0005-0000-0000-0000E3060000}"/>
    <cellStyle name="CABEÇALHO 25 6 5" xfId="3074" xr:uid="{00000000-0005-0000-0000-0000E4060000}"/>
    <cellStyle name="CABEÇALHO 25 6 6" xfId="5973" xr:uid="{00000000-0005-0000-0000-0000E5060000}"/>
    <cellStyle name="CABEÇALHO 25 6 7" xfId="8969" xr:uid="{00000000-0005-0000-0000-0000E6060000}"/>
    <cellStyle name="CABEÇALHO 25 6 8" xfId="8641" xr:uid="{00000000-0005-0000-0000-0000E7060000}"/>
    <cellStyle name="CABEÇALHO 25 7" xfId="1628" xr:uid="{00000000-0005-0000-0000-0000E8060000}"/>
    <cellStyle name="CABEÇALHO 25 7 2" xfId="4508" xr:uid="{00000000-0005-0000-0000-0000E9060000}"/>
    <cellStyle name="CABEÇALHO 25 7 3" xfId="6596" xr:uid="{00000000-0005-0000-0000-0000EA060000}"/>
    <cellStyle name="CABEÇALHO 25 7 4" xfId="2952" xr:uid="{00000000-0005-0000-0000-0000EB060000}"/>
    <cellStyle name="CABEÇALHO 25 7 5" xfId="5928" xr:uid="{00000000-0005-0000-0000-0000EC060000}"/>
    <cellStyle name="CABEÇALHO 25 7 6" xfId="10531" xr:uid="{00000000-0005-0000-0000-0000ED060000}"/>
    <cellStyle name="CABEÇALHO 25 8" xfId="2794" xr:uid="{00000000-0005-0000-0000-0000EE060000}"/>
    <cellStyle name="CABEÇALHO 25 8 2" xfId="5674" xr:uid="{00000000-0005-0000-0000-0000EF060000}"/>
    <cellStyle name="CABEÇALHO 25 8 3" xfId="6547" xr:uid="{00000000-0005-0000-0000-0000F0060000}"/>
    <cellStyle name="CABEÇALHO 25 8 4" xfId="9553" xr:uid="{00000000-0005-0000-0000-0000F1060000}"/>
    <cellStyle name="CABEÇALHO 25 8 5" xfId="10535" xr:uid="{00000000-0005-0000-0000-0000F2060000}"/>
    <cellStyle name="CABEÇALHO 25 8 6" xfId="10264" xr:uid="{00000000-0005-0000-0000-0000F3060000}"/>
    <cellStyle name="CABEÇALHO 25 9" xfId="3367" xr:uid="{00000000-0005-0000-0000-0000F4060000}"/>
    <cellStyle name="CABEÇALHO 26" xfId="646" xr:uid="{00000000-0005-0000-0000-0000F5060000}"/>
    <cellStyle name="CABEÇALHO 26 10" xfId="7072" xr:uid="{00000000-0005-0000-0000-0000F6060000}"/>
    <cellStyle name="CABEÇALHO 26 11" xfId="8796" xr:uid="{00000000-0005-0000-0000-0000F7060000}"/>
    <cellStyle name="CABEÇALHO 26 12" xfId="9764" xr:uid="{00000000-0005-0000-0000-0000F8060000}"/>
    <cellStyle name="CABEÇALHO 26 13" xfId="10724" xr:uid="{00000000-0005-0000-0000-0000F9060000}"/>
    <cellStyle name="CABEÇALHO 26 2" xfId="1122" xr:uid="{00000000-0005-0000-0000-0000FA060000}"/>
    <cellStyle name="CABEÇALHO 26 2 2" xfId="2264" xr:uid="{00000000-0005-0000-0000-0000FB060000}"/>
    <cellStyle name="CABEÇALHO 26 2 2 2" xfId="5144" xr:uid="{00000000-0005-0000-0000-0000FC060000}"/>
    <cellStyle name="CABEÇALHO 26 2 2 3" xfId="7808" xr:uid="{00000000-0005-0000-0000-0000FD060000}"/>
    <cellStyle name="CABEÇALHO 26 2 2 4" xfId="9588" xr:uid="{00000000-0005-0000-0000-0000FE060000}"/>
    <cellStyle name="CABEÇALHO 26 2 2 5" xfId="9383" xr:uid="{00000000-0005-0000-0000-0000FF060000}"/>
    <cellStyle name="CABEÇALHO 26 2 2 6" xfId="11596" xr:uid="{00000000-0005-0000-0000-000000070000}"/>
    <cellStyle name="CABEÇALHO 26 2 3" xfId="1409" xr:uid="{00000000-0005-0000-0000-000001070000}"/>
    <cellStyle name="CABEÇALHO 26 2 3 2" xfId="4289" xr:uid="{00000000-0005-0000-0000-000002070000}"/>
    <cellStyle name="CABEÇALHO 26 2 3 3" xfId="6701" xr:uid="{00000000-0005-0000-0000-000003070000}"/>
    <cellStyle name="CABEÇALHO 26 2 3 4" xfId="7047" xr:uid="{00000000-0005-0000-0000-000004070000}"/>
    <cellStyle name="CABEÇALHO 26 2 3 5" xfId="9609" xr:uid="{00000000-0005-0000-0000-000005070000}"/>
    <cellStyle name="CABEÇALHO 26 2 3 6" xfId="9978" xr:uid="{00000000-0005-0000-0000-000006070000}"/>
    <cellStyle name="CABEÇALHO 26 2 4" xfId="4002" xr:uid="{00000000-0005-0000-0000-000007070000}"/>
    <cellStyle name="CABEÇALHO 26 2 5" xfId="6956" xr:uid="{00000000-0005-0000-0000-000008070000}"/>
    <cellStyle name="CABEÇALHO 26 2 6" xfId="7502" xr:uid="{00000000-0005-0000-0000-000009070000}"/>
    <cellStyle name="CABEÇALHO 26 2 7" xfId="10245" xr:uid="{00000000-0005-0000-0000-00000A070000}"/>
    <cellStyle name="CABEÇALHO 26 2 8" xfId="11477" xr:uid="{00000000-0005-0000-0000-00000B070000}"/>
    <cellStyle name="CABEÇALHO 26 3" xfId="776" xr:uid="{00000000-0005-0000-0000-00000C070000}"/>
    <cellStyle name="CABEÇALHO 26 3 2" xfId="1918" xr:uid="{00000000-0005-0000-0000-00000D070000}"/>
    <cellStyle name="CABEÇALHO 26 3 2 2" xfId="4798" xr:uid="{00000000-0005-0000-0000-00000E070000}"/>
    <cellStyle name="CABEÇALHO 26 3 2 3" xfId="6849" xr:uid="{00000000-0005-0000-0000-00000F070000}"/>
    <cellStyle name="CABEÇALHO 26 3 2 4" xfId="7827" xr:uid="{00000000-0005-0000-0000-000010070000}"/>
    <cellStyle name="CABEÇALHO 26 3 2 5" xfId="7245" xr:uid="{00000000-0005-0000-0000-000011070000}"/>
    <cellStyle name="CABEÇALHO 26 3 2 6" xfId="8706" xr:uid="{00000000-0005-0000-0000-000012070000}"/>
    <cellStyle name="CABEÇALHO 26 3 3" xfId="2846" xr:uid="{00000000-0005-0000-0000-000013070000}"/>
    <cellStyle name="CABEÇALHO 26 3 3 2" xfId="5726" xr:uid="{00000000-0005-0000-0000-000014070000}"/>
    <cellStyle name="CABEÇALHO 26 3 3 3" xfId="6832" xr:uid="{00000000-0005-0000-0000-000015070000}"/>
    <cellStyle name="CABEÇALHO 26 3 3 4" xfId="9206" xr:uid="{00000000-0005-0000-0000-000016070000}"/>
    <cellStyle name="CABEÇALHO 26 3 3 5" xfId="10735" xr:uid="{00000000-0005-0000-0000-000017070000}"/>
    <cellStyle name="CABEÇALHO 26 3 3 6" xfId="11181" xr:uid="{00000000-0005-0000-0000-000018070000}"/>
    <cellStyle name="CABEÇALHO 26 3 4" xfId="3656" xr:uid="{00000000-0005-0000-0000-000019070000}"/>
    <cellStyle name="CABEÇALHO 26 3 5" xfId="6037" xr:uid="{00000000-0005-0000-0000-00001A070000}"/>
    <cellStyle name="CABEÇALHO 26 3 6" xfId="8995" xr:uid="{00000000-0005-0000-0000-00001B070000}"/>
    <cellStyle name="CABEÇALHO 26 3 7" xfId="9922" xr:uid="{00000000-0005-0000-0000-00001C070000}"/>
    <cellStyle name="CABEÇALHO 26 3 8" xfId="7059" xr:uid="{00000000-0005-0000-0000-00001D070000}"/>
    <cellStyle name="CABEÇALHO 26 4" xfId="1262" xr:uid="{00000000-0005-0000-0000-00001E070000}"/>
    <cellStyle name="CABEÇALHO 26 4 2" xfId="2404" xr:uid="{00000000-0005-0000-0000-00001F070000}"/>
    <cellStyle name="CABEÇALHO 26 4 2 2" xfId="5284" xr:uid="{00000000-0005-0000-0000-000020070000}"/>
    <cellStyle name="CABEÇALHO 26 4 2 3" xfId="8061" xr:uid="{00000000-0005-0000-0000-000021070000}"/>
    <cellStyle name="CABEÇALHO 26 4 2 4" xfId="7081" xr:uid="{00000000-0005-0000-0000-000022070000}"/>
    <cellStyle name="CABEÇALHO 26 4 2 5" xfId="5882" xr:uid="{00000000-0005-0000-0000-000023070000}"/>
    <cellStyle name="CABEÇALHO 26 4 2 6" xfId="9572" xr:uid="{00000000-0005-0000-0000-000024070000}"/>
    <cellStyle name="CABEÇALHO 26 4 3" xfId="1370" xr:uid="{00000000-0005-0000-0000-000025070000}"/>
    <cellStyle name="CABEÇALHO 26 4 3 2" xfId="4250" xr:uid="{00000000-0005-0000-0000-000026070000}"/>
    <cellStyle name="CABEÇALHO 26 4 3 3" xfId="6621" xr:uid="{00000000-0005-0000-0000-000027070000}"/>
    <cellStyle name="CABEÇALHO 26 4 3 4" xfId="6873" xr:uid="{00000000-0005-0000-0000-000028070000}"/>
    <cellStyle name="CABEÇALHO 26 4 3 5" xfId="9828" xr:uid="{00000000-0005-0000-0000-000029070000}"/>
    <cellStyle name="CABEÇALHO 26 4 3 6" xfId="11297" xr:uid="{00000000-0005-0000-0000-00002A070000}"/>
    <cellStyle name="CABEÇALHO 26 4 4" xfId="4142" xr:uid="{00000000-0005-0000-0000-00002B070000}"/>
    <cellStyle name="CABEÇALHO 26 4 5" xfId="3120" xr:uid="{00000000-0005-0000-0000-00002C070000}"/>
    <cellStyle name="CABEÇALHO 26 4 6" xfId="7263" xr:uid="{00000000-0005-0000-0000-00002D070000}"/>
    <cellStyle name="CABEÇALHO 26 4 7" xfId="7377" xr:uid="{00000000-0005-0000-0000-00002E070000}"/>
    <cellStyle name="CABEÇALHO 26 4 8" xfId="11318" xr:uid="{00000000-0005-0000-0000-00002F070000}"/>
    <cellStyle name="CABEÇALHO 26 5" xfId="1295" xr:uid="{00000000-0005-0000-0000-000030070000}"/>
    <cellStyle name="CABEÇALHO 26 5 2" xfId="2437" xr:uid="{00000000-0005-0000-0000-000031070000}"/>
    <cellStyle name="CABEÇALHO 26 5 2 2" xfId="5317" xr:uid="{00000000-0005-0000-0000-000032070000}"/>
    <cellStyle name="CABEÇALHO 26 5 2 3" xfId="6750" xr:uid="{00000000-0005-0000-0000-000033070000}"/>
    <cellStyle name="CABEÇALHO 26 5 2 4" xfId="6120" xr:uid="{00000000-0005-0000-0000-000034070000}"/>
    <cellStyle name="CABEÇALHO 26 5 2 5" xfId="5879" xr:uid="{00000000-0005-0000-0000-000035070000}"/>
    <cellStyle name="CABEÇALHO 26 5 2 6" xfId="11142" xr:uid="{00000000-0005-0000-0000-000036070000}"/>
    <cellStyle name="CABEÇALHO 26 5 3" xfId="2611" xr:uid="{00000000-0005-0000-0000-000037070000}"/>
    <cellStyle name="CABEÇALHO 26 5 3 2" xfId="5491" xr:uid="{00000000-0005-0000-0000-000038070000}"/>
    <cellStyle name="CABEÇALHO 26 5 3 3" xfId="8085" xr:uid="{00000000-0005-0000-0000-000039070000}"/>
    <cellStyle name="CABEÇALHO 26 5 3 4" xfId="9204" xr:uid="{00000000-0005-0000-0000-00003A070000}"/>
    <cellStyle name="CABEÇALHO 26 5 3 5" xfId="10652" xr:uid="{00000000-0005-0000-0000-00003B070000}"/>
    <cellStyle name="CABEÇALHO 26 5 3 6" xfId="10320" xr:uid="{00000000-0005-0000-0000-00003C070000}"/>
    <cellStyle name="CABEÇALHO 26 5 4" xfId="4175" xr:uid="{00000000-0005-0000-0000-00003D070000}"/>
    <cellStyle name="CABEÇALHO 26 5 5" xfId="8198" xr:uid="{00000000-0005-0000-0000-00003E070000}"/>
    <cellStyle name="CABEÇALHO 26 5 6" xfId="9601" xr:uid="{00000000-0005-0000-0000-00003F070000}"/>
    <cellStyle name="CABEÇALHO 26 5 7" xfId="7087" xr:uid="{00000000-0005-0000-0000-000040070000}"/>
    <cellStyle name="CABEÇALHO 26 5 8" xfId="10959" xr:uid="{00000000-0005-0000-0000-000041070000}"/>
    <cellStyle name="CABEÇALHO 26 6" xfId="1327" xr:uid="{00000000-0005-0000-0000-000042070000}"/>
    <cellStyle name="CABEÇALHO 26 6 2" xfId="2469" xr:uid="{00000000-0005-0000-0000-000043070000}"/>
    <cellStyle name="CABEÇALHO 26 6 2 2" xfId="5349" xr:uid="{00000000-0005-0000-0000-000044070000}"/>
    <cellStyle name="CABEÇALHO 26 6 2 3" xfId="6625" xr:uid="{00000000-0005-0000-0000-000045070000}"/>
    <cellStyle name="CABEÇALHO 26 6 2 4" xfId="9119" xr:uid="{00000000-0005-0000-0000-000046070000}"/>
    <cellStyle name="CABEÇALHO 26 6 2 5" xfId="10359" xr:uid="{00000000-0005-0000-0000-000047070000}"/>
    <cellStyle name="CABEÇALHO 26 6 2 6" xfId="11519" xr:uid="{00000000-0005-0000-0000-000048070000}"/>
    <cellStyle name="CABEÇALHO 26 6 3" xfId="2588" xr:uid="{00000000-0005-0000-0000-000049070000}"/>
    <cellStyle name="CABEÇALHO 26 6 3 2" xfId="5468" xr:uid="{00000000-0005-0000-0000-00004A070000}"/>
    <cellStyle name="CABEÇALHO 26 6 3 3" xfId="8160" xr:uid="{00000000-0005-0000-0000-00004B070000}"/>
    <cellStyle name="CABEÇALHO 26 6 3 4" xfId="7141" xr:uid="{00000000-0005-0000-0000-00004C070000}"/>
    <cellStyle name="CABEÇALHO 26 6 3 5" xfId="8249" xr:uid="{00000000-0005-0000-0000-00004D070000}"/>
    <cellStyle name="CABEÇALHO 26 6 3 6" xfId="10153" xr:uid="{00000000-0005-0000-0000-00004E070000}"/>
    <cellStyle name="CABEÇALHO 26 6 4" xfId="4207" xr:uid="{00000000-0005-0000-0000-00004F070000}"/>
    <cellStyle name="CABEÇALHO 26 6 5" xfId="7644" xr:uid="{00000000-0005-0000-0000-000050070000}"/>
    <cellStyle name="CABEÇALHO 26 6 6" xfId="9069" xr:uid="{00000000-0005-0000-0000-000051070000}"/>
    <cellStyle name="CABEÇALHO 26 6 7" xfId="8835" xr:uid="{00000000-0005-0000-0000-000052070000}"/>
    <cellStyle name="CABEÇALHO 26 6 8" xfId="11309" xr:uid="{00000000-0005-0000-0000-000053070000}"/>
    <cellStyle name="CABEÇALHO 26 7" xfId="1787" xr:uid="{00000000-0005-0000-0000-000054070000}"/>
    <cellStyle name="CABEÇALHO 26 7 2" xfId="4667" xr:uid="{00000000-0005-0000-0000-000055070000}"/>
    <cellStyle name="CABEÇALHO 26 7 3" xfId="7780" xr:uid="{00000000-0005-0000-0000-000056070000}"/>
    <cellStyle name="CABEÇALHO 26 7 4" xfId="8265" xr:uid="{00000000-0005-0000-0000-000057070000}"/>
    <cellStyle name="CABEÇALHO 26 7 5" xfId="10836" xr:uid="{00000000-0005-0000-0000-000058070000}"/>
    <cellStyle name="CABEÇALHO 26 7 6" xfId="11506" xr:uid="{00000000-0005-0000-0000-000059070000}"/>
    <cellStyle name="CABEÇALHO 26 8" xfId="2508" xr:uid="{00000000-0005-0000-0000-00005A070000}"/>
    <cellStyle name="CABEÇALHO 26 8 2" xfId="5388" xr:uid="{00000000-0005-0000-0000-00005B070000}"/>
    <cellStyle name="CABEÇALHO 26 8 3" xfId="6572" xr:uid="{00000000-0005-0000-0000-00005C070000}"/>
    <cellStyle name="CABEÇALHO 26 8 4" xfId="9350" xr:uid="{00000000-0005-0000-0000-00005D070000}"/>
    <cellStyle name="CABEÇALHO 26 8 5" xfId="10608" xr:uid="{00000000-0005-0000-0000-00005E070000}"/>
    <cellStyle name="CABEÇALHO 26 8 6" xfId="10886" xr:uid="{00000000-0005-0000-0000-00005F070000}"/>
    <cellStyle name="CABEÇALHO 26 9" xfId="3526" xr:uid="{00000000-0005-0000-0000-000060070000}"/>
    <cellStyle name="CABEÇALHO 27" xfId="509" xr:uid="{00000000-0005-0000-0000-000061070000}"/>
    <cellStyle name="CABEÇALHO 27 10" xfId="6275" xr:uid="{00000000-0005-0000-0000-000062070000}"/>
    <cellStyle name="CABEÇALHO 27 11" xfId="8384" xr:uid="{00000000-0005-0000-0000-000063070000}"/>
    <cellStyle name="CABEÇALHO 27 12" xfId="7844" xr:uid="{00000000-0005-0000-0000-000064070000}"/>
    <cellStyle name="CABEÇALHO 27 13" xfId="11170" xr:uid="{00000000-0005-0000-0000-000065070000}"/>
    <cellStyle name="CABEÇALHO 27 2" xfId="985" xr:uid="{00000000-0005-0000-0000-000066070000}"/>
    <cellStyle name="CABEÇALHO 27 2 2" xfId="2127" xr:uid="{00000000-0005-0000-0000-000067070000}"/>
    <cellStyle name="CABEÇALHO 27 2 2 2" xfId="5007" xr:uid="{00000000-0005-0000-0000-000068070000}"/>
    <cellStyle name="CABEÇALHO 27 2 2 3" xfId="6715" xr:uid="{00000000-0005-0000-0000-000069070000}"/>
    <cellStyle name="CABEÇALHO 27 2 2 4" xfId="9201" xr:uid="{00000000-0005-0000-0000-00006A070000}"/>
    <cellStyle name="CABEÇALHO 27 2 2 5" xfId="10795" xr:uid="{00000000-0005-0000-0000-00006B070000}"/>
    <cellStyle name="CABEÇALHO 27 2 2 6" xfId="8829" xr:uid="{00000000-0005-0000-0000-00006C070000}"/>
    <cellStyle name="CABEÇALHO 27 2 3" xfId="2733" xr:uid="{00000000-0005-0000-0000-00006D070000}"/>
    <cellStyle name="CABEÇALHO 27 2 3 2" xfId="5613" xr:uid="{00000000-0005-0000-0000-00006E070000}"/>
    <cellStyle name="CABEÇALHO 27 2 3 3" xfId="8157" xr:uid="{00000000-0005-0000-0000-00006F070000}"/>
    <cellStyle name="CABEÇALHO 27 2 3 4" xfId="6105" xr:uid="{00000000-0005-0000-0000-000070070000}"/>
    <cellStyle name="CABEÇALHO 27 2 3 5" xfId="9210" xr:uid="{00000000-0005-0000-0000-000071070000}"/>
    <cellStyle name="CABEÇALHO 27 2 3 6" xfId="11145" xr:uid="{00000000-0005-0000-0000-000072070000}"/>
    <cellStyle name="CABEÇALHO 27 2 4" xfId="3865" xr:uid="{00000000-0005-0000-0000-000073070000}"/>
    <cellStyle name="CABEÇALHO 27 2 5" xfId="7556" xr:uid="{00000000-0005-0000-0000-000074070000}"/>
    <cellStyle name="CABEÇALHO 27 2 6" xfId="2891" xr:uid="{00000000-0005-0000-0000-000075070000}"/>
    <cellStyle name="CABEÇALHO 27 2 7" xfId="10164" xr:uid="{00000000-0005-0000-0000-000076070000}"/>
    <cellStyle name="CABEÇALHO 27 2 8" xfId="10929" xr:uid="{00000000-0005-0000-0000-000077070000}"/>
    <cellStyle name="CABEÇALHO 27 3" xfId="804" xr:uid="{00000000-0005-0000-0000-000078070000}"/>
    <cellStyle name="CABEÇALHO 27 3 2" xfId="1946" xr:uid="{00000000-0005-0000-0000-000079070000}"/>
    <cellStyle name="CABEÇALHO 27 3 2 2" xfId="4826" xr:uid="{00000000-0005-0000-0000-00007A070000}"/>
    <cellStyle name="CABEÇALHO 27 3 2 3" xfId="7194" xr:uid="{00000000-0005-0000-0000-00007B070000}"/>
    <cellStyle name="CABEÇALHO 27 3 2 4" xfId="8260" xr:uid="{00000000-0005-0000-0000-00007C070000}"/>
    <cellStyle name="CABEÇALHO 27 3 2 5" xfId="10745" xr:uid="{00000000-0005-0000-0000-00007D070000}"/>
    <cellStyle name="CABEÇALHO 27 3 2 6" xfId="6311" xr:uid="{00000000-0005-0000-0000-00007E070000}"/>
    <cellStyle name="CABEÇALHO 27 3 3" xfId="1405" xr:uid="{00000000-0005-0000-0000-00007F070000}"/>
    <cellStyle name="CABEÇALHO 27 3 3 2" xfId="4285" xr:uid="{00000000-0005-0000-0000-000080070000}"/>
    <cellStyle name="CABEÇALHO 27 3 3 3" xfId="7805" xr:uid="{00000000-0005-0000-0000-000081070000}"/>
    <cellStyle name="CABEÇALHO 27 3 3 4" xfId="9217" xr:uid="{00000000-0005-0000-0000-000082070000}"/>
    <cellStyle name="CABEÇALHO 27 3 3 5" xfId="10638" xr:uid="{00000000-0005-0000-0000-000083070000}"/>
    <cellStyle name="CABEÇALHO 27 3 3 6" xfId="9899" xr:uid="{00000000-0005-0000-0000-000084070000}"/>
    <cellStyle name="CABEÇALHO 27 3 4" xfId="3684" xr:uid="{00000000-0005-0000-0000-000085070000}"/>
    <cellStyle name="CABEÇALHO 27 3 5" xfId="6964" xr:uid="{00000000-0005-0000-0000-000086070000}"/>
    <cellStyle name="CABEÇALHO 27 3 6" xfId="7228" xr:uid="{00000000-0005-0000-0000-000087070000}"/>
    <cellStyle name="CABEÇALHO 27 3 7" xfId="10251" xr:uid="{00000000-0005-0000-0000-000088070000}"/>
    <cellStyle name="CABEÇALHO 27 3 8" xfId="9995" xr:uid="{00000000-0005-0000-0000-000089070000}"/>
    <cellStyle name="CABEÇALHO 27 4" xfId="761" xr:uid="{00000000-0005-0000-0000-00008A070000}"/>
    <cellStyle name="CABEÇALHO 27 4 2" xfId="1903" xr:uid="{00000000-0005-0000-0000-00008B070000}"/>
    <cellStyle name="CABEÇALHO 27 4 2 2" xfId="4783" xr:uid="{00000000-0005-0000-0000-00008C070000}"/>
    <cellStyle name="CABEÇALHO 27 4 2 3" xfId="5911" xr:uid="{00000000-0005-0000-0000-00008D070000}"/>
    <cellStyle name="CABEÇALHO 27 4 2 4" xfId="7050" xr:uid="{00000000-0005-0000-0000-00008E070000}"/>
    <cellStyle name="CABEÇALHO 27 4 2 5" xfId="9199" xr:uid="{00000000-0005-0000-0000-00008F070000}"/>
    <cellStyle name="CABEÇALHO 27 4 2 6" xfId="8305" xr:uid="{00000000-0005-0000-0000-000090070000}"/>
    <cellStyle name="CABEÇALHO 27 4 3" xfId="2625" xr:uid="{00000000-0005-0000-0000-000091070000}"/>
    <cellStyle name="CABEÇALHO 27 4 3 2" xfId="5505" xr:uid="{00000000-0005-0000-0000-000092070000}"/>
    <cellStyle name="CABEÇALHO 27 4 3 3" xfId="7176" xr:uid="{00000000-0005-0000-0000-000093070000}"/>
    <cellStyle name="CABEÇALHO 27 4 3 4" xfId="7140" xr:uid="{00000000-0005-0000-0000-000094070000}"/>
    <cellStyle name="CABEÇALHO 27 4 3 5" xfId="10644" xr:uid="{00000000-0005-0000-0000-000095070000}"/>
    <cellStyle name="CABEÇALHO 27 4 3 6" xfId="11373" xr:uid="{00000000-0005-0000-0000-000096070000}"/>
    <cellStyle name="CABEÇALHO 27 4 4" xfId="3641" xr:uid="{00000000-0005-0000-0000-000097070000}"/>
    <cellStyle name="CABEÇALHO 27 4 5" xfId="5813" xr:uid="{00000000-0005-0000-0000-000098070000}"/>
    <cellStyle name="CABEÇALHO 27 4 6" xfId="3045" xr:uid="{00000000-0005-0000-0000-000099070000}"/>
    <cellStyle name="CABEÇALHO 27 4 7" xfId="5993" xr:uid="{00000000-0005-0000-0000-00009A070000}"/>
    <cellStyle name="CABEÇALHO 27 4 8" xfId="11073" xr:uid="{00000000-0005-0000-0000-00009B070000}"/>
    <cellStyle name="CABEÇALHO 27 5" xfId="1217" xr:uid="{00000000-0005-0000-0000-00009C070000}"/>
    <cellStyle name="CABEÇALHO 27 5 2" xfId="2359" xr:uid="{00000000-0005-0000-0000-00009D070000}"/>
    <cellStyle name="CABEÇALHO 27 5 2 2" xfId="5239" xr:uid="{00000000-0005-0000-0000-00009E070000}"/>
    <cellStyle name="CABEÇALHO 27 5 2 3" xfId="7823" xr:uid="{00000000-0005-0000-0000-00009F070000}"/>
    <cellStyle name="CABEÇALHO 27 5 2 4" xfId="2967" xr:uid="{00000000-0005-0000-0000-0000A0070000}"/>
    <cellStyle name="CABEÇALHO 27 5 2 5" xfId="9830" xr:uid="{00000000-0005-0000-0000-0000A1070000}"/>
    <cellStyle name="CABEÇALHO 27 5 2 6" xfId="10062" xr:uid="{00000000-0005-0000-0000-0000A2070000}"/>
    <cellStyle name="CABEÇALHO 27 5 3" xfId="1474" xr:uid="{00000000-0005-0000-0000-0000A3070000}"/>
    <cellStyle name="CABEÇALHO 27 5 3 2" xfId="4354" xr:uid="{00000000-0005-0000-0000-0000A4070000}"/>
    <cellStyle name="CABEÇALHO 27 5 3 3" xfId="7886" xr:uid="{00000000-0005-0000-0000-0000A5070000}"/>
    <cellStyle name="CABEÇALHO 27 5 3 4" xfId="9298" xr:uid="{00000000-0005-0000-0000-0000A6070000}"/>
    <cellStyle name="CABEÇALHO 27 5 3 5" xfId="10227" xr:uid="{00000000-0005-0000-0000-0000A7070000}"/>
    <cellStyle name="CABEÇALHO 27 5 3 6" xfId="7627" xr:uid="{00000000-0005-0000-0000-0000A8070000}"/>
    <cellStyle name="CABEÇALHO 27 5 4" xfId="4097" xr:uid="{00000000-0005-0000-0000-0000A9070000}"/>
    <cellStyle name="CABEÇALHO 27 5 5" xfId="3085" xr:uid="{00000000-0005-0000-0000-0000AA070000}"/>
    <cellStyle name="CABEÇALHO 27 5 6" xfId="7485" xr:uid="{00000000-0005-0000-0000-0000AB070000}"/>
    <cellStyle name="CABEÇALHO 27 5 7" xfId="6119" xr:uid="{00000000-0005-0000-0000-0000AC070000}"/>
    <cellStyle name="CABEÇALHO 27 5 8" xfId="10920" xr:uid="{00000000-0005-0000-0000-0000AD070000}"/>
    <cellStyle name="CABEÇALHO 27 6" xfId="1225" xr:uid="{00000000-0005-0000-0000-0000AE070000}"/>
    <cellStyle name="CABEÇALHO 27 6 2" xfId="2367" xr:uid="{00000000-0005-0000-0000-0000AF070000}"/>
    <cellStyle name="CABEÇALHO 27 6 2 2" xfId="5247" xr:uid="{00000000-0005-0000-0000-0000B0070000}"/>
    <cellStyle name="CABEÇALHO 27 6 2 3" xfId="6168" xr:uid="{00000000-0005-0000-0000-0000B1070000}"/>
    <cellStyle name="CABEÇALHO 27 6 2 4" xfId="8700" xr:uid="{00000000-0005-0000-0000-0000B2070000}"/>
    <cellStyle name="CABEÇALHO 27 6 2 5" xfId="10004" xr:uid="{00000000-0005-0000-0000-0000B3070000}"/>
    <cellStyle name="CABEÇALHO 27 6 2 6" xfId="10250" xr:uid="{00000000-0005-0000-0000-0000B4070000}"/>
    <cellStyle name="CABEÇALHO 27 6 3" xfId="2626" xr:uid="{00000000-0005-0000-0000-0000B5070000}"/>
    <cellStyle name="CABEÇALHO 27 6 3 2" xfId="5506" xr:uid="{00000000-0005-0000-0000-0000B6070000}"/>
    <cellStyle name="CABEÇALHO 27 6 3 3" xfId="8193" xr:uid="{00000000-0005-0000-0000-0000B7070000}"/>
    <cellStyle name="CABEÇALHO 27 6 3 4" xfId="9569" xr:uid="{00000000-0005-0000-0000-0000B8070000}"/>
    <cellStyle name="CABEÇALHO 27 6 3 5" xfId="10318" xr:uid="{00000000-0005-0000-0000-0000B9070000}"/>
    <cellStyle name="CABEÇALHO 27 6 3 6" xfId="9381" xr:uid="{00000000-0005-0000-0000-0000BA070000}"/>
    <cellStyle name="CABEÇALHO 27 6 4" xfId="4105" xr:uid="{00000000-0005-0000-0000-0000BB070000}"/>
    <cellStyle name="CABEÇALHO 27 6 5" xfId="3193" xr:uid="{00000000-0005-0000-0000-0000BC070000}"/>
    <cellStyle name="CABEÇALHO 27 6 6" xfId="7401" xr:uid="{00000000-0005-0000-0000-0000BD070000}"/>
    <cellStyle name="CABEÇALHO 27 6 7" xfId="9292" xr:uid="{00000000-0005-0000-0000-0000BE070000}"/>
    <cellStyle name="CABEÇALHO 27 6 8" xfId="11301" xr:uid="{00000000-0005-0000-0000-0000BF070000}"/>
    <cellStyle name="CABEÇALHO 27 7" xfId="1650" xr:uid="{00000000-0005-0000-0000-0000C0070000}"/>
    <cellStyle name="CABEÇALHO 27 7 2" xfId="4530" xr:uid="{00000000-0005-0000-0000-0000C1070000}"/>
    <cellStyle name="CABEÇALHO 27 7 3" xfId="8084" xr:uid="{00000000-0005-0000-0000-0000C2070000}"/>
    <cellStyle name="CABEÇALHO 27 7 4" xfId="9490" xr:uid="{00000000-0005-0000-0000-0000C3070000}"/>
    <cellStyle name="CABEÇALHO 27 7 5" xfId="10635" xr:uid="{00000000-0005-0000-0000-0000C4070000}"/>
    <cellStyle name="CABEÇALHO 27 7 6" xfId="11526" xr:uid="{00000000-0005-0000-0000-0000C5070000}"/>
    <cellStyle name="CABEÇALHO 27 8" xfId="2814" xr:uid="{00000000-0005-0000-0000-0000C6070000}"/>
    <cellStyle name="CABEÇALHO 27 8 2" xfId="5694" xr:uid="{00000000-0005-0000-0000-0000C7070000}"/>
    <cellStyle name="CABEÇALHO 27 8 3" xfId="7680" xr:uid="{00000000-0005-0000-0000-0000C8070000}"/>
    <cellStyle name="CABEÇALHO 27 8 4" xfId="2977" xr:uid="{00000000-0005-0000-0000-0000C9070000}"/>
    <cellStyle name="CABEÇALHO 27 8 5" xfId="9600" xr:uid="{00000000-0005-0000-0000-0000CA070000}"/>
    <cellStyle name="CABEÇALHO 27 8 6" xfId="11412" xr:uid="{00000000-0005-0000-0000-0000CB070000}"/>
    <cellStyle name="CABEÇALHO 27 9" xfId="3389" xr:uid="{00000000-0005-0000-0000-0000CC070000}"/>
    <cellStyle name="CABEÇALHO 28" xfId="493" xr:uid="{00000000-0005-0000-0000-0000CD070000}"/>
    <cellStyle name="CABEÇALHO 28 10" xfId="7041" xr:uid="{00000000-0005-0000-0000-0000CE070000}"/>
    <cellStyle name="CABEÇALHO 28 11" xfId="8766" xr:uid="{00000000-0005-0000-0000-0000CF070000}"/>
    <cellStyle name="CABEÇALHO 28 12" xfId="9737" xr:uid="{00000000-0005-0000-0000-0000D0070000}"/>
    <cellStyle name="CABEÇALHO 28 13" xfId="11227" xr:uid="{00000000-0005-0000-0000-0000D1070000}"/>
    <cellStyle name="CABEÇALHO 28 2" xfId="969" xr:uid="{00000000-0005-0000-0000-0000D2070000}"/>
    <cellStyle name="CABEÇALHO 28 2 2" xfId="2111" xr:uid="{00000000-0005-0000-0000-0000D3070000}"/>
    <cellStyle name="CABEÇALHO 28 2 2 2" xfId="4991" xr:uid="{00000000-0005-0000-0000-0000D4070000}"/>
    <cellStyle name="CABEÇALHO 28 2 2 3" xfId="7781" xr:uid="{00000000-0005-0000-0000-0000D5070000}"/>
    <cellStyle name="CABEÇALHO 28 2 2 4" xfId="9496" xr:uid="{00000000-0005-0000-0000-0000D6070000}"/>
    <cellStyle name="CABEÇALHO 28 2 2 5" xfId="10837" xr:uid="{00000000-0005-0000-0000-0000D7070000}"/>
    <cellStyle name="CABEÇALHO 28 2 2 6" xfId="9814" xr:uid="{00000000-0005-0000-0000-0000D8070000}"/>
    <cellStyle name="CABEÇALHO 28 2 3" xfId="2597" xr:uid="{00000000-0005-0000-0000-0000D9070000}"/>
    <cellStyle name="CABEÇALHO 28 2 3 2" xfId="5477" xr:uid="{00000000-0005-0000-0000-0000DA070000}"/>
    <cellStyle name="CABEÇALHO 28 2 3 3" xfId="7668" xr:uid="{00000000-0005-0000-0000-0000DB070000}"/>
    <cellStyle name="CABEÇALHO 28 2 3 4" xfId="6408" xr:uid="{00000000-0005-0000-0000-0000DC070000}"/>
    <cellStyle name="CABEÇALHO 28 2 3 5" xfId="5809" xr:uid="{00000000-0005-0000-0000-0000DD070000}"/>
    <cellStyle name="CABEÇALHO 28 2 3 6" xfId="10883" xr:uid="{00000000-0005-0000-0000-0000DE070000}"/>
    <cellStyle name="CABEÇALHO 28 2 4" xfId="3849" xr:uid="{00000000-0005-0000-0000-0000DF070000}"/>
    <cellStyle name="CABEÇALHO 28 2 5" xfId="3216" xr:uid="{00000000-0005-0000-0000-0000E0070000}"/>
    <cellStyle name="CABEÇALHO 28 2 6" xfId="7783" xr:uid="{00000000-0005-0000-0000-0000E1070000}"/>
    <cellStyle name="CABEÇALHO 28 2 7" xfId="8276" xr:uid="{00000000-0005-0000-0000-0000E2070000}"/>
    <cellStyle name="CABEÇALHO 28 2 8" xfId="10436" xr:uid="{00000000-0005-0000-0000-0000E3070000}"/>
    <cellStyle name="CABEÇALHO 28 3" xfId="760" xr:uid="{00000000-0005-0000-0000-0000E4070000}"/>
    <cellStyle name="CABEÇALHO 28 3 2" xfId="1902" xr:uid="{00000000-0005-0000-0000-0000E5070000}"/>
    <cellStyle name="CABEÇALHO 28 3 2 2" xfId="4782" xr:uid="{00000000-0005-0000-0000-0000E6070000}"/>
    <cellStyle name="CABEÇALHO 28 3 2 3" xfId="6364" xr:uid="{00000000-0005-0000-0000-0000E7070000}"/>
    <cellStyle name="CABEÇALHO 28 3 2 4" xfId="8880" xr:uid="{00000000-0005-0000-0000-0000E8070000}"/>
    <cellStyle name="CABEÇALHO 28 3 2 5" xfId="10042" xr:uid="{00000000-0005-0000-0000-0000E9070000}"/>
    <cellStyle name="CABEÇALHO 28 3 2 6" xfId="9751" xr:uid="{00000000-0005-0000-0000-0000EA070000}"/>
    <cellStyle name="CABEÇALHO 28 3 3" xfId="2856" xr:uid="{00000000-0005-0000-0000-0000EB070000}"/>
    <cellStyle name="CABEÇALHO 28 3 3 2" xfId="5736" xr:uid="{00000000-0005-0000-0000-0000EC070000}"/>
    <cellStyle name="CABEÇALHO 28 3 3 3" xfId="7590" xr:uid="{00000000-0005-0000-0000-0000ED070000}"/>
    <cellStyle name="CABEÇALHO 28 3 3 4" xfId="6253" xr:uid="{00000000-0005-0000-0000-0000EE070000}"/>
    <cellStyle name="CABEÇALHO 28 3 3 5" xfId="2901" xr:uid="{00000000-0005-0000-0000-0000EF070000}"/>
    <cellStyle name="CABEÇALHO 28 3 3 6" xfId="8853" xr:uid="{00000000-0005-0000-0000-0000F0070000}"/>
    <cellStyle name="CABEÇALHO 28 3 4" xfId="3640" xr:uid="{00000000-0005-0000-0000-0000F1070000}"/>
    <cellStyle name="CABEÇALHO 28 3 5" xfId="5871" xr:uid="{00000000-0005-0000-0000-0000F2070000}"/>
    <cellStyle name="CABEÇALHO 28 3 6" xfId="8082" xr:uid="{00000000-0005-0000-0000-0000F3070000}"/>
    <cellStyle name="CABEÇALHO 28 3 7" xfId="10299" xr:uid="{00000000-0005-0000-0000-0000F4070000}"/>
    <cellStyle name="CABEÇALHO 28 3 8" xfId="10184" xr:uid="{00000000-0005-0000-0000-0000F5070000}"/>
    <cellStyle name="CABEÇALHO 28 4" xfId="1157" xr:uid="{00000000-0005-0000-0000-0000F6070000}"/>
    <cellStyle name="CABEÇALHO 28 4 2" xfId="2299" xr:uid="{00000000-0005-0000-0000-0000F7070000}"/>
    <cellStyle name="CABEÇALHO 28 4 2 2" xfId="5179" xr:uid="{00000000-0005-0000-0000-0000F8070000}"/>
    <cellStyle name="CABEÇALHO 28 4 2 3" xfId="8101" xr:uid="{00000000-0005-0000-0000-0000F9070000}"/>
    <cellStyle name="CABEÇALHO 28 4 2 4" xfId="8463" xr:uid="{00000000-0005-0000-0000-0000FA070000}"/>
    <cellStyle name="CABEÇALHO 28 4 2 5" xfId="6028" xr:uid="{00000000-0005-0000-0000-0000FB070000}"/>
    <cellStyle name="CABEÇALHO 28 4 2 6" xfId="6018" xr:uid="{00000000-0005-0000-0000-0000FC070000}"/>
    <cellStyle name="CABEÇALHO 28 4 3" xfId="2676" xr:uid="{00000000-0005-0000-0000-0000FD070000}"/>
    <cellStyle name="CABEÇALHO 28 4 3 2" xfId="5556" xr:uid="{00000000-0005-0000-0000-0000FE070000}"/>
    <cellStyle name="CABEÇALHO 28 4 3 3" xfId="6541" xr:uid="{00000000-0005-0000-0000-0000FF070000}"/>
    <cellStyle name="CABEÇALHO 28 4 3 4" xfId="9397" xr:uid="{00000000-0005-0000-0000-000000080000}"/>
    <cellStyle name="CABEÇALHO 28 4 3 5" xfId="10786" xr:uid="{00000000-0005-0000-0000-000001080000}"/>
    <cellStyle name="CABEÇALHO 28 4 3 6" xfId="11345" xr:uid="{00000000-0005-0000-0000-000002080000}"/>
    <cellStyle name="CABEÇALHO 28 4 4" xfId="4037" xr:uid="{00000000-0005-0000-0000-000003080000}"/>
    <cellStyle name="CABEÇALHO 28 4 5" xfId="2964" xr:uid="{00000000-0005-0000-0000-000004080000}"/>
    <cellStyle name="CABEÇALHO 28 4 6" xfId="7645" xr:uid="{00000000-0005-0000-0000-000005080000}"/>
    <cellStyle name="CABEÇALHO 28 4 7" xfId="10008" xr:uid="{00000000-0005-0000-0000-000006080000}"/>
    <cellStyle name="CABEÇALHO 28 4 8" xfId="11209" xr:uid="{00000000-0005-0000-0000-000007080000}"/>
    <cellStyle name="CABEÇALHO 28 5" xfId="769" xr:uid="{00000000-0005-0000-0000-000008080000}"/>
    <cellStyle name="CABEÇALHO 28 5 2" xfId="1911" xr:uid="{00000000-0005-0000-0000-000009080000}"/>
    <cellStyle name="CABEÇALHO 28 5 2 2" xfId="4791" xr:uid="{00000000-0005-0000-0000-00000A080000}"/>
    <cellStyle name="CABEÇALHO 28 5 2 3" xfId="6155" xr:uid="{00000000-0005-0000-0000-00000B080000}"/>
    <cellStyle name="CABEÇALHO 28 5 2 4" xfId="8687" xr:uid="{00000000-0005-0000-0000-00000C080000}"/>
    <cellStyle name="CABEÇALHO 28 5 2 5" xfId="10027" xr:uid="{00000000-0005-0000-0000-00000D080000}"/>
    <cellStyle name="CABEÇALHO 28 5 2 6" xfId="11120" xr:uid="{00000000-0005-0000-0000-00000E080000}"/>
    <cellStyle name="CABEÇALHO 28 5 3" xfId="2556" xr:uid="{00000000-0005-0000-0000-00000F080000}"/>
    <cellStyle name="CABEÇALHO 28 5 3 2" xfId="5436" xr:uid="{00000000-0005-0000-0000-000010080000}"/>
    <cellStyle name="CABEÇALHO 28 5 3 3" xfId="6724" xr:uid="{00000000-0005-0000-0000-000011080000}"/>
    <cellStyle name="CABEÇALHO 28 5 3 4" xfId="9319" xr:uid="{00000000-0005-0000-0000-000012080000}"/>
    <cellStyle name="CABEÇALHO 28 5 3 5" xfId="8110" xr:uid="{00000000-0005-0000-0000-000013080000}"/>
    <cellStyle name="CABEÇALHO 28 5 3 6" xfId="10295" xr:uid="{00000000-0005-0000-0000-000014080000}"/>
    <cellStyle name="CABEÇALHO 28 5 4" xfId="3649" xr:uid="{00000000-0005-0000-0000-000015080000}"/>
    <cellStyle name="CABEÇALHO 28 5 5" xfId="5978" xr:uid="{00000000-0005-0000-0000-000016080000}"/>
    <cellStyle name="CABEÇALHO 28 5 6" xfId="8938" xr:uid="{00000000-0005-0000-0000-000017080000}"/>
    <cellStyle name="CABEÇALHO 28 5 7" xfId="9885" xr:uid="{00000000-0005-0000-0000-000018080000}"/>
    <cellStyle name="CABEÇALHO 28 5 8" xfId="10935" xr:uid="{00000000-0005-0000-0000-000019080000}"/>
    <cellStyle name="CABEÇALHO 28 6" xfId="1191" xr:uid="{00000000-0005-0000-0000-00001A080000}"/>
    <cellStyle name="CABEÇALHO 28 6 2" xfId="2333" xr:uid="{00000000-0005-0000-0000-00001B080000}"/>
    <cellStyle name="CABEÇALHO 28 6 2 2" xfId="5213" xr:uid="{00000000-0005-0000-0000-00001C080000}"/>
    <cellStyle name="CABEÇALHO 28 6 2 3" xfId="6786" xr:uid="{00000000-0005-0000-0000-00001D080000}"/>
    <cellStyle name="CABEÇALHO 28 6 2 4" xfId="7388" xr:uid="{00000000-0005-0000-0000-00001E080000}"/>
    <cellStyle name="CABEÇALHO 28 6 2 5" xfId="9673" xr:uid="{00000000-0005-0000-0000-00001F080000}"/>
    <cellStyle name="CABEÇALHO 28 6 2 6" xfId="11119" xr:uid="{00000000-0005-0000-0000-000020080000}"/>
    <cellStyle name="CABEÇALHO 28 6 3" xfId="1401" xr:uid="{00000000-0005-0000-0000-000021080000}"/>
    <cellStyle name="CABEÇALHO 28 6 3 2" xfId="4281" xr:uid="{00000000-0005-0000-0000-000022080000}"/>
    <cellStyle name="CABEÇALHO 28 6 3 3" xfId="5897" xr:uid="{00000000-0005-0000-0000-000023080000}"/>
    <cellStyle name="CABEÇALHO 28 6 3 4" xfId="6030" xr:uid="{00000000-0005-0000-0000-000024080000}"/>
    <cellStyle name="CABEÇALHO 28 6 3 5" xfId="9633" xr:uid="{00000000-0005-0000-0000-000025080000}"/>
    <cellStyle name="CABEÇALHO 28 6 3 6" xfId="10987" xr:uid="{00000000-0005-0000-0000-000026080000}"/>
    <cellStyle name="CABEÇALHO 28 6 4" xfId="4071" xr:uid="{00000000-0005-0000-0000-000027080000}"/>
    <cellStyle name="CABEÇALHO 28 6 5" xfId="3072" xr:uid="{00000000-0005-0000-0000-000028080000}"/>
    <cellStyle name="CABEÇALHO 28 6 6" xfId="7235" xr:uid="{00000000-0005-0000-0000-000029080000}"/>
    <cellStyle name="CABEÇALHO 28 6 7" xfId="3110" xr:uid="{00000000-0005-0000-0000-00002A080000}"/>
    <cellStyle name="CABEÇALHO 28 6 8" xfId="10445" xr:uid="{00000000-0005-0000-0000-00002B080000}"/>
    <cellStyle name="CABEÇALHO 28 7" xfId="1634" xr:uid="{00000000-0005-0000-0000-00002C080000}"/>
    <cellStyle name="CABEÇALHO 28 7 2" xfId="4514" xr:uid="{00000000-0005-0000-0000-00002D080000}"/>
    <cellStyle name="CABEÇALHO 28 7 3" xfId="6373" xr:uid="{00000000-0005-0000-0000-00002E080000}"/>
    <cellStyle name="CABEÇALHO 28 7 4" xfId="7420" xr:uid="{00000000-0005-0000-0000-00002F080000}"/>
    <cellStyle name="CABEÇALHO 28 7 5" xfId="8899" xr:uid="{00000000-0005-0000-0000-000030080000}"/>
    <cellStyle name="CABEÇALHO 28 7 6" xfId="11430" xr:uid="{00000000-0005-0000-0000-000031080000}"/>
    <cellStyle name="CABEÇALHO 28 8" xfId="1362" xr:uid="{00000000-0005-0000-0000-000032080000}"/>
    <cellStyle name="CABEÇALHO 28 8 2" xfId="4242" xr:uid="{00000000-0005-0000-0000-000033080000}"/>
    <cellStyle name="CABEÇALHO 28 8 3" xfId="7990" xr:uid="{00000000-0005-0000-0000-000034080000}"/>
    <cellStyle name="CABEÇALHO 28 8 4" xfId="9399" xr:uid="{00000000-0005-0000-0000-000035080000}"/>
    <cellStyle name="CABEÇALHO 28 8 5" xfId="10651" xr:uid="{00000000-0005-0000-0000-000036080000}"/>
    <cellStyle name="CABEÇALHO 28 8 6" xfId="8567" xr:uid="{00000000-0005-0000-0000-000037080000}"/>
    <cellStyle name="CABEÇALHO 28 9" xfId="3373" xr:uid="{00000000-0005-0000-0000-000038080000}"/>
    <cellStyle name="CABEÇALHO 29" xfId="494" xr:uid="{00000000-0005-0000-0000-000039080000}"/>
    <cellStyle name="CABEÇALHO 29 10" xfId="7480" xr:uid="{00000000-0005-0000-0000-00003A080000}"/>
    <cellStyle name="CABEÇALHO 29 11" xfId="6652" xr:uid="{00000000-0005-0000-0000-00003B080000}"/>
    <cellStyle name="CABEÇALHO 29 12" xfId="10104" xr:uid="{00000000-0005-0000-0000-00003C080000}"/>
    <cellStyle name="CABEÇALHO 29 13" xfId="11140" xr:uid="{00000000-0005-0000-0000-00003D080000}"/>
    <cellStyle name="CABEÇALHO 29 2" xfId="970" xr:uid="{00000000-0005-0000-0000-00003E080000}"/>
    <cellStyle name="CABEÇALHO 29 2 2" xfId="2112" xr:uid="{00000000-0005-0000-0000-00003F080000}"/>
    <cellStyle name="CABEÇALHO 29 2 2 2" xfId="4992" xr:uid="{00000000-0005-0000-0000-000040080000}"/>
    <cellStyle name="CABEÇALHO 29 2 2 3" xfId="6708" xr:uid="{00000000-0005-0000-0000-000041080000}"/>
    <cellStyle name="CABEÇALHO 29 2 2 4" xfId="9195" xr:uid="{00000000-0005-0000-0000-000042080000}"/>
    <cellStyle name="CABEÇALHO 29 2 2 5" xfId="10511" xr:uid="{00000000-0005-0000-0000-000043080000}"/>
    <cellStyle name="CABEÇALHO 29 2 2 6" xfId="10903" xr:uid="{00000000-0005-0000-0000-000044080000}"/>
    <cellStyle name="CABEÇALHO 29 2 3" xfId="1451" xr:uid="{00000000-0005-0000-0000-000045080000}"/>
    <cellStyle name="CABEÇALHO 29 2 3 2" xfId="4331" xr:uid="{00000000-0005-0000-0000-000046080000}"/>
    <cellStyle name="CABEÇALHO 29 2 3 3" xfId="6222" xr:uid="{00000000-0005-0000-0000-000047080000}"/>
    <cellStyle name="CABEÇALHO 29 2 3 4" xfId="7233" xr:uid="{00000000-0005-0000-0000-000048080000}"/>
    <cellStyle name="CABEÇALHO 29 2 3 5" xfId="7324" xr:uid="{00000000-0005-0000-0000-000049080000}"/>
    <cellStyle name="CABEÇALHO 29 2 3 6" xfId="11150" xr:uid="{00000000-0005-0000-0000-00004A080000}"/>
    <cellStyle name="CABEÇALHO 29 2 4" xfId="3850" xr:uid="{00000000-0005-0000-0000-00004B080000}"/>
    <cellStyle name="CABEÇALHO 29 2 5" xfId="2912" xr:uid="{00000000-0005-0000-0000-00004C080000}"/>
    <cellStyle name="CABEÇALHO 29 2 6" xfId="6196" xr:uid="{00000000-0005-0000-0000-00004D080000}"/>
    <cellStyle name="CABEÇALHO 29 2 7" xfId="9281" xr:uid="{00000000-0005-0000-0000-00004E080000}"/>
    <cellStyle name="CABEÇALHO 29 2 8" xfId="10956" xr:uid="{00000000-0005-0000-0000-00004F080000}"/>
    <cellStyle name="CABEÇALHO 29 3" xfId="688" xr:uid="{00000000-0005-0000-0000-000050080000}"/>
    <cellStyle name="CABEÇALHO 29 3 2" xfId="1830" xr:uid="{00000000-0005-0000-0000-000051080000}"/>
    <cellStyle name="CABEÇALHO 29 3 2 2" xfId="4710" xr:uid="{00000000-0005-0000-0000-000052080000}"/>
    <cellStyle name="CABEÇALHO 29 3 2 3" xfId="6198" xr:uid="{00000000-0005-0000-0000-000053080000}"/>
    <cellStyle name="CABEÇALHO 29 3 2 4" xfId="8728" xr:uid="{00000000-0005-0000-0000-000054080000}"/>
    <cellStyle name="CABEÇALHO 29 3 2 5" xfId="10443" xr:uid="{00000000-0005-0000-0000-000055080000}"/>
    <cellStyle name="CABEÇALHO 29 3 2 6" xfId="9898" xr:uid="{00000000-0005-0000-0000-000056080000}"/>
    <cellStyle name="CABEÇALHO 29 3 3" xfId="2519" xr:uid="{00000000-0005-0000-0000-000057080000}"/>
    <cellStyle name="CABEÇALHO 29 3 3 2" xfId="5399" xr:uid="{00000000-0005-0000-0000-000058080000}"/>
    <cellStyle name="CABEÇALHO 29 3 3 3" xfId="7662" xr:uid="{00000000-0005-0000-0000-000059080000}"/>
    <cellStyle name="CABEÇALHO 29 3 3 4" xfId="8474" xr:uid="{00000000-0005-0000-0000-00005A080000}"/>
    <cellStyle name="CABEÇALHO 29 3 3 5" xfId="8805" xr:uid="{00000000-0005-0000-0000-00005B080000}"/>
    <cellStyle name="CABEÇALHO 29 3 3 6" xfId="9625" xr:uid="{00000000-0005-0000-0000-00005C080000}"/>
    <cellStyle name="CABEÇALHO 29 3 4" xfId="3568" xr:uid="{00000000-0005-0000-0000-00005D080000}"/>
    <cellStyle name="CABEÇALHO 29 3 5" xfId="7131" xr:uid="{00000000-0005-0000-0000-00005E080000}"/>
    <cellStyle name="CABEÇALHO 29 3 6" xfId="8850" xr:uid="{00000000-0005-0000-0000-00005F080000}"/>
    <cellStyle name="CABEÇALHO 29 3 7" xfId="9804" xr:uid="{00000000-0005-0000-0000-000060080000}"/>
    <cellStyle name="CABEÇALHO 29 3 8" xfId="10964" xr:uid="{00000000-0005-0000-0000-000061080000}"/>
    <cellStyle name="CABEÇALHO 29 4" xfId="1172" xr:uid="{00000000-0005-0000-0000-000062080000}"/>
    <cellStyle name="CABEÇALHO 29 4 2" xfId="2314" xr:uid="{00000000-0005-0000-0000-000063080000}"/>
    <cellStyle name="CABEÇALHO 29 4 2 2" xfId="5194" xr:uid="{00000000-0005-0000-0000-000064080000}"/>
    <cellStyle name="CABEÇALHO 29 4 2 3" xfId="5912" xr:uid="{00000000-0005-0000-0000-000065080000}"/>
    <cellStyle name="CABEÇALHO 29 4 2 4" xfId="6439" xr:uid="{00000000-0005-0000-0000-000066080000}"/>
    <cellStyle name="CABEÇALHO 29 4 2 5" xfId="6706" xr:uid="{00000000-0005-0000-0000-000067080000}"/>
    <cellStyle name="CABEÇALHO 29 4 2 6" xfId="8831" xr:uid="{00000000-0005-0000-0000-000068080000}"/>
    <cellStyle name="CABEÇALHO 29 4 3" xfId="2620" xr:uid="{00000000-0005-0000-0000-000069080000}"/>
    <cellStyle name="CABEÇALHO 29 4 3 2" xfId="5500" xr:uid="{00000000-0005-0000-0000-00006A080000}"/>
    <cellStyle name="CABEÇALHO 29 4 3 3" xfId="7967" xr:uid="{00000000-0005-0000-0000-00006B080000}"/>
    <cellStyle name="CABEÇALHO 29 4 3 4" xfId="9124" xr:uid="{00000000-0005-0000-0000-00006C080000}"/>
    <cellStyle name="CABEÇALHO 29 4 3 5" xfId="10433" xr:uid="{00000000-0005-0000-0000-00006D080000}"/>
    <cellStyle name="CABEÇALHO 29 4 3 6" xfId="10878" xr:uid="{00000000-0005-0000-0000-00006E080000}"/>
    <cellStyle name="CABEÇALHO 29 4 4" xfId="4052" xr:uid="{00000000-0005-0000-0000-00006F080000}"/>
    <cellStyle name="CABEÇALHO 29 4 5" xfId="3174" xr:uid="{00000000-0005-0000-0000-000070080000}"/>
    <cellStyle name="CABEÇALHO 29 4 6" xfId="7915" xr:uid="{00000000-0005-0000-0000-000071080000}"/>
    <cellStyle name="CABEÇALHO 29 4 7" xfId="8550" xr:uid="{00000000-0005-0000-0000-000072080000}"/>
    <cellStyle name="CABEÇALHO 29 4 8" xfId="10962" xr:uid="{00000000-0005-0000-0000-000073080000}"/>
    <cellStyle name="CABEÇALHO 29 5" xfId="672" xr:uid="{00000000-0005-0000-0000-000074080000}"/>
    <cellStyle name="CABEÇALHO 29 5 2" xfId="1814" xr:uid="{00000000-0005-0000-0000-000075080000}"/>
    <cellStyle name="CABEÇALHO 29 5 2 2" xfId="4694" xr:uid="{00000000-0005-0000-0000-000076080000}"/>
    <cellStyle name="CABEÇALHO 29 5 2 3" xfId="7477" xr:uid="{00000000-0005-0000-0000-000077080000}"/>
    <cellStyle name="CABEÇALHO 29 5 2 4" xfId="8298" xr:uid="{00000000-0005-0000-0000-000078080000}"/>
    <cellStyle name="CABEÇALHO 29 5 2 5" xfId="10569" xr:uid="{00000000-0005-0000-0000-000079080000}"/>
    <cellStyle name="CABEÇALHO 29 5 2 6" xfId="11325" xr:uid="{00000000-0005-0000-0000-00007A080000}"/>
    <cellStyle name="CABEÇALHO 29 5 3" xfId="2604" xr:uid="{00000000-0005-0000-0000-00007B080000}"/>
    <cellStyle name="CABEÇALHO 29 5 3 2" xfId="5484" xr:uid="{00000000-0005-0000-0000-00007C080000}"/>
    <cellStyle name="CABEÇALHO 29 5 3 3" xfId="6396" xr:uid="{00000000-0005-0000-0000-00007D080000}"/>
    <cellStyle name="CABEÇALHO 29 5 3 4" xfId="9310" xr:uid="{00000000-0005-0000-0000-00007E080000}"/>
    <cellStyle name="CABEÇALHO 29 5 3 5" xfId="9719" xr:uid="{00000000-0005-0000-0000-00007F080000}"/>
    <cellStyle name="CABEÇALHO 29 5 3 6" xfId="9780" xr:uid="{00000000-0005-0000-0000-000080080000}"/>
    <cellStyle name="CABEÇALHO 29 5 4" xfId="3552" xr:uid="{00000000-0005-0000-0000-000081080000}"/>
    <cellStyle name="CABEÇALHO 29 5 5" xfId="7548" xr:uid="{00000000-0005-0000-0000-000082080000}"/>
    <cellStyle name="CABEÇALHO 29 5 6" xfId="6135" xr:uid="{00000000-0005-0000-0000-000083080000}"/>
    <cellStyle name="CABEÇALHO 29 5 7" xfId="10160" xr:uid="{00000000-0005-0000-0000-000084080000}"/>
    <cellStyle name="CABEÇALHO 29 5 8" xfId="10875" xr:uid="{00000000-0005-0000-0000-000085080000}"/>
    <cellStyle name="CABEÇALHO 29 6" xfId="715" xr:uid="{00000000-0005-0000-0000-000086080000}"/>
    <cellStyle name="CABEÇALHO 29 6 2" xfId="1857" xr:uid="{00000000-0005-0000-0000-000087080000}"/>
    <cellStyle name="CABEÇALHO 29 6 2 2" xfId="4737" xr:uid="{00000000-0005-0000-0000-000088080000}"/>
    <cellStyle name="CABEÇALHO 29 6 2 3" xfId="7650" xr:uid="{00000000-0005-0000-0000-000089080000}"/>
    <cellStyle name="CABEÇALHO 29 6 2 4" xfId="9450" xr:uid="{00000000-0005-0000-0000-00008A080000}"/>
    <cellStyle name="CABEÇALHO 29 6 2 5" xfId="10532" xr:uid="{00000000-0005-0000-0000-00008B080000}"/>
    <cellStyle name="CABEÇALHO 29 6 2 6" xfId="9909" xr:uid="{00000000-0005-0000-0000-00008C080000}"/>
    <cellStyle name="CABEÇALHO 29 6 3" xfId="2804" xr:uid="{00000000-0005-0000-0000-00008D080000}"/>
    <cellStyle name="CABEÇALHO 29 6 3 2" xfId="5684" xr:uid="{00000000-0005-0000-0000-00008E080000}"/>
    <cellStyle name="CABEÇALHO 29 6 3 3" xfId="5933" xr:uid="{00000000-0005-0000-0000-00008F080000}"/>
    <cellStyle name="CABEÇALHO 29 6 3 4" xfId="8901" xr:uid="{00000000-0005-0000-0000-000090080000}"/>
    <cellStyle name="CABEÇALHO 29 6 3 5" xfId="9979" xr:uid="{00000000-0005-0000-0000-000091080000}"/>
    <cellStyle name="CABEÇALHO 29 6 3 6" xfId="9651" xr:uid="{00000000-0005-0000-0000-000092080000}"/>
    <cellStyle name="CABEÇALHO 29 6 4" xfId="3595" xr:uid="{00000000-0005-0000-0000-000093080000}"/>
    <cellStyle name="CABEÇALHO 29 6 5" xfId="7069" xr:uid="{00000000-0005-0000-0000-000094080000}"/>
    <cellStyle name="CABEÇALHO 29 6 6" xfId="8793" xr:uid="{00000000-0005-0000-0000-000095080000}"/>
    <cellStyle name="CABEÇALHO 29 6 7" xfId="9761" xr:uid="{00000000-0005-0000-0000-000096080000}"/>
    <cellStyle name="CABEÇALHO 29 6 8" xfId="11029" xr:uid="{00000000-0005-0000-0000-000097080000}"/>
    <cellStyle name="CABEÇALHO 29 7" xfId="1635" xr:uid="{00000000-0005-0000-0000-000098080000}"/>
    <cellStyle name="CABEÇALHO 29 7 2" xfId="4515" xr:uid="{00000000-0005-0000-0000-000099080000}"/>
    <cellStyle name="CABEÇALHO 29 7 3" xfId="5920" xr:uid="{00000000-0005-0000-0000-00009A080000}"/>
    <cellStyle name="CABEÇALHO 29 7 4" xfId="7709" xr:uid="{00000000-0005-0000-0000-00009B080000}"/>
    <cellStyle name="CABEÇALHO 29 7 5" xfId="10640" xr:uid="{00000000-0005-0000-0000-00009C080000}"/>
    <cellStyle name="CABEÇALHO 29 7 6" xfId="11086" xr:uid="{00000000-0005-0000-0000-00009D080000}"/>
    <cellStyle name="CABEÇALHO 29 8" xfId="1413" xr:uid="{00000000-0005-0000-0000-00009E080000}"/>
    <cellStyle name="CABEÇALHO 29 8 2" xfId="4293" xr:uid="{00000000-0005-0000-0000-00009F080000}"/>
    <cellStyle name="CABEÇALHO 29 8 3" xfId="7941" xr:uid="{00000000-0005-0000-0000-0000A0080000}"/>
    <cellStyle name="CABEÇALHO 29 8 4" xfId="9352" xr:uid="{00000000-0005-0000-0000-0000A1080000}"/>
    <cellStyle name="CABEÇALHO 29 8 5" xfId="10792" xr:uid="{00000000-0005-0000-0000-0000A2080000}"/>
    <cellStyle name="CABEÇALHO 29 8 6" xfId="9811" xr:uid="{00000000-0005-0000-0000-0000A3080000}"/>
    <cellStyle name="CABEÇALHO 29 9" xfId="3374" xr:uid="{00000000-0005-0000-0000-0000A4080000}"/>
    <cellStyle name="CABEÇALHO 3" xfId="341" xr:uid="{00000000-0005-0000-0000-0000A5080000}"/>
    <cellStyle name="CABEÇALHO 3 10" xfId="503" xr:uid="{00000000-0005-0000-0000-0000A6080000}"/>
    <cellStyle name="CABEÇALHO 3 10 10" xfId="6012" xr:uid="{00000000-0005-0000-0000-0000A7080000}"/>
    <cellStyle name="CABEÇALHO 3 10 11" xfId="8970" xr:uid="{00000000-0005-0000-0000-0000A8080000}"/>
    <cellStyle name="CABEÇALHO 3 10 12" xfId="9904" xr:uid="{00000000-0005-0000-0000-0000A9080000}"/>
    <cellStyle name="CABEÇALHO 3 10 13" xfId="9515" xr:uid="{00000000-0005-0000-0000-0000AA080000}"/>
    <cellStyle name="CABEÇALHO 3 10 2" xfId="979" xr:uid="{00000000-0005-0000-0000-0000AB080000}"/>
    <cellStyle name="CABEÇALHO 3 10 2 2" xfId="2121" xr:uid="{00000000-0005-0000-0000-0000AC080000}"/>
    <cellStyle name="CABEÇALHO 3 10 2 2 2" xfId="5001" xr:uid="{00000000-0005-0000-0000-0000AD080000}"/>
    <cellStyle name="CABEÇALHO 3 10 2 2 3" xfId="6538" xr:uid="{00000000-0005-0000-0000-0000AE080000}"/>
    <cellStyle name="CABEÇALHO 3 10 2 2 4" xfId="9037" xr:uid="{00000000-0005-0000-0000-0000AF080000}"/>
    <cellStyle name="CABEÇALHO 3 10 2 2 5" xfId="10018" xr:uid="{00000000-0005-0000-0000-0000B0080000}"/>
    <cellStyle name="CABEÇALHO 3 10 2 2 6" xfId="10053" xr:uid="{00000000-0005-0000-0000-0000B1080000}"/>
    <cellStyle name="CABEÇALHO 3 10 2 3" xfId="2761" xr:uid="{00000000-0005-0000-0000-0000B2080000}"/>
    <cellStyle name="CABEÇALHO 3 10 2 3 2" xfId="5641" xr:uid="{00000000-0005-0000-0000-0000B3080000}"/>
    <cellStyle name="CABEÇALHO 3 10 2 3 3" xfId="6665" xr:uid="{00000000-0005-0000-0000-0000B4080000}"/>
    <cellStyle name="CABEÇALHO 3 10 2 3 4" xfId="9556" xr:uid="{00000000-0005-0000-0000-0000B5080000}"/>
    <cellStyle name="CABEÇALHO 3 10 2 3 5" xfId="9718" xr:uid="{00000000-0005-0000-0000-0000B6080000}"/>
    <cellStyle name="CABEÇALHO 3 10 2 3 6" xfId="11567" xr:uid="{00000000-0005-0000-0000-0000B7080000}"/>
    <cellStyle name="CABEÇALHO 3 10 2 4" xfId="3859" xr:uid="{00000000-0005-0000-0000-0000B8080000}"/>
    <cellStyle name="CABEÇALHO 3 10 2 5" xfId="6421" xr:uid="{00000000-0005-0000-0000-0000B9080000}"/>
    <cellStyle name="CABEÇALHO 3 10 2 6" xfId="8515" xr:uid="{00000000-0005-0000-0000-0000BA080000}"/>
    <cellStyle name="CABEÇALHO 3 10 2 7" xfId="3053" xr:uid="{00000000-0005-0000-0000-0000BB080000}"/>
    <cellStyle name="CABEÇALHO 3 10 2 8" xfId="9908" xr:uid="{00000000-0005-0000-0000-0000BC080000}"/>
    <cellStyle name="CABEÇALHO 3 10 3" xfId="801" xr:uid="{00000000-0005-0000-0000-0000BD080000}"/>
    <cellStyle name="CABEÇALHO 3 10 3 2" xfId="1943" xr:uid="{00000000-0005-0000-0000-0000BE080000}"/>
    <cellStyle name="CABEÇALHO 3 10 3 2 2" xfId="4823" xr:uid="{00000000-0005-0000-0000-0000BF080000}"/>
    <cellStyle name="CABEÇALHO 3 10 3 2 3" xfId="7720" xr:uid="{00000000-0005-0000-0000-0000C0080000}"/>
    <cellStyle name="CABEÇALHO 3 10 3 2 4" xfId="9484" xr:uid="{00000000-0005-0000-0000-0000C1080000}"/>
    <cellStyle name="CABEÇALHO 3 10 3 2 5" xfId="9173" xr:uid="{00000000-0005-0000-0000-0000C2080000}"/>
    <cellStyle name="CABEÇALHO 3 10 3 2 6" xfId="11553" xr:uid="{00000000-0005-0000-0000-0000C3080000}"/>
    <cellStyle name="CABEÇALHO 3 10 3 3" xfId="1472" xr:uid="{00000000-0005-0000-0000-0000C4080000}"/>
    <cellStyle name="CABEÇALHO 3 10 3 3 2" xfId="4352" xr:uid="{00000000-0005-0000-0000-0000C5080000}"/>
    <cellStyle name="CABEÇALHO 3 10 3 3 3" xfId="6395" xr:uid="{00000000-0005-0000-0000-0000C6080000}"/>
    <cellStyle name="CABEÇALHO 3 10 3 3 4" xfId="7516" xr:uid="{00000000-0005-0000-0000-0000C7080000}"/>
    <cellStyle name="CABEÇALHO 3 10 3 3 5" xfId="9578" xr:uid="{00000000-0005-0000-0000-0000C8080000}"/>
    <cellStyle name="CABEÇALHO 3 10 3 3 6" xfId="11645" xr:uid="{00000000-0005-0000-0000-0000C9080000}"/>
    <cellStyle name="CABEÇALHO 3 10 3 4" xfId="3681" xr:uid="{00000000-0005-0000-0000-0000CA080000}"/>
    <cellStyle name="CABEÇALHO 3 10 3 5" xfId="7503" xr:uid="{00000000-0005-0000-0000-0000CB080000}"/>
    <cellStyle name="CABEÇALHO 3 10 3 6" xfId="6720" xr:uid="{00000000-0005-0000-0000-0000CC080000}"/>
    <cellStyle name="CABEÇALHO 3 10 3 7" xfId="10122" xr:uid="{00000000-0005-0000-0000-0000CD080000}"/>
    <cellStyle name="CABEÇALHO 3 10 3 8" xfId="9901" xr:uid="{00000000-0005-0000-0000-0000CE080000}"/>
    <cellStyle name="CABEÇALHO 3 10 4" xfId="797" xr:uid="{00000000-0005-0000-0000-0000CF080000}"/>
    <cellStyle name="CABEÇALHO 3 10 4 2" xfId="1939" xr:uid="{00000000-0005-0000-0000-0000D0080000}"/>
    <cellStyle name="CABEÇALHO 3 10 4 2 2" xfId="4819" xr:uid="{00000000-0005-0000-0000-0000D1080000}"/>
    <cellStyle name="CABEÇALHO 3 10 4 2 3" xfId="5902" xr:uid="{00000000-0005-0000-0000-0000D2080000}"/>
    <cellStyle name="CABEÇALHO 3 10 4 2 4" xfId="6411" xr:uid="{00000000-0005-0000-0000-0000D3080000}"/>
    <cellStyle name="CABEÇALHO 3 10 4 2 5" xfId="9598" xr:uid="{00000000-0005-0000-0000-0000D4080000}"/>
    <cellStyle name="CABEÇALHO 3 10 4 2 6" xfId="11379" xr:uid="{00000000-0005-0000-0000-0000D5080000}"/>
    <cellStyle name="CABEÇALHO 3 10 4 3" xfId="2709" xr:uid="{00000000-0005-0000-0000-0000D6080000}"/>
    <cellStyle name="CABEÇALHO 3 10 4 3 2" xfId="5589" xr:uid="{00000000-0005-0000-0000-0000D7080000}"/>
    <cellStyle name="CABEÇALHO 3 10 4 3 3" xfId="7711" xr:uid="{00000000-0005-0000-0000-0000D8080000}"/>
    <cellStyle name="CABEÇALHO 3 10 4 3 4" xfId="7370" xr:uid="{00000000-0005-0000-0000-0000D9080000}"/>
    <cellStyle name="CABEÇALHO 3 10 4 3 5" xfId="8590" xr:uid="{00000000-0005-0000-0000-0000DA080000}"/>
    <cellStyle name="CABEÇALHO 3 10 4 3 6" xfId="11538" xr:uid="{00000000-0005-0000-0000-0000DB080000}"/>
    <cellStyle name="CABEÇALHO 3 10 4 4" xfId="3677" xr:uid="{00000000-0005-0000-0000-0000DC080000}"/>
    <cellStyle name="CABEÇALHO 3 10 4 5" xfId="6904" xr:uid="{00000000-0005-0000-0000-0000DD080000}"/>
    <cellStyle name="CABEÇALHO 3 10 4 6" xfId="7340" xr:uid="{00000000-0005-0000-0000-0000DE080000}"/>
    <cellStyle name="CABEÇALHO 3 10 4 7" xfId="6886" xr:uid="{00000000-0005-0000-0000-0000DF080000}"/>
    <cellStyle name="CABEÇALHO 3 10 4 8" xfId="9877" xr:uid="{00000000-0005-0000-0000-0000E0080000}"/>
    <cellStyle name="CABEÇALHO 3 10 5" xfId="694" xr:uid="{00000000-0005-0000-0000-0000E1080000}"/>
    <cellStyle name="CABEÇALHO 3 10 5 2" xfId="1836" xr:uid="{00000000-0005-0000-0000-0000E2080000}"/>
    <cellStyle name="CABEÇALHO 3 10 5 2 2" xfId="4716" xr:uid="{00000000-0005-0000-0000-0000E3080000}"/>
    <cellStyle name="CABEÇALHO 3 10 5 2 3" xfId="6988" xr:uid="{00000000-0005-0000-0000-0000E4080000}"/>
    <cellStyle name="CABEÇALHO 3 10 5 2 4" xfId="9449" xr:uid="{00000000-0005-0000-0000-0000E5080000}"/>
    <cellStyle name="CABEÇALHO 3 10 5 2 5" xfId="10328" xr:uid="{00000000-0005-0000-0000-0000E6080000}"/>
    <cellStyle name="CABEÇALHO 3 10 5 2 6" xfId="5788" xr:uid="{00000000-0005-0000-0000-0000E7080000}"/>
    <cellStyle name="CABEÇALHO 3 10 5 3" xfId="1398" xr:uid="{00000000-0005-0000-0000-0000E8080000}"/>
    <cellStyle name="CABEÇALHO 3 10 5 3 2" xfId="4278" xr:uid="{00000000-0005-0000-0000-0000E9080000}"/>
    <cellStyle name="CABEÇALHO 3 10 5 3 3" xfId="6763" xr:uid="{00000000-0005-0000-0000-0000EA080000}"/>
    <cellStyle name="CABEÇALHO 3 10 5 3 4" xfId="8234" xr:uid="{00000000-0005-0000-0000-0000EB080000}"/>
    <cellStyle name="CABEÇALHO 3 10 5 3 5" xfId="9776" xr:uid="{00000000-0005-0000-0000-0000EC080000}"/>
    <cellStyle name="CABEÇALHO 3 10 5 3 6" xfId="10999" xr:uid="{00000000-0005-0000-0000-0000ED080000}"/>
    <cellStyle name="CABEÇALHO 3 10 5 4" xfId="3574" xr:uid="{00000000-0005-0000-0000-0000EE080000}"/>
    <cellStyle name="CABEÇALHO 3 10 5 5" xfId="3000" xr:uid="{00000000-0005-0000-0000-0000EF080000}"/>
    <cellStyle name="CABEÇALHO 3 10 5 6" xfId="7038" xr:uid="{00000000-0005-0000-0000-0000F0080000}"/>
    <cellStyle name="CABEÇALHO 3 10 5 7" xfId="8646" xr:uid="{00000000-0005-0000-0000-0000F1080000}"/>
    <cellStyle name="CABEÇALHO 3 10 5 8" xfId="2969" xr:uid="{00000000-0005-0000-0000-0000F2080000}"/>
    <cellStyle name="CABEÇALHO 3 10 6" xfId="1245" xr:uid="{00000000-0005-0000-0000-0000F3080000}"/>
    <cellStyle name="CABEÇALHO 3 10 6 2" xfId="2387" xr:uid="{00000000-0005-0000-0000-0000F4080000}"/>
    <cellStyle name="CABEÇALHO 3 10 6 2 2" xfId="5267" xr:uid="{00000000-0005-0000-0000-0000F5080000}"/>
    <cellStyle name="CABEÇALHO 3 10 6 2 3" xfId="7431" xr:uid="{00000000-0005-0000-0000-0000F6080000}"/>
    <cellStyle name="CABEÇALHO 3 10 6 2 4" xfId="9275" xr:uid="{00000000-0005-0000-0000-0000F7080000}"/>
    <cellStyle name="CABEÇALHO 3 10 6 2 5" xfId="10793" xr:uid="{00000000-0005-0000-0000-0000F8080000}"/>
    <cellStyle name="CABEÇALHO 3 10 6 2 6" xfId="10893" xr:uid="{00000000-0005-0000-0000-0000F9080000}"/>
    <cellStyle name="CABEÇALHO 3 10 6 3" xfId="1467" xr:uid="{00000000-0005-0000-0000-0000FA080000}"/>
    <cellStyle name="CABEÇALHO 3 10 6 3 2" xfId="4347" xr:uid="{00000000-0005-0000-0000-0000FB080000}"/>
    <cellStyle name="CABEÇALHO 3 10 6 3 3" xfId="8021" xr:uid="{00000000-0005-0000-0000-0000FC080000}"/>
    <cellStyle name="CABEÇALHO 3 10 6 3 4" xfId="9428" xr:uid="{00000000-0005-0000-0000-0000FD080000}"/>
    <cellStyle name="CABEÇALHO 3 10 6 3 5" xfId="10800" xr:uid="{00000000-0005-0000-0000-0000FE080000}"/>
    <cellStyle name="CABEÇALHO 3 10 6 3 6" xfId="11552" xr:uid="{00000000-0005-0000-0000-0000FF080000}"/>
    <cellStyle name="CABEÇALHO 3 10 6 4" xfId="4125" xr:uid="{00000000-0005-0000-0000-000000090000}"/>
    <cellStyle name="CABEÇALHO 3 10 6 5" xfId="2925" xr:uid="{00000000-0005-0000-0000-000001090000}"/>
    <cellStyle name="CABEÇALHO 3 10 6 6" xfId="2920" xr:uid="{00000000-0005-0000-0000-000002090000}"/>
    <cellStyle name="CABEÇALHO 3 10 6 7" xfId="9462" xr:uid="{00000000-0005-0000-0000-000003090000}"/>
    <cellStyle name="CABEÇALHO 3 10 6 8" xfId="10607" xr:uid="{00000000-0005-0000-0000-000004090000}"/>
    <cellStyle name="CABEÇALHO 3 10 7" xfId="1644" xr:uid="{00000000-0005-0000-0000-000005090000}"/>
    <cellStyle name="CABEÇALHO 3 10 7 2" xfId="4524" xr:uid="{00000000-0005-0000-0000-000006090000}"/>
    <cellStyle name="CABEÇALHO 3 10 7 3" xfId="8092" xr:uid="{00000000-0005-0000-0000-000007090000}"/>
    <cellStyle name="CABEÇALHO 3 10 7 4" xfId="9498" xr:uid="{00000000-0005-0000-0000-000008090000}"/>
    <cellStyle name="CABEÇALHO 3 10 7 5" xfId="10630" xr:uid="{00000000-0005-0000-0000-000009090000}"/>
    <cellStyle name="CABEÇALHO 3 10 7 6" xfId="11405" xr:uid="{00000000-0005-0000-0000-00000A090000}"/>
    <cellStyle name="CABEÇALHO 3 10 8" xfId="1380" xr:uid="{00000000-0005-0000-0000-00000B090000}"/>
    <cellStyle name="CABEÇALHO 3 10 8 2" xfId="4260" xr:uid="{00000000-0005-0000-0000-00000C090000}"/>
    <cellStyle name="CABEÇALHO 3 10 8 3" xfId="7920" xr:uid="{00000000-0005-0000-0000-00000D090000}"/>
    <cellStyle name="CABEÇALHO 3 10 8 4" xfId="9331" xr:uid="{00000000-0005-0000-0000-00000E090000}"/>
    <cellStyle name="CABEÇALHO 3 10 8 5" xfId="9724" xr:uid="{00000000-0005-0000-0000-00000F090000}"/>
    <cellStyle name="CABEÇALHO 3 10 8 6" xfId="11469" xr:uid="{00000000-0005-0000-0000-000010090000}"/>
    <cellStyle name="CABEÇALHO 3 10 9" xfId="3383" xr:uid="{00000000-0005-0000-0000-000011090000}"/>
    <cellStyle name="CABEÇALHO 3 11" xfId="488" xr:uid="{00000000-0005-0000-0000-000012090000}"/>
    <cellStyle name="CABEÇALHO 3 11 10" xfId="2984" xr:uid="{00000000-0005-0000-0000-000013090000}"/>
    <cellStyle name="CABEÇALHO 3 11 11" xfId="7950" xr:uid="{00000000-0005-0000-0000-000014090000}"/>
    <cellStyle name="CABEÇALHO 3 11 12" xfId="8753" xr:uid="{00000000-0005-0000-0000-000015090000}"/>
    <cellStyle name="CABEÇALHO 3 11 13" xfId="6486" xr:uid="{00000000-0005-0000-0000-000016090000}"/>
    <cellStyle name="CABEÇALHO 3 11 2" xfId="964" xr:uid="{00000000-0005-0000-0000-000017090000}"/>
    <cellStyle name="CABEÇALHO 3 11 2 2" xfId="2106" xr:uid="{00000000-0005-0000-0000-000018090000}"/>
    <cellStyle name="CABEÇALHO 3 11 2 2 2" xfId="4986" xr:uid="{00000000-0005-0000-0000-000019090000}"/>
    <cellStyle name="CABEÇALHO 3 11 2 2 3" xfId="7173" xr:uid="{00000000-0005-0000-0000-00001A090000}"/>
    <cellStyle name="CABEÇALHO 3 11 2 2 4" xfId="9406" xr:uid="{00000000-0005-0000-0000-00001B090000}"/>
    <cellStyle name="CABEÇALHO 3 11 2 2 5" xfId="10205" xr:uid="{00000000-0005-0000-0000-00001C090000}"/>
    <cellStyle name="CABEÇALHO 3 11 2 2 6" xfId="10974" xr:uid="{00000000-0005-0000-0000-00001D090000}"/>
    <cellStyle name="CABEÇALHO 3 11 2 3" xfId="2742" xr:uid="{00000000-0005-0000-0000-00001E090000}"/>
    <cellStyle name="CABEÇALHO 3 11 2 3 2" xfId="5622" xr:uid="{00000000-0005-0000-0000-00001F090000}"/>
    <cellStyle name="CABEÇALHO 3 11 2 3 3" xfId="7219" xr:uid="{00000000-0005-0000-0000-000020090000}"/>
    <cellStyle name="CABEÇALHO 3 11 2 3 4" xfId="6680" xr:uid="{00000000-0005-0000-0000-000021090000}"/>
    <cellStyle name="CABEÇALHO 3 11 2 3 5" xfId="7424" xr:uid="{00000000-0005-0000-0000-000022090000}"/>
    <cellStyle name="CABEÇALHO 3 11 2 3 6" xfId="10206" xr:uid="{00000000-0005-0000-0000-000023090000}"/>
    <cellStyle name="CABEÇALHO 3 11 2 4" xfId="3844" xr:uid="{00000000-0005-0000-0000-000024090000}"/>
    <cellStyle name="CABEÇALHO 3 11 2 5" xfId="2907" xr:uid="{00000000-0005-0000-0000-000025090000}"/>
    <cellStyle name="CABEÇALHO 3 11 2 6" xfId="7102" xr:uid="{00000000-0005-0000-0000-000026090000}"/>
    <cellStyle name="CABEÇALHO 3 11 2 7" xfId="2902" xr:uid="{00000000-0005-0000-0000-000027090000}"/>
    <cellStyle name="CABEÇALHO 3 11 2 8" xfId="11608" xr:uid="{00000000-0005-0000-0000-000028090000}"/>
    <cellStyle name="CABEÇALHO 3 11 3" xfId="755" xr:uid="{00000000-0005-0000-0000-000029090000}"/>
    <cellStyle name="CABEÇALHO 3 11 3 2" xfId="1897" xr:uid="{00000000-0005-0000-0000-00002A090000}"/>
    <cellStyle name="CABEÇALHO 3 11 3 2 2" xfId="4777" xr:uid="{00000000-0005-0000-0000-00002B090000}"/>
    <cellStyle name="CABEÇALHO 3 11 3 2 3" xfId="6865" xr:uid="{00000000-0005-0000-0000-00002C090000}"/>
    <cellStyle name="CABEÇALHO 3 11 3 2 4" xfId="6280" xr:uid="{00000000-0005-0000-0000-00002D090000}"/>
    <cellStyle name="CABEÇALHO 3 11 3 2 5" xfId="8539" xr:uid="{00000000-0005-0000-0000-00002E090000}"/>
    <cellStyle name="CABEÇALHO 3 11 3 2 6" xfId="11384" xr:uid="{00000000-0005-0000-0000-00002F090000}"/>
    <cellStyle name="CABEÇALHO 3 11 3 3" xfId="2706" xr:uid="{00000000-0005-0000-0000-000030090000}"/>
    <cellStyle name="CABEÇALHO 3 11 3 3 2" xfId="5586" xr:uid="{00000000-0005-0000-0000-000031090000}"/>
    <cellStyle name="CABEÇALHO 3 11 3 3 3" xfId="7749" xr:uid="{00000000-0005-0000-0000-000032090000}"/>
    <cellStyle name="CABEÇALHO 3 11 3 3 4" xfId="6508" xr:uid="{00000000-0005-0000-0000-000033090000}"/>
    <cellStyle name="CABEÇALHO 3 11 3 3 5" xfId="9617" xr:uid="{00000000-0005-0000-0000-000034090000}"/>
    <cellStyle name="CABEÇALHO 3 11 3 3 6" xfId="10229" xr:uid="{00000000-0005-0000-0000-000035090000}"/>
    <cellStyle name="CABEÇALHO 3 11 3 4" xfId="3635" xr:uid="{00000000-0005-0000-0000-000036090000}"/>
    <cellStyle name="CABEÇALHO 3 11 3 5" xfId="6325" xr:uid="{00000000-0005-0000-0000-000037090000}"/>
    <cellStyle name="CABEÇALHO 3 11 3 6" xfId="8427" xr:uid="{00000000-0005-0000-0000-000038090000}"/>
    <cellStyle name="CABEÇALHO 3 11 3 7" xfId="8968" xr:uid="{00000000-0005-0000-0000-000039090000}"/>
    <cellStyle name="CABEÇALHO 3 11 3 8" xfId="11214" xr:uid="{00000000-0005-0000-0000-00003A090000}"/>
    <cellStyle name="CABEÇALHO 3 11 4" xfId="712" xr:uid="{00000000-0005-0000-0000-00003B090000}"/>
    <cellStyle name="CABEÇALHO 3 11 4 2" xfId="1854" xr:uid="{00000000-0005-0000-0000-00003C090000}"/>
    <cellStyle name="CABEÇALHO 3 11 4 2 2" xfId="4734" xr:uid="{00000000-0005-0000-0000-00003D090000}"/>
    <cellStyle name="CABEÇALHO 3 11 4 2 3" xfId="7647" xr:uid="{00000000-0005-0000-0000-00003E090000}"/>
    <cellStyle name="CABEÇALHO 3 11 4 2 4" xfId="9249" xr:uid="{00000000-0005-0000-0000-00003F090000}"/>
    <cellStyle name="CABEÇALHO 3 11 4 2 5" xfId="10661" xr:uid="{00000000-0005-0000-0000-000040090000}"/>
    <cellStyle name="CABEÇALHO 3 11 4 2 6" xfId="11591" xr:uid="{00000000-0005-0000-0000-000041090000}"/>
    <cellStyle name="CABEÇALHO 3 11 4 3" xfId="2756" xr:uid="{00000000-0005-0000-0000-000042090000}"/>
    <cellStyle name="CABEÇALHO 3 11 4 3 2" xfId="5636" xr:uid="{00000000-0005-0000-0000-000043090000}"/>
    <cellStyle name="CABEÇALHO 3 11 4 3 3" xfId="6860" xr:uid="{00000000-0005-0000-0000-000044090000}"/>
    <cellStyle name="CABEÇALHO 3 11 4 3 4" xfId="9214" xr:uid="{00000000-0005-0000-0000-000045090000}"/>
    <cellStyle name="CABEÇALHO 3 11 4 3 5" xfId="10629" xr:uid="{00000000-0005-0000-0000-000046090000}"/>
    <cellStyle name="CABEÇALHO 3 11 4 3 6" xfId="11048" xr:uid="{00000000-0005-0000-0000-000047090000}"/>
    <cellStyle name="CABEÇALHO 3 11 4 4" xfId="3592" xr:uid="{00000000-0005-0000-0000-000048090000}"/>
    <cellStyle name="CABEÇALHO 3 11 4 5" xfId="6909" xr:uid="{00000000-0005-0000-0000-000049090000}"/>
    <cellStyle name="CABEÇALHO 3 11 4 6" xfId="7460" xr:uid="{00000000-0005-0000-0000-00004A090000}"/>
    <cellStyle name="CABEÇALHO 3 11 4 7" xfId="8405" xr:uid="{00000000-0005-0000-0000-00004B090000}"/>
    <cellStyle name="CABEÇALHO 3 11 4 8" xfId="9851" xr:uid="{00000000-0005-0000-0000-00004C090000}"/>
    <cellStyle name="CABEÇALHO 3 11 5" xfId="1227" xr:uid="{00000000-0005-0000-0000-00004D090000}"/>
    <cellStyle name="CABEÇALHO 3 11 5 2" xfId="2369" xr:uid="{00000000-0005-0000-0000-00004E090000}"/>
    <cellStyle name="CABEÇALHO 3 11 5 2 2" xfId="5249" xr:uid="{00000000-0005-0000-0000-00004F090000}"/>
    <cellStyle name="CABEÇALHO 3 11 5 2 3" xfId="7443" xr:uid="{00000000-0005-0000-0000-000050090000}"/>
    <cellStyle name="CABEÇALHO 3 11 5 2 4" xfId="9270" xr:uid="{00000000-0005-0000-0000-000051090000}"/>
    <cellStyle name="CABEÇALHO 3 11 5 2 5" xfId="10643" xr:uid="{00000000-0005-0000-0000-000052090000}"/>
    <cellStyle name="CABEÇALHO 3 11 5 2 6" xfId="10265" xr:uid="{00000000-0005-0000-0000-000053090000}"/>
    <cellStyle name="CABEÇALHO 3 11 5 3" xfId="2865" xr:uid="{00000000-0005-0000-0000-000054090000}"/>
    <cellStyle name="CABEÇALHO 3 11 5 3 2" xfId="5745" xr:uid="{00000000-0005-0000-0000-000055090000}"/>
    <cellStyle name="CABEÇALHO 3 11 5 3 3" xfId="3147" xr:uid="{00000000-0005-0000-0000-000056090000}"/>
    <cellStyle name="CABEÇALHO 3 11 5 3 4" xfId="7494" xr:uid="{00000000-0005-0000-0000-000057090000}"/>
    <cellStyle name="CABEÇALHO 3 11 5 3 5" xfId="8303" xr:uid="{00000000-0005-0000-0000-000058090000}"/>
    <cellStyle name="CABEÇALHO 3 11 5 3 6" xfId="11289" xr:uid="{00000000-0005-0000-0000-000059090000}"/>
    <cellStyle name="CABEÇALHO 3 11 5 4" xfId="4107" xr:uid="{00000000-0005-0000-0000-00005A090000}"/>
    <cellStyle name="CABEÇALHO 3 11 5 5" xfId="3180" xr:uid="{00000000-0005-0000-0000-00005B090000}"/>
    <cellStyle name="CABEÇALHO 3 11 5 6" xfId="6126" xr:uid="{00000000-0005-0000-0000-00005C090000}"/>
    <cellStyle name="CABEÇALHO 3 11 5 7" xfId="8465" xr:uid="{00000000-0005-0000-0000-00005D090000}"/>
    <cellStyle name="CABEÇALHO 3 11 5 8" xfId="11047" xr:uid="{00000000-0005-0000-0000-00005E090000}"/>
    <cellStyle name="CABEÇALHO 3 11 6" xfId="1161" xr:uid="{00000000-0005-0000-0000-00005F090000}"/>
    <cellStyle name="CABEÇALHO 3 11 6 2" xfId="2303" xr:uid="{00000000-0005-0000-0000-000060090000}"/>
    <cellStyle name="CABEÇALHO 3 11 6 2 2" xfId="5183" xr:uid="{00000000-0005-0000-0000-000061090000}"/>
    <cellStyle name="CABEÇALHO 3 11 6 2 3" xfId="7275" xr:uid="{00000000-0005-0000-0000-000062090000}"/>
    <cellStyle name="CABEÇALHO 3 11 6 2 4" xfId="8270" xr:uid="{00000000-0005-0000-0000-000063090000}"/>
    <cellStyle name="CABEÇALHO 3 11 6 2 5" xfId="10763" xr:uid="{00000000-0005-0000-0000-000064090000}"/>
    <cellStyle name="CABEÇALHO 3 11 6 2 6" xfId="7577" xr:uid="{00000000-0005-0000-0000-000065090000}"/>
    <cellStyle name="CABEÇALHO 3 11 6 3" xfId="1371" xr:uid="{00000000-0005-0000-0000-000066090000}"/>
    <cellStyle name="CABEÇALHO 3 11 6 3 2" xfId="4251" xr:uid="{00000000-0005-0000-0000-000067090000}"/>
    <cellStyle name="CABEÇALHO 3 11 6 3 3" xfId="7995" xr:uid="{00000000-0005-0000-0000-000068090000}"/>
    <cellStyle name="CABEÇALHO 3 11 6 3 4" xfId="9403" xr:uid="{00000000-0005-0000-0000-000069090000}"/>
    <cellStyle name="CABEÇALHO 3 11 6 3 5" xfId="10821" xr:uid="{00000000-0005-0000-0000-00006A090000}"/>
    <cellStyle name="CABEÇALHO 3 11 6 3 6" xfId="6180" xr:uid="{00000000-0005-0000-0000-00006B090000}"/>
    <cellStyle name="CABEÇALHO 3 11 6 4" xfId="4041" xr:uid="{00000000-0005-0000-0000-00006C090000}"/>
    <cellStyle name="CABEÇALHO 3 11 6 5" xfId="3173" xr:uid="{00000000-0005-0000-0000-00006D090000}"/>
    <cellStyle name="CABEÇALHO 3 11 6 6" xfId="6815" xr:uid="{00000000-0005-0000-0000-00006E090000}"/>
    <cellStyle name="CABEÇALHO 3 11 6 7" xfId="7581" xr:uid="{00000000-0005-0000-0000-00006F090000}"/>
    <cellStyle name="CABEÇALHO 3 11 6 8" xfId="9387" xr:uid="{00000000-0005-0000-0000-000070090000}"/>
    <cellStyle name="CABEÇALHO 3 11 7" xfId="1629" xr:uid="{00000000-0005-0000-0000-000071090000}"/>
    <cellStyle name="CABEÇALHO 3 11 7 2" xfId="4509" xr:uid="{00000000-0005-0000-0000-000072090000}"/>
    <cellStyle name="CABEÇALHO 3 11 7 3" xfId="6874" xr:uid="{00000000-0005-0000-0000-000073090000}"/>
    <cellStyle name="CABEÇALHO 3 11 7 4" xfId="8343" xr:uid="{00000000-0005-0000-0000-000074090000}"/>
    <cellStyle name="CABEÇALHO 3 11 7 5" xfId="9706" xr:uid="{00000000-0005-0000-0000-000075090000}"/>
    <cellStyle name="CABEÇALHO 3 11 7 6" xfId="11455" xr:uid="{00000000-0005-0000-0000-000076090000}"/>
    <cellStyle name="CABEÇALHO 3 11 8" xfId="2816" xr:uid="{00000000-0005-0000-0000-000077090000}"/>
    <cellStyle name="CABEÇALHO 3 11 8 2" xfId="5696" xr:uid="{00000000-0005-0000-0000-000078090000}"/>
    <cellStyle name="CABEÇALHO 3 11 8 3" xfId="7871" xr:uid="{00000000-0005-0000-0000-000079090000}"/>
    <cellStyle name="CABEÇALHO 3 11 8 4" xfId="9102" xr:uid="{00000000-0005-0000-0000-00007A090000}"/>
    <cellStyle name="CABEÇALHO 3 11 8 5" xfId="9990" xr:uid="{00000000-0005-0000-0000-00007B090000}"/>
    <cellStyle name="CABEÇALHO 3 11 8 6" xfId="9008" xr:uid="{00000000-0005-0000-0000-00007C090000}"/>
    <cellStyle name="CABEÇALHO 3 11 9" xfId="3368" xr:uid="{00000000-0005-0000-0000-00007D090000}"/>
    <cellStyle name="CABEÇALHO 3 12" xfId="508" xr:uid="{00000000-0005-0000-0000-00007E090000}"/>
    <cellStyle name="CABEÇALHO 3 12 10" xfId="7360" xr:uid="{00000000-0005-0000-0000-00007F090000}"/>
    <cellStyle name="CABEÇALHO 3 12 11" xfId="5798" xr:uid="{00000000-0005-0000-0000-000080090000}"/>
    <cellStyle name="CABEÇALHO 3 12 12" xfId="9443" xr:uid="{00000000-0005-0000-0000-000081090000}"/>
    <cellStyle name="CABEÇALHO 3 12 13" xfId="10014" xr:uid="{00000000-0005-0000-0000-000082090000}"/>
    <cellStyle name="CABEÇALHO 3 12 2" xfId="984" xr:uid="{00000000-0005-0000-0000-000083090000}"/>
    <cellStyle name="CABEÇALHO 3 12 2 2" xfId="2126" xr:uid="{00000000-0005-0000-0000-000084090000}"/>
    <cellStyle name="CABEÇALHO 3 12 2 2 2" xfId="5006" xr:uid="{00000000-0005-0000-0000-000085090000}"/>
    <cellStyle name="CABEÇALHO 3 12 2 2 3" xfId="7788" xr:uid="{00000000-0005-0000-0000-000086090000}"/>
    <cellStyle name="CABEÇALHO 3 12 2 2 4" xfId="9478" xr:uid="{00000000-0005-0000-0000-000087090000}"/>
    <cellStyle name="CABEÇALHO 3 12 2 2 5" xfId="8712" xr:uid="{00000000-0005-0000-0000-000088090000}"/>
    <cellStyle name="CABEÇALHO 3 12 2 2 6" xfId="11648" xr:uid="{00000000-0005-0000-0000-000089090000}"/>
    <cellStyle name="CABEÇALHO 3 12 2 3" xfId="1476" xr:uid="{00000000-0005-0000-0000-00008A090000}"/>
    <cellStyle name="CABEÇALHO 3 12 2 3 2" xfId="4356" xr:uid="{00000000-0005-0000-0000-00008B090000}"/>
    <cellStyle name="CABEÇALHO 3 12 2 3 3" xfId="8008" xr:uid="{00000000-0005-0000-0000-00008C090000}"/>
    <cellStyle name="CABEÇALHO 3 12 2 3 4" xfId="9415" xr:uid="{00000000-0005-0000-0000-00008D090000}"/>
    <cellStyle name="CABEÇALHO 3 12 2 3 5" xfId="5916" xr:uid="{00000000-0005-0000-0000-00008E090000}"/>
    <cellStyle name="CABEÇALHO 3 12 2 3 6" xfId="11427" xr:uid="{00000000-0005-0000-0000-00008F090000}"/>
    <cellStyle name="CABEÇALHO 3 12 2 4" xfId="3864" xr:uid="{00000000-0005-0000-0000-000090090000}"/>
    <cellStyle name="CABEÇALHO 3 12 2 5" xfId="7119" xr:uid="{00000000-0005-0000-0000-000091090000}"/>
    <cellStyle name="CABEÇALHO 3 12 2 6" xfId="8838" xr:uid="{00000000-0005-0000-0000-000092090000}"/>
    <cellStyle name="CABEÇALHO 3 12 2 7" xfId="9793" xr:uid="{00000000-0005-0000-0000-000093090000}"/>
    <cellStyle name="CABEÇALHO 3 12 2 8" xfId="10879" xr:uid="{00000000-0005-0000-0000-000094090000}"/>
    <cellStyle name="CABEÇALHO 3 12 3" xfId="803" xr:uid="{00000000-0005-0000-0000-000095090000}"/>
    <cellStyle name="CABEÇALHO 3 12 3 2" xfId="1945" xr:uid="{00000000-0005-0000-0000-000096090000}"/>
    <cellStyle name="CABEÇALHO 3 12 3 2 2" xfId="4825" xr:uid="{00000000-0005-0000-0000-000097090000}"/>
    <cellStyle name="CABEÇALHO 3 12 3 2 3" xfId="6791" xr:uid="{00000000-0005-0000-0000-000098090000}"/>
    <cellStyle name="CABEÇALHO 3 12 3 2 4" xfId="6049" xr:uid="{00000000-0005-0000-0000-000099090000}"/>
    <cellStyle name="CABEÇALHO 3 12 3 2 5" xfId="9840" xr:uid="{00000000-0005-0000-0000-00009A090000}"/>
    <cellStyle name="CABEÇALHO 3 12 3 2 6" xfId="9865" xr:uid="{00000000-0005-0000-0000-00009B090000}"/>
    <cellStyle name="CABEÇALHO 3 12 3 3" xfId="2573" xr:uid="{00000000-0005-0000-0000-00009C090000}"/>
    <cellStyle name="CABEÇALHO 3 12 3 3 2" xfId="5453" xr:uid="{00000000-0005-0000-0000-00009D090000}"/>
    <cellStyle name="CABEÇALHO 3 12 3 3 3" xfId="7673" xr:uid="{00000000-0005-0000-0000-00009E090000}"/>
    <cellStyle name="CABEÇALHO 3 12 3 3 4" xfId="8469" xr:uid="{00000000-0005-0000-0000-00009F090000}"/>
    <cellStyle name="CABEÇALHO 3 12 3 3 5" xfId="8882" xr:uid="{00000000-0005-0000-0000-0000A0090000}"/>
    <cellStyle name="CABEÇALHO 3 12 3 3 6" xfId="11242" xr:uid="{00000000-0005-0000-0000-0000A1090000}"/>
    <cellStyle name="CABEÇALHO 3 12 3 4" xfId="3683" xr:uid="{00000000-0005-0000-0000-0000A2090000}"/>
    <cellStyle name="CABEÇALHO 3 12 3 5" xfId="5976" xr:uid="{00000000-0005-0000-0000-0000A3090000}"/>
    <cellStyle name="CABEÇALHO 3 12 3 6" xfId="8936" xr:uid="{00000000-0005-0000-0000-0000A4090000}"/>
    <cellStyle name="CABEÇALHO 3 12 3 7" xfId="9883" xr:uid="{00000000-0005-0000-0000-0000A5090000}"/>
    <cellStyle name="CABEÇALHO 3 12 3 8" xfId="10597" xr:uid="{00000000-0005-0000-0000-0000A6090000}"/>
    <cellStyle name="CABEÇALHO 3 12 4" xfId="1230" xr:uid="{00000000-0005-0000-0000-0000A7090000}"/>
    <cellStyle name="CABEÇALHO 3 12 4 2" xfId="2372" xr:uid="{00000000-0005-0000-0000-0000A8090000}"/>
    <cellStyle name="CABEÇALHO 3 12 4 2 2" xfId="5252" xr:uid="{00000000-0005-0000-0000-0000A9090000}"/>
    <cellStyle name="CABEÇALHO 3 12 4 2 3" xfId="6772" xr:uid="{00000000-0005-0000-0000-0000AA090000}"/>
    <cellStyle name="CABEÇALHO 3 12 4 2 4" xfId="7080" xr:uid="{00000000-0005-0000-0000-0000AB090000}"/>
    <cellStyle name="CABEÇALHO 3 12 4 2 5" xfId="10548" xr:uid="{00000000-0005-0000-0000-0000AC090000}"/>
    <cellStyle name="CABEÇALHO 3 12 4 2 6" xfId="2945" xr:uid="{00000000-0005-0000-0000-0000AD090000}"/>
    <cellStyle name="CABEÇALHO 3 12 4 3" xfId="1367" xr:uid="{00000000-0005-0000-0000-0000AE090000}"/>
    <cellStyle name="CABEÇALHO 3 12 4 3 2" xfId="4247" xr:uid="{00000000-0005-0000-0000-0000AF090000}"/>
    <cellStyle name="CABEÇALHO 3 12 4 3 3" xfId="7001" xr:uid="{00000000-0005-0000-0000-0000B0090000}"/>
    <cellStyle name="CABEÇALHO 3 12 4 3 4" xfId="8459" xr:uid="{00000000-0005-0000-0000-0000B1090000}"/>
    <cellStyle name="CABEÇALHO 3 12 4 3 5" xfId="6157" xr:uid="{00000000-0005-0000-0000-0000B2090000}"/>
    <cellStyle name="CABEÇALHO 3 12 4 3 6" xfId="8508" xr:uid="{00000000-0005-0000-0000-0000B3090000}"/>
    <cellStyle name="CABEÇALHO 3 12 4 4" xfId="4110" xr:uid="{00000000-0005-0000-0000-0000B4090000}"/>
    <cellStyle name="CABEÇALHO 3 12 4 5" xfId="3089" xr:uid="{00000000-0005-0000-0000-0000B5090000}"/>
    <cellStyle name="CABEÇALHO 3 12 4 6" xfId="6604" xr:uid="{00000000-0005-0000-0000-0000B6090000}"/>
    <cellStyle name="CABEÇALHO 3 12 4 7" xfId="8660" xr:uid="{00000000-0005-0000-0000-0000B7090000}"/>
    <cellStyle name="CABEÇALHO 3 12 4 8" xfId="10968" xr:uid="{00000000-0005-0000-0000-0000B8090000}"/>
    <cellStyle name="CABEÇALHO 3 12 5" xfId="687" xr:uid="{00000000-0005-0000-0000-0000B9090000}"/>
    <cellStyle name="CABEÇALHO 3 12 5 2" xfId="1829" xr:uid="{00000000-0005-0000-0000-0000BA090000}"/>
    <cellStyle name="CABEÇALHO 3 12 5 2 2" xfId="4709" xr:uid="{00000000-0005-0000-0000-0000BB090000}"/>
    <cellStyle name="CABEÇALHO 3 12 5 2 3" xfId="7284" xr:uid="{00000000-0005-0000-0000-0000BC090000}"/>
    <cellStyle name="CABEÇALHO 3 12 5 2 4" xfId="9250" xr:uid="{00000000-0005-0000-0000-0000BD090000}"/>
    <cellStyle name="CABEÇALHO 3 12 5 2 5" xfId="10662" xr:uid="{00000000-0005-0000-0000-0000BE090000}"/>
    <cellStyle name="CABEÇALHO 3 12 5 2 6" xfId="11166" xr:uid="{00000000-0005-0000-0000-0000BF090000}"/>
    <cellStyle name="CABEÇALHO 3 12 5 3" xfId="2569" xr:uid="{00000000-0005-0000-0000-0000C0090000}"/>
    <cellStyle name="CABEÇALHO 3 12 5 3 2" xfId="5449" xr:uid="{00000000-0005-0000-0000-0000C1090000}"/>
    <cellStyle name="CABEÇALHO 3 12 5 3 3" xfId="6069" xr:uid="{00000000-0005-0000-0000-0000C2090000}"/>
    <cellStyle name="CABEÇALHO 3 12 5 3 4" xfId="9021" xr:uid="{00000000-0005-0000-0000-0000C3090000}"/>
    <cellStyle name="CABEÇALHO 3 12 5 3 5" xfId="10065" xr:uid="{00000000-0005-0000-0000-0000C4090000}"/>
    <cellStyle name="CABEÇALHO 3 12 5 3 6" xfId="9740" xr:uid="{00000000-0005-0000-0000-0000C5090000}"/>
    <cellStyle name="CABEÇALHO 3 12 5 4" xfId="3567" xr:uid="{00000000-0005-0000-0000-0000C6090000}"/>
    <cellStyle name="CABEÇALHO 3 12 5 5" xfId="6329" xr:uid="{00000000-0005-0000-0000-0000C7090000}"/>
    <cellStyle name="CABEÇALHO 3 12 5 6" xfId="8431" xr:uid="{00000000-0005-0000-0000-0000C8090000}"/>
    <cellStyle name="CABEÇALHO 3 12 5 7" xfId="7139" xr:uid="{00000000-0005-0000-0000-0000C9090000}"/>
    <cellStyle name="CABEÇALHO 3 12 5 8" xfId="10723" xr:uid="{00000000-0005-0000-0000-0000CA090000}"/>
    <cellStyle name="CABEÇALHO 3 12 6" xfId="673" xr:uid="{00000000-0005-0000-0000-0000CB090000}"/>
    <cellStyle name="CABEÇALHO 3 12 6 2" xfId="1815" xr:uid="{00000000-0005-0000-0000-0000CC090000}"/>
    <cellStyle name="CABEÇALHO 3 12 6 2 2" xfId="4695" xr:uid="{00000000-0005-0000-0000-0000CD090000}"/>
    <cellStyle name="CABEÇALHO 3 12 6 2 3" xfId="6397" xr:uid="{00000000-0005-0000-0000-0000CE090000}"/>
    <cellStyle name="CABEÇALHO 3 12 6 2 4" xfId="8912" xr:uid="{00000000-0005-0000-0000-0000CF090000}"/>
    <cellStyle name="CABEÇALHO 3 12 6 2 5" xfId="10095" xr:uid="{00000000-0005-0000-0000-0000D0090000}"/>
    <cellStyle name="CABEÇALHO 3 12 6 2 6" xfId="10215" xr:uid="{00000000-0005-0000-0000-0000D1090000}"/>
    <cellStyle name="CABEÇALHO 3 12 6 3" xfId="2502" xr:uid="{00000000-0005-0000-0000-0000D2090000}"/>
    <cellStyle name="CABEÇALHO 3 12 6 3 2" xfId="5382" xr:uid="{00000000-0005-0000-0000-0000D3090000}"/>
    <cellStyle name="CABEÇALHO 3 12 6 3 3" xfId="6134" xr:uid="{00000000-0005-0000-0000-0000D4090000}"/>
    <cellStyle name="CABEÇALHO 3 12 6 3 4" xfId="9522" xr:uid="{00000000-0005-0000-0000-0000D5090000}"/>
    <cellStyle name="CABEÇALHO 3 12 6 3 5" xfId="8952" xr:uid="{00000000-0005-0000-0000-0000D6090000}"/>
    <cellStyle name="CABEÇALHO 3 12 6 3 6" xfId="11447" xr:uid="{00000000-0005-0000-0000-0000D7090000}"/>
    <cellStyle name="CABEÇALHO 3 12 6 4" xfId="3553" xr:uid="{00000000-0005-0000-0000-0000D8090000}"/>
    <cellStyle name="CABEÇALHO 3 12 6 5" xfId="6476" xr:uid="{00000000-0005-0000-0000-0000D9090000}"/>
    <cellStyle name="CABEÇALHO 3 12 6 6" xfId="8563" xr:uid="{00000000-0005-0000-0000-0000DA090000}"/>
    <cellStyle name="CABEÇALHO 3 12 6 7" xfId="8670" xr:uid="{00000000-0005-0000-0000-0000DB090000}"/>
    <cellStyle name="CABEÇALHO 3 12 6 8" xfId="10266" xr:uid="{00000000-0005-0000-0000-0000DC090000}"/>
    <cellStyle name="CABEÇALHO 3 12 7" xfId="1649" xr:uid="{00000000-0005-0000-0000-0000DD090000}"/>
    <cellStyle name="CABEÇALHO 3 12 7 2" xfId="4529" xr:uid="{00000000-0005-0000-0000-0000DE090000}"/>
    <cellStyle name="CABEÇALHO 3 12 7 3" xfId="6147" xr:uid="{00000000-0005-0000-0000-0000DF090000}"/>
    <cellStyle name="CABEÇALHO 3 12 7 4" xfId="7036" xr:uid="{00000000-0005-0000-0000-0000E0090000}"/>
    <cellStyle name="CABEÇALHO 3 12 7 5" xfId="6237" xr:uid="{00000000-0005-0000-0000-0000E1090000}"/>
    <cellStyle name="CABEÇALHO 3 12 7 6" xfId="6690" xr:uid="{00000000-0005-0000-0000-0000E2090000}"/>
    <cellStyle name="CABEÇALHO 3 12 8" xfId="2575" xr:uid="{00000000-0005-0000-0000-0000E3090000}"/>
    <cellStyle name="CABEÇALHO 3 12 8 2" xfId="5455" xr:uid="{00000000-0005-0000-0000-0000E4090000}"/>
    <cellStyle name="CABEÇALHO 3 12 8 3" xfId="6756" xr:uid="{00000000-0005-0000-0000-0000E5090000}"/>
    <cellStyle name="CABEÇALHO 3 12 8 4" xfId="9095" xr:uid="{00000000-0005-0000-0000-0000E6090000}"/>
    <cellStyle name="CABEÇALHO 3 12 8 5" xfId="10768" xr:uid="{00000000-0005-0000-0000-0000E7090000}"/>
    <cellStyle name="CABEÇALHO 3 12 8 6" xfId="9521" xr:uid="{00000000-0005-0000-0000-0000E8090000}"/>
    <cellStyle name="CABEÇALHO 3 12 9" xfId="3388" xr:uid="{00000000-0005-0000-0000-0000E9090000}"/>
    <cellStyle name="CABEÇALHO 3 13" xfId="639" xr:uid="{00000000-0005-0000-0000-0000EA090000}"/>
    <cellStyle name="CABEÇALHO 3 13 10" xfId="6044" xr:uid="{00000000-0005-0000-0000-0000EB090000}"/>
    <cellStyle name="CABEÇALHO 3 13 11" xfId="9002" xr:uid="{00000000-0005-0000-0000-0000EC090000}"/>
    <cellStyle name="CABEÇALHO 3 13 12" xfId="9929" xr:uid="{00000000-0005-0000-0000-0000ED090000}"/>
    <cellStyle name="CABEÇALHO 3 13 13" xfId="5966" xr:uid="{00000000-0005-0000-0000-0000EE090000}"/>
    <cellStyle name="CABEÇALHO 3 13 2" xfId="1115" xr:uid="{00000000-0005-0000-0000-0000EF090000}"/>
    <cellStyle name="CABEÇALHO 3 13 2 2" xfId="2257" xr:uid="{00000000-0005-0000-0000-0000F0090000}"/>
    <cellStyle name="CABEÇALHO 3 13 2 2 2" xfId="5137" xr:uid="{00000000-0005-0000-0000-0000F1090000}"/>
    <cellStyle name="CABEÇALHO 3 13 2 2 3" xfId="8097" xr:uid="{00000000-0005-0000-0000-0000F2090000}"/>
    <cellStyle name="CABEÇALHO 3 13 2 2 4" xfId="7727" xr:uid="{00000000-0005-0000-0000-0000F3090000}"/>
    <cellStyle name="CABEÇALHO 3 13 2 2 5" xfId="8863" xr:uid="{00000000-0005-0000-0000-0000F4090000}"/>
    <cellStyle name="CABEÇALHO 3 13 2 2 6" xfId="11573" xr:uid="{00000000-0005-0000-0000-0000F5090000}"/>
    <cellStyle name="CABEÇALHO 3 13 2 3" xfId="2762" xr:uid="{00000000-0005-0000-0000-0000F6090000}"/>
    <cellStyle name="CABEÇALHO 3 13 2 3 2" xfId="5642" xr:uid="{00000000-0005-0000-0000-0000F7090000}"/>
    <cellStyle name="CABEÇALHO 3 13 2 3 3" xfId="8106" xr:uid="{00000000-0005-0000-0000-0000F8090000}"/>
    <cellStyle name="CABEÇALHO 3 13 2 3 4" xfId="9154" xr:uid="{00000000-0005-0000-0000-0000F9090000}"/>
    <cellStyle name="CABEÇALHO 3 13 2 3 5" xfId="10472" xr:uid="{00000000-0005-0000-0000-0000FA090000}"/>
    <cellStyle name="CABEÇALHO 3 13 2 3 6" xfId="11607" xr:uid="{00000000-0005-0000-0000-0000FB090000}"/>
    <cellStyle name="CABEÇALHO 3 13 2 4" xfId="3995" xr:uid="{00000000-0005-0000-0000-0000FC090000}"/>
    <cellStyle name="CABEÇALHO 3 13 2 5" xfId="6896" xr:uid="{00000000-0005-0000-0000-0000FD090000}"/>
    <cellStyle name="CABEÇALHO 3 13 2 6" xfId="7655" xr:uid="{00000000-0005-0000-0000-0000FE090000}"/>
    <cellStyle name="CABEÇALHO 3 13 2 7" xfId="6444" xr:uid="{00000000-0005-0000-0000-0000FF090000}"/>
    <cellStyle name="CABEÇALHO 3 13 2 8" xfId="6894" xr:uid="{00000000-0005-0000-0000-0000000A0000}"/>
    <cellStyle name="CABEÇALHO 3 13 3" xfId="1190" xr:uid="{00000000-0005-0000-0000-0000010A0000}"/>
    <cellStyle name="CABEÇALHO 3 13 3 2" xfId="2332" xr:uid="{00000000-0005-0000-0000-0000020A0000}"/>
    <cellStyle name="CABEÇALHO 3 13 3 2 2" xfId="5212" xr:uid="{00000000-0005-0000-0000-0000030A0000}"/>
    <cellStyle name="CABEÇALHO 3 13 3 2 3" xfId="6073" xr:uid="{00000000-0005-0000-0000-0000040A0000}"/>
    <cellStyle name="CABEÇALHO 3 13 3 2 4" xfId="6331" xr:uid="{00000000-0005-0000-0000-0000050A0000}"/>
    <cellStyle name="CABEÇALHO 3 13 3 2 5" xfId="8786" xr:uid="{00000000-0005-0000-0000-0000060A0000}"/>
    <cellStyle name="CABEÇALHO 3 13 3 2 6" xfId="11504" xr:uid="{00000000-0005-0000-0000-0000070A0000}"/>
    <cellStyle name="CABEÇALHO 3 13 3 3" xfId="1353" xr:uid="{00000000-0005-0000-0000-0000080A0000}"/>
    <cellStyle name="CABEÇALHO 3 13 3 3 2" xfId="4233" xr:uid="{00000000-0005-0000-0000-0000090A0000}"/>
    <cellStyle name="CABEÇALHO 3 13 3 3 3" xfId="6822" xr:uid="{00000000-0005-0000-0000-00000A0A0000}"/>
    <cellStyle name="CABEÇALHO 3 13 3 3 4" xfId="8292" xr:uid="{00000000-0005-0000-0000-00000B0A0000}"/>
    <cellStyle name="CABEÇALHO 3 13 3 3 5" xfId="10825" xr:uid="{00000000-0005-0000-0000-00000C0A0000}"/>
    <cellStyle name="CABEÇALHO 3 13 3 3 6" xfId="11475" xr:uid="{00000000-0005-0000-0000-00000D0A0000}"/>
    <cellStyle name="CABEÇALHO 3 13 3 4" xfId="4070" xr:uid="{00000000-0005-0000-0000-00000E0A0000}"/>
    <cellStyle name="CABEÇALHO 3 13 3 5" xfId="3071" xr:uid="{00000000-0005-0000-0000-00000F0A0000}"/>
    <cellStyle name="CABEÇALHO 3 13 3 6" xfId="6315" xr:uid="{00000000-0005-0000-0000-0000100A0000}"/>
    <cellStyle name="CABEÇALHO 3 13 3 7" xfId="7362" xr:uid="{00000000-0005-0000-0000-0000110A0000}"/>
    <cellStyle name="CABEÇALHO 3 13 3 8" xfId="10633" xr:uid="{00000000-0005-0000-0000-0000120A0000}"/>
    <cellStyle name="CABEÇALHO 3 13 4" xfId="1255" xr:uid="{00000000-0005-0000-0000-0000130A0000}"/>
    <cellStyle name="CABEÇALHO 3 13 4 2" xfId="2397" xr:uid="{00000000-0005-0000-0000-0000140A0000}"/>
    <cellStyle name="CABEÇALHO 3 13 4 2 2" xfId="5277" xr:uid="{00000000-0005-0000-0000-0000150A0000}"/>
    <cellStyle name="CABEÇALHO 3 13 4 2 3" xfId="6693" xr:uid="{00000000-0005-0000-0000-0000160A0000}"/>
    <cellStyle name="CABEÇALHO 3 13 4 2 4" xfId="9181" xr:uid="{00000000-0005-0000-0000-0000170A0000}"/>
    <cellStyle name="CABEÇALHO 3 13 4 2 5" xfId="10496" xr:uid="{00000000-0005-0000-0000-0000180A0000}"/>
    <cellStyle name="CABEÇALHO 3 13 4 2 6" xfId="11353" xr:uid="{00000000-0005-0000-0000-0000190A0000}"/>
    <cellStyle name="CABEÇALHO 3 13 4 3" xfId="2861" xr:uid="{00000000-0005-0000-0000-00001A0A0000}"/>
    <cellStyle name="CABEÇALHO 3 13 4 3 2" xfId="5741" xr:uid="{00000000-0005-0000-0000-00001B0A0000}"/>
    <cellStyle name="CABEÇALHO 3 13 4 3 3" xfId="6746" xr:uid="{00000000-0005-0000-0000-00001C0A0000}"/>
    <cellStyle name="CABEÇALHO 3 13 4 3 4" xfId="7876" xr:uid="{00000000-0005-0000-0000-00001D0A0000}"/>
    <cellStyle name="CABEÇALHO 3 13 4 3 5" xfId="10321" xr:uid="{00000000-0005-0000-0000-00001E0A0000}"/>
    <cellStyle name="CABEÇALHO 3 13 4 3 6" xfId="10950" xr:uid="{00000000-0005-0000-0000-00001F0A0000}"/>
    <cellStyle name="CABEÇALHO 3 13 4 4" xfId="4135" xr:uid="{00000000-0005-0000-0000-0000200A0000}"/>
    <cellStyle name="CABEÇALHO 3 13 4 5" xfId="3106" xr:uid="{00000000-0005-0000-0000-0000210A0000}"/>
    <cellStyle name="CABEÇALHO 3 13 4 6" xfId="6239" xr:uid="{00000000-0005-0000-0000-0000220A0000}"/>
    <cellStyle name="CABEÇALHO 3 13 4 7" xfId="9276" xr:uid="{00000000-0005-0000-0000-0000230A0000}"/>
    <cellStyle name="CABEÇALHO 3 13 4 8" xfId="10408" xr:uid="{00000000-0005-0000-0000-0000240A0000}"/>
    <cellStyle name="CABEÇALHO 3 13 5" xfId="1288" xr:uid="{00000000-0005-0000-0000-0000250A0000}"/>
    <cellStyle name="CABEÇALHO 3 13 5 2" xfId="2430" xr:uid="{00000000-0005-0000-0000-0000260A0000}"/>
    <cellStyle name="CABEÇALHO 3 13 5 2 2" xfId="5310" xr:uid="{00000000-0005-0000-0000-0000270A0000}"/>
    <cellStyle name="CABEÇALHO 3 13 5 2 3" xfId="6717" xr:uid="{00000000-0005-0000-0000-0000280A0000}"/>
    <cellStyle name="CABEÇALHO 3 13 5 2 4" xfId="9203" xr:uid="{00000000-0005-0000-0000-0000290A0000}"/>
    <cellStyle name="CABEÇALHO 3 13 5 2 5" xfId="9626" xr:uid="{00000000-0005-0000-0000-00002A0A0000}"/>
    <cellStyle name="CABEÇALHO 3 13 5 2 6" xfId="9755" xr:uid="{00000000-0005-0000-0000-00002B0A0000}"/>
    <cellStyle name="CABEÇALHO 3 13 5 3" xfId="1452" xr:uid="{00000000-0005-0000-0000-00002C0A0000}"/>
    <cellStyle name="CABEÇALHO 3 13 5 3 2" xfId="4332" xr:uid="{00000000-0005-0000-0000-00002D0A0000}"/>
    <cellStyle name="CABEÇALHO 3 13 5 3 3" xfId="7849" xr:uid="{00000000-0005-0000-0000-00002E0A0000}"/>
    <cellStyle name="CABEÇALHO 3 13 5 3 4" xfId="9261" xr:uid="{00000000-0005-0000-0000-00002F0A0000}"/>
    <cellStyle name="CABEÇALHO 3 13 5 3 5" xfId="10812" xr:uid="{00000000-0005-0000-0000-0000300A0000}"/>
    <cellStyle name="CABEÇALHO 3 13 5 3 6" xfId="11391" xr:uid="{00000000-0005-0000-0000-0000310A0000}"/>
    <cellStyle name="CABEÇALHO 3 13 5 4" xfId="4168" xr:uid="{00000000-0005-0000-0000-0000320A0000}"/>
    <cellStyle name="CABEÇALHO 3 13 5 5" xfId="3034" xr:uid="{00000000-0005-0000-0000-0000330A0000}"/>
    <cellStyle name="CABEÇALHO 3 13 5 6" xfId="6929" xr:uid="{00000000-0005-0000-0000-0000340A0000}"/>
    <cellStyle name="CABEÇALHO 3 13 5 7" xfId="8421" xr:uid="{00000000-0005-0000-0000-0000350A0000}"/>
    <cellStyle name="CABEÇALHO 3 13 5 8" xfId="11043" xr:uid="{00000000-0005-0000-0000-0000360A0000}"/>
    <cellStyle name="CABEÇALHO 3 13 6" xfId="1320" xr:uid="{00000000-0005-0000-0000-0000370A0000}"/>
    <cellStyle name="CABEÇALHO 3 13 6 2" xfId="2462" xr:uid="{00000000-0005-0000-0000-0000380A0000}"/>
    <cellStyle name="CABEÇALHO 3 13 6 2 2" xfId="5342" xr:uid="{00000000-0005-0000-0000-0000390A0000}"/>
    <cellStyle name="CABEÇALHO 3 13 6 2 3" xfId="8129" xr:uid="{00000000-0005-0000-0000-00003A0A0000}"/>
    <cellStyle name="CABEÇALHO 3 13 6 2 4" xfId="8136" xr:uid="{00000000-0005-0000-0000-00003B0A0000}"/>
    <cellStyle name="CABEÇALHO 3 13 6 2 5" xfId="9729" xr:uid="{00000000-0005-0000-0000-00003C0A0000}"/>
    <cellStyle name="CABEÇALHO 3 13 6 2 6" xfId="10137" xr:uid="{00000000-0005-0000-0000-00003D0A0000}"/>
    <cellStyle name="CABEÇALHO 3 13 6 3" xfId="1421" xr:uid="{00000000-0005-0000-0000-00003E0A0000}"/>
    <cellStyle name="CABEÇALHO 3 13 6 3 2" xfId="4301" xr:uid="{00000000-0005-0000-0000-00003F0A0000}"/>
    <cellStyle name="CABEÇALHO 3 13 6 3 3" xfId="7167" xr:uid="{00000000-0005-0000-0000-0000400A0000}"/>
    <cellStyle name="CABEÇALHO 3 13 6 3 4" xfId="8612" xr:uid="{00000000-0005-0000-0000-0000410A0000}"/>
    <cellStyle name="CABEÇALHO 3 13 6 3 5" xfId="8876" xr:uid="{00000000-0005-0000-0000-0000420A0000}"/>
    <cellStyle name="CABEÇALHO 3 13 6 3 6" xfId="11245" xr:uid="{00000000-0005-0000-0000-0000430A0000}"/>
    <cellStyle name="CABEÇALHO 3 13 6 4" xfId="4200" xr:uid="{00000000-0005-0000-0000-0000440A0000}"/>
    <cellStyle name="CABEÇALHO 3 13 6 5" xfId="3137" xr:uid="{00000000-0005-0000-0000-0000450A0000}"/>
    <cellStyle name="CABEÇALHO 3 13 6 6" xfId="6918" xr:uid="{00000000-0005-0000-0000-0000460A0000}"/>
    <cellStyle name="CABEÇALHO 3 13 6 7" xfId="8707" xr:uid="{00000000-0005-0000-0000-0000470A0000}"/>
    <cellStyle name="CABEÇALHO 3 13 6 8" xfId="9378" xr:uid="{00000000-0005-0000-0000-0000480A0000}"/>
    <cellStyle name="CABEÇALHO 3 13 7" xfId="1780" xr:uid="{00000000-0005-0000-0000-0000490A0000}"/>
    <cellStyle name="CABEÇALHO 3 13 7 2" xfId="4660" xr:uid="{00000000-0005-0000-0000-00004A0A0000}"/>
    <cellStyle name="CABEÇALHO 3 13 7 3" xfId="6086" xr:uid="{00000000-0005-0000-0000-00004B0A0000}"/>
    <cellStyle name="CABEÇALHO 3 13 7 4" xfId="6509" xr:uid="{00000000-0005-0000-0000-00004C0A0000}"/>
    <cellStyle name="CABEÇALHO 3 13 7 5" xfId="8176" xr:uid="{00000000-0005-0000-0000-00004D0A0000}"/>
    <cellStyle name="CABEÇALHO 3 13 7 6" xfId="10919" xr:uid="{00000000-0005-0000-0000-00004E0A0000}"/>
    <cellStyle name="CABEÇALHO 3 13 8" xfId="1357" xr:uid="{00000000-0005-0000-0000-00004F0A0000}"/>
    <cellStyle name="CABEÇALHO 3 13 8 2" xfId="4237" xr:uid="{00000000-0005-0000-0000-0000500A0000}"/>
    <cellStyle name="CABEÇALHO 3 13 8 3" xfId="7735" xr:uid="{00000000-0005-0000-0000-0000510A0000}"/>
    <cellStyle name="CABEÇALHO 3 13 8 4" xfId="9151" xr:uid="{00000000-0005-0000-0000-0000520A0000}"/>
    <cellStyle name="CABEÇALHO 3 13 8 5" xfId="10469" xr:uid="{00000000-0005-0000-0000-0000530A0000}"/>
    <cellStyle name="CABEÇALHO 3 13 8 6" xfId="10239" xr:uid="{00000000-0005-0000-0000-0000540A0000}"/>
    <cellStyle name="CABEÇALHO 3 13 9" xfId="3519" xr:uid="{00000000-0005-0000-0000-0000550A0000}"/>
    <cellStyle name="CABEÇALHO 3 14" xfId="501" xr:uid="{00000000-0005-0000-0000-0000560A0000}"/>
    <cellStyle name="CABEÇALHO 3 14 10" xfId="7536" xr:uid="{00000000-0005-0000-0000-0000570A0000}"/>
    <cellStyle name="CABEÇALHO 3 14 11" xfId="7572" xr:uid="{00000000-0005-0000-0000-0000580A0000}"/>
    <cellStyle name="CABEÇALHO 3 14 12" xfId="10149" xr:uid="{00000000-0005-0000-0000-0000590A0000}"/>
    <cellStyle name="CABEÇALHO 3 14 13" xfId="10887" xr:uid="{00000000-0005-0000-0000-00005A0A0000}"/>
    <cellStyle name="CABEÇALHO 3 14 2" xfId="977" xr:uid="{00000000-0005-0000-0000-00005B0A0000}"/>
    <cellStyle name="CABEÇALHO 3 14 2 2" xfId="2119" xr:uid="{00000000-0005-0000-0000-00005C0A0000}"/>
    <cellStyle name="CABEÇALHO 3 14 2 2 2" xfId="4999" xr:uid="{00000000-0005-0000-0000-00005D0A0000}"/>
    <cellStyle name="CABEÇALHO 3 14 2 2 3" xfId="8045" xr:uid="{00000000-0005-0000-0000-00005E0A0000}"/>
    <cellStyle name="CABEÇALHO 3 14 2 2 4" xfId="7373" xr:uid="{00000000-0005-0000-0000-00005F0A0000}"/>
    <cellStyle name="CABEÇALHO 3 14 2 2 5" xfId="8392" xr:uid="{00000000-0005-0000-0000-0000600A0000}"/>
    <cellStyle name="CABEÇALHO 3 14 2 2 6" xfId="9827" xr:uid="{00000000-0005-0000-0000-0000610A0000}"/>
    <cellStyle name="CABEÇALHO 3 14 2 3" xfId="2640" xr:uid="{00000000-0005-0000-0000-0000620A0000}"/>
    <cellStyle name="CABEÇALHO 3 14 2 3 2" xfId="5520" xr:uid="{00000000-0005-0000-0000-0000630A0000}"/>
    <cellStyle name="CABEÇALHO 3 14 2 3 3" xfId="6542" xr:uid="{00000000-0005-0000-0000-0000640A0000}"/>
    <cellStyle name="CABEÇALHO 3 14 2 3 4" xfId="9287" xr:uid="{00000000-0005-0000-0000-0000650A0000}"/>
    <cellStyle name="CABEÇALHO 3 14 2 3 5" xfId="10772" xr:uid="{00000000-0005-0000-0000-0000660A0000}"/>
    <cellStyle name="CABEÇALHO 3 14 2 3 6" xfId="11363" xr:uid="{00000000-0005-0000-0000-0000670A0000}"/>
    <cellStyle name="CABEÇALHO 3 14 2 4" xfId="3857" xr:uid="{00000000-0005-0000-0000-0000680A0000}"/>
    <cellStyle name="CABEÇALHO 3 14 2 5" xfId="7061" xr:uid="{00000000-0005-0000-0000-0000690A0000}"/>
    <cellStyle name="CABEÇALHO 3 14 2 6" xfId="8784" xr:uid="{00000000-0005-0000-0000-00006A0A0000}"/>
    <cellStyle name="CABEÇALHO 3 14 2 7" xfId="9753" xr:uid="{00000000-0005-0000-0000-00006B0A0000}"/>
    <cellStyle name="CABEÇALHO 3 14 2 8" xfId="2992" xr:uid="{00000000-0005-0000-0000-00006C0A0000}"/>
    <cellStyle name="CABEÇALHO 3 14 3" xfId="768" xr:uid="{00000000-0005-0000-0000-00006D0A0000}"/>
    <cellStyle name="CABEÇALHO 3 14 3 2" xfId="1910" xr:uid="{00000000-0005-0000-0000-00006E0A0000}"/>
    <cellStyle name="CABEÇALHO 3 14 3 2 2" xfId="4790" xr:uid="{00000000-0005-0000-0000-00006F0A0000}"/>
    <cellStyle name="CABEÇALHO 3 14 3 2 3" xfId="7243" xr:uid="{00000000-0005-0000-0000-0000700A0000}"/>
    <cellStyle name="CABEÇALHO 3 14 3 2 4" xfId="9353" xr:uid="{00000000-0005-0000-0000-0000710A0000}"/>
    <cellStyle name="CABEÇALHO 3 14 3 2 5" xfId="10631" xr:uid="{00000000-0005-0000-0000-0000720A0000}"/>
    <cellStyle name="CABEÇALHO 3 14 3 2 6" xfId="11495" xr:uid="{00000000-0005-0000-0000-0000730A0000}"/>
    <cellStyle name="CABEÇALHO 3 14 3 3" xfId="2842" xr:uid="{00000000-0005-0000-0000-0000740A0000}"/>
    <cellStyle name="CABEÇALHO 3 14 3 3 2" xfId="5722" xr:uid="{00000000-0005-0000-0000-0000750A0000}"/>
    <cellStyle name="CABEÇALHO 3 14 3 3 3" xfId="7154" xr:uid="{00000000-0005-0000-0000-0000760A0000}"/>
    <cellStyle name="CABEÇALHO 3 14 3 3 4" xfId="7575" xr:uid="{00000000-0005-0000-0000-0000770A0000}"/>
    <cellStyle name="CABEÇALHO 3 14 3 3 5" xfId="10660" xr:uid="{00000000-0005-0000-0000-0000780A0000}"/>
    <cellStyle name="CABEÇALHO 3 14 3 3 6" xfId="11650" xr:uid="{00000000-0005-0000-0000-0000790A0000}"/>
    <cellStyle name="CABEÇALHO 3 14 3 4" xfId="3648" xr:uid="{00000000-0005-0000-0000-00007A0A0000}"/>
    <cellStyle name="CABEÇALHO 3 14 3 5" xfId="6428" xr:uid="{00000000-0005-0000-0000-00007B0A0000}"/>
    <cellStyle name="CABEÇALHO 3 14 3 6" xfId="8522" xr:uid="{00000000-0005-0000-0000-00007C0A0000}"/>
    <cellStyle name="CABEÇALHO 3 14 3 7" xfId="8355" xr:uid="{00000000-0005-0000-0000-00007D0A0000}"/>
    <cellStyle name="CABEÇALHO 3 14 3 8" xfId="11129" xr:uid="{00000000-0005-0000-0000-00007E0A0000}"/>
    <cellStyle name="CABEÇALHO 3 14 4" xfId="762" xr:uid="{00000000-0005-0000-0000-00007F0A0000}"/>
    <cellStyle name="CABEÇALHO 3 14 4 2" xfId="1904" xr:uid="{00000000-0005-0000-0000-0000800A0000}"/>
    <cellStyle name="CABEÇALHO 3 14 4 2 2" xfId="4784" xr:uid="{00000000-0005-0000-0000-0000810A0000}"/>
    <cellStyle name="CABEÇALHO 3 14 4 2 3" xfId="7997" xr:uid="{00000000-0005-0000-0000-0000820A0000}"/>
    <cellStyle name="CABEÇALHO 3 14 4 2 4" xfId="6279" xr:uid="{00000000-0005-0000-0000-0000830A0000}"/>
    <cellStyle name="CABEÇALHO 3 14 4 2 5" xfId="9700" xr:uid="{00000000-0005-0000-0000-0000840A0000}"/>
    <cellStyle name="CABEÇALHO 3 14 4 2 6" xfId="11240" xr:uid="{00000000-0005-0000-0000-0000850A0000}"/>
    <cellStyle name="CABEÇALHO 3 14 4 3" xfId="2755" xr:uid="{00000000-0005-0000-0000-0000860A0000}"/>
    <cellStyle name="CABEÇALHO 3 14 4 3 2" xfId="5635" xr:uid="{00000000-0005-0000-0000-0000870A0000}"/>
    <cellStyle name="CABEÇALHO 3 14 4 3 3" xfId="6730" xr:uid="{00000000-0005-0000-0000-0000880A0000}"/>
    <cellStyle name="CABEÇALHO 3 14 4 3 4" xfId="9582" xr:uid="{00000000-0005-0000-0000-0000890A0000}"/>
    <cellStyle name="CABEÇALHO 3 14 4 3 5" xfId="2988" xr:uid="{00000000-0005-0000-0000-00008A0A0000}"/>
    <cellStyle name="CABEÇALHO 3 14 4 3 6" xfId="11611" xr:uid="{00000000-0005-0000-0000-00008B0A0000}"/>
    <cellStyle name="CABEÇALHO 3 14 4 4" xfId="3642" xr:uid="{00000000-0005-0000-0000-00008C0A0000}"/>
    <cellStyle name="CABEÇALHO 3 14 4 5" xfId="5769" xr:uid="{00000000-0005-0000-0000-00008D0A0000}"/>
    <cellStyle name="CABEÇALHO 3 14 4 6" xfId="7499" xr:uid="{00000000-0005-0000-0000-00008E0A0000}"/>
    <cellStyle name="CABEÇALHO 3 14 4 7" xfId="7866" xr:uid="{00000000-0005-0000-0000-00008F0A0000}"/>
    <cellStyle name="CABEÇALHO 3 14 4 8" xfId="10159" xr:uid="{00000000-0005-0000-0000-0000900A0000}"/>
    <cellStyle name="CABEÇALHO 3 14 5" xfId="1194" xr:uid="{00000000-0005-0000-0000-0000910A0000}"/>
    <cellStyle name="CABEÇALHO 3 14 5 2" xfId="2336" xr:uid="{00000000-0005-0000-0000-0000920A0000}"/>
    <cellStyle name="CABEÇALHO 3 14 5 2 2" xfId="5216" xr:uid="{00000000-0005-0000-0000-0000930A0000}"/>
    <cellStyle name="CABEÇALHO 3 14 5 2 3" xfId="7244" xr:uid="{00000000-0005-0000-0000-0000940A0000}"/>
    <cellStyle name="CABEÇALHO 3 14 5 2 4" xfId="9374" xr:uid="{00000000-0005-0000-0000-0000950A0000}"/>
    <cellStyle name="CABEÇALHO 3 14 5 2 5" xfId="3210" xr:uid="{00000000-0005-0000-0000-0000960A0000}"/>
    <cellStyle name="CABEÇALHO 3 14 5 2 6" xfId="11158" xr:uid="{00000000-0005-0000-0000-0000970A0000}"/>
    <cellStyle name="CABEÇALHO 3 14 5 3" xfId="2562" xr:uid="{00000000-0005-0000-0000-0000980A0000}"/>
    <cellStyle name="CABEÇALHO 3 14 5 3 2" xfId="5442" xr:uid="{00000000-0005-0000-0000-0000990A0000}"/>
    <cellStyle name="CABEÇALHO 3 14 5 3 3" xfId="6659" xr:uid="{00000000-0005-0000-0000-00009A0A0000}"/>
    <cellStyle name="CABEÇALHO 3 14 5 3 4" xfId="8238" xr:uid="{00000000-0005-0000-0000-00009B0A0000}"/>
    <cellStyle name="CABEÇALHO 3 14 5 3 5" xfId="10615" xr:uid="{00000000-0005-0000-0000-00009C0A0000}"/>
    <cellStyle name="CABEÇALHO 3 14 5 3 6" xfId="9570" xr:uid="{00000000-0005-0000-0000-00009D0A0000}"/>
    <cellStyle name="CABEÇALHO 3 14 5 4" xfId="4074" xr:uid="{00000000-0005-0000-0000-00009E0A0000}"/>
    <cellStyle name="CABEÇALHO 3 14 5 5" xfId="2922" xr:uid="{00000000-0005-0000-0000-00009F0A0000}"/>
    <cellStyle name="CABEÇALHO 3 14 5 6" xfId="7750" xr:uid="{00000000-0005-0000-0000-0000A00A0000}"/>
    <cellStyle name="CABEÇALHO 3 14 5 7" xfId="9465" xr:uid="{00000000-0005-0000-0000-0000A10A0000}"/>
    <cellStyle name="CABEÇALHO 3 14 5 8" xfId="6992" xr:uid="{00000000-0005-0000-0000-0000A20A0000}"/>
    <cellStyle name="CABEÇALHO 3 14 6" xfId="1193" xr:uid="{00000000-0005-0000-0000-0000A30A0000}"/>
    <cellStyle name="CABEÇALHO 3 14 6 2" xfId="2335" xr:uid="{00000000-0005-0000-0000-0000A40A0000}"/>
    <cellStyle name="CABEÇALHO 3 14 6 2 2" xfId="5215" xr:uid="{00000000-0005-0000-0000-0000A50A0000}"/>
    <cellStyle name="CABEÇALHO 3 14 6 2 3" xfId="7964" xr:uid="{00000000-0005-0000-0000-0000A60A0000}"/>
    <cellStyle name="CABEÇALHO 3 14 6 2 4" xfId="8445" xr:uid="{00000000-0005-0000-0000-0000A70A0000}"/>
    <cellStyle name="CABEÇALHO 3 14 6 2 5" xfId="8433" xr:uid="{00000000-0005-0000-0000-0000A80A0000}"/>
    <cellStyle name="CABEÇALHO 3 14 6 2 6" xfId="11291" xr:uid="{00000000-0005-0000-0000-0000A90A0000}"/>
    <cellStyle name="CABEÇALHO 3 14 6 3" xfId="2728" xr:uid="{00000000-0005-0000-0000-0000AA0A0000}"/>
    <cellStyle name="CABEÇALHO 3 14 6 3 2" xfId="5608" xr:uid="{00000000-0005-0000-0000-0000AB0A0000}"/>
    <cellStyle name="CABEÇALHO 3 14 6 3 3" xfId="6206" xr:uid="{00000000-0005-0000-0000-0000AC0A0000}"/>
    <cellStyle name="CABEÇALHO 3 14 6 3 4" xfId="9311" xr:uid="{00000000-0005-0000-0000-0000AD0A0000}"/>
    <cellStyle name="CABEÇALHO 3 14 6 3 5" xfId="10689" xr:uid="{00000000-0005-0000-0000-0000AE0A0000}"/>
    <cellStyle name="CABEÇALHO 3 14 6 3 6" xfId="10473" xr:uid="{00000000-0005-0000-0000-0000AF0A0000}"/>
    <cellStyle name="CABEÇALHO 3 14 6 4" xfId="4073" xr:uid="{00000000-0005-0000-0000-0000B00A0000}"/>
    <cellStyle name="CABEÇALHO 3 14 6 5" xfId="5776" xr:uid="{00000000-0005-0000-0000-0000B10A0000}"/>
    <cellStyle name="CABEÇALHO 3 14 6 6" xfId="7948" xr:uid="{00000000-0005-0000-0000-0000B20A0000}"/>
    <cellStyle name="CABEÇALHO 3 14 6 7" xfId="8416" xr:uid="{00000000-0005-0000-0000-0000B30A0000}"/>
    <cellStyle name="CABEÇALHO 3 14 6 8" xfId="10455" xr:uid="{00000000-0005-0000-0000-0000B40A0000}"/>
    <cellStyle name="CABEÇALHO 3 14 7" xfId="1642" xr:uid="{00000000-0005-0000-0000-0000B50A0000}"/>
    <cellStyle name="CABEÇALHO 3 14 7 2" xfId="4522" xr:uid="{00000000-0005-0000-0000-0000B60A0000}"/>
    <cellStyle name="CABEÇALHO 3 14 7 3" xfId="7692" xr:uid="{00000000-0005-0000-0000-0000B70A0000}"/>
    <cellStyle name="CABEÇALHO 3 14 7 4" xfId="9113" xr:uid="{00000000-0005-0000-0000-0000B80A0000}"/>
    <cellStyle name="CABEÇALHO 3 14 7 5" xfId="10370" xr:uid="{00000000-0005-0000-0000-0000B90A0000}"/>
    <cellStyle name="CABEÇALHO 3 14 7 6" xfId="11246" xr:uid="{00000000-0005-0000-0000-0000BA0A0000}"/>
    <cellStyle name="CABEÇALHO 3 14 8" xfId="1445" xr:uid="{00000000-0005-0000-0000-0000BB0A0000}"/>
    <cellStyle name="CABEÇALHO 3 14 8 2" xfId="4325" xr:uid="{00000000-0005-0000-0000-0000BC0A0000}"/>
    <cellStyle name="CABEÇALHO 3 14 8 3" xfId="6546" xr:uid="{00000000-0005-0000-0000-0000BD0A0000}"/>
    <cellStyle name="CABEÇALHO 3 14 8 4" xfId="6017" xr:uid="{00000000-0005-0000-0000-0000BE0A0000}"/>
    <cellStyle name="CABEÇALHO 3 14 8 5" xfId="8720" xr:uid="{00000000-0005-0000-0000-0000BF0A0000}"/>
    <cellStyle name="CABEÇALHO 3 14 8 6" xfId="10900" xr:uid="{00000000-0005-0000-0000-0000C00A0000}"/>
    <cellStyle name="CABEÇALHO 3 14 9" xfId="3381" xr:uid="{00000000-0005-0000-0000-0000C10A0000}"/>
    <cellStyle name="CABEÇALHO 3 15" xfId="647" xr:uid="{00000000-0005-0000-0000-0000C20A0000}"/>
    <cellStyle name="CABEÇALHO 3 15 10" xfId="7511" xr:uid="{00000000-0005-0000-0000-0000C30A0000}"/>
    <cellStyle name="CABEÇALHO 3 15 11" xfId="7269" xr:uid="{00000000-0005-0000-0000-0000C40A0000}"/>
    <cellStyle name="CABEÇALHO 3 15 12" xfId="10130" xr:uid="{00000000-0005-0000-0000-0000C50A0000}"/>
    <cellStyle name="CABEÇALHO 3 15 13" xfId="10955" xr:uid="{00000000-0005-0000-0000-0000C60A0000}"/>
    <cellStyle name="CABEÇALHO 3 15 2" xfId="1123" xr:uid="{00000000-0005-0000-0000-0000C70A0000}"/>
    <cellStyle name="CABEÇALHO 3 15 2 2" xfId="2265" xr:uid="{00000000-0005-0000-0000-0000C80A0000}"/>
    <cellStyle name="CABEÇALHO 3 15 2 2 2" xfId="5145" xr:uid="{00000000-0005-0000-0000-0000C90A0000}"/>
    <cellStyle name="CABEÇALHO 3 15 2 2 3" xfId="6736" xr:uid="{00000000-0005-0000-0000-0000CA0A0000}"/>
    <cellStyle name="CABEÇALHO 3 15 2 2 4" xfId="9220" xr:uid="{00000000-0005-0000-0000-0000CB0A0000}"/>
    <cellStyle name="CABEÇALHO 3 15 2 2 5" xfId="10555" xr:uid="{00000000-0005-0000-0000-0000CC0A0000}"/>
    <cellStyle name="CABEÇALHO 3 15 2 2 6" xfId="8451" xr:uid="{00000000-0005-0000-0000-0000CD0A0000}"/>
    <cellStyle name="CABEÇALHO 3 15 2 3" xfId="2745" xr:uid="{00000000-0005-0000-0000-0000CE0A0000}"/>
    <cellStyle name="CABEÇALHO 3 15 2 3 2" xfId="5625" xr:uid="{00000000-0005-0000-0000-0000CF0A0000}"/>
    <cellStyle name="CABEÇALHO 3 15 2 3 3" xfId="7315" xr:uid="{00000000-0005-0000-0000-0000D00A0000}"/>
    <cellStyle name="CABEÇALHO 3 15 2 3 4" xfId="5822" xr:uid="{00000000-0005-0000-0000-0000D10A0000}"/>
    <cellStyle name="CABEÇALHO 3 15 2 3 5" xfId="9169" xr:uid="{00000000-0005-0000-0000-0000D20A0000}"/>
    <cellStyle name="CABEÇALHO 3 15 2 3 6" xfId="11344" xr:uid="{00000000-0005-0000-0000-0000D30A0000}"/>
    <cellStyle name="CABEÇALHO 3 15 2 4" xfId="4003" xr:uid="{00000000-0005-0000-0000-0000D40A0000}"/>
    <cellStyle name="CABEÇALHO 3 15 2 5" xfId="7397" xr:uid="{00000000-0005-0000-0000-0000D50A0000}"/>
    <cellStyle name="CABEÇALHO 3 15 2 6" xfId="5846" xr:uid="{00000000-0005-0000-0000-0000D60A0000}"/>
    <cellStyle name="CABEÇALHO 3 15 2 7" xfId="7984" xr:uid="{00000000-0005-0000-0000-0000D70A0000}"/>
    <cellStyle name="CABEÇALHO 3 15 2 8" xfId="7621" xr:uid="{00000000-0005-0000-0000-0000D80A0000}"/>
    <cellStyle name="CABEÇALHO 3 15 3" xfId="777" xr:uid="{00000000-0005-0000-0000-0000D90A0000}"/>
    <cellStyle name="CABEÇALHO 3 15 3 2" xfId="1919" xr:uid="{00000000-0005-0000-0000-0000DA0A0000}"/>
    <cellStyle name="CABEÇALHO 3 15 3 2 2" xfId="4799" xr:uid="{00000000-0005-0000-0000-0000DB0A0000}"/>
    <cellStyle name="CABEÇALHO 3 15 3 2 3" xfId="7433" xr:uid="{00000000-0005-0000-0000-0000DC0A0000}"/>
    <cellStyle name="CABEÇALHO 3 15 3 2 4" xfId="8319" xr:uid="{00000000-0005-0000-0000-0000DD0A0000}"/>
    <cellStyle name="CABEÇALHO 3 15 3 2 5" xfId="9627" xr:uid="{00000000-0005-0000-0000-0000DE0A0000}"/>
    <cellStyle name="CABEÇALHO 3 15 3 2 6" xfId="11578" xr:uid="{00000000-0005-0000-0000-0000DF0A0000}"/>
    <cellStyle name="CABEÇALHO 3 15 3 3" xfId="1418" xr:uid="{00000000-0005-0000-0000-0000E00A0000}"/>
    <cellStyle name="CABEÇALHO 3 15 3 3 2" xfId="4298" xr:uid="{00000000-0005-0000-0000-0000E10A0000}"/>
    <cellStyle name="CABEÇALHO 3 15 3 3 3" xfId="6531" xr:uid="{00000000-0005-0000-0000-0000E20A0000}"/>
    <cellStyle name="CABEÇALHO 3 15 3 3 4" xfId="5907" xr:uid="{00000000-0005-0000-0000-0000E30A0000}"/>
    <cellStyle name="CABEÇALHO 3 15 3 3 5" xfId="8866" xr:uid="{00000000-0005-0000-0000-0000E40A0000}"/>
    <cellStyle name="CABEÇALHO 3 15 3 3 6" xfId="11569" xr:uid="{00000000-0005-0000-0000-0000E50A0000}"/>
    <cellStyle name="CABEÇALHO 3 15 3 4" xfId="3657" xr:uid="{00000000-0005-0000-0000-0000E60A0000}"/>
    <cellStyle name="CABEÇALHO 3 15 3 5" xfId="5870" xr:uid="{00000000-0005-0000-0000-0000E70A0000}"/>
    <cellStyle name="CABEÇALHO 3 15 3 6" xfId="7707" xr:uid="{00000000-0005-0000-0000-0000E80A0000}"/>
    <cellStyle name="CABEÇALHO 3 15 3 7" xfId="10298" xr:uid="{00000000-0005-0000-0000-0000E90A0000}"/>
    <cellStyle name="CABEÇALHO 3 15 3 8" xfId="11354" xr:uid="{00000000-0005-0000-0000-0000EA0A0000}"/>
    <cellStyle name="CABEÇALHO 3 15 4" xfId="1263" xr:uid="{00000000-0005-0000-0000-0000EB0A0000}"/>
    <cellStyle name="CABEÇALHO 3 15 4 2" xfId="2405" xr:uid="{00000000-0005-0000-0000-0000EC0A0000}"/>
    <cellStyle name="CABEÇALHO 3 15 4 2 2" xfId="5285" xr:uid="{00000000-0005-0000-0000-0000ED0A0000}"/>
    <cellStyle name="CABEÇALHO 3 15 4 2 3" xfId="7594" xr:uid="{00000000-0005-0000-0000-0000EE0A0000}"/>
    <cellStyle name="CABEÇALHO 3 15 4 2 4" xfId="9467" xr:uid="{00000000-0005-0000-0000-0000EF0A0000}"/>
    <cellStyle name="CABEÇALHO 3 15 4 2 5" xfId="9679" xr:uid="{00000000-0005-0000-0000-0000F00A0000}"/>
    <cellStyle name="CABEÇALHO 3 15 4 2 6" xfId="10904" xr:uid="{00000000-0005-0000-0000-0000F10A0000}"/>
    <cellStyle name="CABEÇALHO 3 15 4 3" xfId="2506" xr:uid="{00000000-0005-0000-0000-0000F20A0000}"/>
    <cellStyle name="CABEÇALHO 3 15 4 3 2" xfId="5386" xr:uid="{00000000-0005-0000-0000-0000F30A0000}"/>
    <cellStyle name="CABEÇALHO 3 15 4 3 3" xfId="7939" xr:uid="{00000000-0005-0000-0000-0000F40A0000}"/>
    <cellStyle name="CABEÇALHO 3 15 4 3 4" xfId="8629" xr:uid="{00000000-0005-0000-0000-0000F50A0000}"/>
    <cellStyle name="CABEÇALHO 3 15 4 3 5" xfId="10012" xr:uid="{00000000-0005-0000-0000-0000F60A0000}"/>
    <cellStyle name="CABEÇALHO 3 15 4 3 6" xfId="9747" xr:uid="{00000000-0005-0000-0000-0000F70A0000}"/>
    <cellStyle name="CABEÇALHO 3 15 4 4" xfId="4143" xr:uid="{00000000-0005-0000-0000-0000F80A0000}"/>
    <cellStyle name="CABEÇALHO 3 15 4 5" xfId="3121" xr:uid="{00000000-0005-0000-0000-0000F90A0000}"/>
    <cellStyle name="CABEÇALHO 3 15 4 6" xfId="8020" xr:uid="{00000000-0005-0000-0000-0000FA0A0000}"/>
    <cellStyle name="CABEÇALHO 3 15 4 7" xfId="6208" xr:uid="{00000000-0005-0000-0000-0000FB0A0000}"/>
    <cellStyle name="CABEÇALHO 3 15 4 8" xfId="11066" xr:uid="{00000000-0005-0000-0000-0000FC0A0000}"/>
    <cellStyle name="CABEÇALHO 3 15 5" xfId="1296" xr:uid="{00000000-0005-0000-0000-0000FD0A0000}"/>
    <cellStyle name="CABEÇALHO 3 15 5 2" xfId="2438" xr:uid="{00000000-0005-0000-0000-0000FE0A0000}"/>
    <cellStyle name="CABEÇALHO 3 15 5 2 2" xfId="5318" xr:uid="{00000000-0005-0000-0000-0000FF0A0000}"/>
    <cellStyle name="CABEÇALHO 3 15 5 2 3" xfId="7661" xr:uid="{00000000-0005-0000-0000-0000000B0000}"/>
    <cellStyle name="CABEÇALHO 3 15 5 2 4" xfId="8223" xr:uid="{00000000-0005-0000-0000-0000010B0000}"/>
    <cellStyle name="CABEÇALHO 3 15 5 2 5" xfId="10820" xr:uid="{00000000-0005-0000-0000-0000020B0000}"/>
    <cellStyle name="CABEÇALHO 3 15 5 2 6" xfId="11545" xr:uid="{00000000-0005-0000-0000-0000030B0000}"/>
    <cellStyle name="CABEÇALHO 3 15 5 3" xfId="1468" xr:uid="{00000000-0005-0000-0000-0000040B0000}"/>
    <cellStyle name="CABEÇALHO 3 15 5 3 2" xfId="4348" xr:uid="{00000000-0005-0000-0000-0000050B0000}"/>
    <cellStyle name="CABEÇALHO 3 15 5 3 3" xfId="7308" xr:uid="{00000000-0005-0000-0000-0000060B0000}"/>
    <cellStyle name="CABEÇALHO 3 15 5 3 4" xfId="8751" xr:uid="{00000000-0005-0000-0000-0000070B0000}"/>
    <cellStyle name="CABEÇALHO 3 15 5 3 5" xfId="10404" xr:uid="{00000000-0005-0000-0000-0000080B0000}"/>
    <cellStyle name="CABEÇALHO 3 15 5 3 6" xfId="10937" xr:uid="{00000000-0005-0000-0000-0000090B0000}"/>
    <cellStyle name="CABEÇALHO 3 15 5 4" xfId="4176" xr:uid="{00000000-0005-0000-0000-00000A0B0000}"/>
    <cellStyle name="CABEÇALHO 3 15 5 5" xfId="2931" xr:uid="{00000000-0005-0000-0000-00000B0B0000}"/>
    <cellStyle name="CABEÇALHO 3 15 5 6" xfId="6404" xr:uid="{00000000-0005-0000-0000-00000C0B0000}"/>
    <cellStyle name="CABEÇALHO 3 15 5 7" xfId="6089" xr:uid="{00000000-0005-0000-0000-00000D0B0000}"/>
    <cellStyle name="CABEÇALHO 3 15 5 8" xfId="8769" xr:uid="{00000000-0005-0000-0000-00000E0B0000}"/>
    <cellStyle name="CABEÇALHO 3 15 6" xfId="1328" xr:uid="{00000000-0005-0000-0000-00000F0B0000}"/>
    <cellStyle name="CABEÇALHO 3 15 6 2" xfId="2470" xr:uid="{00000000-0005-0000-0000-0000100B0000}"/>
    <cellStyle name="CABEÇALHO 3 15 6 2 2" xfId="5350" xr:uid="{00000000-0005-0000-0000-0000110B0000}"/>
    <cellStyle name="CABEÇALHO 3 15 6 2 3" xfId="8071" xr:uid="{00000000-0005-0000-0000-0000120B0000}"/>
    <cellStyle name="CABEÇALHO 3 15 6 2 4" xfId="5800" xr:uid="{00000000-0005-0000-0000-0000130B0000}"/>
    <cellStyle name="CABEÇALHO 3 15 6 2 5" xfId="7294" xr:uid="{00000000-0005-0000-0000-0000140B0000}"/>
    <cellStyle name="CABEÇALHO 3 15 6 2 6" xfId="11636" xr:uid="{00000000-0005-0000-0000-0000150B0000}"/>
    <cellStyle name="CABEÇALHO 3 15 6 3" xfId="2789" xr:uid="{00000000-0005-0000-0000-0000160B0000}"/>
    <cellStyle name="CABEÇALHO 3 15 6 3 2" xfId="5669" xr:uid="{00000000-0005-0000-0000-0000170B0000}"/>
    <cellStyle name="CABEÇALHO 3 15 6 3 3" xfId="7842" xr:uid="{00000000-0005-0000-0000-0000180B0000}"/>
    <cellStyle name="CABEÇALHO 3 15 6 3 4" xfId="9327" xr:uid="{00000000-0005-0000-0000-0000190B0000}"/>
    <cellStyle name="CABEÇALHO 3 15 6 3 5" xfId="10331" xr:uid="{00000000-0005-0000-0000-00001A0B0000}"/>
    <cellStyle name="CABEÇALHO 3 15 6 3 6" xfId="8478" xr:uid="{00000000-0005-0000-0000-00001B0B0000}"/>
    <cellStyle name="CABEÇALHO 3 15 6 4" xfId="4208" xr:uid="{00000000-0005-0000-0000-00001C0B0000}"/>
    <cellStyle name="CABEÇALHO 3 15 6 5" xfId="6573" xr:uid="{00000000-0005-0000-0000-00001D0B0000}"/>
    <cellStyle name="CABEÇALHO 3 15 6 6" xfId="5888" xr:uid="{00000000-0005-0000-0000-00001E0B0000}"/>
    <cellStyle name="CABEÇALHO 3 15 6 7" xfId="8677" xr:uid="{00000000-0005-0000-0000-00001F0B0000}"/>
    <cellStyle name="CABEÇALHO 3 15 6 8" xfId="8702" xr:uid="{00000000-0005-0000-0000-0000200B0000}"/>
    <cellStyle name="CABEÇALHO 3 15 7" xfId="1788" xr:uid="{00000000-0005-0000-0000-0000210B0000}"/>
    <cellStyle name="CABEÇALHO 3 15 7 2" xfId="4668" xr:uid="{00000000-0005-0000-0000-0000220B0000}"/>
    <cellStyle name="CABEÇALHO 3 15 7 3" xfId="6707" xr:uid="{00000000-0005-0000-0000-0000230B0000}"/>
    <cellStyle name="CABEÇALHO 3 15 7 4" xfId="9194" xr:uid="{00000000-0005-0000-0000-0000240B0000}"/>
    <cellStyle name="CABEÇALHO 3 15 7 5" xfId="10510" xr:uid="{00000000-0005-0000-0000-0000250B0000}"/>
    <cellStyle name="CABEÇALHO 3 15 7 6" xfId="10330" xr:uid="{00000000-0005-0000-0000-0000260B0000}"/>
    <cellStyle name="CABEÇALHO 3 15 8" xfId="1481" xr:uid="{00000000-0005-0000-0000-0000270B0000}"/>
    <cellStyle name="CABEÇALHO 3 15 8 2" xfId="4361" xr:uid="{00000000-0005-0000-0000-0000280B0000}"/>
    <cellStyle name="CABEÇALHO 3 15 8 3" xfId="6183" xr:uid="{00000000-0005-0000-0000-0000290B0000}"/>
    <cellStyle name="CABEÇALHO 3 15 8 4" xfId="7546" xr:uid="{00000000-0005-0000-0000-00002A0B0000}"/>
    <cellStyle name="CABEÇALHO 3 15 8 5" xfId="7271" xr:uid="{00000000-0005-0000-0000-00002B0B0000}"/>
    <cellStyle name="CABEÇALHO 3 15 8 6" xfId="11559" xr:uid="{00000000-0005-0000-0000-00002C0B0000}"/>
    <cellStyle name="CABEÇALHO 3 15 9" xfId="3527" xr:uid="{00000000-0005-0000-0000-00002D0B0000}"/>
    <cellStyle name="CABEÇALHO 3 16" xfId="467" xr:uid="{00000000-0005-0000-0000-00002E0B0000}"/>
    <cellStyle name="CABEÇALHO 3 16 10" xfId="7489" xr:uid="{00000000-0005-0000-0000-00002F0B0000}"/>
    <cellStyle name="CABEÇALHO 3 16 11" xfId="8109" xr:uid="{00000000-0005-0000-0000-0000300B0000}"/>
    <cellStyle name="CABEÇALHO 3 16 12" xfId="10111" xr:uid="{00000000-0005-0000-0000-0000310B0000}"/>
    <cellStyle name="CABEÇALHO 3 16 13" xfId="11007" xr:uid="{00000000-0005-0000-0000-0000320B0000}"/>
    <cellStyle name="CABEÇALHO 3 16 2" xfId="943" xr:uid="{00000000-0005-0000-0000-0000330B0000}"/>
    <cellStyle name="CABEÇALHO 3 16 2 2" xfId="2085" xr:uid="{00000000-0005-0000-0000-0000340B0000}"/>
    <cellStyle name="CABEÇALHO 3 16 2 2 2" xfId="4965" xr:uid="{00000000-0005-0000-0000-0000350B0000}"/>
    <cellStyle name="CABEÇALHO 3 16 2 2 3" xfId="6382" xr:uid="{00000000-0005-0000-0000-0000360B0000}"/>
    <cellStyle name="CABEÇALHO 3 16 2 2 4" xfId="8897" xr:uid="{00000000-0005-0000-0000-0000370B0000}"/>
    <cellStyle name="CABEÇALHO 3 16 2 2 5" xfId="10099" xr:uid="{00000000-0005-0000-0000-0000380B0000}"/>
    <cellStyle name="CABEÇALHO 3 16 2 2 6" xfId="8365" xr:uid="{00000000-0005-0000-0000-0000390B0000}"/>
    <cellStyle name="CABEÇALHO 3 16 2 3" xfId="2538" xr:uid="{00000000-0005-0000-0000-00003A0B0000}"/>
    <cellStyle name="CABEÇALHO 3 16 2 3 2" xfId="5418" xr:uid="{00000000-0005-0000-0000-00003B0B0000}"/>
    <cellStyle name="CABEÇALHO 3 16 2 3 3" xfId="6623" xr:uid="{00000000-0005-0000-0000-00003C0B0000}"/>
    <cellStyle name="CABEÇALHO 3 16 2 3 4" xfId="9356" xr:uid="{00000000-0005-0000-0000-00003D0B0000}"/>
    <cellStyle name="CABEÇALHO 3 16 2 3 5" xfId="8783" xr:uid="{00000000-0005-0000-0000-00003E0B0000}"/>
    <cellStyle name="CABEÇALHO 3 16 2 3 6" xfId="11633" xr:uid="{00000000-0005-0000-0000-00003F0B0000}"/>
    <cellStyle name="CABEÇALHO 3 16 2 4" xfId="3823" xr:uid="{00000000-0005-0000-0000-0000400B0000}"/>
    <cellStyle name="CABEÇALHO 3 16 2 5" xfId="5837" xr:uid="{00000000-0005-0000-0000-0000410B0000}"/>
    <cellStyle name="CABEÇALHO 3 16 2 6" xfId="7083" xr:uid="{00000000-0005-0000-0000-0000420B0000}"/>
    <cellStyle name="CABEÇALHO 3 16 2 7" xfId="10273" xr:uid="{00000000-0005-0000-0000-0000430B0000}"/>
    <cellStyle name="CABEÇALHO 3 16 2 8" xfId="8883" xr:uid="{00000000-0005-0000-0000-0000440B0000}"/>
    <cellStyle name="CABEÇALHO 3 16 3" xfId="743" xr:uid="{00000000-0005-0000-0000-0000450B0000}"/>
    <cellStyle name="CABEÇALHO 3 16 3 2" xfId="1885" xr:uid="{00000000-0005-0000-0000-0000460B0000}"/>
    <cellStyle name="CABEÇALHO 3 16 3 2 2" xfId="4765" xr:uid="{00000000-0005-0000-0000-0000470B0000}"/>
    <cellStyle name="CABEÇALHO 3 16 3 2 3" xfId="5903" xr:uid="{00000000-0005-0000-0000-0000480B0000}"/>
    <cellStyle name="CABEÇALHO 3 16 3 2 4" xfId="6889" xr:uid="{00000000-0005-0000-0000-0000490B0000}"/>
    <cellStyle name="CABEÇALHO 3 16 3 2 5" xfId="9294" xr:uid="{00000000-0005-0000-0000-00004A0B0000}"/>
    <cellStyle name="CABEÇALHO 3 16 3 2 6" xfId="11566" xr:uid="{00000000-0005-0000-0000-00004B0B0000}"/>
    <cellStyle name="CABEÇALHO 3 16 3 3" xfId="2829" xr:uid="{00000000-0005-0000-0000-00004C0B0000}"/>
    <cellStyle name="CABEÇALHO 3 16 3 3 2" xfId="5709" xr:uid="{00000000-0005-0000-0000-00004D0B0000}"/>
    <cellStyle name="CABEÇALHO 3 16 3 3 3" xfId="7652" xr:uid="{00000000-0005-0000-0000-00004E0B0000}"/>
    <cellStyle name="CABEÇALHO 3 16 3 3 4" xfId="6446" xr:uid="{00000000-0005-0000-0000-00004F0B0000}"/>
    <cellStyle name="CABEÇALHO 3 16 3 3 5" xfId="9850" xr:uid="{00000000-0005-0000-0000-0000500B0000}"/>
    <cellStyle name="CABEÇALHO 3 16 3 3 6" xfId="11292" xr:uid="{00000000-0005-0000-0000-0000510B0000}"/>
    <cellStyle name="CABEÇALHO 3 16 3 4" xfId="3623" xr:uid="{00000000-0005-0000-0000-0000520B0000}"/>
    <cellStyle name="CABEÇALHO 3 16 3 5" xfId="5872" xr:uid="{00000000-0005-0000-0000-0000530B0000}"/>
    <cellStyle name="CABEÇALHO 3 16 3 6" xfId="5866" xr:uid="{00000000-0005-0000-0000-0000540B0000}"/>
    <cellStyle name="CABEÇALHO 3 16 3 7" xfId="10300" xr:uid="{00000000-0005-0000-0000-0000550B0000}"/>
    <cellStyle name="CABEÇALHO 3 16 3 8" xfId="11480" xr:uid="{00000000-0005-0000-0000-0000560B0000}"/>
    <cellStyle name="CABEÇALHO 3 16 4" xfId="1212" xr:uid="{00000000-0005-0000-0000-0000570B0000}"/>
    <cellStyle name="CABEÇALHO 3 16 4 2" xfId="2354" xr:uid="{00000000-0005-0000-0000-0000580B0000}"/>
    <cellStyle name="CABEÇALHO 3 16 4 2 2" xfId="5234" xr:uid="{00000000-0005-0000-0000-0000590B0000}"/>
    <cellStyle name="CABEÇALHO 3 16 4 2 3" xfId="7910" xr:uid="{00000000-0005-0000-0000-00005A0B0000}"/>
    <cellStyle name="CABEÇALHO 3 16 4 2 4" xfId="8037" xr:uid="{00000000-0005-0000-0000-00005B0B0000}"/>
    <cellStyle name="CABEÇALHO 3 16 4 2 5" xfId="6170" xr:uid="{00000000-0005-0000-0000-00005C0B0000}"/>
    <cellStyle name="CABEÇALHO 3 16 4 2 6" xfId="11106" xr:uid="{00000000-0005-0000-0000-00005D0B0000}"/>
    <cellStyle name="CABEÇALHO 3 16 4 3" xfId="1383" xr:uid="{00000000-0005-0000-0000-00005E0B0000}"/>
    <cellStyle name="CABEÇALHO 3 16 4 3 2" xfId="4263" xr:uid="{00000000-0005-0000-0000-00005F0B0000}"/>
    <cellStyle name="CABEÇALHO 3 16 4 3 3" xfId="5908" xr:uid="{00000000-0005-0000-0000-0000600B0000}"/>
    <cellStyle name="CABEÇALHO 3 16 4 3 4" xfId="6228" xr:uid="{00000000-0005-0000-0000-0000610B0000}"/>
    <cellStyle name="CABEÇALHO 3 16 4 3 5" xfId="10604" xr:uid="{00000000-0005-0000-0000-0000620B0000}"/>
    <cellStyle name="CABEÇALHO 3 16 4 3 6" xfId="7207" xr:uid="{00000000-0005-0000-0000-0000630B0000}"/>
    <cellStyle name="CABEÇALHO 3 16 4 4" xfId="4092" xr:uid="{00000000-0005-0000-0000-0000640B0000}"/>
    <cellStyle name="CABEÇALHO 3 16 4 5" xfId="3081" xr:uid="{00000000-0005-0000-0000-0000650B0000}"/>
    <cellStyle name="CABEÇALHO 3 16 4 6" xfId="5834" xr:uid="{00000000-0005-0000-0000-0000660B0000}"/>
    <cellStyle name="CABEÇALHO 3 16 4 7" xfId="8961" xr:uid="{00000000-0005-0000-0000-0000670B0000}"/>
    <cellStyle name="CABEÇALHO 3 16 4 8" xfId="10618" xr:uid="{00000000-0005-0000-0000-0000680B0000}"/>
    <cellStyle name="CABEÇALHO 3 16 5" xfId="1158" xr:uid="{00000000-0005-0000-0000-0000690B0000}"/>
    <cellStyle name="CABEÇALHO 3 16 5 2" xfId="2300" xr:uid="{00000000-0005-0000-0000-00006A0B0000}"/>
    <cellStyle name="CABEÇALHO 3 16 5 2 2" xfId="5180" xr:uid="{00000000-0005-0000-0000-00006B0B0000}"/>
    <cellStyle name="CABEÇALHO 3 16 5 2 3" xfId="7182" xr:uid="{00000000-0005-0000-0000-00006C0B0000}"/>
    <cellStyle name="CABEÇALHO 3 16 5 2 4" xfId="9506" xr:uid="{00000000-0005-0000-0000-00006D0B0000}"/>
    <cellStyle name="CABEÇALHO 3 16 5 2 5" xfId="8460" xr:uid="{00000000-0005-0000-0000-00006E0B0000}"/>
    <cellStyle name="CABEÇALHO 3 16 5 2 6" xfId="11597" xr:uid="{00000000-0005-0000-0000-00006F0B0000}"/>
    <cellStyle name="CABEÇALHO 3 16 5 3" xfId="2514" xr:uid="{00000000-0005-0000-0000-0000700B0000}"/>
    <cellStyle name="CABEÇALHO 3 16 5 3 2" xfId="5394" xr:uid="{00000000-0005-0000-0000-0000710B0000}"/>
    <cellStyle name="CABEÇALHO 3 16 5 3 3" xfId="6378" xr:uid="{00000000-0005-0000-0000-0000720B0000}"/>
    <cellStyle name="CABEÇALHO 3 16 5 3 4" xfId="8316" xr:uid="{00000000-0005-0000-0000-0000730B0000}"/>
    <cellStyle name="CABEÇALHO 3 16 5 3 5" xfId="10537" xr:uid="{00000000-0005-0000-0000-0000740B0000}"/>
    <cellStyle name="CABEÇALHO 3 16 5 3 6" xfId="7417" xr:uid="{00000000-0005-0000-0000-0000750B0000}"/>
    <cellStyle name="CABEÇALHO 3 16 5 4" xfId="4038" xr:uid="{00000000-0005-0000-0000-0000760B0000}"/>
    <cellStyle name="CABEÇALHO 3 16 5 5" xfId="3057" xr:uid="{00000000-0005-0000-0000-0000770B0000}"/>
    <cellStyle name="CABEÇALHO 3 16 5 6" xfId="8163" xr:uid="{00000000-0005-0000-0000-0000780B0000}"/>
    <cellStyle name="CABEÇALHO 3 16 5 7" xfId="8492" xr:uid="{00000000-0005-0000-0000-0000790B0000}"/>
    <cellStyle name="CABEÇALHO 3 16 5 8" xfId="11257" xr:uid="{00000000-0005-0000-0000-00007A0B0000}"/>
    <cellStyle name="CABEÇALHO 3 16 6" xfId="674" xr:uid="{00000000-0005-0000-0000-00007B0B0000}"/>
    <cellStyle name="CABEÇALHO 3 16 6 2" xfId="1816" xr:uid="{00000000-0005-0000-0000-00007C0B0000}"/>
    <cellStyle name="CABEÇALHO 3 16 6 2 2" xfId="4696" xr:uid="{00000000-0005-0000-0000-00007D0B0000}"/>
    <cellStyle name="CABEÇALHO 3 16 6 2 3" xfId="5945" xr:uid="{00000000-0005-0000-0000-00007E0B0000}"/>
    <cellStyle name="CABEÇALHO 3 16 6 2 4" xfId="2971" xr:uid="{00000000-0005-0000-0000-00007F0B0000}"/>
    <cellStyle name="CABEÇALHO 3 16 6 2 5" xfId="5826" xr:uid="{00000000-0005-0000-0000-0000800B0000}"/>
    <cellStyle name="CABEÇALHO 3 16 6 2 6" xfId="10312" xr:uid="{00000000-0005-0000-0000-0000810B0000}"/>
    <cellStyle name="CABEÇALHO 3 16 6 3" xfId="2682" xr:uid="{00000000-0005-0000-0000-0000820B0000}"/>
    <cellStyle name="CABEÇALHO 3 16 6 3 2" xfId="5562" xr:uid="{00000000-0005-0000-0000-0000830B0000}"/>
    <cellStyle name="CABEÇALHO 3 16 6 3 3" xfId="7795" xr:uid="{00000000-0005-0000-0000-0000840B0000}"/>
    <cellStyle name="CABEÇALHO 3 16 6 3 4" xfId="8602" xr:uid="{00000000-0005-0000-0000-0000850B0000}"/>
    <cellStyle name="CABEÇALHO 3 16 6 3 5" xfId="8414" xr:uid="{00000000-0005-0000-0000-0000860B0000}"/>
    <cellStyle name="CABEÇALHO 3 16 6 3 6" xfId="11248" xr:uid="{00000000-0005-0000-0000-0000870B0000}"/>
    <cellStyle name="CABEÇALHO 3 16 6 4" xfId="3554" xr:uid="{00000000-0005-0000-0000-0000880B0000}"/>
    <cellStyle name="CABEÇALHO 3 16 6 5" xfId="6023" xr:uid="{00000000-0005-0000-0000-0000890B0000}"/>
    <cellStyle name="CABEÇALHO 3 16 6 6" xfId="8981" xr:uid="{00000000-0005-0000-0000-00008A0B0000}"/>
    <cellStyle name="CABEÇALHO 3 16 6 7" xfId="9911" xr:uid="{00000000-0005-0000-0000-00008B0B0000}"/>
    <cellStyle name="CABEÇALHO 3 16 6 8" xfId="11261" xr:uid="{00000000-0005-0000-0000-00008C0B0000}"/>
    <cellStyle name="CABEÇALHO 3 16 7" xfId="1608" xr:uid="{00000000-0005-0000-0000-00008D0B0000}"/>
    <cellStyle name="CABEÇALHO 3 16 7 2" xfId="4488" xr:uid="{00000000-0005-0000-0000-00008E0B0000}"/>
    <cellStyle name="CABEÇALHO 3 16 7 3" xfId="7955" xr:uid="{00000000-0005-0000-0000-00008F0B0000}"/>
    <cellStyle name="CABEÇALHO 3 16 7 4" xfId="9366" xr:uid="{00000000-0005-0000-0000-0000900B0000}"/>
    <cellStyle name="CABEÇALHO 3 16 7 5" xfId="10666" xr:uid="{00000000-0005-0000-0000-0000910B0000}"/>
    <cellStyle name="CABEÇALHO 3 16 7 6" xfId="10497" xr:uid="{00000000-0005-0000-0000-0000920B0000}"/>
    <cellStyle name="CABEÇALHO 3 16 8" xfId="1375" xr:uid="{00000000-0005-0000-0000-0000930B0000}"/>
    <cellStyle name="CABEÇALHO 3 16 8 2" xfId="4255" xr:uid="{00000000-0005-0000-0000-0000940B0000}"/>
    <cellStyle name="CABEÇALHO 3 16 8 3" xfId="7619" xr:uid="{00000000-0005-0000-0000-0000950B0000}"/>
    <cellStyle name="CABEÇALHO 3 16 8 4" xfId="9046" xr:uid="{00000000-0005-0000-0000-0000960B0000}"/>
    <cellStyle name="CABEÇALHO 3 16 8 5" xfId="9989" xr:uid="{00000000-0005-0000-0000-0000970B0000}"/>
    <cellStyle name="CABEÇALHO 3 16 8 6" xfId="11274" xr:uid="{00000000-0005-0000-0000-0000980B0000}"/>
    <cellStyle name="CABEÇALHO 3 16 9" xfId="3347" xr:uid="{00000000-0005-0000-0000-0000990B0000}"/>
    <cellStyle name="CABEÇALHO 3 17" xfId="479" xr:uid="{00000000-0005-0000-0000-00009A0B0000}"/>
    <cellStyle name="CABEÇALHO 3 17 10" xfId="3167" xr:uid="{00000000-0005-0000-0000-00009B0B0000}"/>
    <cellStyle name="CABEÇALHO 3 17 11" xfId="6400" xr:uid="{00000000-0005-0000-0000-00009C0B0000}"/>
    <cellStyle name="CABEÇALHO 3 17 12" xfId="8344" xr:uid="{00000000-0005-0000-0000-00009D0B0000}"/>
    <cellStyle name="CABEÇALHO 3 17 13" xfId="8419" xr:uid="{00000000-0005-0000-0000-00009E0B0000}"/>
    <cellStyle name="CABEÇALHO 3 17 2" xfId="955" xr:uid="{00000000-0005-0000-0000-00009F0B0000}"/>
    <cellStyle name="CABEÇALHO 3 17 2 2" xfId="2097" xr:uid="{00000000-0005-0000-0000-0000A00B0000}"/>
    <cellStyle name="CABEÇALHO 3 17 2 2 2" xfId="4977" xr:uid="{00000000-0005-0000-0000-0000A10B0000}"/>
    <cellStyle name="CABEÇALHO 3 17 2 2 3" xfId="6606" xr:uid="{00000000-0005-0000-0000-0000A20B0000}"/>
    <cellStyle name="CABEÇALHO 3 17 2 2 4" xfId="9101" xr:uid="{00000000-0005-0000-0000-0000A30B0000}"/>
    <cellStyle name="CABEÇALHO 3 17 2 2 5" xfId="10374" xr:uid="{00000000-0005-0000-0000-0000A40B0000}"/>
    <cellStyle name="CABEÇALHO 3 17 2 2 6" xfId="10515" xr:uid="{00000000-0005-0000-0000-0000A50B0000}"/>
    <cellStyle name="CABEÇALHO 3 17 2 3" xfId="2533" xr:uid="{00000000-0005-0000-0000-0000A60B0000}"/>
    <cellStyle name="CABEÇALHO 3 17 2 3 2" xfId="5413" xr:uid="{00000000-0005-0000-0000-0000A70B0000}"/>
    <cellStyle name="CABEÇALHO 3 17 2 3 3" xfId="5924" xr:uid="{00000000-0005-0000-0000-0000A80B0000}"/>
    <cellStyle name="CABEÇALHO 3 17 2 3 4" xfId="8892" xr:uid="{00000000-0005-0000-0000-0000A90B0000}"/>
    <cellStyle name="CABEÇALHO 3 17 2 3 5" xfId="10049" xr:uid="{00000000-0005-0000-0000-0000AA0B0000}"/>
    <cellStyle name="CABEÇALHO 3 17 2 3 6" xfId="10294" xr:uid="{00000000-0005-0000-0000-0000AB0B0000}"/>
    <cellStyle name="CABEÇALHO 3 17 2 4" xfId="3835" xr:uid="{00000000-0005-0000-0000-0000AC0B0000}"/>
    <cellStyle name="CABEÇALHO 3 17 2 5" xfId="7557" xr:uid="{00000000-0005-0000-0000-0000AD0B0000}"/>
    <cellStyle name="CABEÇALHO 3 17 2 6" xfId="2989" xr:uid="{00000000-0005-0000-0000-0000AE0B0000}"/>
    <cellStyle name="CABEÇALHO 3 17 2 7" xfId="10165" xr:uid="{00000000-0005-0000-0000-0000AF0B0000}"/>
    <cellStyle name="CABEÇALHO 3 17 2 8" xfId="11282" xr:uid="{00000000-0005-0000-0000-0000B00B0000}"/>
    <cellStyle name="CABEÇALHO 3 17 3" xfId="751" xr:uid="{00000000-0005-0000-0000-0000B10B0000}"/>
    <cellStyle name="CABEÇALHO 3 17 3 2" xfId="1893" xr:uid="{00000000-0005-0000-0000-0000B20B0000}"/>
    <cellStyle name="CABEÇALHO 3 17 3 2 2" xfId="4773" xr:uid="{00000000-0005-0000-0000-0000B30B0000}"/>
    <cellStyle name="CABEÇALHO 3 17 3 2 3" xfId="6585" xr:uid="{00000000-0005-0000-0000-0000B40B0000}"/>
    <cellStyle name="CABEÇALHO 3 17 3 2 4" xfId="9080" xr:uid="{00000000-0005-0000-0000-0000B50B0000}"/>
    <cellStyle name="CABEÇALHO 3 17 3 2 5" xfId="10001" xr:uid="{00000000-0005-0000-0000-0000B60B0000}"/>
    <cellStyle name="CABEÇALHO 3 17 3 2 6" xfId="7359" xr:uid="{00000000-0005-0000-0000-0000B70B0000}"/>
    <cellStyle name="CABEÇALHO 3 17 3 3" xfId="2648" xr:uid="{00000000-0005-0000-0000-0000B80B0000}"/>
    <cellStyle name="CABEÇALHO 3 17 3 3 2" xfId="5528" xr:uid="{00000000-0005-0000-0000-0000B90B0000}"/>
    <cellStyle name="CABEÇALHO 3 17 3 3 3" xfId="7776" xr:uid="{00000000-0005-0000-0000-0000BA0B0000}"/>
    <cellStyle name="CABEÇALHO 3 17 3 3 4" xfId="8210" xr:uid="{00000000-0005-0000-0000-0000BB0B0000}"/>
    <cellStyle name="CABEÇALHO 3 17 3 3 5" xfId="9958" xr:uid="{00000000-0005-0000-0000-0000BC0B0000}"/>
    <cellStyle name="CABEÇALHO 3 17 3 3 6" xfId="11310" xr:uid="{00000000-0005-0000-0000-0000BD0B0000}"/>
    <cellStyle name="CABEÇALHO 3 17 3 4" xfId="3631" xr:uid="{00000000-0005-0000-0000-0000BE0B0000}"/>
    <cellStyle name="CABEÇALHO 3 17 3 5" xfId="6429" xr:uid="{00000000-0005-0000-0000-0000BF0B0000}"/>
    <cellStyle name="CABEÇALHO 3 17 3 6" xfId="8523" xr:uid="{00000000-0005-0000-0000-0000C00B0000}"/>
    <cellStyle name="CABEÇALHO 3 17 3 7" xfId="8637" xr:uid="{00000000-0005-0000-0000-0000C10B0000}"/>
    <cellStyle name="CABEÇALHO 3 17 3 8" xfId="10747" xr:uid="{00000000-0005-0000-0000-0000C20B0000}"/>
    <cellStyle name="CABEÇALHO 3 17 4" xfId="707" xr:uid="{00000000-0005-0000-0000-0000C30B0000}"/>
    <cellStyle name="CABEÇALHO 3 17 4 2" xfId="1849" xr:uid="{00000000-0005-0000-0000-0000C40B0000}"/>
    <cellStyle name="CABEÇALHO 3 17 4 2 2" xfId="4729" xr:uid="{00000000-0005-0000-0000-0000C50B0000}"/>
    <cellStyle name="CABEÇALHO 3 17 4 2 3" xfId="5893" xr:uid="{00000000-0005-0000-0000-0000C60B0000}"/>
    <cellStyle name="CABEÇALHO 3 17 4 2 4" xfId="7761" xr:uid="{00000000-0005-0000-0000-0000C70B0000}"/>
    <cellStyle name="CABEÇALHO 3 17 4 2 5" xfId="7753" xr:uid="{00000000-0005-0000-0000-0000C80B0000}"/>
    <cellStyle name="CABEÇALHO 3 17 4 2 6" xfId="9766" xr:uid="{00000000-0005-0000-0000-0000C90B0000}"/>
    <cellStyle name="CABEÇALHO 3 17 4 3" xfId="2642" xr:uid="{00000000-0005-0000-0000-0000CA0B0000}"/>
    <cellStyle name="CABEÇALHO 3 17 4 3 2" xfId="5522" xr:uid="{00000000-0005-0000-0000-0000CB0B0000}"/>
    <cellStyle name="CABEÇALHO 3 17 4 3 3" xfId="7831" xr:uid="{00000000-0005-0000-0000-0000CC0B0000}"/>
    <cellStyle name="CABEÇALHO 3 17 4 3 4" xfId="7582" xr:uid="{00000000-0005-0000-0000-0000CD0B0000}"/>
    <cellStyle name="CABEÇALHO 3 17 4 3 5" xfId="8363" xr:uid="{00000000-0005-0000-0000-0000CE0B0000}"/>
    <cellStyle name="CABEÇALHO 3 17 4 3 6" xfId="11482" xr:uid="{00000000-0005-0000-0000-0000CF0B0000}"/>
    <cellStyle name="CABEÇALHO 3 17 4 4" xfId="3587" xr:uid="{00000000-0005-0000-0000-0000D00B0000}"/>
    <cellStyle name="CABEÇALHO 3 17 4 5" xfId="6493" xr:uid="{00000000-0005-0000-0000-0000D10B0000}"/>
    <cellStyle name="CABEÇALHO 3 17 4 6" xfId="8577" xr:uid="{00000000-0005-0000-0000-0000D20B0000}"/>
    <cellStyle name="CABEÇALHO 3 17 4 7" xfId="9235" xr:uid="{00000000-0005-0000-0000-0000D30B0000}"/>
    <cellStyle name="CABEÇALHO 3 17 4 8" xfId="11653" xr:uid="{00000000-0005-0000-0000-0000D40B0000}"/>
    <cellStyle name="CABEÇALHO 3 17 5" xfId="1188" xr:uid="{00000000-0005-0000-0000-0000D50B0000}"/>
    <cellStyle name="CABEÇALHO 3 17 5 2" xfId="2330" xr:uid="{00000000-0005-0000-0000-0000D60B0000}"/>
    <cellStyle name="CABEÇALHO 3 17 5 2 2" xfId="5210" xr:uid="{00000000-0005-0000-0000-0000D70B0000}"/>
    <cellStyle name="CABEÇALHO 3 17 5 2 3" xfId="7597" xr:uid="{00000000-0005-0000-0000-0000D80B0000}"/>
    <cellStyle name="CABEÇALHO 3 17 5 2 4" xfId="8277" xr:uid="{00000000-0005-0000-0000-0000D90B0000}"/>
    <cellStyle name="CABEÇALHO 3 17 5 2 5" xfId="9648" xr:uid="{00000000-0005-0000-0000-0000DA0B0000}"/>
    <cellStyle name="CABEÇALHO 3 17 5 2 6" xfId="7419" xr:uid="{00000000-0005-0000-0000-0000DB0B0000}"/>
    <cellStyle name="CABEÇALHO 3 17 5 3" xfId="2496" xr:uid="{00000000-0005-0000-0000-0000DC0B0000}"/>
    <cellStyle name="CABEÇALHO 3 17 5 3 2" xfId="5376" xr:uid="{00000000-0005-0000-0000-0000DD0B0000}"/>
    <cellStyle name="CABEÇALHO 3 17 5 3 3" xfId="6387" xr:uid="{00000000-0005-0000-0000-0000DE0B0000}"/>
    <cellStyle name="CABEÇALHO 3 17 5 3 4" xfId="8902" xr:uid="{00000000-0005-0000-0000-0000DF0B0000}"/>
    <cellStyle name="CABEÇALHO 3 17 5 3 5" xfId="10088" xr:uid="{00000000-0005-0000-0000-0000E00B0000}"/>
    <cellStyle name="CABEÇALHO 3 17 5 3 6" xfId="10521" xr:uid="{00000000-0005-0000-0000-0000E10B0000}"/>
    <cellStyle name="CABEÇALHO 3 17 5 4" xfId="4068" xr:uid="{00000000-0005-0000-0000-0000E20B0000}"/>
    <cellStyle name="CABEÇALHO 3 17 5 5" xfId="2936" xr:uid="{00000000-0005-0000-0000-0000E30B0000}"/>
    <cellStyle name="CABEÇALHO 3 17 5 6" xfId="7952" xr:uid="{00000000-0005-0000-0000-0000E40B0000}"/>
    <cellStyle name="CABEÇALHO 3 17 5 7" xfId="6788" xr:uid="{00000000-0005-0000-0000-0000E50B0000}"/>
    <cellStyle name="CABEÇALHO 3 17 5 8" xfId="10143" xr:uid="{00000000-0005-0000-0000-0000E60B0000}"/>
    <cellStyle name="CABEÇALHO 3 17 6" xfId="1246" xr:uid="{00000000-0005-0000-0000-0000E70B0000}"/>
    <cellStyle name="CABEÇALHO 3 17 6 2" xfId="2388" xr:uid="{00000000-0005-0000-0000-0000E80B0000}"/>
    <cellStyle name="CABEÇALHO 3 17 6 2 2" xfId="5268" xr:uid="{00000000-0005-0000-0000-0000E90B0000}"/>
    <cellStyle name="CABEÇALHO 3 17 6 2 3" xfId="6351" xr:uid="{00000000-0005-0000-0000-0000EA0B0000}"/>
    <cellStyle name="CABEÇALHO 3 17 6 2 4" xfId="8868" xr:uid="{00000000-0005-0000-0000-0000EB0B0000}"/>
    <cellStyle name="CABEÇALHO 3 17 6 2 5" xfId="10034" xr:uid="{00000000-0005-0000-0000-0000EC0B0000}"/>
    <cellStyle name="CABEÇALHO 3 17 6 2 6" xfId="10419" xr:uid="{00000000-0005-0000-0000-0000ED0B0000}"/>
    <cellStyle name="CABEÇALHO 3 17 6 3" xfId="2527" xr:uid="{00000000-0005-0000-0000-0000EE0B0000}"/>
    <cellStyle name="CABEÇALHO 3 17 6 3 2" xfId="5407" xr:uid="{00000000-0005-0000-0000-0000EF0B0000}"/>
    <cellStyle name="CABEÇALHO 3 17 6 3 3" xfId="8167" xr:uid="{00000000-0005-0000-0000-0000F00B0000}"/>
    <cellStyle name="CABEÇALHO 3 17 6 3 4" xfId="9054" xr:uid="{00000000-0005-0000-0000-0000F10B0000}"/>
    <cellStyle name="CABEÇALHO 3 17 6 3 5" xfId="10058" xr:uid="{00000000-0005-0000-0000-0000F20B0000}"/>
    <cellStyle name="CABEÇALHO 3 17 6 3 6" xfId="10316" xr:uid="{00000000-0005-0000-0000-0000F30B0000}"/>
    <cellStyle name="CABEÇALHO 3 17 6 4" xfId="4126" xr:uid="{00000000-0005-0000-0000-0000F40B0000}"/>
    <cellStyle name="CABEÇALHO 3 17 6 5" xfId="2926" xr:uid="{00000000-0005-0000-0000-0000F50B0000}"/>
    <cellStyle name="CABEÇALHO 3 17 6 6" xfId="6794" xr:uid="{00000000-0005-0000-0000-0000F60B0000}"/>
    <cellStyle name="CABEÇALHO 3 17 6 7" xfId="5861" xr:uid="{00000000-0005-0000-0000-0000F70B0000}"/>
    <cellStyle name="CABEÇALHO 3 17 6 8" xfId="11063" xr:uid="{00000000-0005-0000-0000-0000F80B0000}"/>
    <cellStyle name="CABEÇALHO 3 17 7" xfId="1620" xr:uid="{00000000-0005-0000-0000-0000F90B0000}"/>
    <cellStyle name="CABEÇALHO 3 17 7 2" xfId="4500" xr:uid="{00000000-0005-0000-0000-0000FA0B0000}"/>
    <cellStyle name="CABEÇALHO 3 17 7 3" xfId="8054" xr:uid="{00000000-0005-0000-0000-0000FB0B0000}"/>
    <cellStyle name="CABEÇALHO 3 17 7 4" xfId="9461" xr:uid="{00000000-0005-0000-0000-0000FC0B0000}"/>
    <cellStyle name="CABEÇALHO 3 17 7 5" xfId="5890" xr:uid="{00000000-0005-0000-0000-0000FD0B0000}"/>
    <cellStyle name="CABEÇALHO 3 17 7 6" xfId="8595" xr:uid="{00000000-0005-0000-0000-0000FE0B0000}"/>
    <cellStyle name="CABEÇALHO 3 17 8" xfId="2589" xr:uid="{00000000-0005-0000-0000-0000FF0B0000}"/>
    <cellStyle name="CABEÇALHO 3 17 8 2" xfId="5469" xr:uid="{00000000-0005-0000-0000-0000000C0000}"/>
    <cellStyle name="CABEÇALHO 3 17 8 3" xfId="7035" xr:uid="{00000000-0005-0000-0000-0000010C0000}"/>
    <cellStyle name="CABEÇALHO 3 17 8 4" xfId="7574" xr:uid="{00000000-0005-0000-0000-0000020C0000}"/>
    <cellStyle name="CABEÇALHO 3 17 8 5" xfId="9647" xr:uid="{00000000-0005-0000-0000-0000030C0000}"/>
    <cellStyle name="CABEÇALHO 3 17 8 6" xfId="10876" xr:uid="{00000000-0005-0000-0000-0000040C0000}"/>
    <cellStyle name="CABEÇALHO 3 17 9" xfId="3359" xr:uid="{00000000-0005-0000-0000-0000050C0000}"/>
    <cellStyle name="CABEÇALHO 3 18" xfId="819" xr:uid="{00000000-0005-0000-0000-0000060C0000}"/>
    <cellStyle name="CABEÇALHO 3 18 2" xfId="1961" xr:uid="{00000000-0005-0000-0000-0000070C0000}"/>
    <cellStyle name="CABEÇALHO 3 18 2 2" xfId="4841" xr:uid="{00000000-0005-0000-0000-0000080C0000}"/>
    <cellStyle name="CABEÇALHO 3 18 2 3" xfId="7666" xr:uid="{00000000-0005-0000-0000-0000090C0000}"/>
    <cellStyle name="CABEÇALHO 3 18 2 4" xfId="8300" xr:uid="{00000000-0005-0000-0000-00000A0C0000}"/>
    <cellStyle name="CABEÇALHO 3 18 2 5" xfId="7391" xr:uid="{00000000-0005-0000-0000-00000B0C0000}"/>
    <cellStyle name="CABEÇALHO 3 18 2 6" xfId="11080" xr:uid="{00000000-0005-0000-0000-00000C0C0000}"/>
    <cellStyle name="CABEÇALHO 3 18 3" xfId="2710" xr:uid="{00000000-0005-0000-0000-00000D0C0000}"/>
    <cellStyle name="CABEÇALHO 3 18 3 2" xfId="5590" xr:uid="{00000000-0005-0000-0000-00000E0C0000}"/>
    <cellStyle name="CABEÇALHO 3 18 3 3" xfId="6638" xr:uid="{00000000-0005-0000-0000-00000F0C0000}"/>
    <cellStyle name="CABEÇALHO 3 18 3 4" xfId="8299" xr:uid="{00000000-0005-0000-0000-0000100C0000}"/>
    <cellStyle name="CABEÇALHO 3 18 3 5" xfId="9677" xr:uid="{00000000-0005-0000-0000-0000110C0000}"/>
    <cellStyle name="CABEÇALHO 3 18 3 6" xfId="11458" xr:uid="{00000000-0005-0000-0000-0000120C0000}"/>
    <cellStyle name="CABEÇALHO 3 18 4" xfId="3699" xr:uid="{00000000-0005-0000-0000-0000130C0000}"/>
    <cellStyle name="CABEÇALHO 3 18 5" xfId="6412" xr:uid="{00000000-0005-0000-0000-0000140C0000}"/>
    <cellStyle name="CABEÇALHO 3 18 6" xfId="8506" xr:uid="{00000000-0005-0000-0000-0000150C0000}"/>
    <cellStyle name="CABEÇALHO 3 18 7" xfId="3014" xr:uid="{00000000-0005-0000-0000-0000160C0000}"/>
    <cellStyle name="CABEÇALHO 3 18 8" xfId="10067" xr:uid="{00000000-0005-0000-0000-0000170C0000}"/>
    <cellStyle name="CABEÇALHO 3 19" xfId="1151" xr:uid="{00000000-0005-0000-0000-0000180C0000}"/>
    <cellStyle name="CABEÇALHO 3 19 2" xfId="2293" xr:uid="{00000000-0005-0000-0000-0000190C0000}"/>
    <cellStyle name="CABEÇALHO 3 19 2 2" xfId="5173" xr:uid="{00000000-0005-0000-0000-00001A0C0000}"/>
    <cellStyle name="CABEÇALHO 3 19 2 3" xfId="7928" xr:uid="{00000000-0005-0000-0000-00001B0C0000}"/>
    <cellStyle name="CABEÇALHO 3 19 2 4" xfId="7463" xr:uid="{00000000-0005-0000-0000-00001C0C0000}"/>
    <cellStyle name="CABEÇALHO 3 19 2 5" xfId="7855" xr:uid="{00000000-0005-0000-0000-00001D0C0000}"/>
    <cellStyle name="CABEÇALHO 3 19 2 6" xfId="8802" xr:uid="{00000000-0005-0000-0000-00001E0C0000}"/>
    <cellStyle name="CABEÇALHO 3 19 3" xfId="1453" xr:uid="{00000000-0005-0000-0000-00001F0C0000}"/>
    <cellStyle name="CABEÇALHO 3 19 3 2" xfId="4333" xr:uid="{00000000-0005-0000-0000-0000200C0000}"/>
    <cellStyle name="CABEÇALHO 3 19 3 3" xfId="7473" xr:uid="{00000000-0005-0000-0000-0000210C0000}"/>
    <cellStyle name="CABEÇALHO 3 19 3 4" xfId="8908" xr:uid="{00000000-0005-0000-0000-0000220C0000}"/>
    <cellStyle name="CABEÇALHO 3 19 3 5" xfId="10092" xr:uid="{00000000-0005-0000-0000-0000230C0000}"/>
    <cellStyle name="CABEÇALHO 3 19 3 6" xfId="8653" xr:uid="{00000000-0005-0000-0000-0000240C0000}"/>
    <cellStyle name="CABEÇALHO 3 19 4" xfId="4031" xr:uid="{00000000-0005-0000-0000-0000250C0000}"/>
    <cellStyle name="CABEÇALHO 3 19 5" xfId="3019" xr:uid="{00000000-0005-0000-0000-0000260C0000}"/>
    <cellStyle name="CABEÇALHO 3 19 6" xfId="8173" xr:uid="{00000000-0005-0000-0000-0000270C0000}"/>
    <cellStyle name="CABEÇALHO 3 19 7" xfId="9289" xr:uid="{00000000-0005-0000-0000-0000280C0000}"/>
    <cellStyle name="CABEÇALHO 3 19 8" xfId="10789" xr:uid="{00000000-0005-0000-0000-0000290C0000}"/>
    <cellStyle name="CABEÇALHO 3 2" xfId="461" xr:uid="{00000000-0005-0000-0000-00002A0C0000}"/>
    <cellStyle name="CABEÇALHO 3 2 10" xfId="793" xr:uid="{00000000-0005-0000-0000-00002B0C0000}"/>
    <cellStyle name="CABEÇALHO 3 2 10 2" xfId="1935" xr:uid="{00000000-0005-0000-0000-00002C0C0000}"/>
    <cellStyle name="CABEÇALHO 3 2 10 2 2" xfId="4815" xr:uid="{00000000-0005-0000-0000-00002D0C0000}"/>
    <cellStyle name="CABEÇALHO 3 2 10 2 3" xfId="6165" xr:uid="{00000000-0005-0000-0000-00002E0C0000}"/>
    <cellStyle name="CABEÇALHO 3 2 10 2 4" xfId="8697" xr:uid="{00000000-0005-0000-0000-00002F0C0000}"/>
    <cellStyle name="CABEÇALHO 3 2 10 2 5" xfId="10024" xr:uid="{00000000-0005-0000-0000-0000300C0000}"/>
    <cellStyle name="CABEÇALHO 3 2 10 2 6" xfId="8294" xr:uid="{00000000-0005-0000-0000-0000310C0000}"/>
    <cellStyle name="CABEÇALHO 3 2 10 3" xfId="2535" xr:uid="{00000000-0005-0000-0000-0000320C0000}"/>
    <cellStyle name="CABEÇALHO 3 2 10 3 2" xfId="5415" xr:uid="{00000000-0005-0000-0000-0000330C0000}"/>
    <cellStyle name="CABEÇALHO 3 2 10 3 3" xfId="7032" xr:uid="{00000000-0005-0000-0000-0000340C0000}"/>
    <cellStyle name="CABEÇALHO 3 2 10 3 4" xfId="7060" xr:uid="{00000000-0005-0000-0000-0000350C0000}"/>
    <cellStyle name="CABEÇALHO 3 2 10 3 5" xfId="10601" xr:uid="{00000000-0005-0000-0000-0000360C0000}"/>
    <cellStyle name="CABEÇALHO 3 2 10 3 6" xfId="11599" xr:uid="{00000000-0005-0000-0000-0000370C0000}"/>
    <cellStyle name="CABEÇALHO 3 2 10 4" xfId="3673" xr:uid="{00000000-0005-0000-0000-0000380C0000}"/>
    <cellStyle name="CABEÇALHO 3 2 10 5" xfId="6036" xr:uid="{00000000-0005-0000-0000-0000390C0000}"/>
    <cellStyle name="CABEÇALHO 3 2 10 6" xfId="8994" xr:uid="{00000000-0005-0000-0000-00003A0C0000}"/>
    <cellStyle name="CABEÇALHO 3 2 10 7" xfId="9921" xr:uid="{00000000-0005-0000-0000-00003B0C0000}"/>
    <cellStyle name="CABEÇALHO 3 2 10 8" xfId="10136" xr:uid="{00000000-0005-0000-0000-00003C0C0000}"/>
    <cellStyle name="CABEÇALHO 3 2 11" xfId="710" xr:uid="{00000000-0005-0000-0000-00003D0C0000}"/>
    <cellStyle name="CABEÇALHO 3 2 11 2" xfId="1852" xr:uid="{00000000-0005-0000-0000-00003E0C0000}"/>
    <cellStyle name="CABEÇALHO 3 2 11 2 2" xfId="4732" xr:uid="{00000000-0005-0000-0000-00003F0C0000}"/>
    <cellStyle name="CABEÇALHO 3 2 11 2 3" xfId="6681" xr:uid="{00000000-0005-0000-0000-0000400C0000}"/>
    <cellStyle name="CABEÇALHO 3 2 11 2 4" xfId="9170" xr:uid="{00000000-0005-0000-0000-0000410C0000}"/>
    <cellStyle name="CABEÇALHO 3 2 11 2 5" xfId="9514" xr:uid="{00000000-0005-0000-0000-0000420C0000}"/>
    <cellStyle name="CABEÇALHO 3 2 11 2 6" xfId="11278" xr:uid="{00000000-0005-0000-0000-0000430C0000}"/>
    <cellStyle name="CABEÇALHO 3 2 11 3" xfId="2492" xr:uid="{00000000-0005-0000-0000-0000440C0000}"/>
    <cellStyle name="CABEÇALHO 3 2 11 3 2" xfId="5372" xr:uid="{00000000-0005-0000-0000-0000450C0000}"/>
    <cellStyle name="CABEÇALHO 3 2 11 3 3" xfId="7303" xr:uid="{00000000-0005-0000-0000-0000460C0000}"/>
    <cellStyle name="CABEÇALHO 3 2 11 3 4" xfId="8336" xr:uid="{00000000-0005-0000-0000-0000470C0000}"/>
    <cellStyle name="CABEÇALHO 3 2 11 3 5" xfId="10698" xr:uid="{00000000-0005-0000-0000-0000480C0000}"/>
    <cellStyle name="CABEÇALHO 3 2 11 3 6" xfId="10913" xr:uid="{00000000-0005-0000-0000-0000490C0000}"/>
    <cellStyle name="CABEÇALHO 3 2 11 4" xfId="3590" xr:uid="{00000000-0005-0000-0000-00004A0C0000}"/>
    <cellStyle name="CABEÇALHO 3 2 11 5" xfId="5816" xr:uid="{00000000-0005-0000-0000-00004B0C0000}"/>
    <cellStyle name="CABEÇALHO 3 2 11 6" xfId="6633" xr:uid="{00000000-0005-0000-0000-00004C0C0000}"/>
    <cellStyle name="CABEÇALHO 3 2 11 7" xfId="9537" xr:uid="{00000000-0005-0000-0000-00004D0C0000}"/>
    <cellStyle name="CABEÇALHO 3 2 11 8" xfId="7589" xr:uid="{00000000-0005-0000-0000-00004E0C0000}"/>
    <cellStyle name="CABEÇALHO 3 2 12" xfId="1192" xr:uid="{00000000-0005-0000-0000-00004F0C0000}"/>
    <cellStyle name="CABEÇALHO 3 2 12 2" xfId="2334" xr:uid="{00000000-0005-0000-0000-0000500C0000}"/>
    <cellStyle name="CABEÇALHO 3 2 12 2 2" xfId="5214" xr:uid="{00000000-0005-0000-0000-0000510C0000}"/>
    <cellStyle name="CABEÇALHO 3 2 12 2 3" xfId="6987" xr:uid="{00000000-0005-0000-0000-0000520C0000}"/>
    <cellStyle name="CABEÇALHO 3 2 12 2 4" xfId="8255" xr:uid="{00000000-0005-0000-0000-0000530C0000}"/>
    <cellStyle name="CABEÇALHO 3 2 12 2 5" xfId="10327" xr:uid="{00000000-0005-0000-0000-0000540C0000}"/>
    <cellStyle name="CABEÇALHO 3 2 12 2 6" xfId="11052" xr:uid="{00000000-0005-0000-0000-0000550C0000}"/>
    <cellStyle name="CABEÇALHO 3 2 12 3" xfId="2532" xr:uid="{00000000-0005-0000-0000-0000560C0000}"/>
    <cellStyle name="CABEÇALHO 3 2 12 3 2" xfId="5412" xr:uid="{00000000-0005-0000-0000-0000570C0000}"/>
    <cellStyle name="CABEÇALHO 3 2 12 3 3" xfId="6377" xr:uid="{00000000-0005-0000-0000-0000580C0000}"/>
    <cellStyle name="CABEÇALHO 3 2 12 3 4" xfId="9328" xr:uid="{00000000-0005-0000-0000-0000590C0000}"/>
    <cellStyle name="CABEÇALHO 3 2 12 3 5" xfId="10817" xr:uid="{00000000-0005-0000-0000-00005A0C0000}"/>
    <cellStyle name="CABEÇALHO 3 2 12 3 6" xfId="9742" xr:uid="{00000000-0005-0000-0000-00005B0C0000}"/>
    <cellStyle name="CABEÇALHO 3 2 12 4" xfId="4072" xr:uid="{00000000-0005-0000-0000-00005C0C0000}"/>
    <cellStyle name="CABEÇALHO 3 2 12 5" xfId="3177" xr:uid="{00000000-0005-0000-0000-00005D0C0000}"/>
    <cellStyle name="CABEÇALHO 3 2 12 6" xfId="7164" xr:uid="{00000000-0005-0000-0000-00005E0C0000}"/>
    <cellStyle name="CABEÇALHO 3 2 12 7" xfId="8529" xr:uid="{00000000-0005-0000-0000-00005F0C0000}"/>
    <cellStyle name="CABEÇALHO 3 2 12 8" xfId="10291" xr:uid="{00000000-0005-0000-0000-0000600C0000}"/>
    <cellStyle name="CABEÇALHO 3 2 13" xfId="737" xr:uid="{00000000-0005-0000-0000-0000610C0000}"/>
    <cellStyle name="CABEÇALHO 3 2 13 2" xfId="1879" xr:uid="{00000000-0005-0000-0000-0000620C0000}"/>
    <cellStyle name="CABEÇALHO 3 2 13 2 2" xfId="4759" xr:uid="{00000000-0005-0000-0000-0000630C0000}"/>
    <cellStyle name="CABEÇALHO 3 2 13 2 3" xfId="6748" xr:uid="{00000000-0005-0000-0000-0000640C0000}"/>
    <cellStyle name="CABEÇALHO 3 2 13 2 4" xfId="5974" xr:uid="{00000000-0005-0000-0000-0000650C0000}"/>
    <cellStyle name="CABEÇALHO 3 2 13 2 5" xfId="7478" xr:uid="{00000000-0005-0000-0000-0000660C0000}"/>
    <cellStyle name="CABEÇALHO 3 2 13 2 6" xfId="10138" xr:uid="{00000000-0005-0000-0000-0000670C0000}"/>
    <cellStyle name="CABEÇALHO 3 2 13 3" xfId="2645" xr:uid="{00000000-0005-0000-0000-0000680C0000}"/>
    <cellStyle name="CABEÇALHO 3 2 13 3 2" xfId="5525" xr:uid="{00000000-0005-0000-0000-0000690C0000}"/>
    <cellStyle name="CABEÇALHO 3 2 13 3 3" xfId="7807" xr:uid="{00000000-0005-0000-0000-00006A0C0000}"/>
    <cellStyle name="CABEÇALHO 3 2 13 3 4" xfId="8613" xr:uid="{00000000-0005-0000-0000-00006B0C0000}"/>
    <cellStyle name="CABEÇALHO 3 2 13 3 5" xfId="5807" xr:uid="{00000000-0005-0000-0000-00006C0C0000}"/>
    <cellStyle name="CABEÇALHO 3 2 13 3 6" xfId="9731" xr:uid="{00000000-0005-0000-0000-00006D0C0000}"/>
    <cellStyle name="CABEÇALHO 3 2 13 4" xfId="3617" xr:uid="{00000000-0005-0000-0000-00006E0C0000}"/>
    <cellStyle name="CABEÇALHO 3 2 13 5" xfId="7408" xr:uid="{00000000-0005-0000-0000-00006F0C0000}"/>
    <cellStyle name="CABEÇALHO 3 2 13 6" xfId="7757" xr:uid="{00000000-0005-0000-0000-0000700C0000}"/>
    <cellStyle name="CABEÇALHO 3 2 13 7" xfId="8822" xr:uid="{00000000-0005-0000-0000-0000710C0000}"/>
    <cellStyle name="CABEÇALHO 3 2 13 8" xfId="11616" xr:uid="{00000000-0005-0000-0000-0000720C0000}"/>
    <cellStyle name="CABEÇALHO 3 2 14" xfId="1603" xr:uid="{00000000-0005-0000-0000-0000730C0000}"/>
    <cellStyle name="CABEÇALHO 3 2 14 2" xfId="4483" xr:uid="{00000000-0005-0000-0000-0000740C0000}"/>
    <cellStyle name="CABEÇALHO 3 2 14 3" xfId="7304" xr:uid="{00000000-0005-0000-0000-0000750C0000}"/>
    <cellStyle name="CABEÇALHO 3 2 14 4" xfId="8747" xr:uid="{00000000-0005-0000-0000-0000760C0000}"/>
    <cellStyle name="CABEÇALHO 3 2 14 5" xfId="9695" xr:uid="{00000000-0005-0000-0000-0000770C0000}"/>
    <cellStyle name="CABEÇALHO 3 2 14 6" xfId="9835" xr:uid="{00000000-0005-0000-0000-0000780C0000}"/>
    <cellStyle name="CABEÇALHO 3 2 15" xfId="1389" xr:uid="{00000000-0005-0000-0000-0000790C0000}"/>
    <cellStyle name="CABEÇALHO 3 2 15 2" xfId="4269" xr:uid="{00000000-0005-0000-0000-00007A0C0000}"/>
    <cellStyle name="CABEÇALHO 3 2 15 3" xfId="8001" xr:uid="{00000000-0005-0000-0000-00007B0C0000}"/>
    <cellStyle name="CABEÇALHO 3 2 15 4" xfId="9409" xr:uid="{00000000-0005-0000-0000-00007C0C0000}"/>
    <cellStyle name="CABEÇALHO 3 2 15 5" xfId="10736" xr:uid="{00000000-0005-0000-0000-00007D0C0000}"/>
    <cellStyle name="CABEÇALHO 3 2 15 6" xfId="9088" xr:uid="{00000000-0005-0000-0000-00007E0C0000}"/>
    <cellStyle name="CABEÇALHO 3 2 16" xfId="3341" xr:uid="{00000000-0005-0000-0000-00007F0C0000}"/>
    <cellStyle name="CABEÇALHO 3 2 17" xfId="5840" xr:uid="{00000000-0005-0000-0000-0000800C0000}"/>
    <cellStyle name="CABEÇALHO 3 2 18" xfId="6922" xr:uid="{00000000-0005-0000-0000-0000810C0000}"/>
    <cellStyle name="CABEÇALHO 3 2 19" xfId="10275" xr:uid="{00000000-0005-0000-0000-0000820C0000}"/>
    <cellStyle name="CABEÇALHO 3 2 2" xfId="650" xr:uid="{00000000-0005-0000-0000-0000830C0000}"/>
    <cellStyle name="CABEÇALHO 3 2 2 10" xfId="6972" xr:uid="{00000000-0005-0000-0000-0000840C0000}"/>
    <cellStyle name="CABEÇALHO 3 2 2 11" xfId="6952" xr:uid="{00000000-0005-0000-0000-0000850C0000}"/>
    <cellStyle name="CABEÇALHO 3 2 2 12" xfId="10259" xr:uid="{00000000-0005-0000-0000-0000860C0000}"/>
    <cellStyle name="CABEÇALHO 3 2 2 13" xfId="11020" xr:uid="{00000000-0005-0000-0000-0000870C0000}"/>
    <cellStyle name="CABEÇALHO 3 2 2 2" xfId="1126" xr:uid="{00000000-0005-0000-0000-0000880C0000}"/>
    <cellStyle name="CABEÇALHO 3 2 2 2 2" xfId="2268" xr:uid="{00000000-0005-0000-0000-0000890C0000}"/>
    <cellStyle name="CABEÇALHO 3 2 2 2 2 2" xfId="5148" xr:uid="{00000000-0005-0000-0000-00008A0C0000}"/>
    <cellStyle name="CABEÇALHO 3 2 2 2 2 3" xfId="6704" xr:uid="{00000000-0005-0000-0000-00008B0C0000}"/>
    <cellStyle name="CABEÇALHO 3 2 2 2 2 4" xfId="9191" xr:uid="{00000000-0005-0000-0000-00008C0C0000}"/>
    <cellStyle name="CABEÇALHO 3 2 2 2 2 5" xfId="10507" xr:uid="{00000000-0005-0000-0000-00008D0C0000}"/>
    <cellStyle name="CABEÇALHO 3 2 2 2 2 6" xfId="9009" xr:uid="{00000000-0005-0000-0000-00008E0C0000}"/>
    <cellStyle name="CABEÇALHO 3 2 2 2 3" xfId="1411" xr:uid="{00000000-0005-0000-0000-00008F0C0000}"/>
    <cellStyle name="CABEÇALHO 3 2 2 2 3 2" xfId="4291" xr:uid="{00000000-0005-0000-0000-0000900C0000}"/>
    <cellStyle name="CABEÇALHO 3 2 2 2 3 3" xfId="7741" xr:uid="{00000000-0005-0000-0000-0000910C0000}"/>
    <cellStyle name="CABEÇALHO 3 2 2 2 3 4" xfId="9157" xr:uid="{00000000-0005-0000-0000-0000920C0000}"/>
    <cellStyle name="CABEÇALHO 3 2 2 2 3 5" xfId="10475" xr:uid="{00000000-0005-0000-0000-0000930C0000}"/>
    <cellStyle name="CABEÇALHO 3 2 2 2 3 6" xfId="8971" xr:uid="{00000000-0005-0000-0000-0000940C0000}"/>
    <cellStyle name="CABEÇALHO 3 2 2 2 4" xfId="4006" xr:uid="{00000000-0005-0000-0000-0000950C0000}"/>
    <cellStyle name="CABEÇALHO 3 2 2 2 5" xfId="7552" xr:uid="{00000000-0005-0000-0000-0000960C0000}"/>
    <cellStyle name="CABEÇALHO 3 2 2 2 6" xfId="6145" xr:uid="{00000000-0005-0000-0000-0000970C0000}"/>
    <cellStyle name="CABEÇALHO 3 2 2 2 7" xfId="10162" xr:uid="{00000000-0005-0000-0000-0000980C0000}"/>
    <cellStyle name="CABEÇALHO 3 2 2 2 8" xfId="10865" xr:uid="{00000000-0005-0000-0000-0000990C0000}"/>
    <cellStyle name="CABEÇALHO 3 2 2 3" xfId="780" xr:uid="{00000000-0005-0000-0000-00009A0C0000}"/>
    <cellStyle name="CABEÇALHO 3 2 2 3 2" xfId="1922" xr:uid="{00000000-0005-0000-0000-00009B0C0000}"/>
    <cellStyle name="CABEÇALHO 3 2 2 3 2 2" xfId="4802" xr:uid="{00000000-0005-0000-0000-00009C0C0000}"/>
    <cellStyle name="CABEÇALHO 3 2 2 3 2 3" xfId="7927" xr:uid="{00000000-0005-0000-0000-00009D0C0000}"/>
    <cellStyle name="CABEÇALHO 3 2 2 3 2 4" xfId="7906" xr:uid="{00000000-0005-0000-0000-00009E0C0000}"/>
    <cellStyle name="CABEÇALHO 3 2 2 3 2 5" xfId="9710" xr:uid="{00000000-0005-0000-0000-00009F0C0000}"/>
    <cellStyle name="CABEÇALHO 3 2 2 3 2 6" xfId="9752" xr:uid="{00000000-0005-0000-0000-0000A00C0000}"/>
    <cellStyle name="CABEÇALHO 3 2 2 3 3" xfId="1385" xr:uid="{00000000-0005-0000-0000-0000A10C0000}"/>
    <cellStyle name="CABEÇALHO 3 2 2 3 3 2" xfId="4265" xr:uid="{00000000-0005-0000-0000-0000A20C0000}"/>
    <cellStyle name="CABEÇALHO 3 2 2 3 3 3" xfId="6990" xr:uid="{00000000-0005-0000-0000-0000A30C0000}"/>
    <cellStyle name="CABEÇALHO 3 2 2 3 3 4" xfId="8449" xr:uid="{00000000-0005-0000-0000-0000A40C0000}"/>
    <cellStyle name="CABEÇALHO 3 2 2 3 3 5" xfId="6520" xr:uid="{00000000-0005-0000-0000-0000A50C0000}"/>
    <cellStyle name="CABEÇALHO 3 2 2 3 3 6" xfId="11326" xr:uid="{00000000-0005-0000-0000-0000A60C0000}"/>
    <cellStyle name="CABEÇALHO 3 2 2 3 4" xfId="3660" xr:uid="{00000000-0005-0000-0000-0000A70C0000}"/>
    <cellStyle name="CABEÇALHO 3 2 2 3 5" xfId="6905" xr:uid="{00000000-0005-0000-0000-0000A80C0000}"/>
    <cellStyle name="CABEÇALHO 3 2 2 3 6" xfId="6024" xr:uid="{00000000-0005-0000-0000-0000A90C0000}"/>
    <cellStyle name="CABEÇALHO 3 2 2 3 7" xfId="6945" xr:uid="{00000000-0005-0000-0000-0000AA0C0000}"/>
    <cellStyle name="CABEÇALHO 3 2 2 3 8" xfId="6467" xr:uid="{00000000-0005-0000-0000-0000AB0C0000}"/>
    <cellStyle name="CABEÇALHO 3 2 2 4" xfId="1266" xr:uid="{00000000-0005-0000-0000-0000AC0C0000}"/>
    <cellStyle name="CABEÇALHO 3 2 2 4 2" xfId="2408" xr:uid="{00000000-0005-0000-0000-0000AD0C0000}"/>
    <cellStyle name="CABEÇALHO 3 2 2 4 2 2" xfId="5288" xr:uid="{00000000-0005-0000-0000-0000AE0C0000}"/>
    <cellStyle name="CABEÇALHO 3 2 2 4 2 3" xfId="6841" xr:uid="{00000000-0005-0000-0000-0000AF0C0000}"/>
    <cellStyle name="CABEÇALHO 3 2 2 4 2 4" xfId="6471" xr:uid="{00000000-0005-0000-0000-0000B00C0000}"/>
    <cellStyle name="CABEÇALHO 3 2 2 4 2 5" xfId="10729" xr:uid="{00000000-0005-0000-0000-0000B10C0000}"/>
    <cellStyle name="CABEÇALHO 3 2 2 4 2 6" xfId="11520" xr:uid="{00000000-0005-0000-0000-0000B20C0000}"/>
    <cellStyle name="CABEÇALHO 3 2 2 4 3" xfId="2495" xr:uid="{00000000-0005-0000-0000-0000B30C0000}"/>
    <cellStyle name="CABEÇALHO 3 2 2 4 3 2" xfId="5375" xr:uid="{00000000-0005-0000-0000-0000B40C0000}"/>
    <cellStyle name="CABEÇALHO 3 2 2 4 3 3" xfId="7466" xr:uid="{00000000-0005-0000-0000-0000B50C0000}"/>
    <cellStyle name="CABEÇALHO 3 2 2 4 3 4" xfId="9482" xr:uid="{00000000-0005-0000-0000-0000B60C0000}"/>
    <cellStyle name="CABEÇALHO 3 2 2 4 3 5" xfId="9725" xr:uid="{00000000-0005-0000-0000-0000B70C0000}"/>
    <cellStyle name="CABEÇALHO 3 2 2 4 3 6" xfId="11394" xr:uid="{00000000-0005-0000-0000-0000B80C0000}"/>
    <cellStyle name="CABEÇALHO 3 2 2 4 4" xfId="4146" xr:uid="{00000000-0005-0000-0000-0000B90C0000}"/>
    <cellStyle name="CABEÇALHO 3 2 2 4 5" xfId="3195" xr:uid="{00000000-0005-0000-0000-0000BA0C0000}"/>
    <cellStyle name="CABEÇALHO 3 2 2 4 6" xfId="3217" xr:uid="{00000000-0005-0000-0000-0000BB0C0000}"/>
    <cellStyle name="CABEÇALHO 3 2 2 4 7" xfId="9427" xr:uid="{00000000-0005-0000-0000-0000BC0C0000}"/>
    <cellStyle name="CABEÇALHO 3 2 2 4 8" xfId="10983" xr:uid="{00000000-0005-0000-0000-0000BD0C0000}"/>
    <cellStyle name="CABEÇALHO 3 2 2 5" xfId="1299" xr:uid="{00000000-0005-0000-0000-0000BE0C0000}"/>
    <cellStyle name="CABEÇALHO 3 2 2 5 2" xfId="2441" xr:uid="{00000000-0005-0000-0000-0000BF0C0000}"/>
    <cellStyle name="CABEÇALHO 3 2 2 5 2 2" xfId="5321" xr:uid="{00000000-0005-0000-0000-0000C00C0000}"/>
    <cellStyle name="CABEÇALHO 3 2 2 5 2 3" xfId="7587" xr:uid="{00000000-0005-0000-0000-0000C10C0000}"/>
    <cellStyle name="CABEÇALHO 3 2 2 5 2 4" xfId="9483" xr:uid="{00000000-0005-0000-0000-0000C20C0000}"/>
    <cellStyle name="CABEÇALHO 3 2 2 5 2 5" xfId="9622" xr:uid="{00000000-0005-0000-0000-0000C30C0000}"/>
    <cellStyle name="CABEÇALHO 3 2 2 5 2 6" xfId="11472" xr:uid="{00000000-0005-0000-0000-0000C40C0000}"/>
    <cellStyle name="CABEÇALHO 3 2 2 5 3" xfId="1423" xr:uid="{00000000-0005-0000-0000-0000C50C0000}"/>
    <cellStyle name="CABEÇALHO 3 2 2 5 3 2" xfId="4303" xr:uid="{00000000-0005-0000-0000-0000C60C0000}"/>
    <cellStyle name="CABEÇALHO 3 2 2 5 3 3" xfId="7806" xr:uid="{00000000-0005-0000-0000-0000C70C0000}"/>
    <cellStyle name="CABEÇALHO 3 2 2 5 3 4" xfId="9218" xr:uid="{00000000-0005-0000-0000-0000C80C0000}"/>
    <cellStyle name="CABEÇALHO 3 2 2 5 3 5" xfId="10746" xr:uid="{00000000-0005-0000-0000-0000C90C0000}"/>
    <cellStyle name="CABEÇALHO 3 2 2 5 3 6" xfId="8583" xr:uid="{00000000-0005-0000-0000-0000CA0C0000}"/>
    <cellStyle name="CABEÇALHO 3 2 2 5 4" xfId="4179" xr:uid="{00000000-0005-0000-0000-0000CB0C0000}"/>
    <cellStyle name="CABEÇALHO 3 2 2 5 5" xfId="3125" xr:uid="{00000000-0005-0000-0000-0000CC0C0000}"/>
    <cellStyle name="CABEÇALHO 3 2 2 5 6" xfId="6898" xr:uid="{00000000-0005-0000-0000-0000CD0C0000}"/>
    <cellStyle name="CABEÇALHO 3 2 2 5 7" xfId="8497" xr:uid="{00000000-0005-0000-0000-0000CE0C0000}"/>
    <cellStyle name="CABEÇALHO 3 2 2 5 8" xfId="11375" xr:uid="{00000000-0005-0000-0000-0000CF0C0000}"/>
    <cellStyle name="CABEÇALHO 3 2 2 6" xfId="1331" xr:uid="{00000000-0005-0000-0000-0000D00C0000}"/>
    <cellStyle name="CABEÇALHO 3 2 2 6 2" xfId="2473" xr:uid="{00000000-0005-0000-0000-0000D10C0000}"/>
    <cellStyle name="CABEÇALHO 3 2 2 6 2 2" xfId="5353" xr:uid="{00000000-0005-0000-0000-0000D20C0000}"/>
    <cellStyle name="CABEÇALHO 3 2 2 6 2 3" xfId="8023" xr:uid="{00000000-0005-0000-0000-0000D30C0000}"/>
    <cellStyle name="CABEÇALHO 3 2 2 6 2 4" xfId="6962" xr:uid="{00000000-0005-0000-0000-0000D40C0000}"/>
    <cellStyle name="CABEÇALHO 3 2 2 6 2 5" xfId="6389" xr:uid="{00000000-0005-0000-0000-0000D50C0000}"/>
    <cellStyle name="CABEÇALHO 3 2 2 6 2 6" xfId="10953" xr:uid="{00000000-0005-0000-0000-0000D60C0000}"/>
    <cellStyle name="CABEÇALHO 3 2 2 6 3" xfId="2868" xr:uid="{00000000-0005-0000-0000-0000D70C0000}"/>
    <cellStyle name="CABEÇALHO 3 2 2 6 3 2" xfId="5748" xr:uid="{00000000-0005-0000-0000-0000D80C0000}"/>
    <cellStyle name="CABEÇALHO 3 2 2 6 3 3" xfId="3149" xr:uid="{00000000-0005-0000-0000-0000D90C0000}"/>
    <cellStyle name="CABEÇALHO 3 2 2 6 3 4" xfId="2918" xr:uid="{00000000-0005-0000-0000-0000DA0C0000}"/>
    <cellStyle name="CABEÇALHO 3 2 2 6 3 5" xfId="5835" xr:uid="{00000000-0005-0000-0000-0000DB0C0000}"/>
    <cellStyle name="CABEÇALHO 3 2 2 6 3 6" xfId="11202" xr:uid="{00000000-0005-0000-0000-0000DC0C0000}"/>
    <cellStyle name="CABEÇALHO 3 2 2 6 4" xfId="4211" xr:uid="{00000000-0005-0000-0000-0000DD0C0000}"/>
    <cellStyle name="CABEÇALHO 3 2 2 6 5" xfId="6998" xr:uid="{00000000-0005-0000-0000-0000DE0C0000}"/>
    <cellStyle name="CABEÇALHO 3 2 2 6 6" xfId="8456" xr:uid="{00000000-0005-0000-0000-0000DF0C0000}"/>
    <cellStyle name="CABEÇALHO 3 2 2 6 7" xfId="6564" xr:uid="{00000000-0005-0000-0000-0000E00C0000}"/>
    <cellStyle name="CABEÇALHO 3 2 2 6 8" xfId="6463" xr:uid="{00000000-0005-0000-0000-0000E10C0000}"/>
    <cellStyle name="CABEÇALHO 3 2 2 7" xfId="1791" xr:uid="{00000000-0005-0000-0000-0000E20C0000}"/>
    <cellStyle name="CABEÇALHO 3 2 2 7 2" xfId="4671" xr:uid="{00000000-0005-0000-0000-0000E30C0000}"/>
    <cellStyle name="CABEÇALHO 3 2 2 7 3" xfId="6674" xr:uid="{00000000-0005-0000-0000-0000E40C0000}"/>
    <cellStyle name="CABEÇALHO 3 2 2 7 4" xfId="9163" xr:uid="{00000000-0005-0000-0000-0000E50C0000}"/>
    <cellStyle name="CABEÇALHO 3 2 2 7 5" xfId="10481" xr:uid="{00000000-0005-0000-0000-0000E60C0000}"/>
    <cellStyle name="CABEÇALHO 3 2 2 7 6" xfId="11277" xr:uid="{00000000-0005-0000-0000-0000E70C0000}"/>
    <cellStyle name="CABEÇALHO 3 2 2 8" xfId="2718" xr:uid="{00000000-0005-0000-0000-0000E80C0000}"/>
    <cellStyle name="CABEÇALHO 3 2 2 8 2" xfId="5598" xr:uid="{00000000-0005-0000-0000-0000E90C0000}"/>
    <cellStyle name="CABEÇALHO 3 2 2 8 3" xfId="7809" xr:uid="{00000000-0005-0000-0000-0000EA0C0000}"/>
    <cellStyle name="CABEÇALHO 3 2 2 8 4" xfId="8615" xr:uid="{00000000-0005-0000-0000-0000EB0C0000}"/>
    <cellStyle name="CABEÇALHO 3 2 2 8 5" xfId="6057" xr:uid="{00000000-0005-0000-0000-0000EC0C0000}"/>
    <cellStyle name="CABEÇALHO 3 2 2 8 6" xfId="5820" xr:uid="{00000000-0005-0000-0000-0000ED0C0000}"/>
    <cellStyle name="CABEÇALHO 3 2 2 9" xfId="3530" xr:uid="{00000000-0005-0000-0000-0000EE0C0000}"/>
    <cellStyle name="CABEÇALHO 3 2 20" xfId="11656" xr:uid="{00000000-0005-0000-0000-0000EF0C0000}"/>
    <cellStyle name="CABEÇALHO 3 2 3" xfId="481" xr:uid="{00000000-0005-0000-0000-0000F00C0000}"/>
    <cellStyle name="CABEÇALHO 3 2 3 10" xfId="2978" xr:uid="{00000000-0005-0000-0000-0000F10C0000}"/>
    <cellStyle name="CABEÇALHO 3 2 3 11" xfId="6240" xr:uid="{00000000-0005-0000-0000-0000F20C0000}"/>
    <cellStyle name="CABEÇALHO 3 2 3 12" xfId="6870" xr:uid="{00000000-0005-0000-0000-0000F30C0000}"/>
    <cellStyle name="CABEÇALHO 3 2 3 13" xfId="11642" xr:uid="{00000000-0005-0000-0000-0000F40C0000}"/>
    <cellStyle name="CABEÇALHO 3 2 3 2" xfId="957" xr:uid="{00000000-0005-0000-0000-0000F50C0000}"/>
    <cellStyle name="CABEÇALHO 3 2 3 2 2" xfId="2099" xr:uid="{00000000-0005-0000-0000-0000F60C0000}"/>
    <cellStyle name="CABEÇALHO 3 2 3 2 2 2" xfId="4979" xr:uid="{00000000-0005-0000-0000-0000F70C0000}"/>
    <cellStyle name="CABEÇALHO 3 2 3 2 2 3" xfId="7226" xr:uid="{00000000-0005-0000-0000-0000F80C0000}"/>
    <cellStyle name="CABEÇALHO 3 2 3 2 2 4" xfId="9541" xr:uid="{00000000-0005-0000-0000-0000F90C0000}"/>
    <cellStyle name="CABEÇALHO 3 2 3 2 2 5" xfId="10742" xr:uid="{00000000-0005-0000-0000-0000FA0C0000}"/>
    <cellStyle name="CABEÇALHO 3 2 3 2 2 6" xfId="11491" xr:uid="{00000000-0005-0000-0000-0000FB0C0000}"/>
    <cellStyle name="CABEÇALHO 3 2 3 2 3" xfId="1430" xr:uid="{00000000-0005-0000-0000-0000FC0C0000}"/>
    <cellStyle name="CABEÇALHO 3 2 3 2 3 2" xfId="4310" xr:uid="{00000000-0005-0000-0000-0000FD0C0000}"/>
    <cellStyle name="CABEÇALHO 3 2 3 2 3 3" xfId="6669" xr:uid="{00000000-0005-0000-0000-0000FE0C0000}"/>
    <cellStyle name="CABEÇALHO 3 2 3 2 3 4" xfId="7426" xr:uid="{00000000-0005-0000-0000-0000FF0C0000}"/>
    <cellStyle name="CABEÇALHO 3 2 3 2 3 5" xfId="8353" xr:uid="{00000000-0005-0000-0000-0000000D0000}"/>
    <cellStyle name="CABEÇALHO 3 2 3 2 3 6" xfId="11407" xr:uid="{00000000-0005-0000-0000-0000010D0000}"/>
    <cellStyle name="CABEÇALHO 3 2 3 2 4" xfId="3837" xr:uid="{00000000-0005-0000-0000-0000020D0000}"/>
    <cellStyle name="CABEÇALHO 3 2 3 2 5" xfId="6032" xr:uid="{00000000-0005-0000-0000-0000030D0000}"/>
    <cellStyle name="CABEÇALHO 3 2 3 2 6" xfId="8990" xr:uid="{00000000-0005-0000-0000-0000040D0000}"/>
    <cellStyle name="CABEÇALHO 3 2 3 2 7" xfId="9917" xr:uid="{00000000-0005-0000-0000-0000050D0000}"/>
    <cellStyle name="CABEÇALHO 3 2 3 2 8" xfId="8620" xr:uid="{00000000-0005-0000-0000-0000060D0000}"/>
    <cellStyle name="CABEÇALHO 3 2 3 3" xfId="676" xr:uid="{00000000-0005-0000-0000-0000070D0000}"/>
    <cellStyle name="CABEÇALHO 3 2 3 3 2" xfId="1818" xr:uid="{00000000-0005-0000-0000-0000080D0000}"/>
    <cellStyle name="CABEÇALHO 3 2 3 3 2 2" xfId="4698" xr:uid="{00000000-0005-0000-0000-0000090D0000}"/>
    <cellStyle name="CABEÇALHO 3 2 3 3 2 3" xfId="7162" xr:uid="{00000000-0005-0000-0000-00000A0D0000}"/>
    <cellStyle name="CABEÇALHO 3 2 3 3 2 4" xfId="9349" xr:uid="{00000000-0005-0000-0000-00000B0D0000}"/>
    <cellStyle name="CABEÇALHO 3 2 3 3 2 5" xfId="10230" xr:uid="{00000000-0005-0000-0000-00000C0D0000}"/>
    <cellStyle name="CABEÇALHO 3 2 3 3 2 6" xfId="5825" xr:uid="{00000000-0005-0000-0000-00000D0D0000}"/>
    <cellStyle name="CABEÇALHO 3 2 3 3 3" xfId="2672" xr:uid="{00000000-0005-0000-0000-00000E0D0000}"/>
    <cellStyle name="CABEÇALHO 3 2 3 3 3 2" xfId="5552" xr:uid="{00000000-0005-0000-0000-00000F0D0000}"/>
    <cellStyle name="CABEÇALHO 3 2 3 3 3 3" xfId="7713" xr:uid="{00000000-0005-0000-0000-0000100D0000}"/>
    <cellStyle name="CABEÇALHO 3 2 3 3 3 4" xfId="5839" xr:uid="{00000000-0005-0000-0000-0000110D0000}"/>
    <cellStyle name="CABEÇALHO 3 2 3 3 3 5" xfId="8862" xr:uid="{00000000-0005-0000-0000-0000120D0000}"/>
    <cellStyle name="CABEÇALHO 3 2 3 3 3 6" xfId="10145" xr:uid="{00000000-0005-0000-0000-0000130D0000}"/>
    <cellStyle name="CABEÇALHO 3 2 3 3 4" xfId="3556" xr:uid="{00000000-0005-0000-0000-0000140D0000}"/>
    <cellStyle name="CABEÇALHO 3 2 3 3 5" xfId="5797" xr:uid="{00000000-0005-0000-0000-0000150D0000}"/>
    <cellStyle name="CABEÇALHO 3 2 3 3 6" xfId="7313" xr:uid="{00000000-0005-0000-0000-0000160D0000}"/>
    <cellStyle name="CABEÇALHO 3 2 3 3 7" xfId="6919" xr:uid="{00000000-0005-0000-0000-0000170D0000}"/>
    <cellStyle name="CABEÇALHO 3 2 3 3 8" xfId="11414" xr:uid="{00000000-0005-0000-0000-0000180D0000}"/>
    <cellStyle name="CABEÇALHO 3 2 3 4" xfId="1162" xr:uid="{00000000-0005-0000-0000-0000190D0000}"/>
    <cellStyle name="CABEÇALHO 3 2 3 4 2" xfId="2304" xr:uid="{00000000-0005-0000-0000-00001A0D0000}"/>
    <cellStyle name="CABEÇALHO 3 2 3 4 2 2" xfId="5184" xr:uid="{00000000-0005-0000-0000-00001B0D0000}"/>
    <cellStyle name="CABEÇALHO 3 2 3 4 2 3" xfId="6188" xr:uid="{00000000-0005-0000-0000-00001C0D0000}"/>
    <cellStyle name="CABEÇALHO 3 2 3 4 2 4" xfId="8718" xr:uid="{00000000-0005-0000-0000-00001D0D0000}"/>
    <cellStyle name="CABEÇALHO 3 2 3 4 2 5" xfId="9972" xr:uid="{00000000-0005-0000-0000-00001E0D0000}"/>
    <cellStyle name="CABEÇALHO 3 2 3 4 2 6" xfId="11426" xr:uid="{00000000-0005-0000-0000-00001F0D0000}"/>
    <cellStyle name="CABEÇALHO 3 2 3 4 3" xfId="2827" xr:uid="{00000000-0005-0000-0000-0000200D0000}"/>
    <cellStyle name="CABEÇALHO 3 2 3 4 3 2" xfId="5707" xr:uid="{00000000-0005-0000-0000-0000210D0000}"/>
    <cellStyle name="CABEÇALHO 3 2 3 4 3 3" xfId="6554" xr:uid="{00000000-0005-0000-0000-0000220D0000}"/>
    <cellStyle name="CABEÇALHO 3 2 3 4 3 4" xfId="9414" xr:uid="{00000000-0005-0000-0000-0000230D0000}"/>
    <cellStyle name="CABEÇALHO 3 2 3 4 3 5" xfId="6584" xr:uid="{00000000-0005-0000-0000-0000240D0000}"/>
    <cellStyle name="CABEÇALHO 3 2 3 4 3 6" xfId="6445" xr:uid="{00000000-0005-0000-0000-0000250D0000}"/>
    <cellStyle name="CABEÇALHO 3 2 3 4 4" xfId="4042" xr:uid="{00000000-0005-0000-0000-0000260D0000}"/>
    <cellStyle name="CABEÇALHO 3 2 3 4 5" xfId="3058" xr:uid="{00000000-0005-0000-0000-0000270D0000}"/>
    <cellStyle name="CABEÇALHO 3 2 3 4 6" xfId="7470" xr:uid="{00000000-0005-0000-0000-0000280D0000}"/>
    <cellStyle name="CABEÇALHO 3 2 3 4 7" xfId="6477" xr:uid="{00000000-0005-0000-0000-0000290D0000}"/>
    <cellStyle name="CABEÇALHO 3 2 3 4 8" xfId="7543" xr:uid="{00000000-0005-0000-0000-00002A0D0000}"/>
    <cellStyle name="CABEÇALHO 3 2 3 5" xfId="771" xr:uid="{00000000-0005-0000-0000-00002B0D0000}"/>
    <cellStyle name="CABEÇALHO 3 2 3 5 2" xfId="1913" xr:uid="{00000000-0005-0000-0000-00002C0D0000}"/>
    <cellStyle name="CABEÇALHO 3 2 3 5 2 2" xfId="4793" xr:uid="{00000000-0005-0000-0000-00002D0D0000}"/>
    <cellStyle name="CABEÇALHO 3 2 3 5 2 3" xfId="7667" xr:uid="{00000000-0005-0000-0000-00002E0D0000}"/>
    <cellStyle name="CABEÇALHO 3 2 3 5 2 4" xfId="9566" xr:uid="{00000000-0005-0000-0000-00002F0D0000}"/>
    <cellStyle name="CABEÇALHO 3 2 3 5 2 5" xfId="10625" xr:uid="{00000000-0005-0000-0000-0000300D0000}"/>
    <cellStyle name="CABEÇALHO 3 2 3 5 2 6" xfId="11440" xr:uid="{00000000-0005-0000-0000-0000310D0000}"/>
    <cellStyle name="CABEÇALHO 3 2 3 5 3" xfId="1404" xr:uid="{00000000-0005-0000-0000-0000320D0000}"/>
    <cellStyle name="CABEÇALHO 3 2 3 5 3 2" xfId="4284" xr:uid="{00000000-0005-0000-0000-0000330D0000}"/>
    <cellStyle name="CABEÇALHO 3 2 3 5 3 3" xfId="8182" xr:uid="{00000000-0005-0000-0000-0000340D0000}"/>
    <cellStyle name="CABEÇALHO 3 2 3 5 3 4" xfId="9585" xr:uid="{00000000-0005-0000-0000-0000350D0000}"/>
    <cellStyle name="CABEÇALHO 3 2 3 5 3 5" xfId="8988" xr:uid="{00000000-0005-0000-0000-0000360D0000}"/>
    <cellStyle name="CABEÇALHO 3 2 3 5 3 6" xfId="10910" xr:uid="{00000000-0005-0000-0000-0000370D0000}"/>
    <cellStyle name="CABEÇALHO 3 2 3 5 4" xfId="3651" xr:uid="{00000000-0005-0000-0000-0000380D0000}"/>
    <cellStyle name="CABEÇALHO 3 2 3 5 5" xfId="7406" xr:uid="{00000000-0005-0000-0000-0000390D0000}"/>
    <cellStyle name="CABEÇALHO 3 2 3 5 6" xfId="6682" xr:uid="{00000000-0005-0000-0000-00003A0D0000}"/>
    <cellStyle name="CABEÇALHO 3 2 3 5 7" xfId="8797" xr:uid="{00000000-0005-0000-0000-00003B0D0000}"/>
    <cellStyle name="CABEÇALHO 3 2 3 5 8" xfId="11434" xr:uid="{00000000-0005-0000-0000-00003C0D0000}"/>
    <cellStyle name="CABEÇALHO 3 2 3 6" xfId="671" xr:uid="{00000000-0005-0000-0000-00003D0D0000}"/>
    <cellStyle name="CABEÇALHO 3 2 3 6 2" xfId="1813" xr:uid="{00000000-0005-0000-0000-00003E0D0000}"/>
    <cellStyle name="CABEÇALHO 3 2 3 6 2 2" xfId="4693" xr:uid="{00000000-0005-0000-0000-00003F0D0000}"/>
    <cellStyle name="CABEÇALHO 3 2 3 6 2 3" xfId="6828" xr:uid="{00000000-0005-0000-0000-0000400D0000}"/>
    <cellStyle name="CABEÇALHO 3 2 3 6 2 4" xfId="6950" xr:uid="{00000000-0005-0000-0000-0000410D0000}"/>
    <cellStyle name="CABEÇALHO 3 2 3 6 2 5" xfId="8313" xr:uid="{00000000-0005-0000-0000-0000420D0000}"/>
    <cellStyle name="CABEÇALHO 3 2 3 6 2 6" xfId="11588" xr:uid="{00000000-0005-0000-0000-0000430D0000}"/>
    <cellStyle name="CABEÇALHO 3 2 3 6 3" xfId="2787" xr:uid="{00000000-0005-0000-0000-0000440D0000}"/>
    <cellStyle name="CABEÇALHO 3 2 3 6 3 2" xfId="5667" xr:uid="{00000000-0005-0000-0000-0000450D0000}"/>
    <cellStyle name="CABEÇALHO 3 2 3 6 3 3" xfId="7916" xr:uid="{00000000-0005-0000-0000-0000460D0000}"/>
    <cellStyle name="CABEÇALHO 3 2 3 6 3 4" xfId="5789" xr:uid="{00000000-0005-0000-0000-0000470D0000}"/>
    <cellStyle name="CABEÇALHO 3 2 3 6 3 5" xfId="8502" xr:uid="{00000000-0005-0000-0000-0000480D0000}"/>
    <cellStyle name="CABEÇALHO 3 2 3 6 3 6" xfId="11540" xr:uid="{00000000-0005-0000-0000-0000490D0000}"/>
    <cellStyle name="CABEÇALHO 3 2 3 6 4" xfId="3551" xr:uid="{00000000-0005-0000-0000-00004A0D0000}"/>
    <cellStyle name="CABEÇALHO 3 2 3 6 5" xfId="7111" xr:uid="{00000000-0005-0000-0000-00004B0D0000}"/>
    <cellStyle name="CABEÇALHO 3 2 3 6 6" xfId="8830" xr:uid="{00000000-0005-0000-0000-00004C0D0000}"/>
    <cellStyle name="CABEÇALHO 3 2 3 6 7" xfId="9789" xr:uid="{00000000-0005-0000-0000-00004D0D0000}"/>
    <cellStyle name="CABEÇALHO 3 2 3 6 8" xfId="11211" xr:uid="{00000000-0005-0000-0000-00004E0D0000}"/>
    <cellStyle name="CABEÇALHO 3 2 3 7" xfId="1622" xr:uid="{00000000-0005-0000-0000-00004F0D0000}"/>
    <cellStyle name="CABEÇALHO 3 2 3 7 2" xfId="4502" xr:uid="{00000000-0005-0000-0000-0000500D0000}"/>
    <cellStyle name="CABEÇALHO 3 2 3 7 3" xfId="6597" xr:uid="{00000000-0005-0000-0000-0000510D0000}"/>
    <cellStyle name="CABEÇALHO 3 2 3 7 4" xfId="3183" xr:uid="{00000000-0005-0000-0000-0000520D0000}"/>
    <cellStyle name="CABEÇALHO 3 2 3 7 5" xfId="9838" xr:uid="{00000000-0005-0000-0000-0000530D0000}"/>
    <cellStyle name="CABEÇALHO 3 2 3 7 6" xfId="10082" xr:uid="{00000000-0005-0000-0000-0000540D0000}"/>
    <cellStyle name="CABEÇALHO 3 2 3 8" xfId="1364" xr:uid="{00000000-0005-0000-0000-0000550D0000}"/>
    <cellStyle name="CABEÇALHO 3 2 3 8 2" xfId="4244" xr:uid="{00000000-0005-0000-0000-0000560D0000}"/>
    <cellStyle name="CABEÇALHO 3 2 3 8 3" xfId="6525" xr:uid="{00000000-0005-0000-0000-0000570D0000}"/>
    <cellStyle name="CABEÇALHO 3 2 3 8 4" xfId="7554" xr:uid="{00000000-0005-0000-0000-0000580D0000}"/>
    <cellStyle name="CABEÇALHO 3 2 3 8 5" xfId="5996" xr:uid="{00000000-0005-0000-0000-0000590D0000}"/>
    <cellStyle name="CABEÇALHO 3 2 3 8 6" xfId="11159" xr:uid="{00000000-0005-0000-0000-00005A0D0000}"/>
    <cellStyle name="CABEÇALHO 3 2 3 9" xfId="3361" xr:uid="{00000000-0005-0000-0000-00005B0D0000}"/>
    <cellStyle name="CABEÇALHO 3 2 4" xfId="660" xr:uid="{00000000-0005-0000-0000-00005C0D0000}"/>
    <cellStyle name="CABEÇALHO 3 2 4 10" xfId="3114" xr:uid="{00000000-0005-0000-0000-00005D0D0000}"/>
    <cellStyle name="CABEÇALHO 3 2 4 11" xfId="7547" xr:uid="{00000000-0005-0000-0000-00005E0D0000}"/>
    <cellStyle name="CABEÇALHO 3 2 4 12" xfId="8014" xr:uid="{00000000-0005-0000-0000-00005F0D0000}"/>
    <cellStyle name="CABEÇALHO 3 2 4 13" xfId="11269" xr:uid="{00000000-0005-0000-0000-0000600D0000}"/>
    <cellStyle name="CABEÇALHO 3 2 4 2" xfId="1136" xr:uid="{00000000-0005-0000-0000-0000610D0000}"/>
    <cellStyle name="CABEÇALHO 3 2 4 2 2" xfId="2278" xr:uid="{00000000-0005-0000-0000-0000620D0000}"/>
    <cellStyle name="CABEÇALHO 3 2 4 2 2 2" xfId="5158" xr:uid="{00000000-0005-0000-0000-0000630D0000}"/>
    <cellStyle name="CABEÇALHO 3 2 4 2 2 3" xfId="6080" xr:uid="{00000000-0005-0000-0000-0000640D0000}"/>
    <cellStyle name="CABEÇALHO 3 2 4 2 2 4" xfId="8205" xr:uid="{00000000-0005-0000-0000-0000650D0000}"/>
    <cellStyle name="CABEÇALHO 3 2 4 2 2 5" xfId="8675" xr:uid="{00000000-0005-0000-0000-0000660D0000}"/>
    <cellStyle name="CABEÇALHO 3 2 4 2 2 6" xfId="7383" xr:uid="{00000000-0005-0000-0000-0000670D0000}"/>
    <cellStyle name="CABEÇALHO 3 2 4 2 3" xfId="2608" xr:uid="{00000000-0005-0000-0000-0000680D0000}"/>
    <cellStyle name="CABEÇALHO 3 2 4 2 3 2" xfId="5488" xr:uid="{00000000-0005-0000-0000-0000690D0000}"/>
    <cellStyle name="CABEÇALHO 3 2 4 2 3 3" xfId="7872" xr:uid="{00000000-0005-0000-0000-00006A0D0000}"/>
    <cellStyle name="CABEÇALHO 3 2 4 2 3 4" xfId="9386" xr:uid="{00000000-0005-0000-0000-00006B0D0000}"/>
    <cellStyle name="CABEÇALHO 3 2 4 2 3 5" xfId="10228" xr:uid="{00000000-0005-0000-0000-00006C0D0000}"/>
    <cellStyle name="CABEÇALHO 3 2 4 2 3 6" xfId="7724" xr:uid="{00000000-0005-0000-0000-00006D0D0000}"/>
    <cellStyle name="CABEÇALHO 3 2 4 2 4" xfId="4016" xr:uid="{00000000-0005-0000-0000-00006E0D0000}"/>
    <cellStyle name="CABEÇALHO 3 2 4 2 5" xfId="6646" xr:uid="{00000000-0005-0000-0000-00006F0D0000}"/>
    <cellStyle name="CABEÇALHO 3 2 4 2 6" xfId="8274" xr:uid="{00000000-0005-0000-0000-0000700D0000}"/>
    <cellStyle name="CABEÇALHO 3 2 4 2 7" xfId="5842" xr:uid="{00000000-0005-0000-0000-0000710D0000}"/>
    <cellStyle name="CABEÇALHO 3 2 4 2 8" xfId="8809" xr:uid="{00000000-0005-0000-0000-0000720D0000}"/>
    <cellStyle name="CABEÇALHO 3 2 4 3" xfId="790" xr:uid="{00000000-0005-0000-0000-0000730D0000}"/>
    <cellStyle name="CABEÇALHO 3 2 4 3 2" xfId="1932" xr:uid="{00000000-0005-0000-0000-0000740D0000}"/>
    <cellStyle name="CABEÇALHO 3 2 4 3 2 2" xfId="4812" xr:uid="{00000000-0005-0000-0000-0000750D0000}"/>
    <cellStyle name="CABEÇALHO 3 2 4 3 2 3" xfId="6149" xr:uid="{00000000-0005-0000-0000-0000760D0000}"/>
    <cellStyle name="CABEÇALHO 3 2 4 3 2 4" xfId="8682" xr:uid="{00000000-0005-0000-0000-0000770D0000}"/>
    <cellStyle name="CABEÇALHO 3 2 4 3 2 5" xfId="10391" xr:uid="{00000000-0005-0000-0000-0000780D0000}"/>
    <cellStyle name="CABEÇALHO 3 2 4 3 2 6" xfId="8586" xr:uid="{00000000-0005-0000-0000-0000790D0000}"/>
    <cellStyle name="CABEÇALHO 3 2 4 3 3" xfId="2712" xr:uid="{00000000-0005-0000-0000-00007A0D0000}"/>
    <cellStyle name="CABEÇALHO 3 2 4 3 3 2" xfId="5592" xr:uid="{00000000-0005-0000-0000-00007B0D0000}"/>
    <cellStyle name="CABEÇALHO 3 2 4 3 3 3" xfId="7610" xr:uid="{00000000-0005-0000-0000-00007C0D0000}"/>
    <cellStyle name="CABEÇALHO 3 2 4 3 3 4" xfId="6416" xr:uid="{00000000-0005-0000-0000-00007D0D0000}"/>
    <cellStyle name="CABEÇALHO 3 2 4 3 3 5" xfId="7558" xr:uid="{00000000-0005-0000-0000-00007E0D0000}"/>
    <cellStyle name="CABEÇALHO 3 2 4 3 3 6" xfId="11324" xr:uid="{00000000-0005-0000-0000-00007F0D0000}"/>
    <cellStyle name="CABEÇALHO 3 2 4 3 4" xfId="3670" xr:uid="{00000000-0005-0000-0000-0000800D0000}"/>
    <cellStyle name="CABEÇALHO 3 2 4 3 5" xfId="7125" xr:uid="{00000000-0005-0000-0000-0000810D0000}"/>
    <cellStyle name="CABEÇALHO 3 2 4 3 6" xfId="8844" xr:uid="{00000000-0005-0000-0000-0000820D0000}"/>
    <cellStyle name="CABEÇALHO 3 2 4 3 7" xfId="9798" xr:uid="{00000000-0005-0000-0000-0000830D0000}"/>
    <cellStyle name="CABEÇALHO 3 2 4 3 8" xfId="11175" xr:uid="{00000000-0005-0000-0000-0000840D0000}"/>
    <cellStyle name="CABEÇALHO 3 2 4 4" xfId="1276" xr:uid="{00000000-0005-0000-0000-0000850D0000}"/>
    <cellStyle name="CABEÇALHO 3 2 4 4 2" xfId="2418" xr:uid="{00000000-0005-0000-0000-0000860D0000}"/>
    <cellStyle name="CABEÇALHO 3 2 4 4 2 2" xfId="5298" xr:uid="{00000000-0005-0000-0000-0000870D0000}"/>
    <cellStyle name="CABEÇALHO 3 2 4 4 2 3" xfId="6179" xr:uid="{00000000-0005-0000-0000-0000880D0000}"/>
    <cellStyle name="CABEÇALHO 3 2 4 4 2 4" xfId="8710" xr:uid="{00000000-0005-0000-0000-0000890D0000}"/>
    <cellStyle name="CABEÇALHO 3 2 4 4 2 5" xfId="10383" xr:uid="{00000000-0005-0000-0000-00008A0D0000}"/>
    <cellStyle name="CABEÇALHO 3 2 4 4 2 6" xfId="6455" xr:uid="{00000000-0005-0000-0000-00008B0D0000}"/>
    <cellStyle name="CABEÇALHO 3 2 4 4 3" xfId="2498" xr:uid="{00000000-0005-0000-0000-00008C0D0000}"/>
    <cellStyle name="CABEÇALHO 3 2 4 4 3 2" xfId="5378" xr:uid="{00000000-0005-0000-0000-00008D0D0000}"/>
    <cellStyle name="CABEÇALHO 3 2 4 4 3 3" xfId="6810" xr:uid="{00000000-0005-0000-0000-00008E0D0000}"/>
    <cellStyle name="CABEÇALHO 3 2 4 4 3 4" xfId="3028" xr:uid="{00000000-0005-0000-0000-00008F0D0000}"/>
    <cellStyle name="CABEÇALHO 3 2 4 4 3 5" xfId="10743" xr:uid="{00000000-0005-0000-0000-0000900D0000}"/>
    <cellStyle name="CABEÇALHO 3 2 4 4 3 6" xfId="8494" xr:uid="{00000000-0005-0000-0000-0000910D0000}"/>
    <cellStyle name="CABEÇALHO 3 2 4 4 4" xfId="4156" xr:uid="{00000000-0005-0000-0000-0000920D0000}"/>
    <cellStyle name="CABEÇALHO 3 2 4 4 5" xfId="3200" xr:uid="{00000000-0005-0000-0000-0000930D0000}"/>
    <cellStyle name="CABEÇALHO 3 2 4 4 6" xfId="7712" xr:uid="{00000000-0005-0000-0000-0000940D0000}"/>
    <cellStyle name="CABEÇALHO 3 2 4 4 7" xfId="6941" xr:uid="{00000000-0005-0000-0000-0000950D0000}"/>
    <cellStyle name="CABEÇALHO 3 2 4 4 8" xfId="9769" xr:uid="{00000000-0005-0000-0000-0000960D0000}"/>
    <cellStyle name="CABEÇALHO 3 2 4 5" xfId="1309" xr:uid="{00000000-0005-0000-0000-0000970D0000}"/>
    <cellStyle name="CABEÇALHO 3 2 4 5 2" xfId="2451" xr:uid="{00000000-0005-0000-0000-0000980D0000}"/>
    <cellStyle name="CABEÇALHO 3 2 4 5 2 2" xfId="5331" xr:uid="{00000000-0005-0000-0000-0000990D0000}"/>
    <cellStyle name="CABEÇALHO 3 2 4 5 2 3" xfId="6108" xr:uid="{00000000-0005-0000-0000-00009A0D0000}"/>
    <cellStyle name="CABEÇALHO 3 2 4 5 2 4" xfId="8642" xr:uid="{00000000-0005-0000-0000-00009B0D0000}"/>
    <cellStyle name="CABEÇALHO 3 2 4 5 2 5" xfId="9974" xr:uid="{00000000-0005-0000-0000-00009C0D0000}"/>
    <cellStyle name="CABEÇALHO 3 2 4 5 2 6" xfId="10908" xr:uid="{00000000-0005-0000-0000-00009D0D0000}"/>
    <cellStyle name="CABEÇALHO 3 2 4 5 3" xfId="2598" xr:uid="{00000000-0005-0000-0000-00009E0D0000}"/>
    <cellStyle name="CABEÇALHO 3 2 4 5 3 2" xfId="5478" xr:uid="{00000000-0005-0000-0000-00009F0D0000}"/>
    <cellStyle name="CABEÇALHO 3 2 4 5 3 3" xfId="6595" xr:uid="{00000000-0005-0000-0000-0000A00D0000}"/>
    <cellStyle name="CABEÇALHO 3 2 4 5 3 4" xfId="8273" xr:uid="{00000000-0005-0000-0000-0000A10D0000}"/>
    <cellStyle name="CABEÇALHO 3 2 4 5 3 5" xfId="10716" xr:uid="{00000000-0005-0000-0000-0000A20D0000}"/>
    <cellStyle name="CABEÇALHO 3 2 4 5 3 6" xfId="11252" xr:uid="{00000000-0005-0000-0000-0000A30D0000}"/>
    <cellStyle name="CABEÇALHO 3 2 4 5 4" xfId="4189" xr:uid="{00000000-0005-0000-0000-0000A40D0000}"/>
    <cellStyle name="CABEÇALHO 3 2 4 5 5" xfId="5767" xr:uid="{00000000-0005-0000-0000-0000A50D0000}"/>
    <cellStyle name="CABEÇALHO 3 2 4 5 6" xfId="3044" xr:uid="{00000000-0005-0000-0000-0000A60D0000}"/>
    <cellStyle name="CABEÇALHO 3 2 4 5 7" xfId="8837" xr:uid="{00000000-0005-0000-0000-0000A70D0000}"/>
    <cellStyle name="CABEÇALHO 3 2 4 5 8" xfId="7366" xr:uid="{00000000-0005-0000-0000-0000A80D0000}"/>
    <cellStyle name="CABEÇALHO 3 2 4 6" xfId="1341" xr:uid="{00000000-0005-0000-0000-0000A90D0000}"/>
    <cellStyle name="CABEÇALHO 3 2 4 6 2" xfId="2483" xr:uid="{00000000-0005-0000-0000-0000AA0D0000}"/>
    <cellStyle name="CABEÇALHO 3 2 4 6 2 2" xfId="5363" xr:uid="{00000000-0005-0000-0000-0000AB0D0000}"/>
    <cellStyle name="CABEÇALHO 3 2 4 6 2 3" xfId="7716" xr:uid="{00000000-0005-0000-0000-0000AC0D0000}"/>
    <cellStyle name="CABEÇALHO 3 2 4 6 2 4" xfId="8331" xr:uid="{00000000-0005-0000-0000-0000AD0D0000}"/>
    <cellStyle name="CABEÇALHO 3 2 4 6 2 5" xfId="9047" xr:uid="{00000000-0005-0000-0000-0000AE0D0000}"/>
    <cellStyle name="CABEÇALHO 3 2 4 6 2 6" xfId="11115" xr:uid="{00000000-0005-0000-0000-0000AF0D0000}"/>
    <cellStyle name="CABEÇALHO 3 2 4 6 3" xfId="2878" xr:uid="{00000000-0005-0000-0000-0000B00D0000}"/>
    <cellStyle name="CABEÇALHO 3 2 4 6 3 2" xfId="5758" xr:uid="{00000000-0005-0000-0000-0000B10D0000}"/>
    <cellStyle name="CABEÇALHO 3 2 4 6 3 3" xfId="3159" xr:uid="{00000000-0005-0000-0000-0000B20D0000}"/>
    <cellStyle name="CABEÇALHO 3 2 4 6 3 4" xfId="7186" xr:uid="{00000000-0005-0000-0000-0000B30D0000}"/>
    <cellStyle name="CABEÇALHO 3 2 4 6 3 5" xfId="8873" xr:uid="{00000000-0005-0000-0000-0000B40D0000}"/>
    <cellStyle name="CABEÇALHO 3 2 4 6 3 6" xfId="11679" xr:uid="{00000000-0005-0000-0000-0000B50D0000}"/>
    <cellStyle name="CABEÇALHO 3 2 4 6 4" xfId="4221" xr:uid="{00000000-0005-0000-0000-0000B60D0000}"/>
    <cellStyle name="CABEÇALHO 3 2 4 6 5" xfId="6776" xr:uid="{00000000-0005-0000-0000-0000B70D0000}"/>
    <cellStyle name="CABEÇALHO 3 2 4 6 6" xfId="8246" xr:uid="{00000000-0005-0000-0000-0000B80D0000}"/>
    <cellStyle name="CABEÇALHO 3 2 4 6 7" xfId="10685" xr:uid="{00000000-0005-0000-0000-0000B90D0000}"/>
    <cellStyle name="CABEÇALHO 3 2 4 6 8" xfId="9574" xr:uid="{00000000-0005-0000-0000-0000BA0D0000}"/>
    <cellStyle name="CABEÇALHO 3 2 4 7" xfId="1801" xr:uid="{00000000-0005-0000-0000-0000BB0D0000}"/>
    <cellStyle name="CABEÇALHO 3 2 4 7 2" xfId="4681" xr:uid="{00000000-0005-0000-0000-0000BC0D0000}"/>
    <cellStyle name="CABEÇALHO 3 2 4 7 3" xfId="7828" xr:uid="{00000000-0005-0000-0000-0000BD0D0000}"/>
    <cellStyle name="CABEÇALHO 3 2 4 7 4" xfId="8493" xr:uid="{00000000-0005-0000-0000-0000BE0D0000}"/>
    <cellStyle name="CABEÇALHO 3 2 4 7 5" xfId="5821" xr:uid="{00000000-0005-0000-0000-0000BF0D0000}"/>
    <cellStyle name="CABEÇALHO 3 2 4 7 6" xfId="11402" xr:uid="{00000000-0005-0000-0000-0000C00D0000}"/>
    <cellStyle name="CABEÇALHO 3 2 4 8" xfId="2780" xr:uid="{00000000-0005-0000-0000-0000C10D0000}"/>
    <cellStyle name="CABEÇALHO 3 2 4 8 2" xfId="5660" xr:uid="{00000000-0005-0000-0000-0000C20D0000}"/>
    <cellStyle name="CABEÇALHO 3 2 4 8 3" xfId="8022" xr:uid="{00000000-0005-0000-0000-0000C30D0000}"/>
    <cellStyle name="CABEÇALHO 3 2 4 8 4" xfId="9156" xr:uid="{00000000-0005-0000-0000-0000C40D0000}"/>
    <cellStyle name="CABEÇALHO 3 2 4 8 5" xfId="10474" xr:uid="{00000000-0005-0000-0000-0000C50D0000}"/>
    <cellStyle name="CABEÇALHO 3 2 4 8 6" xfId="10575" xr:uid="{00000000-0005-0000-0000-0000C60D0000}"/>
    <cellStyle name="CABEÇALHO 3 2 4 9" xfId="3540" xr:uid="{00000000-0005-0000-0000-0000C70D0000}"/>
    <cellStyle name="CABEÇALHO 3 2 5" xfId="658" xr:uid="{00000000-0005-0000-0000-0000C80D0000}"/>
    <cellStyle name="CABEÇALHO 3 2 5 10" xfId="5818" xr:uid="{00000000-0005-0000-0000-0000C90D0000}"/>
    <cellStyle name="CABEÇALHO 3 2 5 11" xfId="7657" xr:uid="{00000000-0005-0000-0000-0000CA0D0000}"/>
    <cellStyle name="CABEÇALHO 3 2 5 12" xfId="5970" xr:uid="{00000000-0005-0000-0000-0000CB0D0000}"/>
    <cellStyle name="CABEÇALHO 3 2 5 13" xfId="7992" xr:uid="{00000000-0005-0000-0000-0000CC0D0000}"/>
    <cellStyle name="CABEÇALHO 3 2 5 2" xfId="1134" xr:uid="{00000000-0005-0000-0000-0000CD0D0000}"/>
    <cellStyle name="CABEÇALHO 3 2 5 2 2" xfId="2276" xr:uid="{00000000-0005-0000-0000-0000CE0D0000}"/>
    <cellStyle name="CABEÇALHO 3 2 5 2 2 2" xfId="5156" xr:uid="{00000000-0005-0000-0000-0000CF0D0000}"/>
    <cellStyle name="CABEÇALHO 3 2 5 2 2 3" xfId="7605" xr:uid="{00000000-0005-0000-0000-0000D00D0000}"/>
    <cellStyle name="CABEÇALHO 3 2 5 2 2 4" xfId="9487" xr:uid="{00000000-0005-0000-0000-0000D10D0000}"/>
    <cellStyle name="CABEÇALHO 3 2 5 2 2 5" xfId="10741" xr:uid="{00000000-0005-0000-0000-0000D20D0000}"/>
    <cellStyle name="CABEÇALHO 3 2 5 2 2 6" xfId="11364" xr:uid="{00000000-0005-0000-0000-0000D30D0000}"/>
    <cellStyle name="CABEÇALHO 3 2 5 2 3" xfId="2766" xr:uid="{00000000-0005-0000-0000-0000D40D0000}"/>
    <cellStyle name="CABEÇALHO 3 2 5 2 3 2" xfId="5646" xr:uid="{00000000-0005-0000-0000-0000D50D0000}"/>
    <cellStyle name="CABEÇALHO 3 2 5 2 3 3" xfId="7599" xr:uid="{00000000-0005-0000-0000-0000D60D0000}"/>
    <cellStyle name="CABEÇALHO 3 2 5 2 3 4" xfId="6688" xr:uid="{00000000-0005-0000-0000-0000D70D0000}"/>
    <cellStyle name="CABEÇALHO 3 2 5 2 3 5" xfId="7700" xr:uid="{00000000-0005-0000-0000-0000D80D0000}"/>
    <cellStyle name="CABEÇALHO 3 2 5 2 3 6" xfId="11546" xr:uid="{00000000-0005-0000-0000-0000D90D0000}"/>
    <cellStyle name="CABEÇALHO 3 2 5 2 4" xfId="4014" xr:uid="{00000000-0005-0000-0000-0000DA0D0000}"/>
    <cellStyle name="CABEÇALHO 3 2 5 2 5" xfId="6805" xr:uid="{00000000-0005-0000-0000-0000DB0D0000}"/>
    <cellStyle name="CABEÇALHO 3 2 5 2 6" xfId="3054" xr:uid="{00000000-0005-0000-0000-0000DC0D0000}"/>
    <cellStyle name="CABEÇALHO 3 2 5 2 7" xfId="3343" xr:uid="{00000000-0005-0000-0000-0000DD0D0000}"/>
    <cellStyle name="CABEÇALHO 3 2 5 2 8" xfId="11040" xr:uid="{00000000-0005-0000-0000-0000DE0D0000}"/>
    <cellStyle name="CABEÇALHO 3 2 5 3" xfId="788" xr:uid="{00000000-0005-0000-0000-0000DF0D0000}"/>
    <cellStyle name="CABEÇALHO 3 2 5 3 2" xfId="1930" xr:uid="{00000000-0005-0000-0000-0000E00D0000}"/>
    <cellStyle name="CABEÇALHO 3 2 5 3 2 2" xfId="4810" xr:uid="{00000000-0005-0000-0000-0000E10D0000}"/>
    <cellStyle name="CABEÇALHO 3 2 5 3 2 3" xfId="7877" xr:uid="{00000000-0005-0000-0000-0000E20D0000}"/>
    <cellStyle name="CABEÇALHO 3 2 5 3 2 4" xfId="2927" xr:uid="{00000000-0005-0000-0000-0000E30D0000}"/>
    <cellStyle name="CABEÇALHO 3 2 5 3 2 5" xfId="8861" xr:uid="{00000000-0005-0000-0000-0000E40D0000}"/>
    <cellStyle name="CABEÇALHO 3 2 5 3 2 6" xfId="6948" xr:uid="{00000000-0005-0000-0000-0000E50D0000}"/>
    <cellStyle name="CABEÇALHO 3 2 5 3 3" xfId="2759" xr:uid="{00000000-0005-0000-0000-0000E60D0000}"/>
    <cellStyle name="CABEÇALHO 3 2 5 3 3 2" xfId="5639" xr:uid="{00000000-0005-0000-0000-0000E70D0000}"/>
    <cellStyle name="CABEÇALHO 3 2 5 3 3 3" xfId="8155" xr:uid="{00000000-0005-0000-0000-0000E80D0000}"/>
    <cellStyle name="CABEÇALHO 3 2 5 3 3 4" xfId="9186" xr:uid="{00000000-0005-0000-0000-0000E90D0000}"/>
    <cellStyle name="CABEÇALHO 3 2 5 3 3 5" xfId="10501" xr:uid="{00000000-0005-0000-0000-0000EA0D0000}"/>
    <cellStyle name="CABEÇALHO 3 2 5 3 3 6" xfId="6997" xr:uid="{00000000-0005-0000-0000-0000EB0D0000}"/>
    <cellStyle name="CABEÇALHO 3 2 5 3 4" xfId="3668" xr:uid="{00000000-0005-0000-0000-0000EC0D0000}"/>
    <cellStyle name="CABEÇALHO 3 2 5 3 5" xfId="7405" xr:uid="{00000000-0005-0000-0000-0000ED0D0000}"/>
    <cellStyle name="CABEÇALHO 3 2 5 3 6" xfId="6565" xr:uid="{00000000-0005-0000-0000-0000EE0D0000}"/>
    <cellStyle name="CABEÇALHO 3 2 5 3 7" xfId="8513" xr:uid="{00000000-0005-0000-0000-0000EF0D0000}"/>
    <cellStyle name="CABEÇALHO 3 2 5 3 8" xfId="10857" xr:uid="{00000000-0005-0000-0000-0000F00D0000}"/>
    <cellStyle name="CABEÇALHO 3 2 5 4" xfId="1274" xr:uid="{00000000-0005-0000-0000-0000F10D0000}"/>
    <cellStyle name="CABEÇALHO 3 2 5 4 2" xfId="2416" xr:uid="{00000000-0005-0000-0000-0000F20D0000}"/>
    <cellStyle name="CABEÇALHO 3 2 5 4 2 2" xfId="5296" xr:uid="{00000000-0005-0000-0000-0000F30D0000}"/>
    <cellStyle name="CABEÇALHO 3 2 5 4 2 3" xfId="8070" xr:uid="{00000000-0005-0000-0000-0000F40D0000}"/>
    <cellStyle name="CABEÇALHO 3 2 5 4 2 4" xfId="6302" xr:uid="{00000000-0005-0000-0000-0000F50D0000}"/>
    <cellStyle name="CABEÇALHO 3 2 5 4 2 5" xfId="6485" xr:uid="{00000000-0005-0000-0000-0000F60D0000}"/>
    <cellStyle name="CABEÇALHO 3 2 5 4 2 6" xfId="9984" xr:uid="{00000000-0005-0000-0000-0000F70D0000}"/>
    <cellStyle name="CABEÇALHO 3 2 5 4 3" xfId="1459" xr:uid="{00000000-0005-0000-0000-0000F80D0000}"/>
    <cellStyle name="CABEÇALHO 3 2 5 4 3 2" xfId="4339" xr:uid="{00000000-0005-0000-0000-0000F90D0000}"/>
    <cellStyle name="CABEÇALHO 3 2 5 4 3 3" xfId="7637" xr:uid="{00000000-0005-0000-0000-0000FA0D0000}"/>
    <cellStyle name="CABEÇALHO 3 2 5 4 3 4" xfId="9062" xr:uid="{00000000-0005-0000-0000-0000FB0D0000}"/>
    <cellStyle name="CABEÇALHO 3 2 5 4 3 5" xfId="10703" xr:uid="{00000000-0005-0000-0000-0000FC0D0000}"/>
    <cellStyle name="CABEÇALHO 3 2 5 4 3 6" xfId="11049" xr:uid="{00000000-0005-0000-0000-0000FD0D0000}"/>
    <cellStyle name="CABEÇALHO 3 2 5 4 4" xfId="4154" xr:uid="{00000000-0005-0000-0000-0000FE0D0000}"/>
    <cellStyle name="CABEÇALHO 3 2 5 4 5" xfId="3198" xr:uid="{00000000-0005-0000-0000-0000FF0D0000}"/>
    <cellStyle name="CABEÇALHO 3 2 5 4 6" xfId="6481" xr:uid="{00000000-0005-0000-0000-0000000E0000}"/>
    <cellStyle name="CABEÇALHO 3 2 5 4 7" xfId="6979" xr:uid="{00000000-0005-0000-0000-0000010E0000}"/>
    <cellStyle name="CABEÇALHO 3 2 5 4 8" xfId="10952" xr:uid="{00000000-0005-0000-0000-0000020E0000}"/>
    <cellStyle name="CABEÇALHO 3 2 5 5" xfId="1307" xr:uid="{00000000-0005-0000-0000-0000030E0000}"/>
    <cellStyle name="CABEÇALHO 3 2 5 5 2" xfId="2449" xr:uid="{00000000-0005-0000-0000-0000040E0000}"/>
    <cellStyle name="CABEÇALHO 3 2 5 5 2 2" xfId="5329" xr:uid="{00000000-0005-0000-0000-0000050E0000}"/>
    <cellStyle name="CABEÇALHO 3 2 5 5 2 3" xfId="7890" xr:uid="{00000000-0005-0000-0000-0000060E0000}"/>
    <cellStyle name="CABEÇALHO 3 2 5 5 2 4" xfId="7537" xr:uid="{00000000-0005-0000-0000-0000070E0000}"/>
    <cellStyle name="CABEÇALHO 3 2 5 5 2 5" xfId="9854" xr:uid="{00000000-0005-0000-0000-0000080E0000}"/>
    <cellStyle name="CABEÇALHO 3 2 5 5 2 6" xfId="8040" xr:uid="{00000000-0005-0000-0000-0000090E0000}"/>
    <cellStyle name="CABEÇALHO 3 2 5 5 3" xfId="2781" xr:uid="{00000000-0005-0000-0000-00000A0E0000}"/>
    <cellStyle name="CABEÇALHO 3 2 5 5 3 2" xfId="5661" xr:uid="{00000000-0005-0000-0000-00000B0E0000}"/>
    <cellStyle name="CABEÇALHO 3 2 5 5 3 3" xfId="7287" xr:uid="{00000000-0005-0000-0000-00000C0E0000}"/>
    <cellStyle name="CABEÇALHO 3 2 5 5 3 4" xfId="7138" xr:uid="{00000000-0005-0000-0000-00000D0E0000}"/>
    <cellStyle name="CABEÇALHO 3 2 5 5 3 5" xfId="8151" xr:uid="{00000000-0005-0000-0000-00000E0E0000}"/>
    <cellStyle name="CABEÇALHO 3 2 5 5 3 6" xfId="11102" xr:uid="{00000000-0005-0000-0000-00000F0E0000}"/>
    <cellStyle name="CABEÇALHO 3 2 5 5 4" xfId="4187" xr:uid="{00000000-0005-0000-0000-0000100E0000}"/>
    <cellStyle name="CABEÇALHO 3 2 5 5 5" xfId="2932" xr:uid="{00000000-0005-0000-0000-0000110E0000}"/>
    <cellStyle name="CABEÇALHO 3 2 5 5 6" xfId="6731" xr:uid="{00000000-0005-0000-0000-0000120E0000}"/>
    <cellStyle name="CABEÇALHO 3 2 5 5 7" xfId="9367" xr:uid="{00000000-0005-0000-0000-0000130E0000}"/>
    <cellStyle name="CABEÇALHO 3 2 5 5 8" xfId="9603" xr:uid="{00000000-0005-0000-0000-0000140E0000}"/>
    <cellStyle name="CABEÇALHO 3 2 5 6" xfId="1339" xr:uid="{00000000-0005-0000-0000-0000150E0000}"/>
    <cellStyle name="CABEÇALHO 3 2 5 6 2" xfId="2481" xr:uid="{00000000-0005-0000-0000-0000160E0000}"/>
    <cellStyle name="CABEÇALHO 3 2 5 6 2 2" xfId="5361" xr:uid="{00000000-0005-0000-0000-0000170E0000}"/>
    <cellStyle name="CABEÇALHO 3 2 5 6 2 3" xfId="7027" xr:uid="{00000000-0005-0000-0000-0000180E0000}"/>
    <cellStyle name="CABEÇALHO 3 2 5 6 2 4" xfId="8247" xr:uid="{00000000-0005-0000-0000-0000190E0000}"/>
    <cellStyle name="CABEÇALHO 3 2 5 6 2 5" xfId="10208" xr:uid="{00000000-0005-0000-0000-00001A0E0000}"/>
    <cellStyle name="CABEÇALHO 3 2 5 6 2 6" xfId="11185" xr:uid="{00000000-0005-0000-0000-00001B0E0000}"/>
    <cellStyle name="CABEÇALHO 3 2 5 6 3" xfId="2876" xr:uid="{00000000-0005-0000-0000-00001C0E0000}"/>
    <cellStyle name="CABEÇALHO 3 2 5 6 3 2" xfId="5756" xr:uid="{00000000-0005-0000-0000-00001D0E0000}"/>
    <cellStyle name="CABEÇALHO 3 2 5 6 3 3" xfId="3157" xr:uid="{00000000-0005-0000-0000-00001E0E0000}"/>
    <cellStyle name="CABEÇALHO 3 2 5 6 3 4" xfId="3187" xr:uid="{00000000-0005-0000-0000-00001F0E0000}"/>
    <cellStyle name="CABEÇALHO 3 2 5 6 3 5" xfId="8244" xr:uid="{00000000-0005-0000-0000-0000200E0000}"/>
    <cellStyle name="CABEÇALHO 3 2 5 6 3 6" xfId="11677" xr:uid="{00000000-0005-0000-0000-0000210E0000}"/>
    <cellStyle name="CABEÇALHO 3 2 5 6 4" xfId="4219" xr:uid="{00000000-0005-0000-0000-0000220E0000}"/>
    <cellStyle name="CABEÇALHO 3 2 5 6 5" xfId="7220" xr:uid="{00000000-0005-0000-0000-0000230E0000}"/>
    <cellStyle name="CABEÇALHO 3 2 5 6 6" xfId="8663" xr:uid="{00000000-0005-0000-0000-0000240E0000}"/>
    <cellStyle name="CABEÇALHO 3 2 5 6 7" xfId="10401" xr:uid="{00000000-0005-0000-0000-0000250E0000}"/>
    <cellStyle name="CABEÇALHO 3 2 5 6 8" xfId="11351" xr:uid="{00000000-0005-0000-0000-0000260E0000}"/>
    <cellStyle name="CABEÇALHO 3 2 5 7" xfId="1799" xr:uid="{00000000-0005-0000-0000-0000270E0000}"/>
    <cellStyle name="CABEÇALHO 3 2 5 7 2" xfId="4679" xr:uid="{00000000-0005-0000-0000-0000280E0000}"/>
    <cellStyle name="CABEÇALHO 3 2 5 7 3" xfId="8003" xr:uid="{00000000-0005-0000-0000-0000290E0000}"/>
    <cellStyle name="CABEÇALHO 3 2 5 7 4" xfId="5975" xr:uid="{00000000-0005-0000-0000-00002A0E0000}"/>
    <cellStyle name="CABEÇALHO 3 2 5 7 5" xfId="10632" xr:uid="{00000000-0005-0000-0000-00002B0E0000}"/>
    <cellStyle name="CABEÇALHO 3 2 5 7 6" xfId="5836" xr:uid="{00000000-0005-0000-0000-00002C0E0000}"/>
    <cellStyle name="CABEÇALHO 3 2 5 8" xfId="2540" xr:uid="{00000000-0005-0000-0000-00002D0E0000}"/>
    <cellStyle name="CABEÇALHO 3 2 5 8 2" xfId="5420" xr:uid="{00000000-0005-0000-0000-00002E0E0000}"/>
    <cellStyle name="CABEÇALHO 3 2 5 8 3" xfId="7688" xr:uid="{00000000-0005-0000-0000-00002F0E0000}"/>
    <cellStyle name="CABEÇALHO 3 2 5 8 4" xfId="3029" xr:uid="{00000000-0005-0000-0000-0000300E0000}"/>
    <cellStyle name="CABEÇALHO 3 2 5 8 5" xfId="9855" xr:uid="{00000000-0005-0000-0000-0000310E0000}"/>
    <cellStyle name="CABEÇALHO 3 2 5 8 6" xfId="10100" xr:uid="{00000000-0005-0000-0000-0000320E0000}"/>
    <cellStyle name="CABEÇALHO 3 2 5 9" xfId="3538" xr:uid="{00000000-0005-0000-0000-0000330E0000}"/>
    <cellStyle name="CABEÇALHO 3 2 6" xfId="506" xr:uid="{00000000-0005-0000-0000-0000340E0000}"/>
    <cellStyle name="CABEÇALHO 3 2 6 10" xfId="5778" xr:uid="{00000000-0005-0000-0000-0000350E0000}"/>
    <cellStyle name="CABEÇALHO 3 2 6 11" xfId="7193" xr:uid="{00000000-0005-0000-0000-0000360E0000}"/>
    <cellStyle name="CABEÇALHO 3 2 6 12" xfId="7498" xr:uid="{00000000-0005-0000-0000-0000370E0000}"/>
    <cellStyle name="CABEÇALHO 3 2 6 13" xfId="9772" xr:uid="{00000000-0005-0000-0000-0000380E0000}"/>
    <cellStyle name="CABEÇALHO 3 2 6 2" xfId="982" xr:uid="{00000000-0005-0000-0000-0000390E0000}"/>
    <cellStyle name="CABEÇALHO 3 2 6 2 2" xfId="2124" xr:uid="{00000000-0005-0000-0000-00003A0E0000}"/>
    <cellStyle name="CABEÇALHO 3 2 6 2 2 2" xfId="5004" xr:uid="{00000000-0005-0000-0000-00003B0E0000}"/>
    <cellStyle name="CABEÇALHO 3 2 6 2 2 3" xfId="7149" xr:uid="{00000000-0005-0000-0000-00003C0E0000}"/>
    <cellStyle name="CABEÇALHO 3 2 6 2 2 4" xfId="9546" xr:uid="{00000000-0005-0000-0000-00003D0E0000}"/>
    <cellStyle name="CABEÇALHO 3 2 6 2 2 5" xfId="10339" xr:uid="{00000000-0005-0000-0000-00003E0E0000}"/>
    <cellStyle name="CABEÇALHO 3 2 6 2 2 6" xfId="9906" xr:uid="{00000000-0005-0000-0000-00003F0E0000}"/>
    <cellStyle name="CABEÇALHO 3 2 6 2 3" xfId="2783" xr:uid="{00000000-0005-0000-0000-0000400E0000}"/>
    <cellStyle name="CABEÇALHO 3 2 6 2 3 2" xfId="5663" xr:uid="{00000000-0005-0000-0000-0000410E0000}"/>
    <cellStyle name="CABEÇALHO 3 2 6 2 3 3" xfId="7836" xr:uid="{00000000-0005-0000-0000-0000420E0000}"/>
    <cellStyle name="CABEÇALHO 3 2 6 2 3 4" xfId="8731" xr:uid="{00000000-0005-0000-0000-0000430E0000}"/>
    <cellStyle name="CABEÇALHO 3 2 6 2 3 5" xfId="10446" xr:uid="{00000000-0005-0000-0000-0000440E0000}"/>
    <cellStyle name="CABEÇALHO 3 2 6 2 3 6" xfId="9738" xr:uid="{00000000-0005-0000-0000-0000450E0000}"/>
    <cellStyle name="CABEÇALHO 3 2 6 2 4" xfId="3862" xr:uid="{00000000-0005-0000-0000-0000460E0000}"/>
    <cellStyle name="CABEÇALHO 3 2 6 2 5" xfId="7399" xr:uid="{00000000-0005-0000-0000-0000470E0000}"/>
    <cellStyle name="CABEÇALHO 3 2 6 2 6" xfId="7455" xr:uid="{00000000-0005-0000-0000-0000480E0000}"/>
    <cellStyle name="CABEÇALHO 3 2 6 2 7" xfId="7763" xr:uid="{00000000-0005-0000-0000-0000490E0000}"/>
    <cellStyle name="CABEÇALHO 3 2 6 2 8" xfId="11051" xr:uid="{00000000-0005-0000-0000-00004A0E0000}"/>
    <cellStyle name="CABEÇALHO 3 2 6 3" xfId="693" xr:uid="{00000000-0005-0000-0000-00004B0E0000}"/>
    <cellStyle name="CABEÇALHO 3 2 6 3 2" xfId="1835" xr:uid="{00000000-0005-0000-0000-00004C0E0000}"/>
    <cellStyle name="CABEÇALHO 3 2 6 3 2 2" xfId="4715" xr:uid="{00000000-0005-0000-0000-00004D0E0000}"/>
    <cellStyle name="CABEÇALHO 3 2 6 3 2 3" xfId="8042" xr:uid="{00000000-0005-0000-0000-00004E0E0000}"/>
    <cellStyle name="CABEÇALHO 3 2 6 3 2 4" xfId="7888" xr:uid="{00000000-0005-0000-0000-00004F0E0000}"/>
    <cellStyle name="CABEÇALHO 3 2 6 3 2 5" xfId="10764" xr:uid="{00000000-0005-0000-0000-0000500E0000}"/>
    <cellStyle name="CABEÇALHO 3 2 6 3 2 6" xfId="11239" xr:uid="{00000000-0005-0000-0000-0000510E0000}"/>
    <cellStyle name="CABEÇALHO 3 2 6 3 3" xfId="2526" xr:uid="{00000000-0005-0000-0000-0000520E0000}"/>
    <cellStyle name="CABEÇALHO 3 2 6 3 3 2" xfId="5406" xr:uid="{00000000-0005-0000-0000-0000530E0000}"/>
    <cellStyle name="CABEÇALHO 3 2 6 3 3 3" xfId="6557" xr:uid="{00000000-0005-0000-0000-0000540E0000}"/>
    <cellStyle name="CABEÇALHO 3 2 6 3 3 4" xfId="9401" xr:uid="{00000000-0005-0000-0000-0000550E0000}"/>
    <cellStyle name="CABEÇALHO 3 2 6 3 3 5" xfId="10568" xr:uid="{00000000-0005-0000-0000-0000560E0000}"/>
    <cellStyle name="CABEÇALHO 3 2 6 3 3 6" xfId="11108" xr:uid="{00000000-0005-0000-0000-0000570E0000}"/>
    <cellStyle name="CABEÇALHO 3 2 6 3 4" xfId="3573" xr:uid="{00000000-0005-0000-0000-0000580E0000}"/>
    <cellStyle name="CABEÇALHO 3 2 6 3 5" xfId="5817" xr:uid="{00000000-0005-0000-0000-0000590E0000}"/>
    <cellStyle name="CABEÇALHO 3 2 6 3 6" xfId="7006" xr:uid="{00000000-0005-0000-0000-00005A0E0000}"/>
    <cellStyle name="CABEÇALHO 3 2 6 3 7" xfId="6710" xr:uid="{00000000-0005-0000-0000-00005B0E0000}"/>
    <cellStyle name="CABEÇALHO 3 2 6 3 8" xfId="11549" xr:uid="{00000000-0005-0000-0000-00005C0E0000}"/>
    <cellStyle name="CABEÇALHO 3 2 6 4" xfId="1155" xr:uid="{00000000-0005-0000-0000-00005D0E0000}"/>
    <cellStyle name="CABEÇALHO 3 2 6 4 2" xfId="2297" xr:uid="{00000000-0005-0000-0000-00005E0E0000}"/>
    <cellStyle name="CABEÇALHO 3 2 6 4 2 2" xfId="5177" xr:uid="{00000000-0005-0000-0000-00005F0E0000}"/>
    <cellStyle name="CABEÇALHO 3 2 6 4 2 3" xfId="6761" xr:uid="{00000000-0005-0000-0000-0000600E0000}"/>
    <cellStyle name="CABEÇALHO 3 2 6 4 2 4" xfId="7826" xr:uid="{00000000-0005-0000-0000-0000610E0000}"/>
    <cellStyle name="CABEÇALHO 3 2 6 4 2 5" xfId="10612" xr:uid="{00000000-0005-0000-0000-0000620E0000}"/>
    <cellStyle name="CABEÇALHO 3 2 6 4 2 6" xfId="11255" xr:uid="{00000000-0005-0000-0000-0000630E0000}"/>
    <cellStyle name="CABEÇALHO 3 2 6 4 3" xfId="2852" xr:uid="{00000000-0005-0000-0000-0000640E0000}"/>
    <cellStyle name="CABEÇALHO 3 2 6 4 3 2" xfId="5732" xr:uid="{00000000-0005-0000-0000-0000650E0000}"/>
    <cellStyle name="CABEÇALHO 3 2 6 4 3 3" xfId="6800" xr:uid="{00000000-0005-0000-0000-0000660E0000}"/>
    <cellStyle name="CABEÇALHO 3 2 6 4 3 4" xfId="9146" xr:uid="{00000000-0005-0000-0000-0000670E0000}"/>
    <cellStyle name="CABEÇALHO 3 2 6 4 3 5" xfId="10464" xr:uid="{00000000-0005-0000-0000-0000680E0000}"/>
    <cellStyle name="CABEÇALHO 3 2 6 4 3 6" xfId="11223" xr:uid="{00000000-0005-0000-0000-0000690E0000}"/>
    <cellStyle name="CABEÇALHO 3 2 6 4 4" xfId="4035" xr:uid="{00000000-0005-0000-0000-00006A0E0000}"/>
    <cellStyle name="CABEÇALHO 3 2 6 4 5" xfId="6131" xr:uid="{00000000-0005-0000-0000-00006B0E0000}"/>
    <cellStyle name="CABEÇALHO 3 2 6 4 6" xfId="7901" xr:uid="{00000000-0005-0000-0000-00006C0E0000}"/>
    <cellStyle name="CABEÇALHO 3 2 6 4 7" xfId="9304" xr:uid="{00000000-0005-0000-0000-00006D0E0000}"/>
    <cellStyle name="CABEÇALHO 3 2 6 4 8" xfId="11195" xr:uid="{00000000-0005-0000-0000-00006E0E0000}"/>
    <cellStyle name="CABEÇALHO 3 2 6 5" xfId="725" xr:uid="{00000000-0005-0000-0000-00006F0E0000}"/>
    <cellStyle name="CABEÇALHO 3 2 6 5 2" xfId="1867" xr:uid="{00000000-0005-0000-0000-0000700E0000}"/>
    <cellStyle name="CABEÇALHO 3 2 6 5 2 2" xfId="4747" xr:uid="{00000000-0005-0000-0000-0000710E0000}"/>
    <cellStyle name="CABEÇALHO 3 2 6 5 2 3" xfId="6091" xr:uid="{00000000-0005-0000-0000-0000720E0000}"/>
    <cellStyle name="CABEÇALHO 3 2 6 5 2 4" xfId="8626" xr:uid="{00000000-0005-0000-0000-0000730E0000}"/>
    <cellStyle name="CABEÇALHO 3 2 6 5 2 5" xfId="9985" xr:uid="{00000000-0005-0000-0000-0000740E0000}"/>
    <cellStyle name="CABEÇALHO 3 2 6 5 2 6" xfId="11639" xr:uid="{00000000-0005-0000-0000-0000750E0000}"/>
    <cellStyle name="CABEÇALHO 3 2 6 5 3" xfId="2743" xr:uid="{00000000-0005-0000-0000-0000760E0000}"/>
    <cellStyle name="CABEÇALHO 3 2 6 5 3 2" xfId="5623" xr:uid="{00000000-0005-0000-0000-0000770E0000}"/>
    <cellStyle name="CABEÇALHO 3 2 6 5 3 3" xfId="6128" xr:uid="{00000000-0005-0000-0000-0000780E0000}"/>
    <cellStyle name="CABEÇALHO 3 2 6 5 3 4" xfId="8327" xr:uid="{00000000-0005-0000-0000-0000790E0000}"/>
    <cellStyle name="CABEÇALHO 3 2 6 5 3 5" xfId="9680" xr:uid="{00000000-0005-0000-0000-00007A0E0000}"/>
    <cellStyle name="CABEÇALHO 3 2 6 5 3 6" xfId="11111" xr:uid="{00000000-0005-0000-0000-00007B0E0000}"/>
    <cellStyle name="CABEÇALHO 3 2 6 5 4" xfId="3605" xr:uid="{00000000-0005-0000-0000-00007C0E0000}"/>
    <cellStyle name="CABEÇALHO 3 2 6 5 5" xfId="6040" xr:uid="{00000000-0005-0000-0000-00007D0E0000}"/>
    <cellStyle name="CABEÇALHO 3 2 6 5 6" xfId="8998" xr:uid="{00000000-0005-0000-0000-00007E0E0000}"/>
    <cellStyle name="CABEÇALHO 3 2 6 5 7" xfId="9925" xr:uid="{00000000-0005-0000-0000-00007F0E0000}"/>
    <cellStyle name="CABEÇALHO 3 2 6 5 8" xfId="11174" xr:uid="{00000000-0005-0000-0000-0000800E0000}"/>
    <cellStyle name="CABEÇALHO 3 2 6 6" xfId="1205" xr:uid="{00000000-0005-0000-0000-0000810E0000}"/>
    <cellStyle name="CABEÇALHO 3 2 6 6 2" xfId="2347" xr:uid="{00000000-0005-0000-0000-0000820E0000}"/>
    <cellStyle name="CABEÇALHO 3 2 6 6 2 2" xfId="5227" xr:uid="{00000000-0005-0000-0000-0000830E0000}"/>
    <cellStyle name="CABEÇALHO 3 2 6 6 2 3" xfId="5892" xr:uid="{00000000-0005-0000-0000-0000840E0000}"/>
    <cellStyle name="CABEÇALHO 3 2 6 6 2 4" xfId="7136" xr:uid="{00000000-0005-0000-0000-0000850E0000}"/>
    <cellStyle name="CABEÇALHO 3 2 6 6 2 5" xfId="9248" xr:uid="{00000000-0005-0000-0000-0000860E0000}"/>
    <cellStyle name="CABEÇALHO 3 2 6 6 2 6" xfId="11155" xr:uid="{00000000-0005-0000-0000-0000870E0000}"/>
    <cellStyle name="CABEÇALHO 3 2 6 6 3" xfId="1410" xr:uid="{00000000-0005-0000-0000-0000880E0000}"/>
    <cellStyle name="CABEÇALHO 3 2 6 6 3 2" xfId="4290" xr:uid="{00000000-0005-0000-0000-0000890E0000}"/>
    <cellStyle name="CABEÇALHO 3 2 6 6 3 3" xfId="8141" xr:uid="{00000000-0005-0000-0000-00008A0E0000}"/>
    <cellStyle name="CABEÇALHO 3 2 6 6 3 4" xfId="9543" xr:uid="{00000000-0005-0000-0000-00008B0E0000}"/>
    <cellStyle name="CABEÇALHO 3 2 6 6 3 5" xfId="9689" xr:uid="{00000000-0005-0000-0000-00008C0E0000}"/>
    <cellStyle name="CABEÇALHO 3 2 6 6 3 6" xfId="9846" xr:uid="{00000000-0005-0000-0000-00008D0E0000}"/>
    <cellStyle name="CABEÇALHO 3 2 6 6 4" xfId="4085" xr:uid="{00000000-0005-0000-0000-00008E0E0000}"/>
    <cellStyle name="CABEÇALHO 3 2 6 6 5" xfId="3117" xr:uid="{00000000-0005-0000-0000-00008F0E0000}"/>
    <cellStyle name="CABEÇALHO 3 2 6 6 6" xfId="6317" xr:uid="{00000000-0005-0000-0000-0000900E0000}"/>
    <cellStyle name="CABEÇALHO 3 2 6 6 7" xfId="8933" xr:uid="{00000000-0005-0000-0000-0000910E0000}"/>
    <cellStyle name="CABEÇALHO 3 2 6 6 8" xfId="10890" xr:uid="{00000000-0005-0000-0000-0000920E0000}"/>
    <cellStyle name="CABEÇALHO 3 2 6 7" xfId="1647" xr:uid="{00000000-0005-0000-0000-0000930E0000}"/>
    <cellStyle name="CABEÇALHO 3 2 6 7 2" xfId="4527" xr:uid="{00000000-0005-0000-0000-0000940E0000}"/>
    <cellStyle name="CABEÇALHO 3 2 6 7 3" xfId="7954" xr:uid="{00000000-0005-0000-0000-0000950E0000}"/>
    <cellStyle name="CABEÇALHO 3 2 6 7 4" xfId="9365" xr:uid="{00000000-0005-0000-0000-0000960E0000}"/>
    <cellStyle name="CABEÇALHO 3 2 6 7 5" xfId="10756" xr:uid="{00000000-0005-0000-0000-0000970E0000}"/>
    <cellStyle name="CABEÇALHO 3 2 6 7 6" xfId="11483" xr:uid="{00000000-0005-0000-0000-0000980E0000}"/>
    <cellStyle name="CABEÇALHO 3 2 6 8" xfId="2629" xr:uid="{00000000-0005-0000-0000-0000990E0000}"/>
    <cellStyle name="CABEÇALHO 3 2 6 8 2" xfId="5509" xr:uid="{00000000-0005-0000-0000-00009A0E0000}"/>
    <cellStyle name="CABEÇALHO 3 2 6 8 3" xfId="7970" xr:uid="{00000000-0005-0000-0000-00009B0E0000}"/>
    <cellStyle name="CABEÇALHO 3 2 6 8 4" xfId="9227" xr:uid="{00000000-0005-0000-0000-00009C0E0000}"/>
    <cellStyle name="CABEÇALHO 3 2 6 8 5" xfId="10818" xr:uid="{00000000-0005-0000-0000-00009D0E0000}"/>
    <cellStyle name="CABEÇALHO 3 2 6 8 6" xfId="10524" xr:uid="{00000000-0005-0000-0000-00009E0E0000}"/>
    <cellStyle name="CABEÇALHO 3 2 6 9" xfId="3386" xr:uid="{00000000-0005-0000-0000-00009F0E0000}"/>
    <cellStyle name="CABEÇALHO 3 2 7" xfId="648" xr:uid="{00000000-0005-0000-0000-0000A00E0000}"/>
    <cellStyle name="CABEÇALHO 3 2 7 10" xfId="6434" xr:uid="{00000000-0005-0000-0000-0000A10E0000}"/>
    <cellStyle name="CABEÇALHO 3 2 7 11" xfId="8528" xr:uid="{00000000-0005-0000-0000-0000A20E0000}"/>
    <cellStyle name="CABEÇALHO 3 2 7 12" xfId="7512" xr:uid="{00000000-0005-0000-0000-0000A30E0000}"/>
    <cellStyle name="CABEÇALHO 3 2 7 13" xfId="11609" xr:uid="{00000000-0005-0000-0000-0000A40E0000}"/>
    <cellStyle name="CABEÇALHO 3 2 7 2" xfId="1124" xr:uid="{00000000-0005-0000-0000-0000A50E0000}"/>
    <cellStyle name="CABEÇALHO 3 2 7 2 2" xfId="2266" xr:uid="{00000000-0005-0000-0000-0000A60E0000}"/>
    <cellStyle name="CABEÇALHO 3 2 7 2 2 2" xfId="5146" xr:uid="{00000000-0005-0000-0000-0000A70E0000}"/>
    <cellStyle name="CABEÇALHO 3 2 7 2 2 3" xfId="8095" xr:uid="{00000000-0005-0000-0000-0000A80E0000}"/>
    <cellStyle name="CABEÇALHO 3 2 7 2 2 4" xfId="8211" xr:uid="{00000000-0005-0000-0000-0000A90E0000}"/>
    <cellStyle name="CABEÇALHO 3 2 7 2 2 5" xfId="9959" xr:uid="{00000000-0005-0000-0000-0000AA0E0000}"/>
    <cellStyle name="CABEÇALHO 3 2 7 2 2 6" xfId="9982" xr:uid="{00000000-0005-0000-0000-0000AB0E0000}"/>
    <cellStyle name="CABEÇALHO 3 2 7 2 3" xfId="2568" xr:uid="{00000000-0005-0000-0000-0000AC0E0000}"/>
    <cellStyle name="CABEÇALHO 3 2 7 2 3 2" xfId="5448" xr:uid="{00000000-0005-0000-0000-0000AD0E0000}"/>
    <cellStyle name="CABEÇALHO 3 2 7 2 3 3" xfId="6522" xr:uid="{00000000-0005-0000-0000-0000AE0E0000}"/>
    <cellStyle name="CABEÇALHO 3 2 7 2 3 4" xfId="8275" xr:uid="{00000000-0005-0000-0000-0000AF0E0000}"/>
    <cellStyle name="CABEÇALHO 3 2 7 2 3 5" xfId="10809" xr:uid="{00000000-0005-0000-0000-0000B00E0000}"/>
    <cellStyle name="CABEÇALHO 3 2 7 2 3 6" xfId="9417" xr:uid="{00000000-0005-0000-0000-0000B10E0000}"/>
    <cellStyle name="CABEÇALHO 3 2 7 2 4" xfId="4004" xr:uid="{00000000-0005-0000-0000-0000B20E0000}"/>
    <cellStyle name="CABEÇALHO 3 2 7 2 5" xfId="6314" xr:uid="{00000000-0005-0000-0000-0000B30E0000}"/>
    <cellStyle name="CABEÇALHO 3 2 7 2 6" xfId="8415" xr:uid="{00000000-0005-0000-0000-0000B40E0000}"/>
    <cellStyle name="CABEÇALHO 3 2 7 2 7" xfId="6054" xr:uid="{00000000-0005-0000-0000-0000B50E0000}"/>
    <cellStyle name="CABEÇALHO 3 2 7 2 8" xfId="10241" xr:uid="{00000000-0005-0000-0000-0000B60E0000}"/>
    <cellStyle name="CABEÇALHO 3 2 7 3" xfId="778" xr:uid="{00000000-0005-0000-0000-0000B70E0000}"/>
    <cellStyle name="CABEÇALHO 3 2 7 3 2" xfId="1920" xr:uid="{00000000-0005-0000-0000-0000B80E0000}"/>
    <cellStyle name="CABEÇALHO 3 2 7 3 2 2" xfId="4800" xr:uid="{00000000-0005-0000-0000-0000B90E0000}"/>
    <cellStyle name="CABEÇALHO 3 2 7 3 2 3" xfId="6353" xr:uid="{00000000-0005-0000-0000-0000BA0E0000}"/>
    <cellStyle name="CABEÇALHO 3 2 7 3 2 4" xfId="8869" xr:uid="{00000000-0005-0000-0000-0000BB0E0000}"/>
    <cellStyle name="CABEÇALHO 3 2 7 3 2 5" xfId="10036" xr:uid="{00000000-0005-0000-0000-0000BC0E0000}"/>
    <cellStyle name="CABEÇALHO 3 2 7 3 2 6" xfId="10348" xr:uid="{00000000-0005-0000-0000-0000BD0E0000}"/>
    <cellStyle name="CABEÇALHO 3 2 7 3 3" xfId="2537" xr:uid="{00000000-0005-0000-0000-0000BE0E0000}"/>
    <cellStyle name="CABEÇALHO 3 2 7 3 3 2" xfId="5417" xr:uid="{00000000-0005-0000-0000-0000BF0E0000}"/>
    <cellStyle name="CABEÇALHO 3 2 7 3 3 3" xfId="7696" xr:uid="{00000000-0005-0000-0000-0000C00E0000}"/>
    <cellStyle name="CABEÇALHO 3 2 7 3 3 4" xfId="8488" xr:uid="{00000000-0005-0000-0000-0000C10E0000}"/>
    <cellStyle name="CABEÇALHO 3 2 7 3 3 5" xfId="5961" xr:uid="{00000000-0005-0000-0000-0000C20E0000}"/>
    <cellStyle name="CABEÇALHO 3 2 7 3 3 6" xfId="10054" xr:uid="{00000000-0005-0000-0000-0000C30E0000}"/>
    <cellStyle name="CABEÇALHO 3 2 7 3 4" xfId="3658" xr:uid="{00000000-0005-0000-0000-0000C40E0000}"/>
    <cellStyle name="CABEÇALHO 3 2 7 3 5" xfId="5812" xr:uid="{00000000-0005-0000-0000-0000C50E0000}"/>
    <cellStyle name="CABEÇALHO 3 2 7 3 6" xfId="7286" xr:uid="{00000000-0005-0000-0000-0000C60E0000}"/>
    <cellStyle name="CABEÇALHO 3 2 7 3 7" xfId="9128" xr:uid="{00000000-0005-0000-0000-0000C70E0000}"/>
    <cellStyle name="CABEÇALHO 3 2 7 3 8" xfId="11471" xr:uid="{00000000-0005-0000-0000-0000C80E0000}"/>
    <cellStyle name="CABEÇALHO 3 2 7 4" xfId="1264" xr:uid="{00000000-0005-0000-0000-0000C90E0000}"/>
    <cellStyle name="CABEÇALHO 3 2 7 4 2" xfId="2406" xr:uid="{00000000-0005-0000-0000-0000CA0E0000}"/>
    <cellStyle name="CABEÇALHO 3 2 7 4 2 2" xfId="5286" xr:uid="{00000000-0005-0000-0000-0000CB0E0000}"/>
    <cellStyle name="CABEÇALHO 3 2 7 4 2 3" xfId="6523" xr:uid="{00000000-0005-0000-0000-0000CC0E0000}"/>
    <cellStyle name="CABEÇALHO 3 2 7 4 2 4" xfId="9022" xr:uid="{00000000-0005-0000-0000-0000CD0E0000}"/>
    <cellStyle name="CABEÇALHO 3 2 7 4 2 5" xfId="10066" xr:uid="{00000000-0005-0000-0000-0000CE0E0000}"/>
    <cellStyle name="CABEÇALHO 3 2 7 4 2 6" xfId="9790" xr:uid="{00000000-0005-0000-0000-0000CF0E0000}"/>
    <cellStyle name="CABEÇALHO 3 2 7 4 3" xfId="2688" xr:uid="{00000000-0005-0000-0000-0000D00E0000}"/>
    <cellStyle name="CABEÇALHO 3 2 7 4 3 2" xfId="5568" xr:uid="{00000000-0005-0000-0000-0000D10E0000}"/>
    <cellStyle name="CABEÇALHO 3 2 7 4 3 3" xfId="7731" xr:uid="{00000000-0005-0000-0000-0000D20E0000}"/>
    <cellStyle name="CABEÇALHO 3 2 7 4 3 4" xfId="7106" xr:uid="{00000000-0005-0000-0000-0000D30E0000}"/>
    <cellStyle name="CABEÇALHO 3 2 7 4 3 5" xfId="8965" xr:uid="{00000000-0005-0000-0000-0000D40E0000}"/>
    <cellStyle name="CABEÇALHO 3 2 7 4 3 6" xfId="8726" xr:uid="{00000000-0005-0000-0000-0000D50E0000}"/>
    <cellStyle name="CABEÇALHO 3 2 7 4 4" xfId="4144" xr:uid="{00000000-0005-0000-0000-0000D60E0000}"/>
    <cellStyle name="CABEÇALHO 3 2 7 4 5" xfId="3122" xr:uid="{00000000-0005-0000-0000-0000D70E0000}"/>
    <cellStyle name="CABEÇALHO 3 2 7 4 6" xfId="7326" xr:uid="{00000000-0005-0000-0000-0000D80E0000}"/>
    <cellStyle name="CABEÇALHO 3 2 7 4 7" xfId="8825" xr:uid="{00000000-0005-0000-0000-0000D90E0000}"/>
    <cellStyle name="CABEÇALHO 3 2 7 4 8" xfId="5850" xr:uid="{00000000-0005-0000-0000-0000DA0E0000}"/>
    <cellStyle name="CABEÇALHO 3 2 7 5" xfId="1297" xr:uid="{00000000-0005-0000-0000-0000DB0E0000}"/>
    <cellStyle name="CABEÇALHO 3 2 7 5 2" xfId="2439" xr:uid="{00000000-0005-0000-0000-0000DC0E0000}"/>
    <cellStyle name="CABEÇALHO 3 2 7 5 2 2" xfId="5319" xr:uid="{00000000-0005-0000-0000-0000DD0E0000}"/>
    <cellStyle name="CABEÇALHO 3 2 7 5 2 3" xfId="6588" xr:uid="{00000000-0005-0000-0000-0000DE0E0000}"/>
    <cellStyle name="CABEÇALHO 3 2 7 5 2 4" xfId="9083" xr:uid="{00000000-0005-0000-0000-0000DF0E0000}"/>
    <cellStyle name="CABEÇALHO 3 2 7 5 2 5" xfId="10432" xr:uid="{00000000-0005-0000-0000-0000E00E0000}"/>
    <cellStyle name="CABEÇALHO 3 2 7 5 2 6" xfId="9864" xr:uid="{00000000-0005-0000-0000-0000E10E0000}"/>
    <cellStyle name="CABEÇALHO 3 2 7 5 3" xfId="2675" xr:uid="{00000000-0005-0000-0000-0000E20E0000}"/>
    <cellStyle name="CABEÇALHO 3 2 7 5 3 2" xfId="5555" xr:uid="{00000000-0005-0000-0000-0000E30E0000}"/>
    <cellStyle name="CABEÇALHO 3 2 7 5 3 3" xfId="7612" xr:uid="{00000000-0005-0000-0000-0000E40E0000}"/>
    <cellStyle name="CABEÇALHO 3 2 7 5 3 4" xfId="7056" xr:uid="{00000000-0005-0000-0000-0000E50E0000}"/>
    <cellStyle name="CABEÇALHO 3 2 7 5 3 5" xfId="7365" xr:uid="{00000000-0005-0000-0000-0000E60E0000}"/>
    <cellStyle name="CABEÇALHO 3 2 7 5 3 6" xfId="2919" xr:uid="{00000000-0005-0000-0000-0000E70E0000}"/>
    <cellStyle name="CABEÇALHO 3 2 7 5 4" xfId="4177" xr:uid="{00000000-0005-0000-0000-0000E80E0000}"/>
    <cellStyle name="CABEÇALHO 3 2 7 5 5" xfId="3123" xr:uid="{00000000-0005-0000-0000-0000E90E0000}"/>
    <cellStyle name="CABEÇALHO 3 2 7 5 6" xfId="7481" xr:uid="{00000000-0005-0000-0000-0000EA0E0000}"/>
    <cellStyle name="CABEÇALHO 3 2 7 5 7" xfId="6890" xr:uid="{00000000-0005-0000-0000-0000EB0E0000}"/>
    <cellStyle name="CABEÇALHO 3 2 7 5 8" xfId="11294" xr:uid="{00000000-0005-0000-0000-0000EC0E0000}"/>
    <cellStyle name="CABEÇALHO 3 2 7 6" xfId="1329" xr:uid="{00000000-0005-0000-0000-0000ED0E0000}"/>
    <cellStyle name="CABEÇALHO 3 2 7 6 2" xfId="2471" xr:uid="{00000000-0005-0000-0000-0000EE0E0000}"/>
    <cellStyle name="CABEÇALHO 3 2 7 6 2 2" xfId="5351" xr:uid="{00000000-0005-0000-0000-0000EF0E0000}"/>
    <cellStyle name="CABEÇALHO 3 2 7 6 2 3" xfId="7223" xr:uid="{00000000-0005-0000-0000-0000F00E0000}"/>
    <cellStyle name="CABEÇALHO 3 2 7 6 2 4" xfId="9477" xr:uid="{00000000-0005-0000-0000-0000F10E0000}"/>
    <cellStyle name="CABEÇALHO 3 2 7 6 2 5" xfId="10824" xr:uid="{00000000-0005-0000-0000-0000F20E0000}"/>
    <cellStyle name="CABEÇALHO 3 2 7 6 2 6" xfId="11632" xr:uid="{00000000-0005-0000-0000-0000F30E0000}"/>
    <cellStyle name="CABEÇALHO 3 2 7 6 3" xfId="2866" xr:uid="{00000000-0005-0000-0000-0000F40E0000}"/>
    <cellStyle name="CABEÇALHO 3 2 7 6 3 2" xfId="5746" xr:uid="{00000000-0005-0000-0000-0000F50E0000}"/>
    <cellStyle name="CABEÇALHO 3 2 7 6 3 3" xfId="2943" xr:uid="{00000000-0005-0000-0000-0000F60E0000}"/>
    <cellStyle name="CABEÇALHO 3 2 7 6 3 4" xfId="8256" xr:uid="{00000000-0005-0000-0000-0000F70E0000}"/>
    <cellStyle name="CABEÇALHO 3 2 7 6 3 5" xfId="9620" xr:uid="{00000000-0005-0000-0000-0000F80E0000}"/>
    <cellStyle name="CABEÇALHO 3 2 7 6 3 6" xfId="11037" xr:uid="{00000000-0005-0000-0000-0000F90E0000}"/>
    <cellStyle name="CABEÇALHO 3 2 7 6 4" xfId="4209" xr:uid="{00000000-0005-0000-0000-0000FA0E0000}"/>
    <cellStyle name="CABEÇALHO 3 2 7 6 5" xfId="3143" xr:uid="{00000000-0005-0000-0000-0000FB0E0000}"/>
    <cellStyle name="CABEÇALHO 3 2 7 6 6" xfId="6677" xr:uid="{00000000-0005-0000-0000-0000FC0E0000}"/>
    <cellStyle name="CABEÇALHO 3 2 7 6 7" xfId="9654" xr:uid="{00000000-0005-0000-0000-0000FD0E0000}"/>
    <cellStyle name="CABEÇALHO 3 2 7 6 8" xfId="10991" xr:uid="{00000000-0005-0000-0000-0000FE0E0000}"/>
    <cellStyle name="CABEÇALHO 3 2 7 7" xfId="1789" xr:uid="{00000000-0005-0000-0000-0000FF0E0000}"/>
    <cellStyle name="CABEÇALHO 3 2 7 7 2" xfId="4669" xr:uid="{00000000-0005-0000-0000-0000000F0000}"/>
    <cellStyle name="CABEÇALHO 3 2 7 7 3" xfId="7981" xr:uid="{00000000-0005-0000-0000-0000010F0000}"/>
    <cellStyle name="CABEÇALHO 3 2 7 7 4" xfId="5829" xr:uid="{00000000-0005-0000-0000-0000020F0000}"/>
    <cellStyle name="CABEÇALHO 3 2 7 7 5" xfId="9615" xr:uid="{00000000-0005-0000-0000-0000030F0000}"/>
    <cellStyle name="CABEÇALHO 3 2 7 7 6" xfId="10180" xr:uid="{00000000-0005-0000-0000-0000040F0000}"/>
    <cellStyle name="CABEÇALHO 3 2 7 8" xfId="2531" xr:uid="{00000000-0005-0000-0000-0000050F0000}"/>
    <cellStyle name="CABEÇALHO 3 2 7 8 2" xfId="5411" xr:uid="{00000000-0005-0000-0000-0000060F0000}"/>
    <cellStyle name="CABEÇALHO 3 2 7 8 3" xfId="7456" xr:uid="{00000000-0005-0000-0000-0000070F0000}"/>
    <cellStyle name="CABEÇALHO 3 2 7 8 4" xfId="7520" xr:uid="{00000000-0005-0000-0000-0000080F0000}"/>
    <cellStyle name="CABEÇALHO 3 2 7 8 5" xfId="8951" xr:uid="{00000000-0005-0000-0000-0000090F0000}"/>
    <cellStyle name="CABEÇALHO 3 2 7 8 6" xfId="11530" xr:uid="{00000000-0005-0000-0000-00000A0F0000}"/>
    <cellStyle name="CABEÇALHO 3 2 7 9" xfId="3528" xr:uid="{00000000-0005-0000-0000-00000B0F0000}"/>
    <cellStyle name="CABEÇALHO 3 2 8" xfId="496" xr:uid="{00000000-0005-0000-0000-00000C0F0000}"/>
    <cellStyle name="CABEÇALHO 3 2 8 10" xfId="5949" xr:uid="{00000000-0005-0000-0000-00000D0F0000}"/>
    <cellStyle name="CABEÇALHO 3 2 8 11" xfId="8915" xr:uid="{00000000-0005-0000-0000-00000E0F0000}"/>
    <cellStyle name="CABEÇALHO 3 2 8 12" xfId="9863" xr:uid="{00000000-0005-0000-0000-00000F0F0000}"/>
    <cellStyle name="CABEÇALHO 3 2 8 13" xfId="11303" xr:uid="{00000000-0005-0000-0000-0000100F0000}"/>
    <cellStyle name="CABEÇALHO 3 2 8 2" xfId="972" xr:uid="{00000000-0005-0000-0000-0000110F0000}"/>
    <cellStyle name="CABEÇALHO 3 2 8 2 2" xfId="2114" xr:uid="{00000000-0005-0000-0000-0000120F0000}"/>
    <cellStyle name="CABEÇALHO 3 2 8 2 2 2" xfId="4994" xr:uid="{00000000-0005-0000-0000-0000130F0000}"/>
    <cellStyle name="CABEÇALHO 3 2 8 2 2 3" xfId="7748" xr:uid="{00000000-0005-0000-0000-0000140F0000}"/>
    <cellStyle name="CABEÇALHO 3 2 8 2 2 4" xfId="9528" xr:uid="{00000000-0005-0000-0000-0000150F0000}"/>
    <cellStyle name="CABEÇALHO 3 2 8 2 2 5" xfId="10754" xr:uid="{00000000-0005-0000-0000-0000160F0000}"/>
    <cellStyle name="CABEÇALHO 3 2 8 2 2 6" xfId="11156" xr:uid="{00000000-0005-0000-0000-0000170F0000}"/>
    <cellStyle name="CABEÇALHO 3 2 8 2 3" xfId="2614" xr:uid="{00000000-0005-0000-0000-0000180F0000}"/>
    <cellStyle name="CABEÇALHO 3 2 8 2 3 2" xfId="5494" xr:uid="{00000000-0005-0000-0000-0000190F0000}"/>
    <cellStyle name="CABEÇALHO 3 2 8 2 3 3" xfId="7832" xr:uid="{00000000-0005-0000-0000-00001A0F0000}"/>
    <cellStyle name="CABEÇALHO 3 2 8 2 3 4" xfId="9175" xr:uid="{00000000-0005-0000-0000-00001B0F0000}"/>
    <cellStyle name="CABEÇALHO 3 2 8 2 3 5" xfId="10491" xr:uid="{00000000-0005-0000-0000-00001C0F0000}"/>
    <cellStyle name="CABEÇALHO 3 2 8 2 3 6" xfId="10788" xr:uid="{00000000-0005-0000-0000-00001D0F0000}"/>
    <cellStyle name="CABEÇALHO 3 2 8 2 4" xfId="3852" xr:uid="{00000000-0005-0000-0000-00001E0F0000}"/>
    <cellStyle name="CABEÇALHO 3 2 8 2 5" xfId="2914" xr:uid="{00000000-0005-0000-0000-00001F0F0000}"/>
    <cellStyle name="CABEÇALHO 3 2 8 2 6" xfId="8032" xr:uid="{00000000-0005-0000-0000-0000200F0000}"/>
    <cellStyle name="CABEÇALHO 3 2 8 2 7" xfId="8762" xr:uid="{00000000-0005-0000-0000-0000210F0000}"/>
    <cellStyle name="CABEÇALHO 3 2 8 2 8" xfId="11348" xr:uid="{00000000-0005-0000-0000-0000220F0000}"/>
    <cellStyle name="CABEÇALHO 3 2 8 3" xfId="1164" xr:uid="{00000000-0005-0000-0000-0000230F0000}"/>
    <cellStyle name="CABEÇALHO 3 2 8 3 2" xfId="2306" xr:uid="{00000000-0005-0000-0000-0000240F0000}"/>
    <cellStyle name="CABEÇALHO 3 2 8 3 2 2" xfId="5186" xr:uid="{00000000-0005-0000-0000-0000250F0000}"/>
    <cellStyle name="CABEÇALHO 3 2 8 3 2 3" xfId="7633" xr:uid="{00000000-0005-0000-0000-0000260F0000}"/>
    <cellStyle name="CABEÇALHO 3 2 8 3 2 4" xfId="9542" xr:uid="{00000000-0005-0000-0000-0000270F0000}"/>
    <cellStyle name="CABEÇALHO 3 2 8 3 2 5" xfId="9666" xr:uid="{00000000-0005-0000-0000-0000280F0000}"/>
    <cellStyle name="CABEÇALHO 3 2 8 3 2 6" xfId="10288" xr:uid="{00000000-0005-0000-0000-0000290F0000}"/>
    <cellStyle name="CABEÇALHO 3 2 8 3 3" xfId="2802" xr:uid="{00000000-0005-0000-0000-00002A0F0000}"/>
    <cellStyle name="CABEÇALHO 3 2 8 3 3 2" xfId="5682" xr:uid="{00000000-0005-0000-0000-00002B0F0000}"/>
    <cellStyle name="CABEÇALHO 3 2 8 3 3 3" xfId="7465" xr:uid="{00000000-0005-0000-0000-00002C0F0000}"/>
    <cellStyle name="CABEÇALHO 3 2 8 3 3 4" xfId="6770" xr:uid="{00000000-0005-0000-0000-00002D0F0000}"/>
    <cellStyle name="CABEÇALHO 3 2 8 3 3 5" xfId="8541" xr:uid="{00000000-0005-0000-0000-00002E0F0000}"/>
    <cellStyle name="CABEÇALHO 3 2 8 3 3 6" xfId="11563" xr:uid="{00000000-0005-0000-0000-00002F0F0000}"/>
    <cellStyle name="CABEÇALHO 3 2 8 3 4" xfId="4044" xr:uid="{00000000-0005-0000-0000-0000300F0000}"/>
    <cellStyle name="CABEÇALHO 3 2 8 3 5" xfId="3060" xr:uid="{00000000-0005-0000-0000-0000310F0000}"/>
    <cellStyle name="CABEÇALHO 3 2 8 3 6" xfId="6370" xr:uid="{00000000-0005-0000-0000-0000320F0000}"/>
    <cellStyle name="CABEÇALHO 3 2 8 3 7" xfId="8594" xr:uid="{00000000-0005-0000-0000-0000330F0000}"/>
    <cellStyle name="CABEÇALHO 3 2 8 3 8" xfId="10319" xr:uid="{00000000-0005-0000-0000-0000340F0000}"/>
    <cellStyle name="CABEÇALHO 3 2 8 4" xfId="1201" xr:uid="{00000000-0005-0000-0000-0000350F0000}"/>
    <cellStyle name="CABEÇALHO 3 2 8 4 2" xfId="2343" xr:uid="{00000000-0005-0000-0000-0000360F0000}"/>
    <cellStyle name="CABEÇALHO 3 2 8 4 2 2" xfId="5223" xr:uid="{00000000-0005-0000-0000-0000370F0000}"/>
    <cellStyle name="CABEÇALHO 3 2 8 4 2 3" xfId="6130" xr:uid="{00000000-0005-0000-0000-0000380F0000}"/>
    <cellStyle name="CABEÇALHO 3 2 8 4 2 4" xfId="8664" xr:uid="{00000000-0005-0000-0000-0000390F0000}"/>
    <cellStyle name="CABEÇALHO 3 2 8 4 2 5" xfId="10381" xr:uid="{00000000-0005-0000-0000-00003A0F0000}"/>
    <cellStyle name="CABEÇALHO 3 2 8 4 2 6" xfId="10489" xr:uid="{00000000-0005-0000-0000-00003B0F0000}"/>
    <cellStyle name="CABEÇALHO 3 2 8 4 3" xfId="2529" xr:uid="{00000000-0005-0000-0000-00003C0F0000}"/>
    <cellStyle name="CABEÇALHO 3 2 8 4 3 2" xfId="5409" xr:uid="{00000000-0005-0000-0000-00003D0F0000}"/>
    <cellStyle name="CABEÇALHO 3 2 8 4 3 3" xfId="6177" xr:uid="{00000000-0005-0000-0000-00003E0F0000}"/>
    <cellStyle name="CABEÇALHO 3 2 8 4 3 4" xfId="9568" xr:uid="{00000000-0005-0000-0000-00003F0F0000}"/>
    <cellStyle name="CABEÇALHO 3 2 8 4 3 5" xfId="10668" xr:uid="{00000000-0005-0000-0000-0000400F0000}"/>
    <cellStyle name="CABEÇALHO 3 2 8 4 3 6" xfId="10990" xr:uid="{00000000-0005-0000-0000-0000410F0000}"/>
    <cellStyle name="CABEÇALHO 3 2 8 4 4" xfId="4081" xr:uid="{00000000-0005-0000-0000-0000420F0000}"/>
    <cellStyle name="CABEÇALHO 3 2 8 4 5" xfId="3073" xr:uid="{00000000-0005-0000-0000-0000430F0000}"/>
    <cellStyle name="CABEÇALHO 3 2 8 4 6" xfId="7892" xr:uid="{00000000-0005-0000-0000-0000440F0000}"/>
    <cellStyle name="CABEÇALHO 3 2 8 4 7" xfId="8434" xr:uid="{00000000-0005-0000-0000-0000450F0000}"/>
    <cellStyle name="CABEÇALHO 3 2 8 4 8" xfId="10409" xr:uid="{00000000-0005-0000-0000-0000460F0000}"/>
    <cellStyle name="CABEÇALHO 3 2 8 5" xfId="718" xr:uid="{00000000-0005-0000-0000-0000470F0000}"/>
    <cellStyle name="CABEÇALHO 3 2 8 5 2" xfId="1860" xr:uid="{00000000-0005-0000-0000-0000480F0000}"/>
    <cellStyle name="CABEÇALHO 3 2 8 5 2 2" xfId="4740" xr:uid="{00000000-0005-0000-0000-0000490F0000}"/>
    <cellStyle name="CABEÇALHO 3 2 8 5 2 3" xfId="7634" xr:uid="{00000000-0005-0000-0000-00004A0F0000}"/>
    <cellStyle name="CABEÇALHO 3 2 8 5 2 4" xfId="8293" xr:uid="{00000000-0005-0000-0000-00004B0F0000}"/>
    <cellStyle name="CABEÇALHO 3 2 8 5 2 5" xfId="10712" xr:uid="{00000000-0005-0000-0000-00004C0F0000}"/>
    <cellStyle name="CABEÇALHO 3 2 8 5 2 6" xfId="8099" xr:uid="{00000000-0005-0000-0000-00004D0F0000}"/>
    <cellStyle name="CABEÇALHO 3 2 8 5 3" xfId="2565" xr:uid="{00000000-0005-0000-0000-00004E0F0000}"/>
    <cellStyle name="CABEÇALHO 3 2 8 5 3 2" xfId="5445" xr:uid="{00000000-0005-0000-0000-00004F0F0000}"/>
    <cellStyle name="CABEÇALHO 3 2 8 5 3 3" xfId="6193" xr:uid="{00000000-0005-0000-0000-0000500F0000}"/>
    <cellStyle name="CABEÇALHO 3 2 8 5 3 4" xfId="9558" xr:uid="{00000000-0005-0000-0000-0000510F0000}"/>
    <cellStyle name="CABEÇALHO 3 2 8 5 3 5" xfId="9637" xr:uid="{00000000-0005-0000-0000-0000520F0000}"/>
    <cellStyle name="CABEÇALHO 3 2 8 5 3 6" xfId="10992" xr:uid="{00000000-0005-0000-0000-0000530F0000}"/>
    <cellStyle name="CABEÇALHO 3 2 8 5 4" xfId="3598" xr:uid="{00000000-0005-0000-0000-0000540F0000}"/>
    <cellStyle name="CABEÇALHO 3 2 8 5 5" xfId="5981" xr:uid="{00000000-0005-0000-0000-0000550F0000}"/>
    <cellStyle name="CABEÇALHO 3 2 8 5 6" xfId="8941" xr:uid="{00000000-0005-0000-0000-0000560F0000}"/>
    <cellStyle name="CABEÇALHO 3 2 8 5 7" xfId="9888" xr:uid="{00000000-0005-0000-0000-0000570F0000}"/>
    <cellStyle name="CABEÇALHO 3 2 8 5 8" xfId="11019" xr:uid="{00000000-0005-0000-0000-0000580F0000}"/>
    <cellStyle name="CABEÇALHO 3 2 8 6" xfId="1200" xr:uid="{00000000-0005-0000-0000-0000590F0000}"/>
    <cellStyle name="CABEÇALHO 3 2 8 6 2" xfId="2342" xr:uid="{00000000-0005-0000-0000-00005A0F0000}"/>
    <cellStyle name="CABEÇALHO 3 2 8 6 2 2" xfId="5222" xr:uid="{00000000-0005-0000-0000-00005B0F0000}"/>
    <cellStyle name="CABEÇALHO 3 2 8 6 2 3" xfId="7221" xr:uid="{00000000-0005-0000-0000-00005C0F0000}"/>
    <cellStyle name="CABEÇALHO 3 2 8 6 2 4" xfId="9230" xr:uid="{00000000-0005-0000-0000-00005D0F0000}"/>
    <cellStyle name="CABEÇALHO 3 2 8 6 2 5" xfId="10547" xr:uid="{00000000-0005-0000-0000-00005E0F0000}"/>
    <cellStyle name="CABEÇALHO 3 2 8 6 2 6" xfId="10870" xr:uid="{00000000-0005-0000-0000-00005F0F0000}"/>
    <cellStyle name="CABEÇALHO 3 2 8 6 3" xfId="1443" xr:uid="{00000000-0005-0000-0000-0000600F0000}"/>
    <cellStyle name="CABEÇALHO 3 2 8 6 3 2" xfId="4323" xr:uid="{00000000-0005-0000-0000-0000610F0000}"/>
    <cellStyle name="CABEÇALHO 3 2 8 6 3 3" xfId="8028" xr:uid="{00000000-0005-0000-0000-0000620F0000}"/>
    <cellStyle name="CABEÇALHO 3 2 8 6 3 4" xfId="9435" xr:uid="{00000000-0005-0000-0000-0000630F0000}"/>
    <cellStyle name="CABEÇALHO 3 2 8 6 3 5" xfId="9717" xr:uid="{00000000-0005-0000-0000-0000640F0000}"/>
    <cellStyle name="CABEÇALHO 3 2 8 6 3 6" xfId="11557" xr:uid="{00000000-0005-0000-0000-0000650F0000}"/>
    <cellStyle name="CABEÇALHO 3 2 8 6 4" xfId="4080" xr:uid="{00000000-0005-0000-0000-0000660F0000}"/>
    <cellStyle name="CABEÇALHO 3 2 8 6 5" xfId="2948" xr:uid="{00000000-0005-0000-0000-0000670F0000}"/>
    <cellStyle name="CABEÇALHO 3 2 8 6 6" xfId="7678" xr:uid="{00000000-0005-0000-0000-0000680F0000}"/>
    <cellStyle name="CABEÇALHO 3 2 8 6 7" xfId="6501" xr:uid="{00000000-0005-0000-0000-0000690F0000}"/>
    <cellStyle name="CABEÇALHO 3 2 8 6 8" xfId="9910" xr:uid="{00000000-0005-0000-0000-00006A0F0000}"/>
    <cellStyle name="CABEÇALHO 3 2 8 7" xfId="1637" xr:uid="{00000000-0005-0000-0000-00006B0F0000}"/>
    <cellStyle name="CABEÇALHO 3 2 8 7 2" xfId="4517" xr:uid="{00000000-0005-0000-0000-00006C0F0000}"/>
    <cellStyle name="CABEÇALHO 3 2 8 7 3" xfId="7023" xr:uid="{00000000-0005-0000-0000-00006D0F0000}"/>
    <cellStyle name="CABEÇALHO 3 2 8 7 4" xfId="8479" xr:uid="{00000000-0005-0000-0000-00006E0F0000}"/>
    <cellStyle name="CABEÇALHO 3 2 8 7 5" xfId="7614" xr:uid="{00000000-0005-0000-0000-00006F0F0000}"/>
    <cellStyle name="CABEÇALHO 3 2 8 7 6" xfId="11514" xr:uid="{00000000-0005-0000-0000-0000700F0000}"/>
    <cellStyle name="CABEÇALHO 3 2 8 8" xfId="2863" xr:uid="{00000000-0005-0000-0000-0000710F0000}"/>
    <cellStyle name="CABEÇALHO 3 2 8 8 2" xfId="5743" xr:uid="{00000000-0005-0000-0000-0000720F0000}"/>
    <cellStyle name="CABEÇALHO 3 2 8 8 3" xfId="6159" xr:uid="{00000000-0005-0000-0000-0000730F0000}"/>
    <cellStyle name="CABEÇALHO 3 2 8 8 4" xfId="8221" xr:uid="{00000000-0005-0000-0000-0000740F0000}"/>
    <cellStyle name="CABEÇALHO 3 2 8 8 5" xfId="8841" xr:uid="{00000000-0005-0000-0000-0000750F0000}"/>
    <cellStyle name="CABEÇALHO 3 2 8 8 6" xfId="10133" xr:uid="{00000000-0005-0000-0000-0000760F0000}"/>
    <cellStyle name="CABEÇALHO 3 2 8 9" xfId="3376" xr:uid="{00000000-0005-0000-0000-0000770F0000}"/>
    <cellStyle name="CABEÇALHO 3 2 9" xfId="938" xr:uid="{00000000-0005-0000-0000-0000780F0000}"/>
    <cellStyle name="CABEÇALHO 3 2 9 2" xfId="2080" xr:uid="{00000000-0005-0000-0000-0000790F0000}"/>
    <cellStyle name="CABEÇALHO 3 2 9 2 2" xfId="4960" xr:uid="{00000000-0005-0000-0000-00007A0F0000}"/>
    <cellStyle name="CABEÇALHO 3 2 9 2 3" xfId="8148" xr:uid="{00000000-0005-0000-0000-00007B0F0000}"/>
    <cellStyle name="CABEÇALHO 3 2 9 2 4" xfId="6943" xr:uid="{00000000-0005-0000-0000-00007C0F0000}"/>
    <cellStyle name="CABEÇALHO 3 2 9 2 5" xfId="3017" xr:uid="{00000000-0005-0000-0000-00007D0F0000}"/>
    <cellStyle name="CABEÇALHO 3 2 9 2 6" xfId="6931" xr:uid="{00000000-0005-0000-0000-00007E0F0000}"/>
    <cellStyle name="CABEÇALHO 3 2 9 3" xfId="2522" xr:uid="{00000000-0005-0000-0000-00007F0F0000}"/>
    <cellStyle name="CABEÇALHO 3 2 9 3 2" xfId="5402" xr:uid="{00000000-0005-0000-0000-0000800F0000}"/>
    <cellStyle name="CABEÇALHO 3 2 9 3 3" xfId="7273" xr:uid="{00000000-0005-0000-0000-0000810F0000}"/>
    <cellStyle name="CABEÇALHO 3 2 9 3 4" xfId="7367" xr:uid="{00000000-0005-0000-0000-0000820F0000}"/>
    <cellStyle name="CABEÇALHO 3 2 9 3 5" xfId="9842" xr:uid="{00000000-0005-0000-0000-0000830F0000}"/>
    <cellStyle name="CABEÇALHO 3 2 9 3 6" xfId="10922" xr:uid="{00000000-0005-0000-0000-0000840F0000}"/>
    <cellStyle name="CABEÇALHO 3 2 9 4" xfId="3818" xr:uid="{00000000-0005-0000-0000-0000850F0000}"/>
    <cellStyle name="CABEÇALHO 3 2 9 5" xfId="6290" xr:uid="{00000000-0005-0000-0000-0000860F0000}"/>
    <cellStyle name="CABEÇALHO 3 2 9 6" xfId="8397" xr:uid="{00000000-0005-0000-0000-0000870F0000}"/>
    <cellStyle name="CABEÇALHO 3 2 9 7" xfId="7947" xr:uid="{00000000-0005-0000-0000-0000880F0000}"/>
    <cellStyle name="CABEÇALHO 3 2 9 8" xfId="9510" xr:uid="{00000000-0005-0000-0000-0000890F0000}"/>
    <cellStyle name="CABEÇALHO 3 20" xfId="713" xr:uid="{00000000-0005-0000-0000-00008A0F0000}"/>
    <cellStyle name="CABEÇALHO 3 20 2" xfId="1855" xr:uid="{00000000-0005-0000-0000-00008B0F0000}"/>
    <cellStyle name="CABEÇALHO 3 20 2 2" xfId="4735" xr:uid="{00000000-0005-0000-0000-00008C0F0000}"/>
    <cellStyle name="CABEÇALHO 3 20 2 3" xfId="6576" xr:uid="{00000000-0005-0000-0000-00008D0F0000}"/>
    <cellStyle name="CABEÇALHO 3 20 2 4" xfId="9072" xr:uid="{00000000-0005-0000-0000-00008E0F0000}"/>
    <cellStyle name="CABEÇALHO 3 20 2 5" xfId="10459" xr:uid="{00000000-0005-0000-0000-00008F0F0000}"/>
    <cellStyle name="CABEÇALHO 3 20 2 6" xfId="10182" xr:uid="{00000000-0005-0000-0000-0000900F0000}"/>
    <cellStyle name="CABEÇALHO 3 20 3" xfId="2702" xr:uid="{00000000-0005-0000-0000-0000910F0000}"/>
    <cellStyle name="CABEÇALHO 3 20 3 2" xfId="5582" xr:uid="{00000000-0005-0000-0000-0000920F0000}"/>
    <cellStyle name="CABEÇALHO 3 20 3 3" xfId="7935" xr:uid="{00000000-0005-0000-0000-0000930F0000}"/>
    <cellStyle name="CABEÇALHO 3 20 3 4" xfId="9225" xr:uid="{00000000-0005-0000-0000-0000940F0000}"/>
    <cellStyle name="CABEÇALHO 3 20 3 5" xfId="10797" xr:uid="{00000000-0005-0000-0000-0000950F0000}"/>
    <cellStyle name="CABEÇALHO 3 20 3 6" xfId="9933" xr:uid="{00000000-0005-0000-0000-0000960F0000}"/>
    <cellStyle name="CABEÇALHO 3 20 4" xfId="3593" xr:uid="{00000000-0005-0000-0000-0000970F0000}"/>
    <cellStyle name="CABEÇALHO 3 20 5" xfId="7353" xr:uid="{00000000-0005-0000-0000-0000980F0000}"/>
    <cellStyle name="CABEÇALHO 3 20 6" xfId="7282" xr:uid="{00000000-0005-0000-0000-0000990F0000}"/>
    <cellStyle name="CABEÇALHO 3 20 7" xfId="8896" xr:uid="{00000000-0005-0000-0000-00009A0F0000}"/>
    <cellStyle name="CABEÇALHO 3 20 8" xfId="10303" xr:uid="{00000000-0005-0000-0000-00009B0F0000}"/>
    <cellStyle name="CABEÇALHO 3 21" xfId="1213" xr:uid="{00000000-0005-0000-0000-00009C0F0000}"/>
    <cellStyle name="CABEÇALHO 3 21 2" xfId="2355" xr:uid="{00000000-0005-0000-0000-00009D0F0000}"/>
    <cellStyle name="CABEÇALHO 3 21 2 2" xfId="5235" xr:uid="{00000000-0005-0000-0000-00009E0F0000}"/>
    <cellStyle name="CABEÇALHO 3 21 2 3" xfId="7003" xr:uid="{00000000-0005-0000-0000-00009F0F0000}"/>
    <cellStyle name="CABEÇALHO 3 21 2 4" xfId="9320" xr:uid="{00000000-0005-0000-0000-0000A00F0000}"/>
    <cellStyle name="CABEÇALHO 3 21 2 5" xfId="10699" xr:uid="{00000000-0005-0000-0000-0000A10F0000}"/>
    <cellStyle name="CABEÇALHO 3 21 2 6" xfId="10146" xr:uid="{00000000-0005-0000-0000-0000A20F0000}"/>
    <cellStyle name="CABEÇALHO 3 21 3" xfId="1460" xr:uid="{00000000-0005-0000-0000-0000A30F0000}"/>
    <cellStyle name="CABEÇALHO 3 21 3 2" xfId="4340" xr:uid="{00000000-0005-0000-0000-0000A40F0000}"/>
    <cellStyle name="CABEÇALHO 3 21 3 3" xfId="6566" xr:uid="{00000000-0005-0000-0000-0000A50F0000}"/>
    <cellStyle name="CABEÇALHO 3 21 3 4" xfId="7384" xr:uid="{00000000-0005-0000-0000-0000A60F0000}"/>
    <cellStyle name="CABEÇALHO 3 21 3 5" xfId="9857" xr:uid="{00000000-0005-0000-0000-0000A70F0000}"/>
    <cellStyle name="CABEÇALHO 3 21 3 6" xfId="11192" xr:uid="{00000000-0005-0000-0000-0000A80F0000}"/>
    <cellStyle name="CABEÇALHO 3 21 4" xfId="4093" xr:uid="{00000000-0005-0000-0000-0000A90F0000}"/>
    <cellStyle name="CABEÇALHO 3 21 5" xfId="3082" xr:uid="{00000000-0005-0000-0000-0000AA0F0000}"/>
    <cellStyle name="CABEÇALHO 3 21 6" xfId="6885" xr:uid="{00000000-0005-0000-0000-0000AB0F0000}"/>
    <cellStyle name="CABEÇALHO 3 21 7" xfId="9583" xr:uid="{00000000-0005-0000-0000-0000AC0F0000}"/>
    <cellStyle name="CABEÇALHO 3 21 8" xfId="11009" xr:uid="{00000000-0005-0000-0000-0000AD0F0000}"/>
    <cellStyle name="CABEÇALHO 3 22" xfId="675" xr:uid="{00000000-0005-0000-0000-0000AE0F0000}"/>
    <cellStyle name="CABEÇALHO 3 22 2" xfId="1817" xr:uid="{00000000-0005-0000-0000-0000AF0F0000}"/>
    <cellStyle name="CABEÇALHO 3 22 2 2" xfId="4697" xr:uid="{00000000-0005-0000-0000-0000B00F0000}"/>
    <cellStyle name="CABEÇALHO 3 22 2 3" xfId="7938" xr:uid="{00000000-0005-0000-0000-0000B10F0000}"/>
    <cellStyle name="CABEÇALHO 3 22 2 4" xfId="6470" xr:uid="{00000000-0005-0000-0000-0000B20F0000}"/>
    <cellStyle name="CABEÇALHO 3 22 2 5" xfId="9690" xr:uid="{00000000-0005-0000-0000-0000B30F0000}"/>
    <cellStyle name="CABEÇALHO 3 22 2 6" xfId="11237" xr:uid="{00000000-0005-0000-0000-0000B40F0000}"/>
    <cellStyle name="CABEÇALHO 3 22 3" xfId="1400" xr:uid="{00000000-0005-0000-0000-0000B50F0000}"/>
    <cellStyle name="CABEÇALHO 3 22 3 2" xfId="4280" xr:uid="{00000000-0005-0000-0000-0000B60F0000}"/>
    <cellStyle name="CABEÇALHO 3 22 3 3" xfId="6350" xr:uid="{00000000-0005-0000-0000-0000B70F0000}"/>
    <cellStyle name="CABEÇALHO 3 22 3 4" xfId="6067" xr:uid="{00000000-0005-0000-0000-0000B80F0000}"/>
    <cellStyle name="CABEÇALHO 3 22 3 5" xfId="7772" xr:uid="{00000000-0005-0000-0000-0000B90F0000}"/>
    <cellStyle name="CABEÇALHO 3 22 3 6" xfId="11580" xr:uid="{00000000-0005-0000-0000-0000BA0F0000}"/>
    <cellStyle name="CABEÇALHO 3 22 4" xfId="3555" xr:uid="{00000000-0005-0000-0000-0000BB0F0000}"/>
    <cellStyle name="CABEÇALHO 3 22 5" xfId="5858" xr:uid="{00000000-0005-0000-0000-0000BC0F0000}"/>
    <cellStyle name="CABEÇALHO 3 22 6" xfId="7372" xr:uid="{00000000-0005-0000-0000-0000BD0F0000}"/>
    <cellStyle name="CABEÇALHO 3 22 7" xfId="10286" xr:uid="{00000000-0005-0000-0000-0000BE0F0000}"/>
    <cellStyle name="CABEÇALHO 3 22 8" xfId="11341" xr:uid="{00000000-0005-0000-0000-0000BF0F0000}"/>
    <cellStyle name="CABEÇALHO 3 23" xfId="1483" xr:uid="{00000000-0005-0000-0000-0000C00F0000}"/>
    <cellStyle name="CABEÇALHO 3 23 2" xfId="4363" xr:uid="{00000000-0005-0000-0000-0000C10F0000}"/>
    <cellStyle name="CABEÇALHO 3 23 3" xfId="7216" xr:uid="{00000000-0005-0000-0000-0000C20F0000}"/>
    <cellStyle name="CABEÇALHO 3 23 4" xfId="8659" xr:uid="{00000000-0005-0000-0000-0000C30F0000}"/>
    <cellStyle name="CABEÇALHO 3 23 5" xfId="10055" xr:uid="{00000000-0005-0000-0000-0000C40F0000}"/>
    <cellStyle name="CABEÇALHO 3 23 6" xfId="10280" xr:uid="{00000000-0005-0000-0000-0000C50F0000}"/>
    <cellStyle name="CABEÇALHO 3 24" xfId="2821" xr:uid="{00000000-0005-0000-0000-0000C60F0000}"/>
    <cellStyle name="CABEÇALHO 3 24 2" xfId="5701" xr:uid="{00000000-0005-0000-0000-0000C70F0000}"/>
    <cellStyle name="CABEÇALHO 3 24 3" xfId="6374" xr:uid="{00000000-0005-0000-0000-0000C80F0000}"/>
    <cellStyle name="CABEÇALHO 3 24 4" xfId="9341" xr:uid="{00000000-0005-0000-0000-0000C90F0000}"/>
    <cellStyle name="CABEÇALHO 3 24 5" xfId="10561" xr:uid="{00000000-0005-0000-0000-0000CA0F0000}"/>
    <cellStyle name="CABEÇALHO 3 24 6" xfId="11128" xr:uid="{00000000-0005-0000-0000-0000CB0F0000}"/>
    <cellStyle name="CABEÇALHO 3 25" xfId="2525" xr:uid="{00000000-0005-0000-0000-0000CC0F0000}"/>
    <cellStyle name="CABEÇALHO 3 25 2" xfId="5405" xr:uid="{00000000-0005-0000-0000-0000CD0F0000}"/>
    <cellStyle name="CABEÇALHO 3 25 3" xfId="7628" xr:uid="{00000000-0005-0000-0000-0000CE0F0000}"/>
    <cellStyle name="CABEÇALHO 3 25 4" xfId="7786" xr:uid="{00000000-0005-0000-0000-0000CF0F0000}"/>
    <cellStyle name="CABEÇALHO 3 25 5" xfId="7965" xr:uid="{00000000-0005-0000-0000-0000D00F0000}"/>
    <cellStyle name="CABEÇALHO 3 25 6" xfId="11322" xr:uid="{00000000-0005-0000-0000-0000D10F0000}"/>
    <cellStyle name="CABEÇALHO 3 26" xfId="3221" xr:uid="{00000000-0005-0000-0000-0000D20F0000}"/>
    <cellStyle name="CABEÇALHO 3 27" xfId="5782" xr:uid="{00000000-0005-0000-0000-0000D30F0000}"/>
    <cellStyle name="CABEÇALHO 3 28" xfId="5823" xr:uid="{00000000-0005-0000-0000-0000D40F0000}"/>
    <cellStyle name="CABEÇALHO 3 29" xfId="7248" xr:uid="{00000000-0005-0000-0000-0000D50F0000}"/>
    <cellStyle name="CABEÇALHO 3 3" xfId="406" xr:uid="{00000000-0005-0000-0000-0000D60F0000}"/>
    <cellStyle name="CABEÇALHO 3 3 10" xfId="1145" xr:uid="{00000000-0005-0000-0000-0000D70F0000}"/>
    <cellStyle name="CABEÇALHO 3 3 10 2" xfId="2287" xr:uid="{00000000-0005-0000-0000-0000D80F0000}"/>
    <cellStyle name="CABEÇALHO 3 3 10 2 2" xfId="5167" xr:uid="{00000000-0005-0000-0000-0000D90F0000}"/>
    <cellStyle name="CABEÇALHO 3 3 10 2 3" xfId="7825" xr:uid="{00000000-0005-0000-0000-0000DA0F0000}"/>
    <cellStyle name="CABEÇALHO 3 3 10 2 4" xfId="2966" xr:uid="{00000000-0005-0000-0000-0000DB0F0000}"/>
    <cellStyle name="CABEÇALHO 3 3 10 2 5" xfId="9614" xr:uid="{00000000-0005-0000-0000-0000DC0F0000}"/>
    <cellStyle name="CABEÇALHO 3 3 10 2 6" xfId="9981" xr:uid="{00000000-0005-0000-0000-0000DD0F0000}"/>
    <cellStyle name="CABEÇALHO 3 3 10 3" xfId="2633" xr:uid="{00000000-0005-0000-0000-0000DE0F0000}"/>
    <cellStyle name="CABEÇALHO 3 3 10 3 2" xfId="5513" xr:uid="{00000000-0005-0000-0000-0000DF0F0000}"/>
    <cellStyle name="CABEÇALHO 3 3 10 3 3" xfId="7752" xr:uid="{00000000-0005-0000-0000-0000E00F0000}"/>
    <cellStyle name="CABEÇALHO 3 3 10 3 4" xfId="7376" xr:uid="{00000000-0005-0000-0000-0000E10F0000}"/>
    <cellStyle name="CABEÇALHO 3 3 10 3 5" xfId="9619" xr:uid="{00000000-0005-0000-0000-0000E20F0000}"/>
    <cellStyle name="CABEÇALHO 3 3 10 3 6" xfId="10796" xr:uid="{00000000-0005-0000-0000-0000E30F0000}"/>
    <cellStyle name="CABEÇALHO 3 3 10 4" xfId="4025" xr:uid="{00000000-0005-0000-0000-0000E40F0000}"/>
    <cellStyle name="CABEÇALHO 3 3 10 5" xfId="2933" xr:uid="{00000000-0005-0000-0000-0000E50F0000}"/>
    <cellStyle name="CABEÇALHO 3 3 10 6" xfId="7427" xr:uid="{00000000-0005-0000-0000-0000E60F0000}"/>
    <cellStyle name="CABEÇALHO 3 3 10 7" xfId="5969" xr:uid="{00000000-0005-0000-0000-0000E70F0000}"/>
    <cellStyle name="CABEÇALHO 3 3 10 8" xfId="8855" xr:uid="{00000000-0005-0000-0000-0000E80F0000}"/>
    <cellStyle name="CABEÇALHO 3 3 11" xfId="1207" xr:uid="{00000000-0005-0000-0000-0000E90F0000}"/>
    <cellStyle name="CABEÇALHO 3 3 11 2" xfId="2349" xr:uid="{00000000-0005-0000-0000-0000EA0F0000}"/>
    <cellStyle name="CABEÇALHO 3 3 11 2 2" xfId="5229" xr:uid="{00000000-0005-0000-0000-0000EB0F0000}"/>
    <cellStyle name="CABEÇALHO 3 3 11 2 3" xfId="7622" xr:uid="{00000000-0005-0000-0000-0000EC0F0000}"/>
    <cellStyle name="CABEÇALHO 3 3 11 2 4" xfId="8318" xr:uid="{00000000-0005-0000-0000-0000ED0F0000}"/>
    <cellStyle name="CABEÇALHO 3 3 11 2 5" xfId="10080" xr:uid="{00000000-0005-0000-0000-0000EE0F0000}"/>
    <cellStyle name="CABEÇALHO 3 3 11 2 6" xfId="10645" xr:uid="{00000000-0005-0000-0000-0000EF0F0000}"/>
    <cellStyle name="CABEÇALHO 3 3 11 3" xfId="1457" xr:uid="{00000000-0005-0000-0000-0000F00F0000}"/>
    <cellStyle name="CABEÇALHO 3 3 11 3 2" xfId="4337" xr:uid="{00000000-0005-0000-0000-0000F10F0000}"/>
    <cellStyle name="CABEÇALHO 3 3 11 3 3" xfId="7034" xr:uid="{00000000-0005-0000-0000-0000F20F0000}"/>
    <cellStyle name="CABEÇALHO 3 3 11 3 4" xfId="8490" xr:uid="{00000000-0005-0000-0000-0000F30F0000}"/>
    <cellStyle name="CABEÇALHO 3 3 11 3 5" xfId="8357" xr:uid="{00000000-0005-0000-0000-0000F40F0000}"/>
    <cellStyle name="CABEÇALHO 3 3 11 3 6" xfId="11512" xr:uid="{00000000-0005-0000-0000-0000F50F0000}"/>
    <cellStyle name="CABEÇALHO 3 3 11 4" xfId="4087" xr:uid="{00000000-0005-0000-0000-0000F60F0000}"/>
    <cellStyle name="CABEÇALHO 3 3 11 5" xfId="3077" xr:uid="{00000000-0005-0000-0000-0000F70F0000}"/>
    <cellStyle name="CABEÇALHO 3 3 11 6" xfId="5824" xr:uid="{00000000-0005-0000-0000-0000F80F0000}"/>
    <cellStyle name="CABEÇALHO 3 3 11 7" xfId="6071" xr:uid="{00000000-0005-0000-0000-0000F90F0000}"/>
    <cellStyle name="CABEÇALHO 3 3 11 8" xfId="9018" xr:uid="{00000000-0005-0000-0000-0000FA0F0000}"/>
    <cellStyle name="CABEÇALHO 3 3 12" xfId="678" xr:uid="{00000000-0005-0000-0000-0000FB0F0000}"/>
    <cellStyle name="CABEÇALHO 3 3 12 2" xfId="1820" xr:uid="{00000000-0005-0000-0000-0000FC0F0000}"/>
    <cellStyle name="CABEÇALHO 3 3 12 2 2" xfId="4700" xr:uid="{00000000-0005-0000-0000-0000FD0F0000}"/>
    <cellStyle name="CABEÇALHO 3 3 12 2 3" xfId="7801" xr:uid="{00000000-0005-0000-0000-0000FE0F0000}"/>
    <cellStyle name="CABEÇALHO 3 3 12 2 4" xfId="9581" xr:uid="{00000000-0005-0000-0000-0000FF0F0000}"/>
    <cellStyle name="CABEÇALHO 3 3 12 2 5" xfId="8557" xr:uid="{00000000-0005-0000-0000-000000100000}"/>
    <cellStyle name="CABEÇALHO 3 3 12 2 6" xfId="10849" xr:uid="{00000000-0005-0000-0000-000001100000}"/>
    <cellStyle name="CABEÇALHO 3 3 12 3" xfId="1463" xr:uid="{00000000-0005-0000-0000-000002100000}"/>
    <cellStyle name="CABEÇALHO 3 3 12 3 2" xfId="4343" xr:uid="{00000000-0005-0000-0000-000003100000}"/>
    <cellStyle name="CABEÇALHO 3 3 12 3 3" xfId="6559" xr:uid="{00000000-0005-0000-0000-000004100000}"/>
    <cellStyle name="CABEÇALHO 3 3 12 3 4" xfId="7084" xr:uid="{00000000-0005-0000-0000-000005100000}"/>
    <cellStyle name="CABEÇALHO 3 3 12 3 5" xfId="6648" xr:uid="{00000000-0005-0000-0000-000006100000}"/>
    <cellStyle name="CABEÇALHO 3 3 12 3 6" xfId="8730" xr:uid="{00000000-0005-0000-0000-000007100000}"/>
    <cellStyle name="CABEÇALHO 3 3 12 4" xfId="3558" xr:uid="{00000000-0005-0000-0000-000008100000}"/>
    <cellStyle name="CABEÇALHO 3 3 12 5" xfId="6911" xr:uid="{00000000-0005-0000-0000-000009100000}"/>
    <cellStyle name="CABEÇALHO 3 3 12 6" xfId="5833" xr:uid="{00000000-0005-0000-0000-00000A100000}"/>
    <cellStyle name="CABEÇALHO 3 3 12 7" xfId="5948" xr:uid="{00000000-0005-0000-0000-00000B100000}"/>
    <cellStyle name="CABEÇALHO 3 3 12 8" xfId="11266" xr:uid="{00000000-0005-0000-0000-00000C100000}"/>
    <cellStyle name="CABEÇALHO 3 3 13" xfId="1174" xr:uid="{00000000-0005-0000-0000-00000D100000}"/>
    <cellStyle name="CABEÇALHO 3 3 13 2" xfId="2316" xr:uid="{00000000-0005-0000-0000-00000E100000}"/>
    <cellStyle name="CABEÇALHO 3 3 13 2 2" xfId="5196" xr:uid="{00000000-0005-0000-0000-00000F100000}"/>
    <cellStyle name="CABEÇALHO 3 3 13 2 3" xfId="7161" xr:uid="{00000000-0005-0000-0000-000010100000}"/>
    <cellStyle name="CABEÇALHO 3 3 13 2 4" xfId="9442" xr:uid="{00000000-0005-0000-0000-000011100000}"/>
    <cellStyle name="CABEÇALHO 3 3 13 2 5" xfId="10203" xr:uid="{00000000-0005-0000-0000-000012100000}"/>
    <cellStyle name="CABEÇALHO 3 3 13 2 6" xfId="10117" xr:uid="{00000000-0005-0000-0000-000013100000}"/>
    <cellStyle name="CABEÇALHO 3 3 13 3" xfId="2801" xr:uid="{00000000-0005-0000-0000-000014100000}"/>
    <cellStyle name="CABEÇALHO 3 3 13 3 2" xfId="5681" xr:uid="{00000000-0005-0000-0000-000015100000}"/>
    <cellStyle name="CABEÇALHO 3 3 13 3 3" xfId="7922" xr:uid="{00000000-0005-0000-0000-000016100000}"/>
    <cellStyle name="CABEÇALHO 3 3 13 3 4" xfId="8635" xr:uid="{00000000-0005-0000-0000-000017100000}"/>
    <cellStyle name="CABEÇALHO 3 3 13 3 5" xfId="10400" xr:uid="{00000000-0005-0000-0000-000018100000}"/>
    <cellStyle name="CABEÇALHO 3 3 13 3 6" xfId="11056" xr:uid="{00000000-0005-0000-0000-000019100000}"/>
    <cellStyle name="CABEÇALHO 3 3 13 4" xfId="4054" xr:uid="{00000000-0005-0000-0000-00001A100000}"/>
    <cellStyle name="CABEÇALHO 3 3 13 5" xfId="3175" xr:uid="{00000000-0005-0000-0000-00001B100000}"/>
    <cellStyle name="CABEÇALHO 3 3 13 6" xfId="2987" xr:uid="{00000000-0005-0000-0000-00001C100000}"/>
    <cellStyle name="CABEÇALHO 3 3 13 7" xfId="7046" xr:uid="{00000000-0005-0000-0000-00001D100000}"/>
    <cellStyle name="CABEÇALHO 3 3 13 8" xfId="7090" xr:uid="{00000000-0005-0000-0000-00001E100000}"/>
    <cellStyle name="CABEÇALHO 3 3 14" xfId="1548" xr:uid="{00000000-0005-0000-0000-00001F100000}"/>
    <cellStyle name="CABEÇALHO 3 3 14 2" xfId="4428" xr:uid="{00000000-0005-0000-0000-000020100000}"/>
    <cellStyle name="CABEÇALHO 3 3 14 3" xfId="7848" xr:uid="{00000000-0005-0000-0000-000021100000}"/>
    <cellStyle name="CABEÇALHO 3 3 14 4" xfId="9260" xr:uid="{00000000-0005-0000-0000-000022100000}"/>
    <cellStyle name="CABEÇALHO 3 3 14 5" xfId="10654" xr:uid="{00000000-0005-0000-0000-000023100000}"/>
    <cellStyle name="CABEÇALHO 3 3 14 6" xfId="11660" xr:uid="{00000000-0005-0000-0000-000024100000}"/>
    <cellStyle name="CABEÇALHO 3 3 15" xfId="1428" xr:uid="{00000000-0005-0000-0000-000025100000}"/>
    <cellStyle name="CABEÇALHO 3 3 15 2" xfId="4308" xr:uid="{00000000-0005-0000-0000-000026100000}"/>
    <cellStyle name="CABEÇALHO 3 3 15 3" xfId="6803" xr:uid="{00000000-0005-0000-0000-000027100000}"/>
    <cellStyle name="CABEÇALHO 3 3 15 4" xfId="8272" xr:uid="{00000000-0005-0000-0000-000028100000}"/>
    <cellStyle name="CABEÇALHO 3 3 15 5" xfId="10686" xr:uid="{00000000-0005-0000-0000-000029100000}"/>
    <cellStyle name="CABEÇALHO 3 3 15 6" xfId="11074" xr:uid="{00000000-0005-0000-0000-00002A100000}"/>
    <cellStyle name="CABEÇALHO 3 3 16" xfId="3286" xr:uid="{00000000-0005-0000-0000-00002B100000}"/>
    <cellStyle name="CABEÇALHO 3 3 17" xfId="6287" xr:uid="{00000000-0005-0000-0000-00002C100000}"/>
    <cellStyle name="CABEÇALHO 3 3 18" xfId="8395" xr:uid="{00000000-0005-0000-0000-00002D100000}"/>
    <cellStyle name="CABEÇALHO 3 3 19" xfId="8782" xr:uid="{00000000-0005-0000-0000-00002E100000}"/>
    <cellStyle name="CABEÇALHO 3 3 2" xfId="642" xr:uid="{00000000-0005-0000-0000-00002F100000}"/>
    <cellStyle name="CABEÇALHO 3 3 2 10" xfId="2998" xr:uid="{00000000-0005-0000-0000-000030100000}"/>
    <cellStyle name="CABEÇALHO 3 3 2 11" xfId="6751" xr:uid="{00000000-0005-0000-0000-000031100000}"/>
    <cellStyle name="CABEÇALHO 3 3 2 12" xfId="9266" xr:uid="{00000000-0005-0000-0000-000032100000}"/>
    <cellStyle name="CABEÇALHO 3 3 2 13" xfId="11201" xr:uid="{00000000-0005-0000-0000-000033100000}"/>
    <cellStyle name="CABEÇALHO 3 3 2 2" xfId="1118" xr:uid="{00000000-0005-0000-0000-000034100000}"/>
    <cellStyle name="CABEÇALHO 3 3 2 2 2" xfId="2260" xr:uid="{00000000-0005-0000-0000-000035100000}"/>
    <cellStyle name="CABEÇALHO 3 3 2 2 2 2" xfId="5140" xr:uid="{00000000-0005-0000-0000-000036100000}"/>
    <cellStyle name="CABEÇALHO 3 3 2 2 2 3" xfId="5937" xr:uid="{00000000-0005-0000-0000-000037100000}"/>
    <cellStyle name="CABEÇALHO 3 3 2 2 2 4" xfId="7029" xr:uid="{00000000-0005-0000-0000-000038100000}"/>
    <cellStyle name="CABEÇALHO 3 3 2 2 2 5" xfId="9144" xr:uid="{00000000-0005-0000-0000-000039100000}"/>
    <cellStyle name="CABEÇALHO 3 3 2 2 2 6" xfId="11441" xr:uid="{00000000-0005-0000-0000-00003A100000}"/>
    <cellStyle name="CABEÇALHO 3 3 2 2 3" xfId="2558" xr:uid="{00000000-0005-0000-0000-00003B100000}"/>
    <cellStyle name="CABEÇALHO 3 3 2 2 3 2" xfId="5438" xr:uid="{00000000-0005-0000-0000-00003C100000}"/>
    <cellStyle name="CABEÇALHO 3 3 2 2 3 3" xfId="7765" xr:uid="{00000000-0005-0000-0000-00003D100000}"/>
    <cellStyle name="CABEÇALHO 3 3 2 2 3 4" xfId="6457" xr:uid="{00000000-0005-0000-0000-00003E100000}"/>
    <cellStyle name="CABEÇALHO 3 3 2 2 3 5" xfId="9949" xr:uid="{00000000-0005-0000-0000-00003F100000}"/>
    <cellStyle name="CABEÇALHO 3 3 2 2 3 6" xfId="10942" xr:uid="{00000000-0005-0000-0000-000040100000}"/>
    <cellStyle name="CABEÇALHO 3 3 2 2 4" xfId="3998" xr:uid="{00000000-0005-0000-0000-000041100000}"/>
    <cellStyle name="CABEÇALHO 3 3 2 2 5" xfId="7057" xr:uid="{00000000-0005-0000-0000-000042100000}"/>
    <cellStyle name="CABEÇALHO 3 3 2 2 6" xfId="8780" xr:uid="{00000000-0005-0000-0000-000043100000}"/>
    <cellStyle name="CABEÇALHO 3 3 2 2 7" xfId="9750" xr:uid="{00000000-0005-0000-0000-000044100000}"/>
    <cellStyle name="CABEÇALHO 3 3 2 2 8" xfId="7468" xr:uid="{00000000-0005-0000-0000-000045100000}"/>
    <cellStyle name="CABEÇALHO 3 3 2 3" xfId="773" xr:uid="{00000000-0005-0000-0000-000046100000}"/>
    <cellStyle name="CABEÇALHO 3 3 2 3 2" xfId="1915" xr:uid="{00000000-0005-0000-0000-000047100000}"/>
    <cellStyle name="CABEÇALHO 3 3 2 3 2 2" xfId="4795" xr:uid="{00000000-0005-0000-0000-000048100000}"/>
    <cellStyle name="CABEÇALHO 3 3 2 3 2 3" xfId="6755" xr:uid="{00000000-0005-0000-0000-000049100000}"/>
    <cellStyle name="CABEÇALHO 3 3 2 3 2 4" xfId="3184" xr:uid="{00000000-0005-0000-0000-00004A100000}"/>
    <cellStyle name="CABEÇALHO 3 3 2 3 2 5" xfId="7346" xr:uid="{00000000-0005-0000-0000-00004B100000}"/>
    <cellStyle name="CABEÇALHO 3 3 2 3 2 6" xfId="10154" xr:uid="{00000000-0005-0000-0000-00004C100000}"/>
    <cellStyle name="CABEÇALHO 3 3 2 3 3" xfId="2516" xr:uid="{00000000-0005-0000-0000-00004D100000}"/>
    <cellStyle name="CABEÇALHO 3 3 2 3 3 2" xfId="5396" xr:uid="{00000000-0005-0000-0000-00004E100000}"/>
    <cellStyle name="CABEÇALHO 3 3 2 3 3 3" xfId="6759" xr:uid="{00000000-0005-0000-0000-00004F100000}"/>
    <cellStyle name="CABEÇALHO 3 3 2 3 3 4" xfId="7082" xr:uid="{00000000-0005-0000-0000-000050100000}"/>
    <cellStyle name="CABEÇALHO 3 3 2 3 3 5" xfId="8813" xr:uid="{00000000-0005-0000-0000-000051100000}"/>
    <cellStyle name="CABEÇALHO 3 3 2 3 3 6" xfId="8325" xr:uid="{00000000-0005-0000-0000-000052100000}"/>
    <cellStyle name="CABEÇALHO 3 3 2 3 4" xfId="3653" xr:uid="{00000000-0005-0000-0000-000053100000}"/>
    <cellStyle name="CABEÇALHO 3 3 2 3 5" xfId="7126" xr:uid="{00000000-0005-0000-0000-000054100000}"/>
    <cellStyle name="CABEÇALHO 3 3 2 3 6" xfId="8845" xr:uid="{00000000-0005-0000-0000-000055100000}"/>
    <cellStyle name="CABEÇALHO 3 3 2 3 7" xfId="9799" xr:uid="{00000000-0005-0000-0000-000056100000}"/>
    <cellStyle name="CABEÇALHO 3 3 2 3 8" xfId="9945" xr:uid="{00000000-0005-0000-0000-000057100000}"/>
    <cellStyle name="CABEÇALHO 3 3 2 4" xfId="1258" xr:uid="{00000000-0005-0000-0000-000058100000}"/>
    <cellStyle name="CABEÇALHO 3 3 2 4 2" xfId="2400" xr:uid="{00000000-0005-0000-0000-000059100000}"/>
    <cellStyle name="CABEÇALHO 3 3 2 4 2 2" xfId="5280" xr:uid="{00000000-0005-0000-0000-00005A100000}"/>
    <cellStyle name="CABEÇALHO 3 3 2 4 2 3" xfId="6660" xr:uid="{00000000-0005-0000-0000-00005B100000}"/>
    <cellStyle name="CABEÇALHO 3 3 2 4 2 4" xfId="9149" xr:uid="{00000000-0005-0000-0000-00005C100000}"/>
    <cellStyle name="CABEÇALHO 3 3 2 4 2 5" xfId="10467" xr:uid="{00000000-0005-0000-0000-00005D100000}"/>
    <cellStyle name="CABEÇALHO 3 3 2 4 2 6" xfId="6830" xr:uid="{00000000-0005-0000-0000-00005E100000}"/>
    <cellStyle name="CABEÇALHO 3 3 2 4 3" xfId="2560" xr:uid="{00000000-0005-0000-0000-00005F100000}"/>
    <cellStyle name="CABEÇALHO 3 3 2 4 3 2" xfId="5440" xr:uid="{00000000-0005-0000-0000-000060100000}"/>
    <cellStyle name="CABEÇALHO 3 3 2 4 3 3" xfId="6767" xr:uid="{00000000-0005-0000-0000-000061100000}"/>
    <cellStyle name="CABEÇALHO 3 3 2 4 3 4" xfId="9180" xr:uid="{00000000-0005-0000-0000-000062100000}"/>
    <cellStyle name="CABEÇALHO 3 3 2 4 3 5" xfId="10495" xr:uid="{00000000-0005-0000-0000-000063100000}"/>
    <cellStyle name="CABEÇALHO 3 3 2 4 3 6" xfId="8980" xr:uid="{00000000-0005-0000-0000-000064100000}"/>
    <cellStyle name="CABEÇALHO 3 3 2 4 4" xfId="4138" xr:uid="{00000000-0005-0000-0000-000065100000}"/>
    <cellStyle name="CABEÇALHO 3 3 2 4 5" xfId="5831" xr:uid="{00000000-0005-0000-0000-000066100000}"/>
    <cellStyle name="CABEÇALHO 3 3 2 4 6" xfId="6697" xr:uid="{00000000-0005-0000-0000-000067100000}"/>
    <cellStyle name="CABEÇALHO 3 3 2 4 7" xfId="8349" xr:uid="{00000000-0005-0000-0000-000068100000}"/>
    <cellStyle name="CABEÇALHO 3 3 2 4 8" xfId="10502" xr:uid="{00000000-0005-0000-0000-000069100000}"/>
    <cellStyle name="CABEÇALHO 3 3 2 5" xfId="1291" xr:uid="{00000000-0005-0000-0000-00006A100000}"/>
    <cellStyle name="CABEÇALHO 3 3 2 5 2" xfId="2433" xr:uid="{00000000-0005-0000-0000-00006B100000}"/>
    <cellStyle name="CABEÇALHO 3 3 2 5 2 2" xfId="5313" xr:uid="{00000000-0005-0000-0000-00006C100000}"/>
    <cellStyle name="CABEÇALHO 3 3 2 5 2 3" xfId="6685" xr:uid="{00000000-0005-0000-0000-00006D100000}"/>
    <cellStyle name="CABEÇALHO 3 3 2 5 2 4" xfId="9174" xr:uid="{00000000-0005-0000-0000-00006E100000}"/>
    <cellStyle name="CABEÇALHO 3 3 2 5 2 5" xfId="10490" xr:uid="{00000000-0005-0000-0000-00006F100000}"/>
    <cellStyle name="CABEÇALHO 3 3 2 5 2 6" xfId="9787" xr:uid="{00000000-0005-0000-0000-000070100000}"/>
    <cellStyle name="CABEÇALHO 3 3 2 5 3" xfId="2795" xr:uid="{00000000-0005-0000-0000-000071100000}"/>
    <cellStyle name="CABEÇALHO 3 3 2 5 3 2" xfId="5675" xr:uid="{00000000-0005-0000-0000-000072100000}"/>
    <cellStyle name="CABEÇALHO 3 3 2 5 3 3" xfId="7858" xr:uid="{00000000-0005-0000-0000-000073100000}"/>
    <cellStyle name="CABEÇALHO 3 3 2 5 3 4" xfId="9045" xr:uid="{00000000-0005-0000-0000-000074100000}"/>
    <cellStyle name="CABEÇALHO 3 3 2 5 3 5" xfId="10351" xr:uid="{00000000-0005-0000-0000-000075100000}"/>
    <cellStyle name="CABEÇALHO 3 3 2 5 3 6" xfId="5986" xr:uid="{00000000-0005-0000-0000-000076100000}"/>
    <cellStyle name="CABEÇALHO 3 3 2 5 4" xfId="4171" xr:uid="{00000000-0005-0000-0000-000077100000}"/>
    <cellStyle name="CABEÇALHO 3 3 2 5 5" xfId="3037" xr:uid="{00000000-0005-0000-0000-000078100000}"/>
    <cellStyle name="CABEÇALHO 3 3 2 5 6" xfId="6097" xr:uid="{00000000-0005-0000-0000-000079100000}"/>
    <cellStyle name="CABEÇALHO 3 3 2 5 7" xfId="6569" xr:uid="{00000000-0005-0000-0000-00007A100000}"/>
    <cellStyle name="CABEÇALHO 3 3 2 5 8" xfId="10963" xr:uid="{00000000-0005-0000-0000-00007B100000}"/>
    <cellStyle name="CABEÇALHO 3 3 2 6" xfId="1323" xr:uid="{00000000-0005-0000-0000-00007C100000}"/>
    <cellStyle name="CABEÇALHO 3 3 2 6 2" xfId="2465" xr:uid="{00000000-0005-0000-0000-00007D100000}"/>
    <cellStyle name="CABEÇALHO 3 3 2 6 2 2" xfId="5345" xr:uid="{00000000-0005-0000-0000-00007E100000}"/>
    <cellStyle name="CABEÇALHO 3 3 2 6 2 3" xfId="7632" xr:uid="{00000000-0005-0000-0000-00007F100000}"/>
    <cellStyle name="CABEÇALHO 3 3 2 6 2 4" xfId="8239" xr:uid="{00000000-0005-0000-0000-000080100000}"/>
    <cellStyle name="CABEÇALHO 3 3 2 6 2 5" xfId="8202" xr:uid="{00000000-0005-0000-0000-000081100000}"/>
    <cellStyle name="CABEÇALHO 3 3 2 6 2 6" xfId="11244" xr:uid="{00000000-0005-0000-0000-000082100000}"/>
    <cellStyle name="CABEÇALHO 3 3 2 6 3" xfId="1356" xr:uid="{00000000-0005-0000-0000-000083100000}"/>
    <cellStyle name="CABEÇALHO 3 3 2 6 3 2" xfId="4236" xr:uid="{00000000-0005-0000-0000-000084100000}"/>
    <cellStyle name="CABEÇALHO 3 3 2 6 3 3" xfId="8031" xr:uid="{00000000-0005-0000-0000-000085100000}"/>
    <cellStyle name="CABEÇALHO 3 3 2 6 3 4" xfId="9438" xr:uid="{00000000-0005-0000-0000-000086100000}"/>
    <cellStyle name="CABEÇALHO 3 3 2 6 3 5" xfId="9685" xr:uid="{00000000-0005-0000-0000-000087100000}"/>
    <cellStyle name="CABEÇALHO 3 3 2 6 3 6" xfId="9773" xr:uid="{00000000-0005-0000-0000-000088100000}"/>
    <cellStyle name="CABEÇALHO 3 3 2 6 4" xfId="4203" xr:uid="{00000000-0005-0000-0000-000089100000}"/>
    <cellStyle name="CABEÇALHO 3 3 2 6 5" xfId="3140" xr:uid="{00000000-0005-0000-0000-00008A100000}"/>
    <cellStyle name="CABEÇALHO 3 3 2 6 6" xfId="5985" xr:uid="{00000000-0005-0000-0000-00008B100000}"/>
    <cellStyle name="CABEÇALHO 3 3 2 6 7" xfId="8062" xr:uid="{00000000-0005-0000-0000-00008C100000}"/>
    <cellStyle name="CABEÇALHO 3 3 2 6 8" xfId="11501" xr:uid="{00000000-0005-0000-0000-00008D100000}"/>
    <cellStyle name="CABEÇALHO 3 3 2 7" xfId="1783" xr:uid="{00000000-0005-0000-0000-00008E100000}"/>
    <cellStyle name="CABEÇALHO 3 3 2 7 2" xfId="4663" xr:uid="{00000000-0005-0000-0000-00008F100000}"/>
    <cellStyle name="CABEÇALHO 3 3 2 7 3" xfId="8188" xr:uid="{00000000-0005-0000-0000-000090100000}"/>
    <cellStyle name="CABEÇALHO 3 3 2 7 4" xfId="8617" xr:uid="{00000000-0005-0000-0000-000091100000}"/>
    <cellStyle name="CABEÇALHO 3 3 2 7 5" xfId="8591" xr:uid="{00000000-0005-0000-0000-000092100000}"/>
    <cellStyle name="CABEÇALHO 3 3 2 7 6" xfId="11450" xr:uid="{00000000-0005-0000-0000-000093100000}"/>
    <cellStyle name="CABEÇALHO 3 3 2 8" xfId="2592" xr:uid="{00000000-0005-0000-0000-000094100000}"/>
    <cellStyle name="CABEÇALHO 3 3 2 8 2" xfId="5472" xr:uid="{00000000-0005-0000-0000-000095100000}"/>
    <cellStyle name="CABEÇALHO 3 3 2 8 3" xfId="6215" xr:uid="{00000000-0005-0000-0000-000096100000}"/>
    <cellStyle name="CABEÇALHO 3 3 2 8 4" xfId="8337" xr:uid="{00000000-0005-0000-0000-000097100000}"/>
    <cellStyle name="CABEÇALHO 3 3 2 8 5" xfId="5941" xr:uid="{00000000-0005-0000-0000-000098100000}"/>
    <cellStyle name="CABEÇALHO 3 3 2 8 6" xfId="11432" xr:uid="{00000000-0005-0000-0000-000099100000}"/>
    <cellStyle name="CABEÇALHO 3 3 2 9" xfId="3522" xr:uid="{00000000-0005-0000-0000-00009A100000}"/>
    <cellStyle name="CABEÇALHO 3 3 20" xfId="11359" xr:uid="{00000000-0005-0000-0000-00009B100000}"/>
    <cellStyle name="CABEÇALHO 3 3 3" xfId="653" xr:uid="{00000000-0005-0000-0000-00009C100000}"/>
    <cellStyle name="CABEÇALHO 3 3 3 10" xfId="7132" xr:uid="{00000000-0005-0000-0000-00009D100000}"/>
    <cellStyle name="CABEÇALHO 3 3 3 11" xfId="8851" xr:uid="{00000000-0005-0000-0000-00009E100000}"/>
    <cellStyle name="CABEÇALHO 3 3 3 12" xfId="9805" xr:uid="{00000000-0005-0000-0000-00009F100000}"/>
    <cellStyle name="CABEÇALHO 3 3 3 13" xfId="9607" xr:uid="{00000000-0005-0000-0000-0000A0100000}"/>
    <cellStyle name="CABEÇALHO 3 3 3 2" xfId="1129" xr:uid="{00000000-0005-0000-0000-0000A1100000}"/>
    <cellStyle name="CABEÇALHO 3 3 3 2 2" xfId="2271" xr:uid="{00000000-0005-0000-0000-0000A2100000}"/>
    <cellStyle name="CABEÇALHO 3 3 3 2 2 2" xfId="5151" xr:uid="{00000000-0005-0000-0000-0000A3100000}"/>
    <cellStyle name="CABEÇALHO 3 3 3 2 2 3" xfId="6671" xr:uid="{00000000-0005-0000-0000-0000A4100000}"/>
    <cellStyle name="CABEÇALHO 3 3 3 2 2 4" xfId="9160" xr:uid="{00000000-0005-0000-0000-0000A5100000}"/>
    <cellStyle name="CABEÇALHO 3 3 3 2 2 5" xfId="10478" xr:uid="{00000000-0005-0000-0000-0000A6100000}"/>
    <cellStyle name="CABEÇALHO 3 3 3 2 2 6" xfId="11562" xr:uid="{00000000-0005-0000-0000-0000A7100000}"/>
    <cellStyle name="CABEÇALHO 3 3 3 2 3" xfId="1397" xr:uid="{00000000-0005-0000-0000-0000A8100000}"/>
    <cellStyle name="CABEÇALHO 3 3 3 2 3 2" xfId="4277" xr:uid="{00000000-0005-0000-0000-0000A9100000}"/>
    <cellStyle name="CABEÇALHO 3 3 3 2 3 3" xfId="6115" xr:uid="{00000000-0005-0000-0000-0000AA100000}"/>
    <cellStyle name="CABEÇALHO 3 3 3 2 3 4" xfId="7402" xr:uid="{00000000-0005-0000-0000-0000AB100000}"/>
    <cellStyle name="CABEÇALHO 3 3 3 2 3 5" xfId="7649" xr:uid="{00000000-0005-0000-0000-0000AC100000}"/>
    <cellStyle name="CABEÇALHO 3 3 3 2 3 6" xfId="11646" xr:uid="{00000000-0005-0000-0000-0000AD100000}"/>
    <cellStyle name="CABEÇALHO 3 3 3 2 4" xfId="4009" xr:uid="{00000000-0005-0000-0000-0000AE100000}"/>
    <cellStyle name="CABEÇALHO 3 3 3 2 5" xfId="5862" xr:uid="{00000000-0005-0000-0000-0000AF100000}"/>
    <cellStyle name="CABEÇALHO 3 3 3 2 6" xfId="7570" xr:uid="{00000000-0005-0000-0000-0000B0100000}"/>
    <cellStyle name="CABEÇALHO 3 3 3 2 7" xfId="10289" xr:uid="{00000000-0005-0000-0000-0000B1100000}"/>
    <cellStyle name="CABEÇALHO 3 3 3 2 8" xfId="2976" xr:uid="{00000000-0005-0000-0000-0000B2100000}"/>
    <cellStyle name="CABEÇALHO 3 3 3 3" xfId="783" xr:uid="{00000000-0005-0000-0000-0000B3100000}"/>
    <cellStyle name="CABEÇALHO 3 3 3 3 2" xfId="1925" xr:uid="{00000000-0005-0000-0000-0000B4100000}"/>
    <cellStyle name="CABEÇALHO 3 3 3 3 2 2" xfId="4805" xr:uid="{00000000-0005-0000-0000-0000B5100000}"/>
    <cellStyle name="CABEÇALHO 3 3 3 3 2 3" xfId="7651" xr:uid="{00000000-0005-0000-0000-0000B6100000}"/>
    <cellStyle name="CABEÇALHO 3 3 3 3 2 4" xfId="9460" xr:uid="{00000000-0005-0000-0000-0000B7100000}"/>
    <cellStyle name="CABEÇALHO 3 3 3 3 2 5" xfId="8204" xr:uid="{00000000-0005-0000-0000-0000B8100000}"/>
    <cellStyle name="CABEÇALHO 3 3 3 3 2 6" xfId="10755" xr:uid="{00000000-0005-0000-0000-0000B9100000}"/>
    <cellStyle name="CABEÇALHO 3 3 3 3 3" xfId="2566" xr:uid="{00000000-0005-0000-0000-0000BA100000}"/>
    <cellStyle name="CABEÇALHO 3 3 3 3 3 2" xfId="5446" xr:uid="{00000000-0005-0000-0000-0000BB100000}"/>
    <cellStyle name="CABEÇALHO 3 3 3 3 3 3" xfId="6806" xr:uid="{00000000-0005-0000-0000-0000BC100000}"/>
    <cellStyle name="CABEÇALHO 3 3 3 3 3 4" xfId="8723" xr:uid="{00000000-0005-0000-0000-0000BD100000}"/>
    <cellStyle name="CABEÇALHO 3 3 3 3 3 5" xfId="10438" xr:uid="{00000000-0005-0000-0000-0000BE100000}"/>
    <cellStyle name="CABEÇALHO 3 3 3 3 3 6" xfId="10235" xr:uid="{00000000-0005-0000-0000-0000BF100000}"/>
    <cellStyle name="CABEÇALHO 3 3 3 3 4" xfId="3663" xr:uid="{00000000-0005-0000-0000-0000C0100000}"/>
    <cellStyle name="CABEÇALHO 3 3 3 3 5" xfId="7065" xr:uid="{00000000-0005-0000-0000-0000C1100000}"/>
    <cellStyle name="CABEÇALHO 3 3 3 3 6" xfId="8789" xr:uid="{00000000-0005-0000-0000-0000C2100000}"/>
    <cellStyle name="CABEÇALHO 3 3 3 3 7" xfId="9757" xr:uid="{00000000-0005-0000-0000-0000C3100000}"/>
    <cellStyle name="CABEÇALHO 3 3 3 3 8" xfId="6974" xr:uid="{00000000-0005-0000-0000-0000C4100000}"/>
    <cellStyle name="CABEÇALHO 3 3 3 4" xfId="1269" xr:uid="{00000000-0005-0000-0000-0000C5100000}"/>
    <cellStyle name="CABEÇALHO 3 3 3 4 2" xfId="2411" xr:uid="{00000000-0005-0000-0000-0000C6100000}"/>
    <cellStyle name="CABEÇALHO 3 3 3 4 2 2" xfId="5291" xr:uid="{00000000-0005-0000-0000-0000C7100000}"/>
    <cellStyle name="CABEÇALHO 3 3 3 4 2 3" xfId="7664" xr:uid="{00000000-0005-0000-0000-0000C8100000}"/>
    <cellStyle name="CABEÇALHO 3 3 3 4 2 4" xfId="9451" xr:uid="{00000000-0005-0000-0000-0000C9100000}"/>
    <cellStyle name="CABEÇALHO 3 3 3 4 2 5" xfId="8558" xr:uid="{00000000-0005-0000-0000-0000CA100000}"/>
    <cellStyle name="CABEÇALHO 3 3 3 4 2 6" xfId="7255" xr:uid="{00000000-0005-0000-0000-0000CB100000}"/>
    <cellStyle name="CABEÇALHO 3 3 3 4 3" xfId="2722" xr:uid="{00000000-0005-0000-0000-0000CC100000}"/>
    <cellStyle name="CABEÇALHO 3 3 3 4 3 2" xfId="5602" xr:uid="{00000000-0005-0000-0000-0000CD100000}"/>
    <cellStyle name="CABEÇALHO 3 3 3 4 3 3" xfId="6705" xr:uid="{00000000-0005-0000-0000-0000CE100000}"/>
    <cellStyle name="CABEÇALHO 3 3 3 4 3 4" xfId="9309" xr:uid="{00000000-0005-0000-0000-0000CF100000}"/>
    <cellStyle name="CABEÇALHO 3 3 3 4 3 5" xfId="10834" xr:uid="{00000000-0005-0000-0000-0000D0100000}"/>
    <cellStyle name="CABEÇALHO 3 3 3 4 3 6" xfId="10061" xr:uid="{00000000-0005-0000-0000-0000D1100000}"/>
    <cellStyle name="CABEÇALHO 3 3 3 4 4" xfId="4149" xr:uid="{00000000-0005-0000-0000-0000D2100000}"/>
    <cellStyle name="CABEÇALHO 3 3 3 4 5" xfId="5771" xr:uid="{00000000-0005-0000-0000-0000D3100000}"/>
    <cellStyle name="CABEÇALHO 3 3 3 4 6" xfId="7075" xr:uid="{00000000-0005-0000-0000-0000D4100000}"/>
    <cellStyle name="CABEÇALHO 3 3 3 4 7" xfId="6309" xr:uid="{00000000-0005-0000-0000-0000D5100000}"/>
    <cellStyle name="CABEÇALHO 3 3 3 4 8" xfId="6571" xr:uid="{00000000-0005-0000-0000-0000D6100000}"/>
    <cellStyle name="CABEÇALHO 3 3 3 5" xfId="1302" xr:uid="{00000000-0005-0000-0000-0000D7100000}"/>
    <cellStyle name="CABEÇALHO 3 3 3 5 2" xfId="2444" xr:uid="{00000000-0005-0000-0000-0000D8100000}"/>
    <cellStyle name="CABEÇALHO 3 3 3 5 2 2" xfId="5324" xr:uid="{00000000-0005-0000-0000-0000D9100000}"/>
    <cellStyle name="CABEÇALHO 3 3 3 5 2 3" xfId="7896" xr:uid="{00000000-0005-0000-0000-0000DA100000}"/>
    <cellStyle name="CABEÇALHO 3 3 3 5 2 4" xfId="7325" xr:uid="{00000000-0005-0000-0000-0000DB100000}"/>
    <cellStyle name="CABEÇALHO 3 3 3 5 2 5" xfId="10744" xr:uid="{00000000-0005-0000-0000-0000DC100000}"/>
    <cellStyle name="CABEÇALHO 3 3 3 5 2 6" xfId="10995" xr:uid="{00000000-0005-0000-0000-0000DD100000}"/>
    <cellStyle name="CABEÇALHO 3 3 3 5 3" xfId="2791" xr:uid="{00000000-0005-0000-0000-0000DE100000}"/>
    <cellStyle name="CABEÇALHO 3 3 3 5 3 2" xfId="5671" xr:uid="{00000000-0005-0000-0000-0000DF100000}"/>
    <cellStyle name="CABEÇALHO 3 3 3 5 3 3" xfId="6552" xr:uid="{00000000-0005-0000-0000-0000E0100000}"/>
    <cellStyle name="CABEÇALHO 3 3 3 5 3 4" xfId="9252" xr:uid="{00000000-0005-0000-0000-0000E1100000}"/>
    <cellStyle name="CABEÇALHO 3 3 3 5 3 5" xfId="6316" xr:uid="{00000000-0005-0000-0000-0000E2100000}"/>
    <cellStyle name="CABEÇALHO 3 3 3 5 3 6" xfId="11493" xr:uid="{00000000-0005-0000-0000-0000E3100000}"/>
    <cellStyle name="CABEÇALHO 3 3 3 5 4" xfId="4182" xr:uid="{00000000-0005-0000-0000-0000E4100000}"/>
    <cellStyle name="CABEÇALHO 3 3 3 5 5" xfId="3128" xr:uid="{00000000-0005-0000-0000-0000E5100000}"/>
    <cellStyle name="CABEÇALHO 3 3 3 5 6" xfId="7534" xr:uid="{00000000-0005-0000-0000-0000E6100000}"/>
    <cellStyle name="CABEÇALHO 3 3 3 5 7" xfId="6293" xr:uid="{00000000-0005-0000-0000-0000E7100000}"/>
    <cellStyle name="CABEÇALHO 3 3 3 5 8" xfId="11010" xr:uid="{00000000-0005-0000-0000-0000E8100000}"/>
    <cellStyle name="CABEÇALHO 3 3 3 6" xfId="1334" xr:uid="{00000000-0005-0000-0000-0000E9100000}"/>
    <cellStyle name="CABEÇALHO 3 3 3 6 2" xfId="2476" xr:uid="{00000000-0005-0000-0000-0000EA100000}"/>
    <cellStyle name="CABEÇALHO 3 3 3 6 2 2" xfId="5356" xr:uid="{00000000-0005-0000-0000-0000EB100000}"/>
    <cellStyle name="CABEÇALHO 3 3 3 6 2 3" xfId="8058" xr:uid="{00000000-0005-0000-0000-0000EC100000}"/>
    <cellStyle name="CABEÇALHO 3 3 3 6 2 4" xfId="7767" xr:uid="{00000000-0005-0000-0000-0000ED100000}"/>
    <cellStyle name="CABEÇALHO 3 3 3 6 2 5" xfId="6779" xr:uid="{00000000-0005-0000-0000-0000EE100000}"/>
    <cellStyle name="CABEÇALHO 3 3 3 6 2 6" xfId="10185" xr:uid="{00000000-0005-0000-0000-0000EF100000}"/>
    <cellStyle name="CABEÇALHO 3 3 3 6 3" xfId="2871" xr:uid="{00000000-0005-0000-0000-0000F0100000}"/>
    <cellStyle name="CABEÇALHO 3 3 3 6 3 2" xfId="5751" xr:uid="{00000000-0005-0000-0000-0000F1100000}"/>
    <cellStyle name="CABEÇALHO 3 3 3 6 3 3" xfId="3152" xr:uid="{00000000-0005-0000-0000-0000F2100000}"/>
    <cellStyle name="CABEÇALHO 3 3 3 6 3 4" xfId="7007" xr:uid="{00000000-0005-0000-0000-0000F3100000}"/>
    <cellStyle name="CABEÇALHO 3 3 3 6 3 5" xfId="8145" xr:uid="{00000000-0005-0000-0000-0000F4100000}"/>
    <cellStyle name="CABEÇALHO 3 3 3 6 3 6" xfId="9624" xr:uid="{00000000-0005-0000-0000-0000F5100000}"/>
    <cellStyle name="CABEÇALHO 3 3 3 6 4" xfId="4214" xr:uid="{00000000-0005-0000-0000-0000F6100000}"/>
    <cellStyle name="CABEÇALHO 3 3 3 6 5" xfId="6631" xr:uid="{00000000-0005-0000-0000-0000F7100000}"/>
    <cellStyle name="CABEÇALHO 3 3 3 6 6" xfId="7114" xr:uid="{00000000-0005-0000-0000-0000F8100000}"/>
    <cellStyle name="CABEÇALHO 3 3 3 6 7" xfId="9825" xr:uid="{00000000-0005-0000-0000-0000F9100000}"/>
    <cellStyle name="CABEÇALHO 3 3 3 6 8" xfId="11212" xr:uid="{00000000-0005-0000-0000-0000FA100000}"/>
    <cellStyle name="CABEÇALHO 3 3 3 7" xfId="1794" xr:uid="{00000000-0005-0000-0000-0000FB100000}"/>
    <cellStyle name="CABEÇALHO 3 3 3 7 2" xfId="4674" xr:uid="{00000000-0005-0000-0000-0000FC100000}"/>
    <cellStyle name="CABEÇALHO 3 3 3 7 3" xfId="6140" xr:uid="{00000000-0005-0000-0000-0000FD100000}"/>
    <cellStyle name="CABEÇALHO 3 3 3 7 4" xfId="8674" xr:uid="{00000000-0005-0000-0000-0000FE100000}"/>
    <cellStyle name="CABEÇALHO 3 3 3 7 5" xfId="10453" xr:uid="{00000000-0005-0000-0000-0000FF100000}"/>
    <cellStyle name="CABEÇALHO 3 3 3 7 6" xfId="10278" xr:uid="{00000000-0005-0000-0000-000000110000}"/>
    <cellStyle name="CABEÇALHO 3 3 3 8" xfId="2570" xr:uid="{00000000-0005-0000-0000-000001110000}"/>
    <cellStyle name="CABEÇALHO 3 3 3 8 2" xfId="5450" xr:uid="{00000000-0005-0000-0000-000002110000}"/>
    <cellStyle name="CABEÇALHO 3 3 3 8 3" xfId="8108" xr:uid="{00000000-0005-0000-0000-000003110000}"/>
    <cellStyle name="CABEÇALHO 3 3 3 8 4" xfId="5913" xr:uid="{00000000-0005-0000-0000-000004110000}"/>
    <cellStyle name="CABEÇALHO 3 3 3 8 5" xfId="5951" xr:uid="{00000000-0005-0000-0000-000005110000}"/>
    <cellStyle name="CABEÇALHO 3 3 3 8 6" xfId="11428" xr:uid="{00000000-0005-0000-0000-000006110000}"/>
    <cellStyle name="CABEÇALHO 3 3 3 9" xfId="3533" xr:uid="{00000000-0005-0000-0000-000007110000}"/>
    <cellStyle name="CABEÇALHO 3 3 4" xfId="637" xr:uid="{00000000-0005-0000-0000-000008110000}"/>
    <cellStyle name="CABEÇALHO 3 3 4 10" xfId="7569" xr:uid="{00000000-0005-0000-0000-000009110000}"/>
    <cellStyle name="CABEÇALHO 3 3 4 11" xfId="6839" xr:uid="{00000000-0005-0000-0000-00000A110000}"/>
    <cellStyle name="CABEÇALHO 3 3 4 12" xfId="10176" xr:uid="{00000000-0005-0000-0000-00000B110000}"/>
    <cellStyle name="CABEÇALHO 3 3 4 13" xfId="10994" xr:uid="{00000000-0005-0000-0000-00000C110000}"/>
    <cellStyle name="CABEÇALHO 3 3 4 2" xfId="1113" xr:uid="{00000000-0005-0000-0000-00000D110000}"/>
    <cellStyle name="CABEÇALHO 3 3 4 2 2" xfId="2255" xr:uid="{00000000-0005-0000-0000-00000E110000}"/>
    <cellStyle name="CABEÇALHO 3 3 4 2 2 2" xfId="5135" xr:uid="{00000000-0005-0000-0000-00000F110000}"/>
    <cellStyle name="CABEÇALHO 3 3 4 2 2 3" xfId="7204" xr:uid="{00000000-0005-0000-0000-000010110000}"/>
    <cellStyle name="CABEÇALHO 3 3 4 2 2 4" xfId="9263" xr:uid="{00000000-0005-0000-0000-000011110000}"/>
    <cellStyle name="CABEÇALHO 3 3 4 2 2 5" xfId="10813" xr:uid="{00000000-0005-0000-0000-000012110000}"/>
    <cellStyle name="CABEÇALHO 3 3 4 2 2 6" xfId="11003" xr:uid="{00000000-0005-0000-0000-000013110000}"/>
    <cellStyle name="CABEÇALHO 3 3 4 2 3" xfId="2643" xr:uid="{00000000-0005-0000-0000-000014110000}"/>
    <cellStyle name="CABEÇALHO 3 3 4 2 3 2" xfId="5523" xr:uid="{00000000-0005-0000-0000-000015110000}"/>
    <cellStyle name="CABEÇALHO 3 3 4 2 3 3" xfId="7168" xr:uid="{00000000-0005-0000-0000-000016110000}"/>
    <cellStyle name="CABEÇALHO 3 3 4 2 3 4" xfId="6989" xr:uid="{00000000-0005-0000-0000-000017110000}"/>
    <cellStyle name="CABEÇALHO 3 3 4 2 3 5" xfId="10563" xr:uid="{00000000-0005-0000-0000-000018110000}"/>
    <cellStyle name="CABEÇALHO 3 3 4 2 3 6" xfId="11356" xr:uid="{00000000-0005-0000-0000-000019110000}"/>
    <cellStyle name="CABEÇALHO 3 3 4 2 4" xfId="3993" xr:uid="{00000000-0005-0000-0000-00001A110000}"/>
    <cellStyle name="CABEÇALHO 3 3 4 2 5" xfId="5802" xr:uid="{00000000-0005-0000-0000-00001B110000}"/>
    <cellStyle name="CABEÇALHO 3 3 4 2 6" xfId="6005" xr:uid="{00000000-0005-0000-0000-00001C110000}"/>
    <cellStyle name="CABEÇALHO 3 3 4 2 7" xfId="7953" xr:uid="{00000000-0005-0000-0000-00001D110000}"/>
    <cellStyle name="CABEÇALHO 3 3 4 2 8" xfId="11470" xr:uid="{00000000-0005-0000-0000-00001E110000}"/>
    <cellStyle name="CABEÇALHO 3 3 4 3" xfId="1189" xr:uid="{00000000-0005-0000-0000-00001F110000}"/>
    <cellStyle name="CABEÇALHO 3 3 4 3 2" xfId="2331" xr:uid="{00000000-0005-0000-0000-000020110000}"/>
    <cellStyle name="CABEÇALHO 3 3 4 3 2 2" xfId="5211" xr:uid="{00000000-0005-0000-0000-000021110000}"/>
    <cellStyle name="CABEÇALHO 3 3 4 3 2 3" xfId="6526" xr:uid="{00000000-0005-0000-0000-000022110000}"/>
    <cellStyle name="CABEÇALHO 3 3 4 3 2 4" xfId="9025" xr:uid="{00000000-0005-0000-0000-000023110000}"/>
    <cellStyle name="CABEÇALHO 3 3 4 3 2 5" xfId="10069" xr:uid="{00000000-0005-0000-0000-000024110000}"/>
    <cellStyle name="CABEÇALHO 3 3 4 3 2 6" xfId="9098" xr:uid="{00000000-0005-0000-0000-000025110000}"/>
    <cellStyle name="CABEÇALHO 3 3 4 3 3" xfId="2844" xr:uid="{00000000-0005-0000-0000-000026110000}"/>
    <cellStyle name="CABEÇALHO 3 3 4 3 3 2" xfId="5724" xr:uid="{00000000-0005-0000-0000-000027110000}"/>
    <cellStyle name="CABEÇALHO 3 3 4 3 3 3" xfId="7793" xr:uid="{00000000-0005-0000-0000-000028110000}"/>
    <cellStyle name="CABEÇALHO 3 3 4 3 3 4" xfId="8600" xr:uid="{00000000-0005-0000-0000-000029110000}"/>
    <cellStyle name="CABEÇALHO 3 3 4 3 3 5" xfId="8818" xr:uid="{00000000-0005-0000-0000-00002A110000}"/>
    <cellStyle name="CABEÇALHO 3 3 4 3 3 6" xfId="11160" xr:uid="{00000000-0005-0000-0000-00002B110000}"/>
    <cellStyle name="CABEÇALHO 3 3 4 3 4" xfId="4069" xr:uid="{00000000-0005-0000-0000-00002C110000}"/>
    <cellStyle name="CABEÇALHO 3 3 4 3 5" xfId="3070" xr:uid="{00000000-0005-0000-0000-00002D110000}"/>
    <cellStyle name="CABEÇALHO 3 3 4 3 6" xfId="6435" xr:uid="{00000000-0005-0000-0000-00002E110000}"/>
    <cellStyle name="CABEÇALHO 3 3 4 3 7" xfId="8817" xr:uid="{00000000-0005-0000-0000-00002F110000}"/>
    <cellStyle name="CABEÇALHO 3 3 4 3 8" xfId="10710" xr:uid="{00000000-0005-0000-0000-000030110000}"/>
    <cellStyle name="CABEÇALHO 3 3 4 4" xfId="1253" xr:uid="{00000000-0005-0000-0000-000031110000}"/>
    <cellStyle name="CABEÇALHO 3 3 4 4 2" xfId="2395" xr:uid="{00000000-0005-0000-0000-000032110000}"/>
    <cellStyle name="CABEÇALHO 3 3 4 4 2 2" xfId="5275" xr:uid="{00000000-0005-0000-0000-000033110000}"/>
    <cellStyle name="CABEÇALHO 3 3 4 4 2 3" xfId="6863" xr:uid="{00000000-0005-0000-0000-000034110000}"/>
    <cellStyle name="CABEÇALHO 3 3 4 4 2 4" xfId="7531" xr:uid="{00000000-0005-0000-0000-000035110000}"/>
    <cellStyle name="CABEÇALHO 3 3 4 4 2 5" xfId="9950" xr:uid="{00000000-0005-0000-0000-000036110000}"/>
    <cellStyle name="CABEÇALHO 3 3 4 4 2 6" xfId="11190" xr:uid="{00000000-0005-0000-0000-000037110000}"/>
    <cellStyle name="CABEÇALHO 3 3 4 4 3" xfId="2790" xr:uid="{00000000-0005-0000-0000-000038110000}"/>
    <cellStyle name="CABEÇALHO 3 3 4 4 3 2" xfId="5670" xr:uid="{00000000-0005-0000-0000-000039110000}"/>
    <cellStyle name="CABEÇALHO 3 3 4 4 3 3" xfId="7623" xr:uid="{00000000-0005-0000-0000-00003A110000}"/>
    <cellStyle name="CABEÇALHO 3 3 4 4 3 4" xfId="8482" xr:uid="{00000000-0005-0000-0000-00003B110000}"/>
    <cellStyle name="CABEÇALHO 3 3 4 4 3 5" xfId="2965" xr:uid="{00000000-0005-0000-0000-00003C110000}"/>
    <cellStyle name="CABEÇALHO 3 3 4 4 3 6" xfId="11366" xr:uid="{00000000-0005-0000-0000-00003D110000}"/>
    <cellStyle name="CABEÇALHO 3 3 4 4 4" xfId="4133" xr:uid="{00000000-0005-0000-0000-00003E110000}"/>
    <cellStyle name="CABEÇALHO 3 3 4 4 5" xfId="3104" xr:uid="{00000000-0005-0000-0000-00003F110000}"/>
    <cellStyle name="CABEÇALHO 3 3 4 4 6" xfId="2975" xr:uid="{00000000-0005-0000-0000-000040110000}"/>
    <cellStyle name="CABEÇALHO 3 3 4 4 7" xfId="8423" xr:uid="{00000000-0005-0000-0000-000041110000}"/>
    <cellStyle name="CABEÇALHO 3 3 4 4 8" xfId="10500" xr:uid="{00000000-0005-0000-0000-000042110000}"/>
    <cellStyle name="CABEÇALHO 3 3 4 5" xfId="1286" xr:uid="{00000000-0005-0000-0000-000043110000}"/>
    <cellStyle name="CABEÇALHO 3 3 4 5 2" xfId="2428" xr:uid="{00000000-0005-0000-0000-000044110000}"/>
    <cellStyle name="CABEÇALHO 3 3 4 5 2 2" xfId="5308" xr:uid="{00000000-0005-0000-0000-000045110000}"/>
    <cellStyle name="CABEÇALHO 3 3 4 5 2 3" xfId="6817" xr:uid="{00000000-0005-0000-0000-000046110000}"/>
    <cellStyle name="CABEÇALHO 3 3 4 5 2 4" xfId="8597" xr:uid="{00000000-0005-0000-0000-000047110000}"/>
    <cellStyle name="CABEÇALHO 3 3 4 5 2 5" xfId="7048" xr:uid="{00000000-0005-0000-0000-000048110000}"/>
    <cellStyle name="CABEÇALHO 3 3 4 5 2 6" xfId="11418" xr:uid="{00000000-0005-0000-0000-000049110000}"/>
    <cellStyle name="CABEÇALHO 3 3 4 5 3" xfId="1414" xr:uid="{00000000-0005-0000-0000-00004A110000}"/>
    <cellStyle name="CABEÇALHO 3 3 4 5 3 2" xfId="4294" xr:uid="{00000000-0005-0000-0000-00004B110000}"/>
    <cellStyle name="CABEÇALHO 3 3 4 5 3 3" xfId="7288" xr:uid="{00000000-0005-0000-0000-00004C110000}"/>
    <cellStyle name="CABEÇALHO 3 3 4 5 3 4" xfId="8732" xr:uid="{00000000-0005-0000-0000-00004D110000}"/>
    <cellStyle name="CABEÇALHO 3 3 4 5 3 5" xfId="10447" xr:uid="{00000000-0005-0000-0000-00004E110000}"/>
    <cellStyle name="CABEÇALHO 3 3 4 5 3 6" xfId="10730" xr:uid="{00000000-0005-0000-0000-00004F110000}"/>
    <cellStyle name="CABEÇALHO 3 3 4 5 4" xfId="4166" xr:uid="{00000000-0005-0000-0000-000050110000}"/>
    <cellStyle name="CABEÇALHO 3 3 4 5 5" xfId="3032" xr:uid="{00000000-0005-0000-0000-000051110000}"/>
    <cellStyle name="CABEÇALHO 3 3 4 5 6" xfId="7246" xr:uid="{00000000-0005-0000-0000-000052110000}"/>
    <cellStyle name="CABEÇALHO 3 3 4 5 7" xfId="9363" xr:uid="{00000000-0005-0000-0000-000053110000}"/>
    <cellStyle name="CABEÇALHO 3 3 4 5 8" xfId="10002" xr:uid="{00000000-0005-0000-0000-000054110000}"/>
    <cellStyle name="CABEÇALHO 3 3 4 6" xfId="1318" xr:uid="{00000000-0005-0000-0000-000055110000}"/>
    <cellStyle name="CABEÇALHO 3 3 4 6 2" xfId="2460" xr:uid="{00000000-0005-0000-0000-000056110000}"/>
    <cellStyle name="CABEÇALHO 3 3 4 6 2 2" xfId="5340" xr:uid="{00000000-0005-0000-0000-000057110000}"/>
    <cellStyle name="CABEÇALHO 3 3 4 6 2 3" xfId="6392" xr:uid="{00000000-0005-0000-0000-000058110000}"/>
    <cellStyle name="CABEÇALHO 3 3 4 6 2 4" xfId="8906" xr:uid="{00000000-0005-0000-0000-000059110000}"/>
    <cellStyle name="CABEÇALHO 3 3 4 6 2 5" xfId="10090" xr:uid="{00000000-0005-0000-0000-00005A110000}"/>
    <cellStyle name="CABEÇALHO 3 3 4 6 2 6" xfId="9728" xr:uid="{00000000-0005-0000-0000-00005B110000}"/>
    <cellStyle name="CABEÇALHO 3 3 4 6 3" xfId="2757" xr:uid="{00000000-0005-0000-0000-00005C110000}"/>
    <cellStyle name="CABEÇALHO 3 3 4 6 3 2" xfId="5637" xr:uid="{00000000-0005-0000-0000-00005D110000}"/>
    <cellStyle name="CABEÇALHO 3 3 4 6 3 3" xfId="7771" xr:uid="{00000000-0005-0000-0000-00005E110000}"/>
    <cellStyle name="CABEÇALHO 3 3 4 6 3 4" xfId="5946" xr:uid="{00000000-0005-0000-0000-00005F110000}"/>
    <cellStyle name="CABEÇALHO 3 3 4 6 3 5" xfId="9954" xr:uid="{00000000-0005-0000-0000-000060110000}"/>
    <cellStyle name="CABEÇALHO 3 3 4 6 3 6" xfId="10237" xr:uid="{00000000-0005-0000-0000-000061110000}"/>
    <cellStyle name="CABEÇALHO 3 3 4 6 4" xfId="4198" xr:uid="{00000000-0005-0000-0000-000062110000}"/>
    <cellStyle name="CABEÇALHO 3 3 4 6 5" xfId="3135" xr:uid="{00000000-0005-0000-0000-000063110000}"/>
    <cellStyle name="CABEÇALHO 3 3 4 6 6" xfId="7155" xr:uid="{00000000-0005-0000-0000-000064110000}"/>
    <cellStyle name="CABEÇALHO 3 3 4 6 7" xfId="9297" xr:uid="{00000000-0005-0000-0000-000065110000}"/>
    <cellStyle name="CABEÇALHO 3 3 4 6 8" xfId="11127" xr:uid="{00000000-0005-0000-0000-000066110000}"/>
    <cellStyle name="CABEÇALHO 3 3 4 7" xfId="1778" xr:uid="{00000000-0005-0000-0000-000067110000}"/>
    <cellStyle name="CABEÇALHO 3 3 4 7 2" xfId="4658" xr:uid="{00000000-0005-0000-0000-000068110000}"/>
    <cellStyle name="CABEÇALHO 3 3 4 7 3" xfId="7611" xr:uid="{00000000-0005-0000-0000-000069110000}"/>
    <cellStyle name="CABEÇALHO 3 3 4 7 4" xfId="9424" xr:uid="{00000000-0005-0000-0000-00006A110000}"/>
    <cellStyle name="CABEÇALHO 3 3 4 7 5" xfId="9696" xr:uid="{00000000-0005-0000-0000-00006B110000}"/>
    <cellStyle name="CABEÇALHO 3 3 4 7 6" xfId="9345" xr:uid="{00000000-0005-0000-0000-00006C110000}"/>
    <cellStyle name="CABEÇALHO 3 3 4 8" xfId="2832" xr:uid="{00000000-0005-0000-0000-00006D110000}"/>
    <cellStyle name="CABEÇALHO 3 3 4 8 2" xfId="5712" xr:uid="{00000000-0005-0000-0000-00006E110000}"/>
    <cellStyle name="CABEÇALHO 3 3 4 8 3" xfId="7298" xr:uid="{00000000-0005-0000-0000-00006F110000}"/>
    <cellStyle name="CABEÇALHO 3 3 4 8 4" xfId="6342" xr:uid="{00000000-0005-0000-0000-000070110000}"/>
    <cellStyle name="CABEÇALHO 3 3 4 8 5" xfId="8538" xr:uid="{00000000-0005-0000-0000-000071110000}"/>
    <cellStyle name="CABEÇALHO 3 3 4 8 6" xfId="11423" xr:uid="{00000000-0005-0000-0000-000072110000}"/>
    <cellStyle name="CABEÇALHO 3 3 4 9" xfId="3517" xr:uid="{00000000-0005-0000-0000-000073110000}"/>
    <cellStyle name="CABEÇALHO 3 3 5" xfId="662" xr:uid="{00000000-0005-0000-0000-000074110000}"/>
    <cellStyle name="CABEÇALHO 3 3 5 10" xfId="7336" xr:uid="{00000000-0005-0000-0000-000075110000}"/>
    <cellStyle name="CABEÇALHO 3 3 5 11" xfId="6632" xr:uid="{00000000-0005-0000-0000-000076110000}"/>
    <cellStyle name="CABEÇALHO 3 3 5 12" xfId="8485" xr:uid="{00000000-0005-0000-0000-000077110000}"/>
    <cellStyle name="CABEÇALHO 3 3 5 13" xfId="11205" xr:uid="{00000000-0005-0000-0000-000078110000}"/>
    <cellStyle name="CABEÇALHO 3 3 5 2" xfId="1138" xr:uid="{00000000-0005-0000-0000-000079110000}"/>
    <cellStyle name="CABEÇALHO 3 3 5 2 2" xfId="2280" xr:uid="{00000000-0005-0000-0000-00007A110000}"/>
    <cellStyle name="CABEÇALHO 3 3 5 2 2 2" xfId="5160" xr:uid="{00000000-0005-0000-0000-00007B110000}"/>
    <cellStyle name="CABEÇALHO 3 3 5 2 2 3" xfId="7171" xr:uid="{00000000-0005-0000-0000-00007C110000}"/>
    <cellStyle name="CABEÇALHO 3 3 5 2 2 4" xfId="9500" xr:uid="{00000000-0005-0000-0000-00007D110000}"/>
    <cellStyle name="CABEÇALHO 3 3 5 2 2 5" xfId="10335" xr:uid="{00000000-0005-0000-0000-00007E110000}"/>
    <cellStyle name="CABEÇALHO 3 3 5 2 2 6" xfId="10972" xr:uid="{00000000-0005-0000-0000-00007F110000}"/>
    <cellStyle name="CABEÇALHO 3 3 5 2 3" xfId="2729" xr:uid="{00000000-0005-0000-0000-000080110000}"/>
    <cellStyle name="CABEÇALHO 3 3 5 2 3 2" xfId="5609" xr:uid="{00000000-0005-0000-0000-000081110000}"/>
    <cellStyle name="CABEÇALHO 3 3 5 2 3 3" xfId="8113" xr:uid="{00000000-0005-0000-0000-000082110000}"/>
    <cellStyle name="CABEÇALHO 3 3 5 2 3 4" xfId="8736" xr:uid="{00000000-0005-0000-0000-000083110000}"/>
    <cellStyle name="CABEÇALHO 3 3 5 2 3 5" xfId="10451" xr:uid="{00000000-0005-0000-0000-000084110000}"/>
    <cellStyle name="CABEÇALHO 3 3 5 2 3 6" xfId="11026" xr:uid="{00000000-0005-0000-0000-000085110000}"/>
    <cellStyle name="CABEÇALHO 3 3 5 2 4" xfId="4018" xr:uid="{00000000-0005-0000-0000-000086110000}"/>
    <cellStyle name="CABEÇALHO 3 3 5 2 5" xfId="3214" xr:uid="{00000000-0005-0000-0000-000087110000}"/>
    <cellStyle name="CABEÇALHO 3 3 5 2 6" xfId="3185" xr:uid="{00000000-0005-0000-0000-000088110000}"/>
    <cellStyle name="CABEÇALHO 3 3 5 2 7" xfId="10427" xr:uid="{00000000-0005-0000-0000-000089110000}"/>
    <cellStyle name="CABEÇALHO 3 3 5 2 8" xfId="11295" xr:uid="{00000000-0005-0000-0000-00008A110000}"/>
    <cellStyle name="CABEÇALHO 3 3 5 3" xfId="722" xr:uid="{00000000-0005-0000-0000-00008B110000}"/>
    <cellStyle name="CABEÇALHO 3 3 5 3 2" xfId="1864" xr:uid="{00000000-0005-0000-0000-00008C110000}"/>
    <cellStyle name="CABEÇALHO 3 3 5 3 2 2" xfId="4744" xr:uid="{00000000-0005-0000-0000-00008D110000}"/>
    <cellStyle name="CABEÇALHO 3 3 5 3 2 3" xfId="6106" xr:uid="{00000000-0005-0000-0000-00008E110000}"/>
    <cellStyle name="CABEÇALHO 3 3 5 3 2 4" xfId="8640" xr:uid="{00000000-0005-0000-0000-00008F110000}"/>
    <cellStyle name="CABEÇALHO 3 3 5 3 2 5" xfId="10361" xr:uid="{00000000-0005-0000-0000-000090110000}"/>
    <cellStyle name="CABEÇALHO 3 3 5 3 2 6" xfId="9426" xr:uid="{00000000-0005-0000-0000-000091110000}"/>
    <cellStyle name="CABEÇALHO 3 3 5 3 3" xfId="2574" xr:uid="{00000000-0005-0000-0000-000092110000}"/>
    <cellStyle name="CABEÇALHO 3 3 5 3 3 2" xfId="5454" xr:uid="{00000000-0005-0000-0000-000093110000}"/>
    <cellStyle name="CABEÇALHO 3 3 5 3 3 3" xfId="6600" xr:uid="{00000000-0005-0000-0000-000094110000}"/>
    <cellStyle name="CABEÇALHO 3 3 5 3 3 4" xfId="9389" xr:uid="{00000000-0005-0000-0000-000095110000}"/>
    <cellStyle name="CABEÇALHO 3 3 5 3 3 5" xfId="3052" xr:uid="{00000000-0005-0000-0000-000096110000}"/>
    <cellStyle name="CABEÇALHO 3 3 5 3 3 6" xfId="11627" xr:uid="{00000000-0005-0000-0000-000097110000}"/>
    <cellStyle name="CABEÇALHO 3 3 5 3 4" xfId="3602" xr:uid="{00000000-0005-0000-0000-000098110000}"/>
    <cellStyle name="CABEÇALHO 3 3 5 3 5" xfId="7129" xr:uid="{00000000-0005-0000-0000-000099110000}"/>
    <cellStyle name="CABEÇALHO 3 3 5 3 6" xfId="8848" xr:uid="{00000000-0005-0000-0000-00009A110000}"/>
    <cellStyle name="CABEÇALHO 3 3 5 3 7" xfId="9802" xr:uid="{00000000-0005-0000-0000-00009B110000}"/>
    <cellStyle name="CABEÇALHO 3 3 5 3 8" xfId="9768" xr:uid="{00000000-0005-0000-0000-00009C110000}"/>
    <cellStyle name="CABEÇALHO 3 3 5 4" xfId="1278" xr:uid="{00000000-0005-0000-0000-00009D110000}"/>
    <cellStyle name="CABEÇALHO 3 3 5 4 2" xfId="2420" xr:uid="{00000000-0005-0000-0000-00009E110000}"/>
    <cellStyle name="CABEÇALHO 3 3 5 4 2 2" xfId="5300" xr:uid="{00000000-0005-0000-0000-00009F110000}"/>
    <cellStyle name="CABEÇALHO 3 3 5 4 2 3" xfId="7272" xr:uid="{00000000-0005-0000-0000-0000A0110000}"/>
    <cellStyle name="CABEÇALHO 3 3 5 4 2 4" xfId="9555" xr:uid="{00000000-0005-0000-0000-0000A1110000}"/>
    <cellStyle name="CABEÇALHO 3 3 5 4 2 5" xfId="10738" xr:uid="{00000000-0005-0000-0000-0000A2110000}"/>
    <cellStyle name="CABEÇALHO 3 3 5 4 2 6" xfId="10858" xr:uid="{00000000-0005-0000-0000-0000A3110000}"/>
    <cellStyle name="CABEÇALHO 3 3 5 4 3" xfId="2810" xr:uid="{00000000-0005-0000-0000-0000A4110000}"/>
    <cellStyle name="CABEÇALHO 3 3 5 4 3 2" xfId="5690" xr:uid="{00000000-0005-0000-0000-0000A5110000}"/>
    <cellStyle name="CABEÇALHO 3 3 5 4 3 3" xfId="7983" xr:uid="{00000000-0005-0000-0000-0000A6110000}"/>
    <cellStyle name="CABEÇALHO 3 3 5 4 3 4" xfId="9114" xr:uid="{00000000-0005-0000-0000-0000A7110000}"/>
    <cellStyle name="CABEÇALHO 3 3 5 4 3 5" xfId="10732" xr:uid="{00000000-0005-0000-0000-0000A8110000}"/>
    <cellStyle name="CABEÇALHO 3 3 5 4 3 6" xfId="9784" xr:uid="{00000000-0005-0000-0000-0000A9110000}"/>
    <cellStyle name="CABEÇALHO 3 3 5 4 4" xfId="4158" xr:uid="{00000000-0005-0000-0000-0000AA110000}"/>
    <cellStyle name="CABEÇALHO 3 3 5 4 5" xfId="3202" xr:uid="{00000000-0005-0000-0000-0000AB110000}"/>
    <cellStyle name="CABEÇALHO 3 3 5 4 6" xfId="6582" xr:uid="{00000000-0005-0000-0000-0000AC110000}"/>
    <cellStyle name="CABEÇALHO 3 3 5 4 7" xfId="9564" xr:uid="{00000000-0005-0000-0000-0000AD110000}"/>
    <cellStyle name="CABEÇALHO 3 3 5 4 8" xfId="11290" xr:uid="{00000000-0005-0000-0000-0000AE110000}"/>
    <cellStyle name="CABEÇALHO 3 3 5 5" xfId="1311" xr:uid="{00000000-0005-0000-0000-0000AF110000}"/>
    <cellStyle name="CABEÇALHO 3 3 5 5 2" xfId="2453" xr:uid="{00000000-0005-0000-0000-0000B0110000}"/>
    <cellStyle name="CABEÇALHO 3 3 5 5 2 2" xfId="5333" xr:uid="{00000000-0005-0000-0000-0000B1110000}"/>
    <cellStyle name="CABEÇALHO 3 3 5 5 2 3" xfId="7701" xr:uid="{00000000-0005-0000-0000-0000B2110000}"/>
    <cellStyle name="CABEÇALHO 3 3 5 5 2 4" xfId="8235" xr:uid="{00000000-0005-0000-0000-0000B3110000}"/>
    <cellStyle name="CABEÇALHO 3 3 5 5 2 5" xfId="10576" xr:uid="{00000000-0005-0000-0000-0000B4110000}"/>
    <cellStyle name="CABEÇALHO 3 3 5 5 2 6" xfId="11613" xr:uid="{00000000-0005-0000-0000-0000B5110000}"/>
    <cellStyle name="CABEÇALHO 3 3 5 5 3" xfId="2776" xr:uid="{00000000-0005-0000-0000-0000B6110000}"/>
    <cellStyle name="CABEÇALHO 3 3 5 5 3 2" xfId="5656" xr:uid="{00000000-0005-0000-0000-0000B7110000}"/>
    <cellStyle name="CABEÇALHO 3 3 5 5 3 3" xfId="6700" xr:uid="{00000000-0005-0000-0000-0000B8110000}"/>
    <cellStyle name="CABEÇALHO 3 3 5 5 3 4" xfId="9314" xr:uid="{00000000-0005-0000-0000-0000B9110000}"/>
    <cellStyle name="CABEÇALHO 3 3 5 5 3 5" xfId="10829" xr:uid="{00000000-0005-0000-0000-0000BA110000}"/>
    <cellStyle name="CABEÇALHO 3 3 5 5 3 6" xfId="11152" xr:uid="{00000000-0005-0000-0000-0000BB110000}"/>
    <cellStyle name="CABEÇALHO 3 3 5 5 4" xfId="4191" xr:uid="{00000000-0005-0000-0000-0000BC110000}"/>
    <cellStyle name="CABEÇALHO 3 3 5 5 5" xfId="2950" xr:uid="{00000000-0005-0000-0000-0000BD110000}"/>
    <cellStyle name="CABEÇALHO 3 3 5 5 6" xfId="7893" xr:uid="{00000000-0005-0000-0000-0000BE110000}"/>
    <cellStyle name="CABEÇALHO 3 3 5 5 7" xfId="9123" xr:uid="{00000000-0005-0000-0000-0000BF110000}"/>
    <cellStyle name="CABEÇALHO 3 3 5 5 8" xfId="9807" xr:uid="{00000000-0005-0000-0000-0000C0110000}"/>
    <cellStyle name="CABEÇALHO 3 3 5 6" xfId="1343" xr:uid="{00000000-0005-0000-0000-0000C1110000}"/>
    <cellStyle name="CABEÇALHO 3 3 5 6 2" xfId="2485" xr:uid="{00000000-0005-0000-0000-0000C2110000}"/>
    <cellStyle name="CABEÇALHO 3 3 5 6 2 2" xfId="5365" xr:uid="{00000000-0005-0000-0000-0000C3110000}"/>
    <cellStyle name="CABEÇALHO 3 3 5 6 2 3" xfId="6795" xr:uid="{00000000-0005-0000-0000-0000C4110000}"/>
    <cellStyle name="CABEÇALHO 3 3 5 6 2 4" xfId="6895" xr:uid="{00000000-0005-0000-0000-0000C5110000}"/>
    <cellStyle name="CABEÇALHO 3 3 5 6 2 5" xfId="9849" xr:uid="{00000000-0005-0000-0000-0000C6110000}"/>
    <cellStyle name="CABEÇALHO 3 3 5 6 2 6" xfId="11039" xr:uid="{00000000-0005-0000-0000-0000C7110000}"/>
    <cellStyle name="CABEÇALHO 3 3 5 6 3" xfId="2880" xr:uid="{00000000-0005-0000-0000-0000C8110000}"/>
    <cellStyle name="CABEÇALHO 3 3 5 6 3 2" xfId="5760" xr:uid="{00000000-0005-0000-0000-0000C9110000}"/>
    <cellStyle name="CABEÇALHO 3 3 5 6 3 3" xfId="3161" xr:uid="{00000000-0005-0000-0000-0000CA110000}"/>
    <cellStyle name="CABEÇALHO 3 3 5 6 3 4" xfId="2903" xr:uid="{00000000-0005-0000-0000-0000CB110000}"/>
    <cellStyle name="CABEÇALHO 3 3 5 6 3 5" xfId="8089" xr:uid="{00000000-0005-0000-0000-0000CC110000}"/>
    <cellStyle name="CABEÇALHO 3 3 5 6 3 6" xfId="11681" xr:uid="{00000000-0005-0000-0000-0000CD110000}"/>
    <cellStyle name="CABEÇALHO 3 3 5 6 4" xfId="4223" xr:uid="{00000000-0005-0000-0000-0000CE110000}"/>
    <cellStyle name="CABEÇALHO 3 3 5 6 5" xfId="6167" xr:uid="{00000000-0005-0000-0000-0000CF110000}"/>
    <cellStyle name="CABEÇALHO 3 3 5 6 6" xfId="6474" xr:uid="{00000000-0005-0000-0000-0000D0110000}"/>
    <cellStyle name="CABEÇALHO 3 3 5 6 7" xfId="6611" xr:uid="{00000000-0005-0000-0000-0000D1110000}"/>
    <cellStyle name="CABEÇALHO 3 3 5 6 8" xfId="11387" xr:uid="{00000000-0005-0000-0000-0000D2110000}"/>
    <cellStyle name="CABEÇALHO 3 3 5 7" xfId="1803" xr:uid="{00000000-0005-0000-0000-0000D3110000}"/>
    <cellStyle name="CABEÇALHO 3 3 5 7 2" xfId="4683" xr:uid="{00000000-0005-0000-0000-0000D4110000}"/>
    <cellStyle name="CABEÇALHO 3 3 5 7 3" xfId="6122" xr:uid="{00000000-0005-0000-0000-0000D5110000}"/>
    <cellStyle name="CABEÇALHO 3 3 5 7 4" xfId="8656" xr:uid="{00000000-0005-0000-0000-0000D6110000}"/>
    <cellStyle name="CABEÇALHO 3 3 5 7 5" xfId="10677" xr:uid="{00000000-0005-0000-0000-0000D7110000}"/>
    <cellStyle name="CABEÇALHO 3 3 5 7 6" xfId="8680" xr:uid="{00000000-0005-0000-0000-0000D8110000}"/>
    <cellStyle name="CABEÇALHO 3 3 5 8" xfId="2681" xr:uid="{00000000-0005-0000-0000-0000D9110000}"/>
    <cellStyle name="CABEÇALHO 3 3 5 8 2" xfId="5561" xr:uid="{00000000-0005-0000-0000-0000DA110000}"/>
    <cellStyle name="CABEÇALHO 3 3 5 8 3" xfId="7919" xr:uid="{00000000-0005-0000-0000-0000DB110000}"/>
    <cellStyle name="CABEÇALHO 3 3 5 8 4" xfId="8241" xr:uid="{00000000-0005-0000-0000-0000DC110000}"/>
    <cellStyle name="CABEÇALHO 3 3 5 8 5" xfId="8973" xr:uid="{00000000-0005-0000-0000-0000DD110000}"/>
    <cellStyle name="CABEÇALHO 3 3 5 8 6" xfId="10163" xr:uid="{00000000-0005-0000-0000-0000DE110000}"/>
    <cellStyle name="CABEÇALHO 3 3 5 9" xfId="3542" xr:uid="{00000000-0005-0000-0000-0000DF110000}"/>
    <cellStyle name="CABEÇALHO 3 3 6" xfId="484" xr:uid="{00000000-0005-0000-0000-0000E0110000}"/>
    <cellStyle name="CABEÇALHO 3 3 6 10" xfId="2980" xr:uid="{00000000-0005-0000-0000-0000E1110000}"/>
    <cellStyle name="CABEÇALHO 3 3 6 11" xfId="6574" xr:uid="{00000000-0005-0000-0000-0000E2110000}"/>
    <cellStyle name="CABEÇALHO 3 3 6 12" xfId="7319" xr:uid="{00000000-0005-0000-0000-0000E3110000}"/>
    <cellStyle name="CABEÇALHO 3 3 6 13" xfId="11467" xr:uid="{00000000-0005-0000-0000-0000E4110000}"/>
    <cellStyle name="CABEÇALHO 3 3 6 2" xfId="960" xr:uid="{00000000-0005-0000-0000-0000E5110000}"/>
    <cellStyle name="CABEÇALHO 3 3 6 2 2" xfId="2102" xr:uid="{00000000-0005-0000-0000-0000E6110000}"/>
    <cellStyle name="CABEÇALHO 3 3 6 2 2 2" xfId="4982" xr:uid="{00000000-0005-0000-0000-0000E7110000}"/>
    <cellStyle name="CABEÇALHO 3 3 6 2 2 3" xfId="7447" xr:uid="{00000000-0005-0000-0000-0000E8110000}"/>
    <cellStyle name="CABEÇALHO 3 3 6 2 2 4" xfId="9534" xr:uid="{00000000-0005-0000-0000-0000E9110000}"/>
    <cellStyle name="CABEÇALHO 3 3 6 2 2 5" xfId="10790" xr:uid="{00000000-0005-0000-0000-0000EA110000}"/>
    <cellStyle name="CABEÇALHO 3 3 6 2 2 6" xfId="11592" xr:uid="{00000000-0005-0000-0000-0000EB110000}"/>
    <cellStyle name="CABEÇALHO 3 3 6 2 3" xfId="2817" xr:uid="{00000000-0005-0000-0000-0000EC110000}"/>
    <cellStyle name="CABEÇALHO 3 3 6 2 3 2" xfId="5697" xr:uid="{00000000-0005-0000-0000-0000ED110000}"/>
    <cellStyle name="CABEÇALHO 3 3 6 2 3 3" xfId="7261" xr:uid="{00000000-0005-0000-0000-0000EE110000}"/>
    <cellStyle name="CABEÇALHO 3 3 6 2 3 4" xfId="6609" xr:uid="{00000000-0005-0000-0000-0000EF110000}"/>
    <cellStyle name="CABEÇALHO 3 3 6 2 3 5" xfId="7660" xr:uid="{00000000-0005-0000-0000-0000F0110000}"/>
    <cellStyle name="CABEÇALHO 3 3 6 2 3 6" xfId="11497" xr:uid="{00000000-0005-0000-0000-0000F1110000}"/>
    <cellStyle name="CABEÇALHO 3 3 6 2 4" xfId="3840" xr:uid="{00000000-0005-0000-0000-0000F2110000}"/>
    <cellStyle name="CABEÇALHO 3 3 6 2 5" xfId="2904" xr:uid="{00000000-0005-0000-0000-0000F3110000}"/>
    <cellStyle name="CABEÇALHO 3 3 6 2 6" xfId="5864" xr:uid="{00000000-0005-0000-0000-0000F4110000}"/>
    <cellStyle name="CABEÇALHO 3 3 6 2 7" xfId="8587" xr:uid="{00000000-0005-0000-0000-0000F5110000}"/>
    <cellStyle name="CABEÇALHO 3 3 6 2 8" xfId="9540" xr:uid="{00000000-0005-0000-0000-0000F6110000}"/>
    <cellStyle name="CABEÇALHO 3 3 6 3" xfId="716" xr:uid="{00000000-0005-0000-0000-0000F7110000}"/>
    <cellStyle name="CABEÇALHO 3 3 6 3 2" xfId="1858" xr:uid="{00000000-0005-0000-0000-0000F8110000}"/>
    <cellStyle name="CABEÇALHO 3 3 6 3 2 2" xfId="4738" xr:uid="{00000000-0005-0000-0000-0000F9110000}"/>
    <cellStyle name="CABEÇALHO 3 3 6 3 2 3" xfId="6579" xr:uid="{00000000-0005-0000-0000-0000FA110000}"/>
    <cellStyle name="CABEÇALHO 3 3 6 3 2 4" xfId="9075" xr:uid="{00000000-0005-0000-0000-0000FB110000}"/>
    <cellStyle name="CABEÇALHO 3 3 6 3 2 5" xfId="10369" xr:uid="{00000000-0005-0000-0000-0000FC110000}"/>
    <cellStyle name="CABEÇALHO 3 3 6 3 2 6" xfId="11408" xr:uid="{00000000-0005-0000-0000-0000FD110000}"/>
    <cellStyle name="CABEÇALHO 3 3 6 3 3" xfId="2826" xr:uid="{00000000-0005-0000-0000-0000FE110000}"/>
    <cellStyle name="CABEÇALHO 3 3 6 3 3 2" xfId="5706" xr:uid="{00000000-0005-0000-0000-0000FF110000}"/>
    <cellStyle name="CABEÇALHO 3 3 6 3 3 3" xfId="7625" xr:uid="{00000000-0005-0000-0000-000000120000}"/>
    <cellStyle name="CABEÇALHO 3 3 6 3 3 4" xfId="8484" xr:uid="{00000000-0005-0000-0000-000001120000}"/>
    <cellStyle name="CABEÇALHO 3 3 6 3 3 5" xfId="3050" xr:uid="{00000000-0005-0000-0000-000002120000}"/>
    <cellStyle name="CABEÇALHO 3 3 6 3 3 6" xfId="11449" xr:uid="{00000000-0005-0000-0000-000003120000}"/>
    <cellStyle name="CABEÇALHO 3 3 6 3 4" xfId="3596" xr:uid="{00000000-0005-0000-0000-000004120000}"/>
    <cellStyle name="CABEÇALHO 3 3 6 3 5" xfId="7508" xr:uid="{00000000-0005-0000-0000-000005120000}"/>
    <cellStyle name="CABEÇALHO 3 3 6 3 6" xfId="6004" xr:uid="{00000000-0005-0000-0000-000006120000}"/>
    <cellStyle name="CABEÇALHO 3 3 6 3 7" xfId="10127" xr:uid="{00000000-0005-0000-0000-000007120000}"/>
    <cellStyle name="CABEÇALHO 3 3 6 3 8" xfId="8534" xr:uid="{00000000-0005-0000-0000-000008120000}"/>
    <cellStyle name="CABEÇALHO 3 3 6 4" xfId="1208" xr:uid="{00000000-0005-0000-0000-000009120000}"/>
    <cellStyle name="CABEÇALHO 3 3 6 4 2" xfId="2350" xr:uid="{00000000-0005-0000-0000-00000A120000}"/>
    <cellStyle name="CABEÇALHO 3 3 6 4 2 2" xfId="5230" xr:uid="{00000000-0005-0000-0000-00000B120000}"/>
    <cellStyle name="CABEÇALHO 3 3 6 4 2 3" xfId="6551" xr:uid="{00000000-0005-0000-0000-00000C120000}"/>
    <cellStyle name="CABEÇALHO 3 3 6 4 2 4" xfId="9049" xr:uid="{00000000-0005-0000-0000-00000D120000}"/>
    <cellStyle name="CABEÇALHO 3 3 6 4 2 5" xfId="8856" xr:uid="{00000000-0005-0000-0000-00000E120000}"/>
    <cellStyle name="CABEÇALHO 3 3 6 4 2 6" xfId="8514" xr:uid="{00000000-0005-0000-0000-00000F120000}"/>
    <cellStyle name="CABEÇALHO 3 3 6 4 3" xfId="2760" xr:uid="{00000000-0005-0000-0000-000010120000}"/>
    <cellStyle name="CABEÇALHO 3 3 6 4 3 2" xfId="5640" xr:uid="{00000000-0005-0000-0000-000011120000}"/>
    <cellStyle name="CABEÇALHO 3 3 6 4 3 3" xfId="7738" xr:uid="{00000000-0005-0000-0000-000012120000}"/>
    <cellStyle name="CABEÇALHO 3 3 6 4 3 4" xfId="6016" xr:uid="{00000000-0005-0000-0000-000013120000}"/>
    <cellStyle name="CABEÇALHO 3 3 6 4 3 5" xfId="8913" xr:uid="{00000000-0005-0000-0000-000014120000}"/>
    <cellStyle name="CABEÇALHO 3 3 6 4 3 6" xfId="9808" xr:uid="{00000000-0005-0000-0000-000015120000}"/>
    <cellStyle name="CABEÇALHO 3 3 6 4 4" xfId="4088" xr:uid="{00000000-0005-0000-0000-000016120000}"/>
    <cellStyle name="CABEÇALHO 3 3 6 4 5" xfId="3078" xr:uid="{00000000-0005-0000-0000-000017120000}"/>
    <cellStyle name="CABEÇALHO 3 3 6 4 6" xfId="6453" xr:uid="{00000000-0005-0000-0000-000018120000}"/>
    <cellStyle name="CABEÇALHO 3 3 6 4 7" xfId="8418" xr:uid="{00000000-0005-0000-0000-000019120000}"/>
    <cellStyle name="CABEÇALHO 3 3 6 4 8" xfId="9393" xr:uid="{00000000-0005-0000-0000-00001A120000}"/>
    <cellStyle name="CABEÇALHO 3 3 6 5" xfId="1183" xr:uid="{00000000-0005-0000-0000-00001B120000}"/>
    <cellStyle name="CABEÇALHO 3 3 6 5 2" xfId="2325" xr:uid="{00000000-0005-0000-0000-00001C120000}"/>
    <cellStyle name="CABEÇALHO 3 3 6 5 2 2" xfId="5205" xr:uid="{00000000-0005-0000-0000-00001D120000}"/>
    <cellStyle name="CABEÇALHO 3 3 6 5 2 3" xfId="6663" xr:uid="{00000000-0005-0000-0000-00001E120000}"/>
    <cellStyle name="CABEÇALHO 3 3 6 5 2 4" xfId="9152" xr:uid="{00000000-0005-0000-0000-00001F120000}"/>
    <cellStyle name="CABEÇALHO 3 3 6 5 2 5" xfId="10470" xr:uid="{00000000-0005-0000-0000-000020120000}"/>
    <cellStyle name="CABEÇALHO 3 3 6 5 2 6" xfId="10199" xr:uid="{00000000-0005-0000-0000-000021120000}"/>
    <cellStyle name="CABEÇALHO 3 3 6 5 3" xfId="2615" xr:uid="{00000000-0005-0000-0000-000022120000}"/>
    <cellStyle name="CABEÇALHO 3 3 6 5 3 2" xfId="5495" xr:uid="{00000000-0005-0000-0000-000023120000}"/>
    <cellStyle name="CABEÇALHO 3 3 6 5 3 3" xfId="7726" xr:uid="{00000000-0005-0000-0000-000024120000}"/>
    <cellStyle name="CABEÇALHO 3 3 6 5 3 4" xfId="5792" xr:uid="{00000000-0005-0000-0000-000025120000}"/>
    <cellStyle name="CABEÇALHO 3 3 6 5 3 5" xfId="8808" xr:uid="{00000000-0005-0000-0000-000026120000}"/>
    <cellStyle name="CABEÇALHO 3 3 6 5 3 6" xfId="7237" xr:uid="{00000000-0005-0000-0000-000027120000}"/>
    <cellStyle name="CABEÇALHO 3 3 6 5 4" xfId="4063" xr:uid="{00000000-0005-0000-0000-000028120000}"/>
    <cellStyle name="CABEÇALHO 3 3 6 5 5" xfId="3067" xr:uid="{00000000-0005-0000-0000-000029120000}"/>
    <cellStyle name="CABEÇALHO 3 3 6 5 6" xfId="5883" xr:uid="{00000000-0005-0000-0000-00002A120000}"/>
    <cellStyle name="CABEÇALHO 3 3 6 5 7" xfId="8517" xr:uid="{00000000-0005-0000-0000-00002B120000}"/>
    <cellStyle name="CABEÇALHO 3 3 6 5 8" xfId="11032" xr:uid="{00000000-0005-0000-0000-00002C120000}"/>
    <cellStyle name="CABEÇALHO 3 3 6 6" xfId="699" xr:uid="{00000000-0005-0000-0000-00002D120000}"/>
    <cellStyle name="CABEÇALHO 3 3 6 6 2" xfId="1841" xr:uid="{00000000-0005-0000-0000-00002E120000}"/>
    <cellStyle name="CABEÇALHO 3 3 6 6 2 2" xfId="4721" xr:uid="{00000000-0005-0000-0000-00002F120000}"/>
    <cellStyle name="CABEÇALHO 3 3 6 6 2 3" xfId="7685" xr:uid="{00000000-0005-0000-0000-000030120000}"/>
    <cellStyle name="CABEÇALHO 3 3 6 6 2 4" xfId="9548" xr:uid="{00000000-0005-0000-0000-000031120000}"/>
    <cellStyle name="CABEÇALHO 3 3 6 6 2 5" xfId="10761" xr:uid="{00000000-0005-0000-0000-000032120000}"/>
    <cellStyle name="CABEÇALHO 3 3 6 6 2 6" xfId="11350" xr:uid="{00000000-0005-0000-0000-000033120000}"/>
    <cellStyle name="CABEÇALHO 3 3 6 6 3" xfId="1422" xr:uid="{00000000-0005-0000-0000-000034120000}"/>
    <cellStyle name="CABEÇALHO 3 3 6 6 3 2" xfId="4302" xr:uid="{00000000-0005-0000-0000-000035120000}"/>
    <cellStyle name="CABEÇALHO 3 3 6 6 3 3" xfId="8183" xr:uid="{00000000-0005-0000-0000-000036120000}"/>
    <cellStyle name="CABEÇALHO 3 3 6 6 3 4" xfId="9586" xr:uid="{00000000-0005-0000-0000-000037120000}"/>
    <cellStyle name="CABEÇALHO 3 3 6 6 3 5" xfId="6518" xr:uid="{00000000-0005-0000-0000-000038120000}"/>
    <cellStyle name="CABEÇALHO 3 3 6 6 3 6" xfId="11403" xr:uid="{00000000-0005-0000-0000-000039120000}"/>
    <cellStyle name="CABEÇALHO 3 3 6 6 4" xfId="3579" xr:uid="{00000000-0005-0000-0000-00003A120000}"/>
    <cellStyle name="CABEÇALHO 3 3 6 6 5" xfId="7509" xr:uid="{00000000-0005-0000-0000-00003B120000}"/>
    <cellStyle name="CABEÇALHO 3 3 6 6 6" xfId="6578" xr:uid="{00000000-0005-0000-0000-00003C120000}"/>
    <cellStyle name="CABEÇALHO 3 3 6 6 7" xfId="10128" xr:uid="{00000000-0005-0000-0000-00003D120000}"/>
    <cellStyle name="CABEÇALHO 3 3 6 6 8" xfId="11452" xr:uid="{00000000-0005-0000-0000-00003E120000}"/>
    <cellStyle name="CABEÇALHO 3 3 6 7" xfId="1625" xr:uid="{00000000-0005-0000-0000-00003F120000}"/>
    <cellStyle name="CABEÇALHO 3 3 6 7 2" xfId="4505" xr:uid="{00000000-0005-0000-0000-000040120000}"/>
    <cellStyle name="CABEÇALHO 3 3 6 7 3" xfId="6601" xr:uid="{00000000-0005-0000-0000-000041120000}"/>
    <cellStyle name="CABEÇALHO 3 3 6 7 4" xfId="3111" xr:uid="{00000000-0005-0000-0000-000042120000}"/>
    <cellStyle name="CABEÇALHO 3 3 6 7 5" xfId="3005" xr:uid="{00000000-0005-0000-0000-000043120000}"/>
    <cellStyle name="CABEÇALHO 3 3 6 7 6" xfId="11517" xr:uid="{00000000-0005-0000-0000-000044120000}"/>
    <cellStyle name="CABEÇALHO 3 3 6 8" xfId="1378" xr:uid="{00000000-0005-0000-0000-000045120000}"/>
    <cellStyle name="CABEÇALHO 3 3 6 8 2" xfId="4258" xr:uid="{00000000-0005-0000-0000-000046120000}"/>
    <cellStyle name="CABEÇALHO 3 3 6 8 3" xfId="7302" xr:uid="{00000000-0005-0000-0000-000047120000}"/>
    <cellStyle name="CABEÇALHO 3 3 6 8 4" xfId="8745" xr:uid="{00000000-0005-0000-0000-000048120000}"/>
    <cellStyle name="CABEÇALHO 3 3 6 8 5" xfId="10347" xr:uid="{00000000-0005-0000-0000-000049120000}"/>
    <cellStyle name="CABEÇALHO 3 3 6 8 6" xfId="10939" xr:uid="{00000000-0005-0000-0000-00004A120000}"/>
    <cellStyle name="CABEÇALHO 3 3 6 9" xfId="3364" xr:uid="{00000000-0005-0000-0000-00004B120000}"/>
    <cellStyle name="CABEÇALHO 3 3 7" xfId="498" xr:uid="{00000000-0005-0000-0000-00004C120000}"/>
    <cellStyle name="CABEÇALHO 3 3 7 10" xfId="7380" xr:uid="{00000000-0005-0000-0000-00004D120000}"/>
    <cellStyle name="CABEÇALHO 3 3 7 11" xfId="7483" xr:uid="{00000000-0005-0000-0000-00004E120000}"/>
    <cellStyle name="CABEÇALHO 3 3 7 12" xfId="8774" xr:uid="{00000000-0005-0000-0000-00004F120000}"/>
    <cellStyle name="CABEÇALHO 3 3 7 13" xfId="11484" xr:uid="{00000000-0005-0000-0000-000050120000}"/>
    <cellStyle name="CABEÇALHO 3 3 7 2" xfId="974" xr:uid="{00000000-0005-0000-0000-000051120000}"/>
    <cellStyle name="CABEÇALHO 3 3 7 2 2" xfId="2116" xr:uid="{00000000-0005-0000-0000-000052120000}"/>
    <cellStyle name="CABEÇALHO 3 3 7 2 2 2" xfId="4996" xr:uid="{00000000-0005-0000-0000-000053120000}"/>
    <cellStyle name="CABEÇALHO 3 3 7 2 2 3" xfId="7895" xr:uid="{00000000-0005-0000-0000-000054120000}"/>
    <cellStyle name="CABEÇALHO 3 3 7 2 2 4" xfId="6285" xr:uid="{00000000-0005-0000-0000-000055120000}"/>
    <cellStyle name="CABEÇALHO 3 3 7 2 2 5" xfId="6482" xr:uid="{00000000-0005-0000-0000-000056120000}"/>
    <cellStyle name="CABEÇALHO 3 3 7 2 2 6" xfId="11401" xr:uid="{00000000-0005-0000-0000-000057120000}"/>
    <cellStyle name="CABEÇALHO 3 3 7 2 3" xfId="2624" xr:uid="{00000000-0005-0000-0000-000058120000}"/>
    <cellStyle name="CABEÇALHO 3 3 7 2 3 2" xfId="5504" xr:uid="{00000000-0005-0000-0000-000059120000}"/>
    <cellStyle name="CABEÇALHO 3 3 7 2 3 3" xfId="8168" xr:uid="{00000000-0005-0000-0000-00005A120000}"/>
    <cellStyle name="CABEÇALHO 3 3 7 2 3 4" xfId="6124" xr:uid="{00000000-0005-0000-0000-00005B120000}"/>
    <cellStyle name="CABEÇALHO 3 3 7 2 3 5" xfId="8100" xr:uid="{00000000-0005-0000-0000-00005C120000}"/>
    <cellStyle name="CABEÇALHO 3 3 7 2 3 6" xfId="11473" xr:uid="{00000000-0005-0000-0000-00005D120000}"/>
    <cellStyle name="CABEÇALHO 3 3 7 2 4" xfId="3854" xr:uid="{00000000-0005-0000-0000-00005E120000}"/>
    <cellStyle name="CABEÇALHO 3 3 7 2 5" xfId="6899" xr:uid="{00000000-0005-0000-0000-00005F120000}"/>
    <cellStyle name="CABEÇALHO 3 3 7 2 6" xfId="7098" xr:uid="{00000000-0005-0000-0000-000060120000}"/>
    <cellStyle name="CABEÇALHO 3 3 7 2 7" xfId="8947" xr:uid="{00000000-0005-0000-0000-000061120000}"/>
    <cellStyle name="CABEÇALHO 3 3 7 2 8" xfId="11059" xr:uid="{00000000-0005-0000-0000-000062120000}"/>
    <cellStyle name="CABEÇALHO 3 3 7 3" xfId="816" xr:uid="{00000000-0005-0000-0000-000063120000}"/>
    <cellStyle name="CABEÇALHO 3 3 7 3 2" xfId="1958" xr:uid="{00000000-0005-0000-0000-000064120000}"/>
    <cellStyle name="CABEÇALHO 3 3 7 3 2 2" xfId="4838" xr:uid="{00000000-0005-0000-0000-000065120000}"/>
    <cellStyle name="CABEÇALHO 3 3 7 3 2 3" xfId="7926" xr:uid="{00000000-0005-0000-0000-000066120000}"/>
    <cellStyle name="CABEÇALHO 3 3 7 3 2 4" xfId="6209" xr:uid="{00000000-0005-0000-0000-000067120000}"/>
    <cellStyle name="CABEÇALHO 3 3 7 3 2 5" xfId="10687" xr:uid="{00000000-0005-0000-0000-000068120000}"/>
    <cellStyle name="CABEÇALHO 3 3 7 3 2 6" xfId="10915" xr:uid="{00000000-0005-0000-0000-000069120000}"/>
    <cellStyle name="CABEÇALHO 3 3 7 3 3" xfId="2836" xr:uid="{00000000-0005-0000-0000-00006A120000}"/>
    <cellStyle name="CABEÇALHO 3 3 7 3 3 2" xfId="5716" xr:uid="{00000000-0005-0000-0000-00006B120000}"/>
    <cellStyle name="CABEÇALHO 3 3 7 3 3 3" xfId="6117" xr:uid="{00000000-0005-0000-0000-00006C120000}"/>
    <cellStyle name="CABEÇALHO 3 3 7 3 3 4" xfId="9316" xr:uid="{00000000-0005-0000-0000-00006D120000}"/>
    <cellStyle name="CABEÇALHO 3 3 7 3 3 5" xfId="9649" xr:uid="{00000000-0005-0000-0000-00006E120000}"/>
    <cellStyle name="CABEÇALHO 3 3 7 3 3 6" xfId="9774" xr:uid="{00000000-0005-0000-0000-00006F120000}"/>
    <cellStyle name="CABEÇALHO 3 3 7 3 4" xfId="3696" xr:uid="{00000000-0005-0000-0000-000070120000}"/>
    <cellStyle name="CABEÇALHO 3 3 7 3 5" xfId="6251" xr:uid="{00000000-0005-0000-0000-000071120000}"/>
    <cellStyle name="CABEÇALHO 3 3 7 3 6" xfId="8359" xr:uid="{00000000-0005-0000-0000-000072120000}"/>
    <cellStyle name="CABEÇALHO 3 3 7 3 7" xfId="9071" xr:uid="{00000000-0005-0000-0000-000073120000}"/>
    <cellStyle name="CABEÇALHO 3 3 7 3 8" xfId="11206" xr:uid="{00000000-0005-0000-0000-000074120000}"/>
    <cellStyle name="CABEÇALHO 3 3 7 4" xfId="1182" xr:uid="{00000000-0005-0000-0000-000075120000}"/>
    <cellStyle name="CABEÇALHO 3 3 7 4 2" xfId="2324" xr:uid="{00000000-0005-0000-0000-000076120000}"/>
    <cellStyle name="CABEÇALHO 3 3 7 4 2 2" xfId="5204" xr:uid="{00000000-0005-0000-0000-000077120000}"/>
    <cellStyle name="CABEÇALHO 3 3 7 4 2 3" xfId="7736" xr:uid="{00000000-0005-0000-0000-000078120000}"/>
    <cellStyle name="CABEÇALHO 3 3 7 4 2 4" xfId="9233" xr:uid="{00000000-0005-0000-0000-000079120000}"/>
    <cellStyle name="CABEÇALHO 3 3 7 4 2 5" xfId="9683" xr:uid="{00000000-0005-0000-0000-00007A120000}"/>
    <cellStyle name="CABEÇALHO 3 3 7 4 2 6" xfId="8987" xr:uid="{00000000-0005-0000-0000-00007B120000}"/>
    <cellStyle name="CABEÇALHO 3 3 7 4 3" xfId="2554" xr:uid="{00000000-0005-0000-0000-00007C120000}"/>
    <cellStyle name="CABEÇALHO 3 3 7 4 3 2" xfId="5434" xr:uid="{00000000-0005-0000-0000-00007D120000}"/>
    <cellStyle name="CABEÇALHO 3 3 7 4 3 3" xfId="7909" xr:uid="{00000000-0005-0000-0000-00007E120000}"/>
    <cellStyle name="CABEÇALHO 3 3 7 4 3 4" xfId="9245" xr:uid="{00000000-0005-0000-0000-00007F120000}"/>
    <cellStyle name="CABEÇALHO 3 3 7 4 3 5" xfId="10225" xr:uid="{00000000-0005-0000-0000-000080120000}"/>
    <cellStyle name="CABEÇALHO 3 3 7 4 3 6" xfId="11053" xr:uid="{00000000-0005-0000-0000-000081120000}"/>
    <cellStyle name="CABEÇALHO 3 3 7 4 4" xfId="4062" xr:uid="{00000000-0005-0000-0000-000082120000}"/>
    <cellStyle name="CABEÇALHO 3 3 7 4 5" xfId="3066" xr:uid="{00000000-0005-0000-0000-000083120000}"/>
    <cellStyle name="CABEÇALHO 3 3 7 4 6" xfId="6608" xr:uid="{00000000-0005-0000-0000-000084120000}"/>
    <cellStyle name="CABEÇALHO 3 3 7 4 7" xfId="8865" xr:uid="{00000000-0005-0000-0000-000085120000}"/>
    <cellStyle name="CABEÇALHO 3 3 7 4 8" xfId="11284" xr:uid="{00000000-0005-0000-0000-000086120000}"/>
    <cellStyle name="CABEÇALHO 3 3 7 5" xfId="714" xr:uid="{00000000-0005-0000-0000-000087120000}"/>
    <cellStyle name="CABEÇALHO 3 3 7 5 2" xfId="1856" xr:uid="{00000000-0005-0000-0000-000088120000}"/>
    <cellStyle name="CABEÇALHO 3 3 7 5 2 2" xfId="4736" xr:uid="{00000000-0005-0000-0000-000089120000}"/>
    <cellStyle name="CABEÇALHO 3 3 7 5 2 3" xfId="8043" xr:uid="{00000000-0005-0000-0000-00008A120000}"/>
    <cellStyle name="CABEÇALHO 3 3 7 5 2 4" xfId="6507" xr:uid="{00000000-0005-0000-0000-00008B120000}"/>
    <cellStyle name="CABEÇALHO 3 3 7 5 2 5" xfId="6593" xr:uid="{00000000-0005-0000-0000-00008C120000}"/>
    <cellStyle name="CABEÇALHO 3 3 7 5 2 6" xfId="10139" xr:uid="{00000000-0005-0000-0000-00008D120000}"/>
    <cellStyle name="CABEÇALHO 3 3 7 5 3" xfId="2775" xr:uid="{00000000-0005-0000-0000-00008E120000}"/>
    <cellStyle name="CABEÇALHO 3 3 7 5 3 2" xfId="5655" xr:uid="{00000000-0005-0000-0000-00008F120000}"/>
    <cellStyle name="CABEÇALHO 3 3 7 5 3 3" xfId="7773" xr:uid="{00000000-0005-0000-0000-000090120000}"/>
    <cellStyle name="CABEÇALHO 3 3 7 5 3 4" xfId="8207" xr:uid="{00000000-0005-0000-0000-000091120000}"/>
    <cellStyle name="CABEÇALHO 3 3 7 5 3 5" xfId="9955" xr:uid="{00000000-0005-0000-0000-000092120000}"/>
    <cellStyle name="CABEÇALHO 3 3 7 5 3 6" xfId="11225" xr:uid="{00000000-0005-0000-0000-000093120000}"/>
    <cellStyle name="CABEÇALHO 3 3 7 5 4" xfId="3594" xr:uid="{00000000-0005-0000-0000-000094120000}"/>
    <cellStyle name="CABEÇALHO 3 3 7 5 5" xfId="6268" xr:uid="{00000000-0005-0000-0000-000095120000}"/>
    <cellStyle name="CABEÇALHO 3 3 7 5 6" xfId="8378" xr:uid="{00000000-0005-0000-0000-000096120000}"/>
    <cellStyle name="CABEÇALHO 3 3 7 5 7" xfId="7969" xr:uid="{00000000-0005-0000-0000-000097120000}"/>
    <cellStyle name="CABEÇALHO 3 3 7 5 8" xfId="11314" xr:uid="{00000000-0005-0000-0000-000098120000}"/>
    <cellStyle name="CABEÇALHO 3 3 7 6" xfId="817" xr:uid="{00000000-0005-0000-0000-000099120000}"/>
    <cellStyle name="CABEÇALHO 3 3 7 6 2" xfId="1959" xr:uid="{00000000-0005-0000-0000-00009A120000}"/>
    <cellStyle name="CABEÇALHO 3 3 7 6 2 2" xfId="4839" xr:uid="{00000000-0005-0000-0000-00009B120000}"/>
    <cellStyle name="CABEÇALHO 3 3 7 6 2 3" xfId="7016" xr:uid="{00000000-0005-0000-0000-00009C120000}"/>
    <cellStyle name="CABEÇALHO 3 3 7 6 2 4" xfId="9337" xr:uid="{00000000-0005-0000-0000-00009D120000}"/>
    <cellStyle name="CABEÇALHO 3 3 7 6 2 5" xfId="10211" xr:uid="{00000000-0005-0000-0000-00009E120000}"/>
    <cellStyle name="CABEÇALHO 3 3 7 6 2 6" xfId="11054" xr:uid="{00000000-0005-0000-0000-00009F120000}"/>
    <cellStyle name="CABEÇALHO 3 3 7 6 3" xfId="2819" xr:uid="{00000000-0005-0000-0000-0000A0120000}"/>
    <cellStyle name="CABEÇALHO 3 3 7 6 3 2" xfId="5699" xr:uid="{00000000-0005-0000-0000-0000A1120000}"/>
    <cellStyle name="CABEÇALHO 3 3 7 6 3 3" xfId="7930" xr:uid="{00000000-0005-0000-0000-0000A2120000}"/>
    <cellStyle name="CABEÇALHO 3 3 7 6 3 4" xfId="8705" xr:uid="{00000000-0005-0000-0000-0000A3120000}"/>
    <cellStyle name="CABEÇALHO 3 3 7 6 3 5" xfId="10394" xr:uid="{00000000-0005-0000-0000-0000A4120000}"/>
    <cellStyle name="CABEÇALHO 3 3 7 6 3 6" xfId="11671" xr:uid="{00000000-0005-0000-0000-0000A5120000}"/>
    <cellStyle name="CABEÇALHO 3 3 7 6 4" xfId="3697" xr:uid="{00000000-0005-0000-0000-0000A6120000}"/>
    <cellStyle name="CABEÇALHO 3 3 7 6 5" xfId="7052" xr:uid="{00000000-0005-0000-0000-0000A7120000}"/>
    <cellStyle name="CABEÇALHO 3 3 7 6 6" xfId="8775" xr:uid="{00000000-0005-0000-0000-0000A8120000}"/>
    <cellStyle name="CABEÇALHO 3 3 7 6 7" xfId="9745" xr:uid="{00000000-0005-0000-0000-0000A9120000}"/>
    <cellStyle name="CABEÇALHO 3 3 7 6 8" xfId="3188" xr:uid="{00000000-0005-0000-0000-0000AA120000}"/>
    <cellStyle name="CABEÇALHO 3 3 7 7" xfId="1639" xr:uid="{00000000-0005-0000-0000-0000AB120000}"/>
    <cellStyle name="CABEÇALHO 3 3 7 7 2" xfId="4519" xr:uid="{00000000-0005-0000-0000-0000AC120000}"/>
    <cellStyle name="CABEÇALHO 3 3 7 7 3" xfId="7648" xr:uid="{00000000-0005-0000-0000-0000AD120000}"/>
    <cellStyle name="CABEÇALHO 3 3 7 7 4" xfId="9073" xr:uid="{00000000-0005-0000-0000-0000AE120000}"/>
    <cellStyle name="CABEÇALHO 3 3 7 7 5" xfId="9711" xr:uid="{00000000-0005-0000-0000-0000AF120000}"/>
    <cellStyle name="CABEÇALHO 3 3 7 7 6" xfId="9893" xr:uid="{00000000-0005-0000-0000-0000B0120000}"/>
    <cellStyle name="CABEÇALHO 3 3 7 8" xfId="2782" xr:uid="{00000000-0005-0000-0000-0000B1120000}"/>
    <cellStyle name="CABEÇALHO 3 3 7 8 2" xfId="5662" xr:uid="{00000000-0005-0000-0000-0000B2120000}"/>
    <cellStyle name="CABEÇALHO 3 3 7 8 3" xfId="6201" xr:uid="{00000000-0005-0000-0000-0000B3120000}"/>
    <cellStyle name="CABEÇALHO 3 3 7 8 4" xfId="9429" xr:uid="{00000000-0005-0000-0000-0000B4120000}"/>
    <cellStyle name="CABEÇALHO 3 3 7 8 5" xfId="10671" xr:uid="{00000000-0005-0000-0000-0000B5120000}"/>
    <cellStyle name="CABEÇALHO 3 3 7 8 6" xfId="11425" xr:uid="{00000000-0005-0000-0000-0000B6120000}"/>
    <cellStyle name="CABEÇALHO 3 3 7 9" xfId="3378" xr:uid="{00000000-0005-0000-0000-0000B7120000}"/>
    <cellStyle name="CABEÇALHO 3 3 8" xfId="667" xr:uid="{00000000-0005-0000-0000-0000B8120000}"/>
    <cellStyle name="CABEÇALHO 3 3 8 10" xfId="5963" xr:uid="{00000000-0005-0000-0000-0000B9120000}"/>
    <cellStyle name="CABEÇALHO 3 3 8 11" xfId="8926" xr:uid="{00000000-0005-0000-0000-0000BA120000}"/>
    <cellStyle name="CABEÇALHO 3 3 8 12" xfId="9873" xr:uid="{00000000-0005-0000-0000-0000BB120000}"/>
    <cellStyle name="CABEÇALHO 3 3 8 13" xfId="9262" xr:uid="{00000000-0005-0000-0000-0000BC120000}"/>
    <cellStyle name="CABEÇALHO 3 3 8 2" xfId="1143" xr:uid="{00000000-0005-0000-0000-0000BD120000}"/>
    <cellStyle name="CABEÇALHO 3 3 8 2 2" xfId="2285" xr:uid="{00000000-0005-0000-0000-0000BE120000}"/>
    <cellStyle name="CABEÇALHO 3 3 8 2 2 2" xfId="5165" xr:uid="{00000000-0005-0000-0000-0000BF120000}"/>
    <cellStyle name="CABEÇALHO 3 3 8 2 2 3" xfId="7779" xr:uid="{00000000-0005-0000-0000-0000C0120000}"/>
    <cellStyle name="CABEÇALHO 3 3 8 2 2 4" xfId="9329" xr:uid="{00000000-0005-0000-0000-0000C1120000}"/>
    <cellStyle name="CABEÇALHO 3 3 8 2 2 5" xfId="10835" xr:uid="{00000000-0005-0000-0000-0000C2120000}"/>
    <cellStyle name="CABEÇALHO 3 3 8 2 2 6" xfId="8815" xr:uid="{00000000-0005-0000-0000-0000C3120000}"/>
    <cellStyle name="CABEÇALHO 3 3 8 2 3" xfId="2517" xr:uid="{00000000-0005-0000-0000-0000C4120000}"/>
    <cellStyle name="CABEÇALHO 3 3 8 2 3 2" xfId="5397" xr:uid="{00000000-0005-0000-0000-0000C5120000}"/>
    <cellStyle name="CABEÇALHO 3 3 8 2 3 3" xfId="7017" xr:uid="{00000000-0005-0000-0000-0000C6120000}"/>
    <cellStyle name="CABEÇALHO 3 3 8 2 3 4" xfId="6047" xr:uid="{00000000-0005-0000-0000-0000C7120000}"/>
    <cellStyle name="CABEÇALHO 3 3 8 2 3 5" xfId="9707" xr:uid="{00000000-0005-0000-0000-0000C8120000}"/>
    <cellStyle name="CABEÇALHO 3 3 8 2 3 6" xfId="11130" xr:uid="{00000000-0005-0000-0000-0000C9120000}"/>
    <cellStyle name="CABEÇALHO 3 3 8 2 4" xfId="4023" xr:uid="{00000000-0005-0000-0000-0000CA120000}"/>
    <cellStyle name="CABEÇALHO 3 3 8 2 5" xfId="2955" xr:uid="{00000000-0005-0000-0000-0000CB120000}"/>
    <cellStyle name="CABEÇALHO 3 3 8 2 6" xfId="7042" xr:uid="{00000000-0005-0000-0000-0000CC120000}"/>
    <cellStyle name="CABEÇALHO 3 3 8 2 7" xfId="10843" xr:uid="{00000000-0005-0000-0000-0000CD120000}"/>
    <cellStyle name="CABEÇALHO 3 3 8 2 8" xfId="8548" xr:uid="{00000000-0005-0000-0000-0000CE120000}"/>
    <cellStyle name="CABEÇALHO 3 3 8 3" xfId="1244" xr:uid="{00000000-0005-0000-0000-0000CF120000}"/>
    <cellStyle name="CABEÇALHO 3 3 8 3 2" xfId="2386" xr:uid="{00000000-0005-0000-0000-0000D0120000}"/>
    <cellStyle name="CABEÇALHO 3 3 8 3 2 2" xfId="5266" xr:uid="{00000000-0005-0000-0000-0000D1120000}"/>
    <cellStyle name="CABEÇALHO 3 3 8 3 2 3" xfId="7862" xr:uid="{00000000-0005-0000-0000-0000D2120000}"/>
    <cellStyle name="CABEÇALHO 3 3 8 3 2 4" xfId="6443" xr:uid="{00000000-0005-0000-0000-0000D3120000}"/>
    <cellStyle name="CABEÇALHO 3 3 8 3 2 5" xfId="8918" xr:uid="{00000000-0005-0000-0000-0000D4120000}"/>
    <cellStyle name="CABEÇALHO 3 3 8 3 2 6" xfId="11112" xr:uid="{00000000-0005-0000-0000-0000D5120000}"/>
    <cellStyle name="CABEÇALHO 3 3 8 3 3" xfId="2740" xr:uid="{00000000-0005-0000-0000-0000D6120000}"/>
    <cellStyle name="CABEÇALHO 3 3 8 3 3 2" xfId="5620" xr:uid="{00000000-0005-0000-0000-0000D7120000}"/>
    <cellStyle name="CABEÇALHO 3 3 8 3 3 3" xfId="6121" xr:uid="{00000000-0005-0000-0000-0000D8120000}"/>
    <cellStyle name="CABEÇALHO 3 3 8 3 3 4" xfId="8286" xr:uid="{00000000-0005-0000-0000-0000D9120000}"/>
    <cellStyle name="CABEÇALHO 3 3 8 3 3 5" xfId="9655" xr:uid="{00000000-0005-0000-0000-0000DA120000}"/>
    <cellStyle name="CABEÇALHO 3 3 8 3 3 6" xfId="10574" xr:uid="{00000000-0005-0000-0000-0000DB120000}"/>
    <cellStyle name="CABEÇALHO 3 3 8 3 4" xfId="4124" xr:uid="{00000000-0005-0000-0000-0000DC120000}"/>
    <cellStyle name="CABEÇALHO 3 3 8 3 5" xfId="3100" xr:uid="{00000000-0005-0000-0000-0000DD120000}"/>
    <cellStyle name="CABEÇALHO 3 3 8 3 6" xfId="6478" xr:uid="{00000000-0005-0000-0000-0000DE120000}"/>
    <cellStyle name="CABEÇALHO 3 3 8 3 7" xfId="8464" xr:uid="{00000000-0005-0000-0000-0000DF120000}"/>
    <cellStyle name="CABEÇALHO 3 3 8 3 8" xfId="7357" xr:uid="{00000000-0005-0000-0000-0000E0120000}"/>
    <cellStyle name="CABEÇALHO 3 3 8 4" xfId="1283" xr:uid="{00000000-0005-0000-0000-0000E1120000}"/>
    <cellStyle name="CABEÇALHO 3 3 8 4 2" xfId="2425" xr:uid="{00000000-0005-0000-0000-0000E2120000}"/>
    <cellStyle name="CABEÇALHO 3 3 8 4 2 2" xfId="5305" xr:uid="{00000000-0005-0000-0000-0000E3120000}"/>
    <cellStyle name="CABEÇALHO 3 3 8 4 2 3" xfId="5932" xr:uid="{00000000-0005-0000-0000-0000E4120000}"/>
    <cellStyle name="CABEÇALHO 3 3 8 4 2 4" xfId="7491" xr:uid="{00000000-0005-0000-0000-0000E5120000}"/>
    <cellStyle name="CABEÇALHO 3 3 8 4 2 5" xfId="6357" xr:uid="{00000000-0005-0000-0000-0000E6120000}"/>
    <cellStyle name="CABEÇALHO 3 3 8 4 2 6" xfId="11658" xr:uid="{00000000-0005-0000-0000-0000E7120000}"/>
    <cellStyle name="CABEÇALHO 3 3 8 4 3" xfId="2654" xr:uid="{00000000-0005-0000-0000-0000E8120000}"/>
    <cellStyle name="CABEÇALHO 3 3 8 4 3 2" xfId="5534" xr:uid="{00000000-0005-0000-0000-0000E9120000}"/>
    <cellStyle name="CABEÇALHO 3 3 8 4 3 3" xfId="7290" xr:uid="{00000000-0005-0000-0000-0000EA120000}"/>
    <cellStyle name="CABEÇALHO 3 3 8 4 3 4" xfId="6986" xr:uid="{00000000-0005-0000-0000-0000EB120000}"/>
    <cellStyle name="CABEÇALHO 3 3 8 4 3 5" xfId="6639" xr:uid="{00000000-0005-0000-0000-0000EC120000}"/>
    <cellStyle name="CABEÇALHO 3 3 8 4 3 6" xfId="11163" xr:uid="{00000000-0005-0000-0000-0000ED120000}"/>
    <cellStyle name="CABEÇALHO 3 3 8 4 4" xfId="4163" xr:uid="{00000000-0005-0000-0000-0000EE120000}"/>
    <cellStyle name="CABEÇALHO 3 3 8 4 5" xfId="3030" xr:uid="{00000000-0005-0000-0000-0000EF120000}"/>
    <cellStyle name="CABEÇALHO 3 3 8 4 6" xfId="7616" xr:uid="{00000000-0005-0000-0000-0000F0120000}"/>
    <cellStyle name="CABEÇALHO 3 3 8 4 7" xfId="8781" xr:uid="{00000000-0005-0000-0000-0000F1120000}"/>
    <cellStyle name="CABEÇALHO 3 3 8 4 8" xfId="10564" xr:uid="{00000000-0005-0000-0000-0000F2120000}"/>
    <cellStyle name="CABEÇALHO 3 3 8 5" xfId="1316" xr:uid="{00000000-0005-0000-0000-0000F3120000}"/>
    <cellStyle name="CABEÇALHO 3 3 8 5 2" xfId="2458" xr:uid="{00000000-0005-0000-0000-0000F4120000}"/>
    <cellStyle name="CABEÇALHO 3 3 8 5 2 2" xfId="5338" xr:uid="{00000000-0005-0000-0000-0000F5120000}"/>
    <cellStyle name="CABEÇALHO 3 3 8 5 2 3" xfId="6871" xr:uid="{00000000-0005-0000-0000-0000F6120000}"/>
    <cellStyle name="CABEÇALHO 3 3 8 5 2 4" xfId="6745" xr:uid="{00000000-0005-0000-0000-0000F7120000}"/>
    <cellStyle name="CABEÇALHO 3 3 8 5 2 5" xfId="8984" xr:uid="{00000000-0005-0000-0000-0000F8120000}"/>
    <cellStyle name="CABEÇALHO 3 3 8 5 2 6" xfId="11518" xr:uid="{00000000-0005-0000-0000-0000F9120000}"/>
    <cellStyle name="CABEÇALHO 3 3 8 5 3" xfId="2859" xr:uid="{00000000-0005-0000-0000-0000FA120000}"/>
    <cellStyle name="CABEÇALHO 3 3 8 5 3 2" xfId="5739" xr:uid="{00000000-0005-0000-0000-0000FB120000}"/>
    <cellStyle name="CABEÇALHO 3 3 8 5 3 3" xfId="3145" xr:uid="{00000000-0005-0000-0000-0000FC120000}"/>
    <cellStyle name="CABEÇALHO 3 3 8 5 3 4" xfId="6025" xr:uid="{00000000-0005-0000-0000-0000FD120000}"/>
    <cellStyle name="CABEÇALHO 3 3 8 5 3 5" xfId="8361" xr:uid="{00000000-0005-0000-0000-0000FE120000}"/>
    <cellStyle name="CABEÇALHO 3 3 8 5 3 6" xfId="6367" xr:uid="{00000000-0005-0000-0000-0000FF120000}"/>
    <cellStyle name="CABEÇALHO 3 3 8 5 4" xfId="4196" xr:uid="{00000000-0005-0000-0000-000000130000}"/>
    <cellStyle name="CABEÇALHO 3 3 8 5 5" xfId="3025" xr:uid="{00000000-0005-0000-0000-000001130000}"/>
    <cellStyle name="CABEÇALHO 3 3 8 5 6" xfId="5796" xr:uid="{00000000-0005-0000-0000-000002130000}"/>
    <cellStyle name="CABEÇALHO 3 3 8 5 7" xfId="10418" xr:uid="{00000000-0005-0000-0000-000003130000}"/>
    <cellStyle name="CABEÇALHO 3 3 8 5 8" xfId="11065" xr:uid="{00000000-0005-0000-0000-000004130000}"/>
    <cellStyle name="CABEÇALHO 3 3 8 6" xfId="1348" xr:uid="{00000000-0005-0000-0000-000005130000}"/>
    <cellStyle name="CABEÇALHO 3 3 8 6 2" xfId="2490" xr:uid="{00000000-0005-0000-0000-000006130000}"/>
    <cellStyle name="CABEÇALHO 3 3 8 6 2 2" xfId="5370" xr:uid="{00000000-0005-0000-0000-000007130000}"/>
    <cellStyle name="CABEÇALHO 3 3 8 6 2 3" xfId="6214" xr:uid="{00000000-0005-0000-0000-000008130000}"/>
    <cellStyle name="CABEÇALHO 3 3 8 6 2 4" xfId="8742" xr:uid="{00000000-0005-0000-0000-000009130000}"/>
    <cellStyle name="CABEÇALHO 3 3 8 6 2 5" xfId="9993" xr:uid="{00000000-0005-0000-0000-00000A130000}"/>
    <cellStyle name="CABEÇALHO 3 3 8 6 2 6" xfId="11462" xr:uid="{00000000-0005-0000-0000-00000B130000}"/>
    <cellStyle name="CABEÇALHO 3 3 8 6 3" xfId="2885" xr:uid="{00000000-0005-0000-0000-00000C130000}"/>
    <cellStyle name="CABEÇALHO 3 3 8 6 3 2" xfId="5765" xr:uid="{00000000-0005-0000-0000-00000D130000}"/>
    <cellStyle name="CABEÇALHO 3 3 8 6 3 3" xfId="8200" xr:uid="{00000000-0005-0000-0000-00000E130000}"/>
    <cellStyle name="CABEÇALHO 3 3 8 6 3 4" xfId="6651" xr:uid="{00000000-0005-0000-0000-00000F130000}"/>
    <cellStyle name="CABEÇALHO 3 3 8 6 3 5" xfId="9388" xr:uid="{00000000-0005-0000-0000-000010130000}"/>
    <cellStyle name="CABEÇALHO 3 3 8 6 3 6" xfId="11686" xr:uid="{00000000-0005-0000-0000-000011130000}"/>
    <cellStyle name="CABEÇALHO 3 3 8 6 4" xfId="4228" xr:uid="{00000000-0005-0000-0000-000012130000}"/>
    <cellStyle name="CABEÇALHO 3 3 8 6 5" xfId="8153" xr:uid="{00000000-0005-0000-0000-000013130000}"/>
    <cellStyle name="CABEÇALHO 3 3 8 6 6" xfId="9554" xr:uid="{00000000-0005-0000-0000-000014130000}"/>
    <cellStyle name="CABEÇALHO 3 3 8 6 7" xfId="10197" xr:uid="{00000000-0005-0000-0000-000015130000}"/>
    <cellStyle name="CABEÇALHO 3 3 8 6 8" xfId="9623" xr:uid="{00000000-0005-0000-0000-000016130000}"/>
    <cellStyle name="CABEÇALHO 3 3 8 7" xfId="1808" xr:uid="{00000000-0005-0000-0000-000017130000}"/>
    <cellStyle name="CABEÇALHO 3 3 8 7 2" xfId="4688" xr:uid="{00000000-0005-0000-0000-000018130000}"/>
    <cellStyle name="CABEÇALHO 3 3 8 7 3" xfId="7211" xr:uid="{00000000-0005-0000-0000-000019130000}"/>
    <cellStyle name="CABEÇALHO 3 3 8 7 4" xfId="9475" xr:uid="{00000000-0005-0000-0000-00001A130000}"/>
    <cellStyle name="CABEÇALHO 3 3 8 7 5" xfId="10823" xr:uid="{00000000-0005-0000-0000-00001B130000}"/>
    <cellStyle name="CABEÇALHO 3 3 8 7 6" xfId="11593" xr:uid="{00000000-0005-0000-0000-00001C130000}"/>
    <cellStyle name="CABEÇALHO 3 3 8 8" xfId="1352" xr:uid="{00000000-0005-0000-0000-00001D130000}"/>
    <cellStyle name="CABEÇALHO 3 3 8 8 2" xfId="4232" xr:uid="{00000000-0005-0000-0000-00001E130000}"/>
    <cellStyle name="CABEÇALHO 3 3 8 8 3" xfId="6727" xr:uid="{00000000-0005-0000-0000-00001F130000}"/>
    <cellStyle name="CABEÇALHO 3 3 8 8 4" xfId="6291" xr:uid="{00000000-0005-0000-0000-000020130000}"/>
    <cellStyle name="CABEÇALHO 3 3 8 8 5" xfId="9951" xr:uid="{00000000-0005-0000-0000-000021130000}"/>
    <cellStyle name="CABEÇALHO 3 3 8 8 6" xfId="11027" xr:uid="{00000000-0005-0000-0000-000022130000}"/>
    <cellStyle name="CABEÇALHO 3 3 8 9" xfId="3547" xr:uid="{00000000-0005-0000-0000-000023130000}"/>
    <cellStyle name="CABEÇALHO 3 3 9" xfId="883" xr:uid="{00000000-0005-0000-0000-000024130000}"/>
    <cellStyle name="CABEÇALHO 3 3 9 2" xfId="2025" xr:uid="{00000000-0005-0000-0000-000025130000}"/>
    <cellStyle name="CABEÇALHO 3 3 9 2 2" xfId="4905" xr:uid="{00000000-0005-0000-0000-000026130000}"/>
    <cellStyle name="CABEÇALHO 3 3 9 2 3" xfId="6116" xr:uid="{00000000-0005-0000-0000-000027130000}"/>
    <cellStyle name="CABEÇALHO 3 3 9 2 4" xfId="8650" xr:uid="{00000000-0005-0000-0000-000028130000}"/>
    <cellStyle name="CABEÇALHO 3 3 9 2 5" xfId="10354" xr:uid="{00000000-0005-0000-0000-000029130000}"/>
    <cellStyle name="CABEÇALHO 3 3 9 2 6" xfId="6973" xr:uid="{00000000-0005-0000-0000-00002A130000}"/>
    <cellStyle name="CABEÇALHO 3 3 9 3" xfId="2825" xr:uid="{00000000-0005-0000-0000-00002B130000}"/>
    <cellStyle name="CABEÇALHO 3 3 9 3 2" xfId="5705" xr:uid="{00000000-0005-0000-0000-00002C130000}"/>
    <cellStyle name="CABEÇALHO 3 3 9 3 3" xfId="8007" xr:uid="{00000000-0005-0000-0000-00002D130000}"/>
    <cellStyle name="CABEÇALHO 3 3 9 3 4" xfId="9561" xr:uid="{00000000-0005-0000-0000-00002E130000}"/>
    <cellStyle name="CABEÇALHO 3 3 9 3 5" xfId="10210" xr:uid="{00000000-0005-0000-0000-00002F130000}"/>
    <cellStyle name="CABEÇALHO 3 3 9 3 6" xfId="9520" xr:uid="{00000000-0005-0000-0000-000030130000}"/>
    <cellStyle name="CABEÇALHO 3 3 9 4" xfId="3763" xr:uid="{00000000-0005-0000-0000-000031130000}"/>
    <cellStyle name="CABEÇALHO 3 3 9 5" xfId="7321" xr:uid="{00000000-0005-0000-0000-000032130000}"/>
    <cellStyle name="CABEÇALHO 3 3 9 6" xfId="7400" xr:uid="{00000000-0005-0000-0000-000033130000}"/>
    <cellStyle name="CABEÇALHO 3 3 9 7" xfId="8394" xr:uid="{00000000-0005-0000-0000-000034130000}"/>
    <cellStyle name="CABEÇALHO 3 3 9 8" xfId="10954" xr:uid="{00000000-0005-0000-0000-000035130000}"/>
    <cellStyle name="CABEÇALHO 3 30" xfId="7073" xr:uid="{00000000-0005-0000-0000-000036130000}"/>
    <cellStyle name="CABEÇALHO 3 31" xfId="11481" xr:uid="{00000000-0005-0000-0000-000037130000}"/>
    <cellStyle name="CABEÇALHO 3 4" xfId="636" xr:uid="{00000000-0005-0000-0000-000038130000}"/>
    <cellStyle name="CABEÇALHO 3 4 10" xfId="7133" xr:uid="{00000000-0005-0000-0000-000039130000}"/>
    <cellStyle name="CABEÇALHO 3 4 11" xfId="8852" xr:uid="{00000000-0005-0000-0000-00003A130000}"/>
    <cellStyle name="CABEÇALHO 3 4 12" xfId="9806" xr:uid="{00000000-0005-0000-0000-00003B130000}"/>
    <cellStyle name="CABEÇALHO 3 4 13" xfId="8412" xr:uid="{00000000-0005-0000-0000-00003C130000}"/>
    <cellStyle name="CABEÇALHO 3 4 2" xfId="1112" xr:uid="{00000000-0005-0000-0000-00003D130000}"/>
    <cellStyle name="CABEÇALHO 3 4 2 2" xfId="2254" xr:uid="{00000000-0005-0000-0000-00003E130000}"/>
    <cellStyle name="CABEÇALHO 3 4 2 2 2" xfId="5134" xr:uid="{00000000-0005-0000-0000-00003F130000}"/>
    <cellStyle name="CABEÇALHO 3 4 2 2 3" xfId="7851" xr:uid="{00000000-0005-0000-0000-000040130000}"/>
    <cellStyle name="CABEÇALHO 3 4 2 2 4" xfId="7145" xr:uid="{00000000-0005-0000-0000-000041130000}"/>
    <cellStyle name="CABEÇALHO 3 4 2 2 5" xfId="8091" xr:uid="{00000000-0005-0000-0000-000042130000}"/>
    <cellStyle name="CABEÇALHO 3 4 2 2 6" xfId="9741" xr:uid="{00000000-0005-0000-0000-000043130000}"/>
    <cellStyle name="CABEÇALHO 3 4 2 3" xfId="2739" xr:uid="{00000000-0005-0000-0000-000044130000}"/>
    <cellStyle name="CABEÇALHO 3 4 2 3 2" xfId="5619" xr:uid="{00000000-0005-0000-0000-000045130000}"/>
    <cellStyle name="CABEÇALHO 3 4 2 3 3" xfId="7212" xr:uid="{00000000-0005-0000-0000-000046130000}"/>
    <cellStyle name="CABEÇALHO 3 4 2 3 4" xfId="7972" xr:uid="{00000000-0005-0000-0000-000047130000}"/>
    <cellStyle name="CABEÇALHO 3 4 2 3 5" xfId="9826" xr:uid="{00000000-0005-0000-0000-000048130000}"/>
    <cellStyle name="CABEÇALHO 3 4 2 3 6" xfId="8073" xr:uid="{00000000-0005-0000-0000-000049130000}"/>
    <cellStyle name="CABEÇALHO 3 4 2 4" xfId="3992" xr:uid="{00000000-0005-0000-0000-00004A130000}"/>
    <cellStyle name="CABEÇALHO 3 4 2 5" xfId="5863" xr:uid="{00000000-0005-0000-0000-00004B130000}"/>
    <cellStyle name="CABEÇALHO 3 4 2 6" xfId="6891" xr:uid="{00000000-0005-0000-0000-00004C130000}"/>
    <cellStyle name="CABEÇALHO 3 4 2 7" xfId="10290" xr:uid="{00000000-0005-0000-0000-00004D130000}"/>
    <cellStyle name="CABEÇALHO 3 4 2 8" xfId="11582" xr:uid="{00000000-0005-0000-0000-00004E130000}"/>
    <cellStyle name="CABEÇALHO 3 4 3" xfId="1235" xr:uid="{00000000-0005-0000-0000-00004F130000}"/>
    <cellStyle name="CABEÇALHO 3 4 3 2" xfId="2377" xr:uid="{00000000-0005-0000-0000-000050130000}"/>
    <cellStyle name="CABEÇALHO 3 4 3 2 2" xfId="5257" xr:uid="{00000000-0005-0000-0000-000051130000}"/>
    <cellStyle name="CABEÇALHO 3 4 3 2 3" xfId="7841" xr:uid="{00000000-0005-0000-0000-000052130000}"/>
    <cellStyle name="CABEÇALHO 3 4 3 2 4" xfId="6464" xr:uid="{00000000-0005-0000-0000-000053130000}"/>
    <cellStyle name="CABEÇALHO 3 4 3 2 5" xfId="9820" xr:uid="{00000000-0005-0000-0000-000054130000}"/>
    <cellStyle name="CABEÇALHO 3 4 3 2 6" xfId="11176" xr:uid="{00000000-0005-0000-0000-000055130000}"/>
    <cellStyle name="CABEÇALHO 3 4 3 3" xfId="2544" xr:uid="{00000000-0005-0000-0000-000056130000}"/>
    <cellStyle name="CABEÇALHO 3 4 3 3 2" xfId="5424" xr:uid="{00000000-0005-0000-0000-000057130000}"/>
    <cellStyle name="CABEÇALHO 3 4 3 3 3" xfId="6178" xr:uid="{00000000-0005-0000-0000-000058130000}"/>
    <cellStyle name="CABEÇALHO 3 4 3 3 4" xfId="9355" xr:uid="{00000000-0005-0000-0000-000059130000}"/>
    <cellStyle name="CABEÇALHO 3 4 3 3 5" xfId="9727" xr:uid="{00000000-0005-0000-0000-00005A130000}"/>
    <cellStyle name="CABEÇALHO 3 4 3 3 6" xfId="11346" xr:uid="{00000000-0005-0000-0000-00005B130000}"/>
    <cellStyle name="CABEÇALHO 3 4 3 4" xfId="4115" xr:uid="{00000000-0005-0000-0000-00005C130000}"/>
    <cellStyle name="CABEÇALHO 3 4 3 5" xfId="3094" xr:uid="{00000000-0005-0000-0000-00005D130000}"/>
    <cellStyle name="CABEÇALHO 3 4 3 6" xfId="5845" xr:uid="{00000000-0005-0000-0000-00005E130000}"/>
    <cellStyle name="CABEÇALHO 3 4 3 7" xfId="7361" xr:uid="{00000000-0005-0000-0000-00005F130000}"/>
    <cellStyle name="CABEÇALHO 3 4 3 8" xfId="11015" xr:uid="{00000000-0005-0000-0000-000060130000}"/>
    <cellStyle name="CABEÇALHO 3 4 4" xfId="1252" xr:uid="{00000000-0005-0000-0000-000061130000}"/>
    <cellStyle name="CABEÇALHO 3 4 4 2" xfId="2394" xr:uid="{00000000-0005-0000-0000-000062130000}"/>
    <cellStyle name="CABEÇALHO 3 4 4 2 2" xfId="5274" xr:uid="{00000000-0005-0000-0000-000063130000}"/>
    <cellStyle name="CABEÇALHO 3 4 4 2 3" xfId="6725" xr:uid="{00000000-0005-0000-0000-000064130000}"/>
    <cellStyle name="CABEÇALHO 3 4 4 2 4" xfId="9209" xr:uid="{00000000-0005-0000-0000-000065130000}"/>
    <cellStyle name="CABEÇALHO 3 4 4 2 5" xfId="9734" xr:uid="{00000000-0005-0000-0000-000066130000}"/>
    <cellStyle name="CABEÇALHO 3 4 4 2 6" xfId="8387" xr:uid="{00000000-0005-0000-0000-000067130000}"/>
    <cellStyle name="CABEÇALHO 3 4 4 3" xfId="2585" xr:uid="{00000000-0005-0000-0000-000068130000}"/>
    <cellStyle name="CABEÇALHO 3 4 4 3 2" xfId="5465" xr:uid="{00000000-0005-0000-0000-000069130000}"/>
    <cellStyle name="CABEÇALHO 3 4 4 3 3" xfId="7450" xr:uid="{00000000-0005-0000-0000-00006A130000}"/>
    <cellStyle name="CABEÇALHO 3 4 4 3 4" xfId="6112" xr:uid="{00000000-0005-0000-0000-00006B130000}"/>
    <cellStyle name="CABEÇALHO 3 4 4 3 5" xfId="8758" xr:uid="{00000000-0005-0000-0000-00006C130000}"/>
    <cellStyle name="CABEÇALHO 3 4 4 3 6" xfId="11662" xr:uid="{00000000-0005-0000-0000-00006D130000}"/>
    <cellStyle name="CABEÇALHO 3 4 4 4" xfId="4132" xr:uid="{00000000-0005-0000-0000-00006E130000}"/>
    <cellStyle name="CABEÇALHO 3 4 4 5" xfId="3103" xr:uid="{00000000-0005-0000-0000-00006F130000}"/>
    <cellStyle name="CABEÇALHO 3 4 4 6" xfId="7863" xr:uid="{00000000-0005-0000-0000-000070130000}"/>
    <cellStyle name="CABEÇALHO 3 4 4 7" xfId="8285" xr:uid="{00000000-0005-0000-0000-000071130000}"/>
    <cellStyle name="CABEÇALHO 3 4 4 8" xfId="11386" xr:uid="{00000000-0005-0000-0000-000072130000}"/>
    <cellStyle name="CABEÇALHO 3 4 5" xfId="1285" xr:uid="{00000000-0005-0000-0000-000073130000}"/>
    <cellStyle name="CABEÇALHO 3 4 5 2" xfId="2427" xr:uid="{00000000-0005-0000-0000-000074130000}"/>
    <cellStyle name="CABEÇALHO 3 4 5 2 2" xfId="5307" xr:uid="{00000000-0005-0000-0000-000075130000}"/>
    <cellStyle name="CABEÇALHO 3 4 5 2 3" xfId="7151" xr:uid="{00000000-0005-0000-0000-000076130000}"/>
    <cellStyle name="CABEÇALHO 3 4 5 2 4" xfId="8225" xr:uid="{00000000-0005-0000-0000-000077130000}"/>
    <cellStyle name="CABEÇALHO 3 4 5 2 5" xfId="10218" xr:uid="{00000000-0005-0000-0000-000078130000}"/>
    <cellStyle name="CABEÇALHO 3 4 5 2 6" xfId="10178" xr:uid="{00000000-0005-0000-0000-000079130000}"/>
    <cellStyle name="CABEÇALHO 3 4 5 3" xfId="2497" xr:uid="{00000000-0005-0000-0000-00007A130000}"/>
    <cellStyle name="CABEÇALHO 3 4 5 3 2" xfId="5377" xr:uid="{00000000-0005-0000-0000-00007B130000}"/>
    <cellStyle name="CABEÇALHO 3 4 5 3 3" xfId="5934" xr:uid="{00000000-0005-0000-0000-00007C130000}"/>
    <cellStyle name="CABEÇALHO 3 4 5 3 4" xfId="7640" xr:uid="{00000000-0005-0000-0000-00007D130000}"/>
    <cellStyle name="CABEÇALHO 3 4 5 3 5" xfId="7432" xr:uid="{00000000-0005-0000-0000-00007E130000}"/>
    <cellStyle name="CABEÇALHO 3 4 5 3 6" xfId="8367" xr:uid="{00000000-0005-0000-0000-00007F130000}"/>
    <cellStyle name="CABEÇALHO 3 4 5 4" xfId="4165" xr:uid="{00000000-0005-0000-0000-000080130000}"/>
    <cellStyle name="CABEÇALHO 3 4 5 5" xfId="2939" xr:uid="{00000000-0005-0000-0000-000081130000}"/>
    <cellStyle name="CABEÇALHO 3 4 5 6" xfId="6319" xr:uid="{00000000-0005-0000-0000-000082130000}"/>
    <cellStyle name="CABEÇALHO 3 4 5 7" xfId="5878" xr:uid="{00000000-0005-0000-0000-000083130000}"/>
    <cellStyle name="CABEÇALHO 3 4 5 8" xfId="10429" xr:uid="{00000000-0005-0000-0000-000084130000}"/>
    <cellStyle name="CABEÇALHO 3 4 6" xfId="1317" xr:uid="{00000000-0005-0000-0000-000085130000}"/>
    <cellStyle name="CABEÇALHO 3 4 6 2" xfId="2459" xr:uid="{00000000-0005-0000-0000-000086130000}"/>
    <cellStyle name="CABEÇALHO 3 4 6 2 2" xfId="5339" xr:uid="{00000000-0005-0000-0000-000087130000}"/>
    <cellStyle name="CABEÇALHO 3 4 6 2 3" xfId="7471" xr:uid="{00000000-0005-0000-0000-000088130000}"/>
    <cellStyle name="CABEÇALHO 3 4 6 2 4" xfId="8340" xr:uid="{00000000-0005-0000-0000-000089130000}"/>
    <cellStyle name="CABEÇALHO 3 4 6 2 5" xfId="10580" xr:uid="{00000000-0005-0000-0000-00008A130000}"/>
    <cellStyle name="CABEÇALHO 3 4 6 2 6" xfId="11544" xr:uid="{00000000-0005-0000-0000-00008B130000}"/>
    <cellStyle name="CABEÇALHO 3 4 6 3" xfId="1419" xr:uid="{00000000-0005-0000-0000-00008C130000}"/>
    <cellStyle name="CABEÇALHO 3 4 6 3 2" xfId="4299" xr:uid="{00000000-0005-0000-0000-00008D130000}"/>
    <cellStyle name="CABEÇALHO 3 4 6 3 3" xfId="6077" xr:uid="{00000000-0005-0000-0000-00008E130000}"/>
    <cellStyle name="CABEÇALHO 3 4 6 3 4" xfId="5794" xr:uid="{00000000-0005-0000-0000-00008F130000}"/>
    <cellStyle name="CABEÇALHO 3 4 6 3 5" xfId="9705" xr:uid="{00000000-0005-0000-0000-000090130000}"/>
    <cellStyle name="CABEÇALHO 3 4 6 3 6" xfId="11584" xr:uid="{00000000-0005-0000-0000-000091130000}"/>
    <cellStyle name="CABEÇALHO 3 4 6 4" xfId="4197" xr:uid="{00000000-0005-0000-0000-000092130000}"/>
    <cellStyle name="CABEÇALHO 3 4 6 5" xfId="3134" xr:uid="{00000000-0005-0000-0000-000093130000}"/>
    <cellStyle name="CABEÇALHO 3 4 6 6" xfId="6176" xr:uid="{00000000-0005-0000-0000-000094130000}"/>
    <cellStyle name="CABEÇALHO 3 4 6 7" xfId="8535" xr:uid="{00000000-0005-0000-0000-000095130000}"/>
    <cellStyle name="CABEÇALHO 3 4 6 8" xfId="11151" xr:uid="{00000000-0005-0000-0000-000096130000}"/>
    <cellStyle name="CABEÇALHO 3 4 7" xfId="1777" xr:uid="{00000000-0005-0000-0000-000097130000}"/>
    <cellStyle name="CABEÇALHO 3 4 7 2" xfId="4657" xr:uid="{00000000-0005-0000-0000-000098130000}"/>
    <cellStyle name="CABEÇALHO 3 4 7 3" xfId="8017" xr:uid="{00000000-0005-0000-0000-000099130000}"/>
    <cellStyle name="CABEÇALHO 3 4 7 4" xfId="7496" xr:uid="{00000000-0005-0000-0000-00009A130000}"/>
    <cellStyle name="CABEÇALHO 3 4 7 5" xfId="7517" xr:uid="{00000000-0005-0000-0000-00009B130000}"/>
    <cellStyle name="CABEÇALHO 3 4 7 6" xfId="10844" xr:uid="{00000000-0005-0000-0000-00009C130000}"/>
    <cellStyle name="CABEÇALHO 3 4 8" xfId="2651" xr:uid="{00000000-0005-0000-0000-00009D130000}"/>
    <cellStyle name="CABEÇALHO 3 4 8 2" xfId="5531" xr:uid="{00000000-0005-0000-0000-00009E130000}"/>
    <cellStyle name="CABEÇALHO 3 4 8 3" xfId="7743" xr:uid="{00000000-0005-0000-0000-00009F130000}"/>
    <cellStyle name="CABEÇALHO 3 4 8 4" xfId="7329" xr:uid="{00000000-0005-0000-0000-0000A0130000}"/>
    <cellStyle name="CABEÇALHO 3 4 8 5" xfId="9611" xr:uid="{00000000-0005-0000-0000-0000A1130000}"/>
    <cellStyle name="CABEÇALHO 3 4 8 6" xfId="10031" xr:uid="{00000000-0005-0000-0000-0000A2130000}"/>
    <cellStyle name="CABEÇALHO 3 4 9" xfId="3516" xr:uid="{00000000-0005-0000-0000-0000A3130000}"/>
    <cellStyle name="CABEÇALHO 3 5" xfId="485" xr:uid="{00000000-0005-0000-0000-0000A4130000}"/>
    <cellStyle name="CABEÇALHO 3 5 10" xfId="2981" xr:uid="{00000000-0005-0000-0000-0000A5130000}"/>
    <cellStyle name="CABEÇALHO 3 5 11" xfId="7646" xr:uid="{00000000-0005-0000-0000-0000A6130000}"/>
    <cellStyle name="CABEÇALHO 3 5 12" xfId="9070" xr:uid="{00000000-0005-0000-0000-0000A7130000}"/>
    <cellStyle name="CABEÇALHO 3 5 13" xfId="11101" xr:uid="{00000000-0005-0000-0000-0000A8130000}"/>
    <cellStyle name="CABEÇALHO 3 5 2" xfId="961" xr:uid="{00000000-0005-0000-0000-0000A9130000}"/>
    <cellStyle name="CABEÇALHO 3 5 2 2" xfId="2103" xr:uid="{00000000-0005-0000-0000-0000AA130000}"/>
    <cellStyle name="CABEÇALHO 3 5 2 2 2" xfId="4983" xr:uid="{00000000-0005-0000-0000-0000AB130000}"/>
    <cellStyle name="CABEÇALHO 3 5 2 2 3" xfId="6368" xr:uid="{00000000-0005-0000-0000-0000AC130000}"/>
    <cellStyle name="CABEÇALHO 3 5 2 2 4" xfId="8884" xr:uid="{00000000-0005-0000-0000-0000AD130000}"/>
    <cellStyle name="CABEÇALHO 3 5 2 2 5" xfId="10013" xr:uid="{00000000-0005-0000-0000-0000AE130000}"/>
    <cellStyle name="CABEÇALHO 3 5 2 2 6" xfId="8991" xr:uid="{00000000-0005-0000-0000-0000AF130000}"/>
    <cellStyle name="CABEÇALHO 3 5 2 3" xfId="2552" xr:uid="{00000000-0005-0000-0000-0000B0130000}"/>
    <cellStyle name="CABEÇALHO 3 5 2 3 2" xfId="5432" xr:uid="{00000000-0005-0000-0000-0000B1130000}"/>
    <cellStyle name="CABEÇALHO 3 5 2 3 3" xfId="7835" xr:uid="{00000000-0005-0000-0000-0000B2130000}"/>
    <cellStyle name="CABEÇALHO 3 5 2 3 4" xfId="6045" xr:uid="{00000000-0005-0000-0000-0000B3130000}"/>
    <cellStyle name="CABEÇALHO 3 5 2 3 5" xfId="6502" xr:uid="{00000000-0005-0000-0000-0000B4130000}"/>
    <cellStyle name="CABEÇALHO 3 5 2 3 6" xfId="11589" xr:uid="{00000000-0005-0000-0000-0000B5130000}"/>
    <cellStyle name="CABEÇALHO 3 5 2 4" xfId="3841" xr:uid="{00000000-0005-0000-0000-0000B6130000}"/>
    <cellStyle name="CABEÇALHO 3 5 2 5" xfId="3169" xr:uid="{00000000-0005-0000-0000-0000B7130000}"/>
    <cellStyle name="CABEÇALHO 3 5 2 6" xfId="7642" xr:uid="{00000000-0005-0000-0000-0000B8130000}"/>
    <cellStyle name="CABEÇALHO 3 5 2 7" xfId="7579" xr:uid="{00000000-0005-0000-0000-0000B9130000}"/>
    <cellStyle name="CABEÇALHO 3 5 2 8" xfId="10468" xr:uid="{00000000-0005-0000-0000-0000BA130000}"/>
    <cellStyle name="CABEÇALHO 3 5 3" xfId="696" xr:uid="{00000000-0005-0000-0000-0000BB130000}"/>
    <cellStyle name="CABEÇALHO 3 5 3 2" xfId="1838" xr:uid="{00000000-0005-0000-0000-0000BC130000}"/>
    <cellStyle name="CABEÇALHO 3 5 3 2 2" xfId="4718" xr:uid="{00000000-0005-0000-0000-0000BD130000}"/>
    <cellStyle name="CABEÇALHO 3 5 3 2 3" xfId="7316" xr:uid="{00000000-0005-0000-0000-0000BE130000}"/>
    <cellStyle name="CABEÇALHO 3 5 3 2 4" xfId="9504" xr:uid="{00000000-0005-0000-0000-0000BF130000}"/>
    <cellStyle name="CABEÇALHO 3 5 3 2 5" xfId="6954" xr:uid="{00000000-0005-0000-0000-0000C0130000}"/>
    <cellStyle name="CABEÇALHO 3 5 3 2 6" xfId="10851" xr:uid="{00000000-0005-0000-0000-0000C1130000}"/>
    <cellStyle name="CABEÇALHO 3 5 3 3" xfId="2811" xr:uid="{00000000-0005-0000-0000-0000C2130000}"/>
    <cellStyle name="CABEÇALHO 3 5 3 3 2" xfId="5691" xr:uid="{00000000-0005-0000-0000-0000C3130000}"/>
    <cellStyle name="CABEÇALHO 3 5 3 3 3" xfId="7202" xr:uid="{00000000-0005-0000-0000-0000C4130000}"/>
    <cellStyle name="CABEÇALHO 3 5 3 3 4" xfId="7314" xr:uid="{00000000-0005-0000-0000-0000C5130000}"/>
    <cellStyle name="CABEÇALHO 3 5 3 3 5" xfId="9839" xr:uid="{00000000-0005-0000-0000-0000C6130000}"/>
    <cellStyle name="CABEÇALHO 3 5 3 3 6" xfId="8263" xr:uid="{00000000-0005-0000-0000-0000C7130000}"/>
    <cellStyle name="CABEÇALHO 3 5 3 4" xfId="3576" xr:uid="{00000000-0005-0000-0000-0000C8130000}"/>
    <cellStyle name="CABEÇALHO 3 5 3 5" xfId="7354" xr:uid="{00000000-0005-0000-0000-0000C9130000}"/>
    <cellStyle name="CABEÇALHO 3 5 3 6" xfId="7867" xr:uid="{00000000-0005-0000-0000-0000CA130000}"/>
    <cellStyle name="CABEÇALHO 3 5 3 7" xfId="9364" xr:uid="{00000000-0005-0000-0000-0000CB130000}"/>
    <cellStyle name="CABEÇALHO 3 5 3 8" xfId="11044" xr:uid="{00000000-0005-0000-0000-0000CC130000}"/>
    <cellStyle name="CABEÇALHO 3 5 4" xfId="1156" xr:uid="{00000000-0005-0000-0000-0000CD130000}"/>
    <cellStyle name="CABEÇALHO 3 5 4 2" xfId="2298" xr:uid="{00000000-0005-0000-0000-0000CE130000}"/>
    <cellStyle name="CABEÇALHO 3 5 4 2 2" xfId="5178" xr:uid="{00000000-0005-0000-0000-0000CF130000}"/>
    <cellStyle name="CABEÇALHO 3 5 4 2 3" xfId="7005" xr:uid="{00000000-0005-0000-0000-0000D0130000}"/>
    <cellStyle name="CABEÇALHO 3 5 4 2 4" xfId="8232" xr:uid="{00000000-0005-0000-0000-0000D1130000}"/>
    <cellStyle name="CABEÇALHO 3 5 4 2 5" xfId="10337" xr:uid="{00000000-0005-0000-0000-0000D2130000}"/>
    <cellStyle name="CABEÇALHO 3 5 4 2 6" xfId="8956" xr:uid="{00000000-0005-0000-0000-0000D3130000}"/>
    <cellStyle name="CABEÇALHO 3 5 4 3" xfId="2768" xr:uid="{00000000-0005-0000-0000-0000D4130000}"/>
    <cellStyle name="CABEÇALHO 3 5 4 3 2" xfId="5648" xr:uid="{00000000-0005-0000-0000-0000D5130000}"/>
    <cellStyle name="CABEÇALHO 3 5 4 3 3" xfId="6075" xr:uid="{00000000-0005-0000-0000-0000D6130000}"/>
    <cellStyle name="CABEÇALHO 3 5 4 3 4" xfId="9027" xr:uid="{00000000-0005-0000-0000-0000D7130000}"/>
    <cellStyle name="CABEÇALHO 3 5 4 3 5" xfId="10071" xr:uid="{00000000-0005-0000-0000-0000D8130000}"/>
    <cellStyle name="CABEÇALHO 3 5 4 3 6" xfId="11338" xr:uid="{00000000-0005-0000-0000-0000D9130000}"/>
    <cellStyle name="CABEÇALHO 3 5 4 4" xfId="4036" xr:uid="{00000000-0005-0000-0000-0000DA130000}"/>
    <cellStyle name="CABEÇALHO 3 5 4 5" xfId="5770" xr:uid="{00000000-0005-0000-0000-0000DB130000}"/>
    <cellStyle name="CABEÇALHO 3 5 4 6" xfId="7097" xr:uid="{00000000-0005-0000-0000-0000DC130000}"/>
    <cellStyle name="CABEÇALHO 3 5 4 7" xfId="9664" xr:uid="{00000000-0005-0000-0000-0000DD130000}"/>
    <cellStyle name="CABEÇALHO 3 5 4 8" xfId="10948" xr:uid="{00000000-0005-0000-0000-0000DE130000}"/>
    <cellStyle name="CABEÇALHO 3 5 5" xfId="726" xr:uid="{00000000-0005-0000-0000-0000DF130000}"/>
    <cellStyle name="CABEÇALHO 3 5 5 2" xfId="1868" xr:uid="{00000000-0005-0000-0000-0000E0130000}"/>
    <cellStyle name="CABEÇALHO 3 5 5 2 2" xfId="4748" xr:uid="{00000000-0005-0000-0000-0000E1130000}"/>
    <cellStyle name="CABEÇALHO 3 5 5 2 3" xfId="8046" xr:uid="{00000000-0005-0000-0000-0000E2130000}"/>
    <cellStyle name="CABEÇALHO 3 5 5 2 4" xfId="8051" xr:uid="{00000000-0005-0000-0000-0000E3130000}"/>
    <cellStyle name="CABEÇALHO 3 5 5 2 5" xfId="6497" xr:uid="{00000000-0005-0000-0000-0000E4130000}"/>
    <cellStyle name="CABEÇALHO 3 5 5 2 6" xfId="11651" xr:uid="{00000000-0005-0000-0000-0000E5130000}"/>
    <cellStyle name="CABEÇALHO 3 5 5 3" xfId="2594" xr:uid="{00000000-0005-0000-0000-0000E6130000}"/>
    <cellStyle name="CABEÇALHO 3 5 5 3 2" xfId="5474" xr:uid="{00000000-0005-0000-0000-0000E7130000}"/>
    <cellStyle name="CABEÇALHO 3 5 5 3 3" xfId="7229" xr:uid="{00000000-0005-0000-0000-0000E8130000}"/>
    <cellStyle name="CABEÇALHO 3 5 5 3 4" xfId="6352" xr:uid="{00000000-0005-0000-0000-0000E9130000}"/>
    <cellStyle name="CABEÇALHO 3 5 5 3 5" xfId="9858" xr:uid="{00000000-0005-0000-0000-0000EA130000}"/>
    <cellStyle name="CABEÇALHO 3 5 5 3 6" xfId="10322" xr:uid="{00000000-0005-0000-0000-0000EB130000}"/>
    <cellStyle name="CABEÇALHO 3 5 5 4" xfId="3606" xr:uid="{00000000-0005-0000-0000-0000EC130000}"/>
    <cellStyle name="CABEÇALHO 3 5 5 5" xfId="5873" xr:uid="{00000000-0005-0000-0000-0000ED130000}"/>
    <cellStyle name="CABEÇALHO 3 5 5 6" xfId="6762" xr:uid="{00000000-0005-0000-0000-0000EE130000}"/>
    <cellStyle name="CABEÇALHO 3 5 5 7" xfId="10301" xr:uid="{00000000-0005-0000-0000-0000EF130000}"/>
    <cellStyle name="CABEÇALHO 3 5 5 8" xfId="11116" xr:uid="{00000000-0005-0000-0000-0000F0130000}"/>
    <cellStyle name="CABEÇALHO 3 5 6" xfId="739" xr:uid="{00000000-0005-0000-0000-0000F1130000}"/>
    <cellStyle name="CABEÇALHO 3 5 6 2" xfId="1881" xr:uid="{00000000-0005-0000-0000-0000F2130000}"/>
    <cellStyle name="CABEÇALHO 3 5 6 2 2" xfId="4761" xr:uid="{00000000-0005-0000-0000-0000F3130000}"/>
    <cellStyle name="CABEÇALHO 3 5 6 2 3" xfId="6166" xr:uid="{00000000-0005-0000-0000-0000F4130000}"/>
    <cellStyle name="CABEÇALHO 3 5 6 2 4" xfId="8698" xr:uid="{00000000-0005-0000-0000-0000F5130000}"/>
    <cellStyle name="CABEÇALHO 3 5 6 2 5" xfId="10023" xr:uid="{00000000-0005-0000-0000-0000F6130000}"/>
    <cellStyle name="CABEÇALHO 3 5 6 2 6" xfId="10309" xr:uid="{00000000-0005-0000-0000-0000F7130000}"/>
    <cellStyle name="CABEÇALHO 3 5 6 3" xfId="1417" xr:uid="{00000000-0005-0000-0000-0000F8130000}"/>
    <cellStyle name="CABEÇALHO 3 5 6 3 2" xfId="4297" xr:uid="{00000000-0005-0000-0000-0000F9130000}"/>
    <cellStyle name="CABEÇALHO 3 5 6 3 3" xfId="7602" xr:uid="{00000000-0005-0000-0000-0000FA130000}"/>
    <cellStyle name="CABEÇALHO 3 5 6 3 4" xfId="9030" xr:uid="{00000000-0005-0000-0000-0000FB130000}"/>
    <cellStyle name="CABEÇALHO 3 5 6 3 5" xfId="10074" xr:uid="{00000000-0005-0000-0000-0000FC130000}"/>
    <cellStyle name="CABEÇALHO 3 5 6 3 6" xfId="9699" xr:uid="{00000000-0005-0000-0000-0000FD130000}"/>
    <cellStyle name="CABEÇALHO 3 5 6 4" xfId="3619" xr:uid="{00000000-0005-0000-0000-0000FE130000}"/>
    <cellStyle name="CABEÇALHO 3 5 6 5" xfId="7128" xr:uid="{00000000-0005-0000-0000-0000FF130000}"/>
    <cellStyle name="CABEÇALHO 3 5 6 6" xfId="8847" xr:uid="{00000000-0005-0000-0000-000000140000}"/>
    <cellStyle name="CABEÇALHO 3 5 6 7" xfId="9801" xr:uid="{00000000-0005-0000-0000-000001140000}"/>
    <cellStyle name="CABEÇALHO 3 5 6 8" xfId="11262" xr:uid="{00000000-0005-0000-0000-000002140000}"/>
    <cellStyle name="CABEÇALHO 3 5 7" xfId="1626" xr:uid="{00000000-0005-0000-0000-000003140000}"/>
    <cellStyle name="CABEÇALHO 3 5 7 2" xfId="4506" xr:uid="{00000000-0005-0000-0000-000004140000}"/>
    <cellStyle name="CABEÇALHO 3 5 7 3" xfId="6844" xr:uid="{00000000-0005-0000-0000-000005140000}"/>
    <cellStyle name="CABEÇALHO 3 5 7 4" xfId="8314" xr:uid="{00000000-0005-0000-0000-000006140000}"/>
    <cellStyle name="CABEÇALHO 3 5 7 5" xfId="10592" xr:uid="{00000000-0005-0000-0000-000007140000}"/>
    <cellStyle name="CABEÇALHO 3 5 7 6" xfId="11574" xr:uid="{00000000-0005-0000-0000-000008140000}"/>
    <cellStyle name="CABEÇALHO 3 5 8" xfId="1377" xr:uid="{00000000-0005-0000-0000-000009140000}"/>
    <cellStyle name="CABEÇALHO 3 5 8 2" xfId="4257" xr:uid="{00000000-0005-0000-0000-00000A140000}"/>
    <cellStyle name="CABEÇALHO 3 5 8 3" xfId="6866" xr:uid="{00000000-0005-0000-0000-00000B140000}"/>
    <cellStyle name="CABEÇALHO 3 5 8 4" xfId="8335" xr:uid="{00000000-0005-0000-0000-00000C140000}"/>
    <cellStyle name="CABEÇALHO 3 5 8 5" xfId="9629" xr:uid="{00000000-0005-0000-0000-00000D140000}"/>
    <cellStyle name="CABEÇALHO 3 5 8 6" xfId="11522" xr:uid="{00000000-0005-0000-0000-00000E140000}"/>
    <cellStyle name="CABEÇALHO 3 5 9" xfId="3365" xr:uid="{00000000-0005-0000-0000-00000F140000}"/>
    <cellStyle name="CABEÇALHO 3 6" xfId="513" xr:uid="{00000000-0005-0000-0000-000010140000}"/>
    <cellStyle name="CABEÇALHO 3 6 10" xfId="5988" xr:uid="{00000000-0005-0000-0000-000011140000}"/>
    <cellStyle name="CABEÇALHO 3 6 11" xfId="8948" xr:uid="{00000000-0005-0000-0000-000012140000}"/>
    <cellStyle name="CABEÇALHO 3 6 12" xfId="9894" xr:uid="{00000000-0005-0000-0000-000013140000}"/>
    <cellStyle name="CABEÇALHO 3 6 13" xfId="11541" xr:uid="{00000000-0005-0000-0000-000014140000}"/>
    <cellStyle name="CABEÇALHO 3 6 2" xfId="989" xr:uid="{00000000-0005-0000-0000-000015140000}"/>
    <cellStyle name="CABEÇALHO 3 6 2 2" xfId="2131" xr:uid="{00000000-0005-0000-0000-000016140000}"/>
    <cellStyle name="CABEÇALHO 3 6 2 2 2" xfId="5011" xr:uid="{00000000-0005-0000-0000-000017140000}"/>
    <cellStyle name="CABEÇALHO 3 6 2 2 3" xfId="8104" xr:uid="{00000000-0005-0000-0000-000018140000}"/>
    <cellStyle name="CABEÇALHO 3 6 2 2 4" xfId="7328" xr:uid="{00000000-0005-0000-0000-000019140000}"/>
    <cellStyle name="CABEÇALHO 3 6 2 2 5" xfId="8957" xr:uid="{00000000-0005-0000-0000-00001A140000}"/>
    <cellStyle name="CABEÇALHO 3 6 2 2 6" xfId="8992" xr:uid="{00000000-0005-0000-0000-00001B140000}"/>
    <cellStyle name="CABEÇALHO 3 6 2 3" xfId="1388" xr:uid="{00000000-0005-0000-0000-00001C140000}"/>
    <cellStyle name="CABEÇALHO 3 6 2 3 2" xfId="4268" xr:uid="{00000000-0005-0000-0000-00001D140000}"/>
    <cellStyle name="CABEÇALHO 3 6 2 3 3" xfId="6187" xr:uid="{00000000-0005-0000-0000-00001E140000}"/>
    <cellStyle name="CABEÇALHO 3 6 2 3 4" xfId="6246" xr:uid="{00000000-0005-0000-0000-00001F140000}"/>
    <cellStyle name="CABEÇALHO 3 6 2 3 5" xfId="9819" xr:uid="{00000000-0005-0000-0000-000020140000}"/>
    <cellStyle name="CABEÇALHO 3 6 2 3 6" xfId="10927" xr:uid="{00000000-0005-0000-0000-000021140000}"/>
    <cellStyle name="CABEÇALHO 3 6 2 4" xfId="3869" xr:uid="{00000000-0005-0000-0000-000022140000}"/>
    <cellStyle name="CABEÇALHO 3 6 2 5" xfId="5805" xr:uid="{00000000-0005-0000-0000-000023140000}"/>
    <cellStyle name="CABEÇALHO 3 6 2 6" xfId="6241" xr:uid="{00000000-0005-0000-0000-000024140000}"/>
    <cellStyle name="CABEÇALHO 3 6 2 7" xfId="8309" xr:uid="{00000000-0005-0000-0000-000025140000}"/>
    <cellStyle name="CABEÇALHO 3 6 2 8" xfId="9028" xr:uid="{00000000-0005-0000-0000-000026140000}"/>
    <cellStyle name="CABEÇALHO 3 6 3" xfId="808" xr:uid="{00000000-0005-0000-0000-000027140000}"/>
    <cellStyle name="CABEÇALHO 3 6 3 2" xfId="1950" xr:uid="{00000000-0005-0000-0000-000028140000}"/>
    <cellStyle name="CABEÇALHO 3 6 3 2 2" xfId="4830" xr:uid="{00000000-0005-0000-0000-000029140000}"/>
    <cellStyle name="CABEÇALHO 3 6 3 2 3" xfId="6136" xr:uid="{00000000-0005-0000-0000-00002A140000}"/>
    <cellStyle name="CABEÇALHO 3 6 3 2 4" xfId="8671" xr:uid="{00000000-0005-0000-0000-00002B140000}"/>
    <cellStyle name="CABEÇALHO 3 6 3 2 5" xfId="9983" xr:uid="{00000000-0005-0000-0000-00002C140000}"/>
    <cellStyle name="CABEÇALHO 3 6 3 2 6" xfId="10247" xr:uid="{00000000-0005-0000-0000-00002D140000}"/>
    <cellStyle name="CABEÇALHO 3 6 3 3" xfId="2617" xr:uid="{00000000-0005-0000-0000-00002E140000}"/>
    <cellStyle name="CABEÇALHO 3 6 3 3 2" xfId="5497" xr:uid="{00000000-0005-0000-0000-00002F140000}"/>
    <cellStyle name="CABEÇALHO 3 6 3 3 3" xfId="8048" xr:uid="{00000000-0005-0000-0000-000030140000}"/>
    <cellStyle name="CABEÇALHO 3 6 3 3 4" xfId="9143" xr:uid="{00000000-0005-0000-0000-000031140000}"/>
    <cellStyle name="CABEÇALHO 3 6 3 3 5" xfId="10462" xr:uid="{00000000-0005-0000-0000-000032140000}"/>
    <cellStyle name="CABEÇALHO 3 6 3 3 6" xfId="11583" xr:uid="{00000000-0005-0000-0000-000033140000}"/>
    <cellStyle name="CABEÇALHO 3 6 3 4" xfId="3688" xr:uid="{00000000-0005-0000-0000-000034140000}"/>
    <cellStyle name="CABEÇALHO 3 6 3 5" xfId="7560" xr:uid="{00000000-0005-0000-0000-000035140000}"/>
    <cellStyle name="CABEÇALHO 3 6 3 6" xfId="6903" xr:uid="{00000000-0005-0000-0000-000036140000}"/>
    <cellStyle name="CABEÇALHO 3 6 3 7" xfId="10167" xr:uid="{00000000-0005-0000-0000-000037140000}"/>
    <cellStyle name="CABEÇALHO 3 6 3 8" xfId="11595" xr:uid="{00000000-0005-0000-0000-000038140000}"/>
    <cellStyle name="CABEÇALHO 3 6 4" xfId="795" xr:uid="{00000000-0005-0000-0000-000039140000}"/>
    <cellStyle name="CABEÇALHO 3 6 4 2" xfId="1937" xr:uid="{00000000-0005-0000-0000-00003A140000}"/>
    <cellStyle name="CABEÇALHO 3 6 4 2 2" xfId="4817" xr:uid="{00000000-0005-0000-0000-00003B140000}"/>
    <cellStyle name="CABEÇALHO 3 6 4 2 3" xfId="7435" xr:uid="{00000000-0005-0000-0000-00003C140000}"/>
    <cellStyle name="CABEÇALHO 3 6 4 2 4" xfId="9402" xr:uid="{00000000-0005-0000-0000-00003D140000}"/>
    <cellStyle name="CABEÇALHO 3 6 4 2 5" xfId="10616" xr:uid="{00000000-0005-0000-0000-00003E140000}"/>
    <cellStyle name="CABEÇALHO 3 6 4 2 6" xfId="6304" xr:uid="{00000000-0005-0000-0000-00003F140000}"/>
    <cellStyle name="CABEÇALHO 3 6 4 3" xfId="2656" xr:uid="{00000000-0005-0000-0000-000040140000}"/>
    <cellStyle name="CABEÇALHO 3 6 4 3 2" xfId="5536" xr:uid="{00000000-0005-0000-0000-000041140000}"/>
    <cellStyle name="CABEÇALHO 3 6 4 3 3" xfId="6864" xr:uid="{00000000-0005-0000-0000-000042140000}"/>
    <cellStyle name="CABEÇALHO 3 6 4 3 4" xfId="8734" xr:uid="{00000000-0005-0000-0000-000043140000}"/>
    <cellStyle name="CABEÇALHO 3 6 4 3 5" xfId="10449" xr:uid="{00000000-0005-0000-0000-000044140000}"/>
    <cellStyle name="CABEÇALHO 3 6 4 3 6" xfId="10010" xr:uid="{00000000-0005-0000-0000-000045140000}"/>
    <cellStyle name="CABEÇALHO 3 6 4 4" xfId="3675" xr:uid="{00000000-0005-0000-0000-000046140000}"/>
    <cellStyle name="CABEÇALHO 3 6 4 5" xfId="5811" xr:uid="{00000000-0005-0000-0000-000047140000}"/>
    <cellStyle name="CABEÇALHO 3 6 4 6" xfId="6181" xr:uid="{00000000-0005-0000-0000-000048140000}"/>
    <cellStyle name="CABEÇALHO 3 6 4 7" xfId="8821" xr:uid="{00000000-0005-0000-0000-000049140000}"/>
    <cellStyle name="CABEÇALHO 3 6 4 8" xfId="10102" xr:uid="{00000000-0005-0000-0000-00004A140000}"/>
    <cellStyle name="CABEÇALHO 3 6 5" xfId="742" xr:uid="{00000000-0005-0000-0000-00004B140000}"/>
    <cellStyle name="CABEÇALHO 3 6 5 2" xfId="1884" xr:uid="{00000000-0005-0000-0000-00004C140000}"/>
    <cellStyle name="CABEÇALHO 3 6 5 2 2" xfId="4764" xr:uid="{00000000-0005-0000-0000-00004D140000}"/>
    <cellStyle name="CABEÇALHO 3 6 5 2 3" xfId="6356" xr:uid="{00000000-0005-0000-0000-00004E140000}"/>
    <cellStyle name="CABEÇALHO 3 6 5 2 4" xfId="8872" xr:uid="{00000000-0005-0000-0000-00004F140000}"/>
    <cellStyle name="CABEÇALHO 3 6 5 2 5" xfId="10039" xr:uid="{00000000-0005-0000-0000-000050140000}"/>
    <cellStyle name="CABEÇALHO 3 6 5 2 6" xfId="11305" xr:uid="{00000000-0005-0000-0000-000051140000}"/>
    <cellStyle name="CABEÇALHO 3 6 5 3" xfId="2796" xr:uid="{00000000-0005-0000-0000-000052140000}"/>
    <cellStyle name="CABEÇALHO 3 6 5 3 2" xfId="5676" xr:uid="{00000000-0005-0000-0000-000053140000}"/>
    <cellStyle name="CABEÇALHO 3 6 5 3 3" xfId="7686" xr:uid="{00000000-0005-0000-0000-000054140000}"/>
    <cellStyle name="CABEÇALHO 3 6 5 3 4" xfId="6278" xr:uid="{00000000-0005-0000-0000-000055140000}"/>
    <cellStyle name="CABEÇALHO 3 6 5 3 5" xfId="7528" xr:uid="{00000000-0005-0000-0000-000056140000}"/>
    <cellStyle name="CABEÇALHO 3 6 5 3 6" xfId="9408" xr:uid="{00000000-0005-0000-0000-000057140000}"/>
    <cellStyle name="CABEÇALHO 3 6 5 4" xfId="3622" xr:uid="{00000000-0005-0000-0000-000058140000}"/>
    <cellStyle name="CABEÇALHO 3 6 5 5" xfId="6039" xr:uid="{00000000-0005-0000-0000-000059140000}"/>
    <cellStyle name="CABEÇALHO 3 6 5 6" xfId="8997" xr:uid="{00000000-0005-0000-0000-00005A140000}"/>
    <cellStyle name="CABEÇALHO 3 6 5 7" xfId="9924" xr:uid="{00000000-0005-0000-0000-00005B140000}"/>
    <cellStyle name="CABEÇALHO 3 6 5 8" xfId="10926" xr:uid="{00000000-0005-0000-0000-00005C140000}"/>
    <cellStyle name="CABEÇALHO 3 6 6" xfId="1251" xr:uid="{00000000-0005-0000-0000-00005D140000}"/>
    <cellStyle name="CABEÇALHO 3 6 6 2" xfId="2393" xr:uid="{00000000-0005-0000-0000-00005E140000}"/>
    <cellStyle name="CABEÇALHO 3 6 6 2 2" xfId="5273" xr:uid="{00000000-0005-0000-0000-00005F140000}"/>
    <cellStyle name="CABEÇALHO 3 6 6 2 3" xfId="7797" xr:uid="{00000000-0005-0000-0000-000060140000}"/>
    <cellStyle name="CABEÇALHO 3 6 6 2 4" xfId="9508" xr:uid="{00000000-0005-0000-0000-000061140000}"/>
    <cellStyle name="CABEÇALHO 3 6 6 2 5" xfId="8509" xr:uid="{00000000-0005-0000-0000-000062140000}"/>
    <cellStyle name="CABEÇALHO 3 6 6 2 6" xfId="11478" xr:uid="{00000000-0005-0000-0000-000063140000}"/>
    <cellStyle name="CABEÇALHO 3 6 6 3" xfId="2580" xr:uid="{00000000-0005-0000-0000-000064140000}"/>
    <cellStyle name="CABEÇALHO 3 6 6 3 2" xfId="5460" xr:uid="{00000000-0005-0000-0000-000065140000}"/>
    <cellStyle name="CABEÇALHO 3 6 6 3 3" xfId="6618" xr:uid="{00000000-0005-0000-0000-000066140000}"/>
    <cellStyle name="CABEÇALHO 3 6 6 3 4" xfId="8229" xr:uid="{00000000-0005-0000-0000-000067140000}"/>
    <cellStyle name="CABEÇALHO 3 6 6 3 5" xfId="9628" xr:uid="{00000000-0005-0000-0000-000068140000}"/>
    <cellStyle name="CABEÇALHO 3 6 6 3 6" xfId="11550" xr:uid="{00000000-0005-0000-0000-000069140000}"/>
    <cellStyle name="CABEÇALHO 3 6 6 4" xfId="4131" xr:uid="{00000000-0005-0000-0000-00006A140000}"/>
    <cellStyle name="CABEÇALHO 3 6 6 5" xfId="3102" xr:uid="{00000000-0005-0000-0000-00006B140000}"/>
    <cellStyle name="CABEÇALHO 3 6 6 6" xfId="6752" xr:uid="{00000000-0005-0000-0000-00006C140000}"/>
    <cellStyle name="CABEÇALHO 3 6 6 7" xfId="8658" xr:uid="{00000000-0005-0000-0000-00006D140000}"/>
    <cellStyle name="CABEÇALHO 3 6 6 8" xfId="6407" xr:uid="{00000000-0005-0000-0000-00006E140000}"/>
    <cellStyle name="CABEÇALHO 3 6 7" xfId="1654" xr:uid="{00000000-0005-0000-0000-00006F140000}"/>
    <cellStyle name="CABEÇALHO 3 6 7 2" xfId="4534" xr:uid="{00000000-0005-0000-0000-000070140000}"/>
    <cellStyle name="CABEÇALHO 3 6 7 3" xfId="7963" xr:uid="{00000000-0005-0000-0000-000071140000}"/>
    <cellStyle name="CABEÇALHO 3 6 7 4" xfId="9373" xr:uid="{00000000-0005-0000-0000-000072140000}"/>
    <cellStyle name="CABEÇALHO 3 6 7 5" xfId="10217" xr:uid="{00000000-0005-0000-0000-000073140000}"/>
    <cellStyle name="CABEÇALHO 3 6 7 6" xfId="11187" xr:uid="{00000000-0005-0000-0000-000074140000}"/>
    <cellStyle name="CABEÇALHO 3 6 8" xfId="2500" xr:uid="{00000000-0005-0000-0000-000075140000}"/>
    <cellStyle name="CABEÇALHO 3 6 8 2" xfId="5380" xr:uid="{00000000-0005-0000-0000-000076140000}"/>
    <cellStyle name="CABEÇALHO 3 6 8 3" xfId="8117" xr:uid="{00000000-0005-0000-0000-000077140000}"/>
    <cellStyle name="CABEÇALHO 3 6 8 4" xfId="8279" xr:uid="{00000000-0005-0000-0000-000078140000}"/>
    <cellStyle name="CABEÇALHO 3 6 8 5" xfId="9065" xr:uid="{00000000-0005-0000-0000-000079140000}"/>
    <cellStyle name="CABEÇALHO 3 6 8 6" xfId="10976" xr:uid="{00000000-0005-0000-0000-00007A140000}"/>
    <cellStyle name="CABEÇALHO 3 6 9" xfId="3393" xr:uid="{00000000-0005-0000-0000-00007B140000}"/>
    <cellStyle name="CABEÇALHO 3 7" xfId="478" xr:uid="{00000000-0005-0000-0000-00007C140000}"/>
    <cellStyle name="CABEÇALHO 3 7 10" xfId="5793" xr:uid="{00000000-0005-0000-0000-00007D140000}"/>
    <cellStyle name="CABEÇALHO 3 7 11" xfId="7639" xr:uid="{00000000-0005-0000-0000-00007E140000}"/>
    <cellStyle name="CABEÇALHO 3 7 12" xfId="8358" xr:uid="{00000000-0005-0000-0000-00007F140000}"/>
    <cellStyle name="CABEÇALHO 3 7 13" xfId="10901" xr:uid="{00000000-0005-0000-0000-000080140000}"/>
    <cellStyle name="CABEÇALHO 3 7 2" xfId="954" xr:uid="{00000000-0005-0000-0000-000081140000}"/>
    <cellStyle name="CABEÇALHO 3 7 2 2" xfId="2096" xr:uid="{00000000-0005-0000-0000-000082140000}"/>
    <cellStyle name="CABEÇALHO 3 7 2 2 2" xfId="4976" xr:uid="{00000000-0005-0000-0000-000083140000}"/>
    <cellStyle name="CABEÇALHO 3 7 2 2 3" xfId="7679" xr:uid="{00000000-0005-0000-0000-000084140000}"/>
    <cellStyle name="CABEÇALHO 3 7 2 2 4" xfId="9481" xr:uid="{00000000-0005-0000-0000-000085140000}"/>
    <cellStyle name="CABEÇALHO 3 7 2 2 5" xfId="10619" xr:uid="{00000000-0005-0000-0000-000086140000}"/>
    <cellStyle name="CABEÇALHO 3 7 2 2 6" xfId="11001" xr:uid="{00000000-0005-0000-0000-000087140000}"/>
    <cellStyle name="CABEÇALHO 3 7 2 3" xfId="2839" xr:uid="{00000000-0005-0000-0000-000088140000}"/>
    <cellStyle name="CABEÇALHO 3 7 2 3 2" xfId="5719" xr:uid="{00000000-0005-0000-0000-000089140000}"/>
    <cellStyle name="CABEÇALHO 3 7 2 3 3" xfId="6388" xr:uid="{00000000-0005-0000-0000-00008A140000}"/>
    <cellStyle name="CABEÇALHO 3 7 2 3 4" xfId="9394" xr:uid="{00000000-0005-0000-0000-00008B140000}"/>
    <cellStyle name="CABEÇALHO 3 7 2 3 5" xfId="10590" xr:uid="{00000000-0005-0000-0000-00008C140000}"/>
    <cellStyle name="CABEÇALHO 3 7 2 3 6" xfId="10240" xr:uid="{00000000-0005-0000-0000-00008D140000}"/>
    <cellStyle name="CABEÇALHO 3 7 2 4" xfId="3834" xr:uid="{00000000-0005-0000-0000-00008E140000}"/>
    <cellStyle name="CABEÇALHO 3 7 2 5" xfId="7120" xr:uid="{00000000-0005-0000-0000-00008F140000}"/>
    <cellStyle name="CABEÇALHO 3 7 2 6" xfId="8839" xr:uid="{00000000-0005-0000-0000-000090140000}"/>
    <cellStyle name="CABEÇALHO 3 7 2 7" xfId="9794" xr:uid="{00000000-0005-0000-0000-000091140000}"/>
    <cellStyle name="CABEÇALHO 3 7 2 8" xfId="7706" xr:uid="{00000000-0005-0000-0000-000092140000}"/>
    <cellStyle name="CABEÇALHO 3 7 3" xfId="750" xr:uid="{00000000-0005-0000-0000-000093140000}"/>
    <cellStyle name="CABEÇALHO 3 7 3 2" xfId="1892" xr:uid="{00000000-0005-0000-0000-000094140000}"/>
    <cellStyle name="CABEÇALHO 3 7 3 2 2" xfId="4772" xr:uid="{00000000-0005-0000-0000-000095140000}"/>
    <cellStyle name="CABEÇALHO 3 7 3 2 3" xfId="7658" xr:uid="{00000000-0005-0000-0000-000096140000}"/>
    <cellStyle name="CABEÇALHO 3 7 3 2 4" xfId="9282" xr:uid="{00000000-0005-0000-0000-000097140000}"/>
    <cellStyle name="CABEÇALHO 3 7 3 2 5" xfId="10779" xr:uid="{00000000-0005-0000-0000-000098140000}"/>
    <cellStyle name="CABEÇALHO 3 7 3 2 6" xfId="11337" xr:uid="{00000000-0005-0000-0000-000099140000}"/>
    <cellStyle name="CABEÇALHO 3 7 3 3" xfId="2847" xr:uid="{00000000-0005-0000-0000-00009A140000}"/>
    <cellStyle name="CABEÇALHO 3 7 3 3 2" xfId="5727" xr:uid="{00000000-0005-0000-0000-00009B140000}"/>
    <cellStyle name="CABEÇALHO 3 7 3 3 3" xfId="7762" xr:uid="{00000000-0005-0000-0000-00009C140000}"/>
    <cellStyle name="CABEÇALHO 3 7 3 3 4" xfId="6925" xr:uid="{00000000-0005-0000-0000-00009D140000}"/>
    <cellStyle name="CABEÇALHO 3 7 3 3 5" xfId="9946" xr:uid="{00000000-0005-0000-0000-00009E140000}"/>
    <cellStyle name="CABEÇALHO 3 7 3 3 6" xfId="8953" xr:uid="{00000000-0005-0000-0000-00009F140000}"/>
    <cellStyle name="CABEÇALHO 3 7 3 4" xfId="3630" xr:uid="{00000000-0005-0000-0000-0000A0140000}"/>
    <cellStyle name="CABEÇALHO 3 7 3 5" xfId="7506" xr:uid="{00000000-0005-0000-0000-0000A1140000}"/>
    <cellStyle name="CABEÇALHO 3 7 3 6" xfId="7192" xr:uid="{00000000-0005-0000-0000-0000A2140000}"/>
    <cellStyle name="CABEÇALHO 3 7 3 7" xfId="10125" xr:uid="{00000000-0005-0000-0000-0000A3140000}"/>
    <cellStyle name="CABEÇALHO 3 7 3 8" xfId="11561" xr:uid="{00000000-0005-0000-0000-0000A4140000}"/>
    <cellStyle name="CABEÇALHO 3 7 4" xfId="791" xr:uid="{00000000-0005-0000-0000-0000A5140000}"/>
    <cellStyle name="CABEÇALHO 3 7 4 2" xfId="1933" xr:uid="{00000000-0005-0000-0000-0000A6140000}"/>
    <cellStyle name="CABEÇALHO 3 7 4 2 2" xfId="4813" xr:uid="{00000000-0005-0000-0000-0000A7140000}"/>
    <cellStyle name="CABEÇALHO 3 7 4 2 3" xfId="7932" xr:uid="{00000000-0005-0000-0000-0000A8140000}"/>
    <cellStyle name="CABEÇALHO 3 7 4 2 4" xfId="8131" xr:uid="{00000000-0005-0000-0000-0000A9140000}"/>
    <cellStyle name="CABEÇALHO 3 7 4 2 5" xfId="8050" xr:uid="{00000000-0005-0000-0000-0000AA140000}"/>
    <cellStyle name="CABEÇALHO 3 7 4 2 6" xfId="6175" xr:uid="{00000000-0005-0000-0000-0000AB140000}"/>
    <cellStyle name="CABEÇALHO 3 7 4 3" xfId="2785" xr:uid="{00000000-0005-0000-0000-0000AC140000}"/>
    <cellStyle name="CABEÇALHO 3 7 4 3 2" xfId="5665" xr:uid="{00000000-0005-0000-0000-0000AD140000}"/>
    <cellStyle name="CABEÇALHO 3 7 4 3 3" xfId="6530" xr:uid="{00000000-0005-0000-0000-0000AE140000}"/>
    <cellStyle name="CABEÇALHO 3 7 4 3 4" xfId="9246" xr:uid="{00000000-0005-0000-0000-0000AF140000}"/>
    <cellStyle name="CABEÇALHO 3 7 4 3 5" xfId="10694" xr:uid="{00000000-0005-0000-0000-0000B0140000}"/>
    <cellStyle name="CABEÇALHO 3 7 4 3 6" xfId="9605" xr:uid="{00000000-0005-0000-0000-0000B1140000}"/>
    <cellStyle name="CABEÇALHO 3 7 4 4" xfId="3671" xr:uid="{00000000-0005-0000-0000-0000B2140000}"/>
    <cellStyle name="CABEÇALHO 3 7 4 5" xfId="7561" xr:uid="{00000000-0005-0000-0000-0000B3140000}"/>
    <cellStyle name="CABEÇALHO 3 7 4 6" xfId="7458" xr:uid="{00000000-0005-0000-0000-0000B4140000}"/>
    <cellStyle name="CABEÇALHO 3 7 4 7" xfId="10168" xr:uid="{00000000-0005-0000-0000-0000B5140000}"/>
    <cellStyle name="CABEÇALHO 3 7 4 8" xfId="11628" xr:uid="{00000000-0005-0000-0000-0000B6140000}"/>
    <cellStyle name="CABEÇALHO 3 7 5" xfId="741" xr:uid="{00000000-0005-0000-0000-0000B7140000}"/>
    <cellStyle name="CABEÇALHO 3 7 5 2" xfId="1883" xr:uid="{00000000-0005-0000-0000-0000B8140000}"/>
    <cellStyle name="CABEÇALHO 3 7 5 2 2" xfId="4763" xr:uid="{00000000-0005-0000-0000-0000B9140000}"/>
    <cellStyle name="CABEÇALHO 3 7 5 2 3" xfId="7436" xr:uid="{00000000-0005-0000-0000-0000BA140000}"/>
    <cellStyle name="CABEÇALHO 3 7 5 2 4" xfId="9257" xr:uid="{00000000-0005-0000-0000-0000BB140000}"/>
    <cellStyle name="CABEÇALHO 3 7 5 2 5" xfId="9621" xr:uid="{00000000-0005-0000-0000-0000BC140000}"/>
    <cellStyle name="CABEÇALHO 3 7 5 2 6" xfId="10463" xr:uid="{00000000-0005-0000-0000-0000BD140000}"/>
    <cellStyle name="CABEÇALHO 3 7 5 3" xfId="1355" xr:uid="{00000000-0005-0000-0000-0000BE140000}"/>
    <cellStyle name="CABEÇALHO 3 7 5 3 2" xfId="4235" xr:uid="{00000000-0005-0000-0000-0000BF140000}"/>
    <cellStyle name="CABEÇALHO 3 7 5 3 3" xfId="6695" xr:uid="{00000000-0005-0000-0000-0000C0140000}"/>
    <cellStyle name="CABEÇALHO 3 7 5 3 4" xfId="7095" xr:uid="{00000000-0005-0000-0000-0000C1140000}"/>
    <cellStyle name="CABEÇALHO 3 7 5 3 5" xfId="8398" xr:uid="{00000000-0005-0000-0000-0000C2140000}"/>
    <cellStyle name="CABEÇALHO 3 7 5 3 6" xfId="10617" xr:uid="{00000000-0005-0000-0000-0000C3140000}"/>
    <cellStyle name="CABEÇALHO 3 7 5 4" xfId="3621" xr:uid="{00000000-0005-0000-0000-0000C4140000}"/>
    <cellStyle name="CABEÇALHO 3 7 5 5" xfId="6491" xr:uid="{00000000-0005-0000-0000-0000C5140000}"/>
    <cellStyle name="CABEÇALHO 3 7 5 6" xfId="8575" xr:uid="{00000000-0005-0000-0000-0000C6140000}"/>
    <cellStyle name="CABEÇALHO 3 7 5 7" xfId="8778" xr:uid="{00000000-0005-0000-0000-0000C7140000}"/>
    <cellStyle name="CABEÇALHO 3 7 5 8" xfId="11451" xr:uid="{00000000-0005-0000-0000-0000C8140000}"/>
    <cellStyle name="CABEÇALHO 3 7 6" xfId="1250" xr:uid="{00000000-0005-0000-0000-0000C9140000}"/>
    <cellStyle name="CABEÇALHO 3 7 6 2" xfId="2392" xr:uid="{00000000-0005-0000-0000-0000CA140000}"/>
    <cellStyle name="CABEÇALHO 3 7 6 2 2" xfId="5272" xr:uid="{00000000-0005-0000-0000-0000CB140000}"/>
    <cellStyle name="CABEÇALHO 3 7 6 2 3" xfId="8103" xr:uid="{00000000-0005-0000-0000-0000CC140000}"/>
    <cellStyle name="CABEÇALHO 3 7 6 2 4" xfId="8604" xr:uid="{00000000-0005-0000-0000-0000CD140000}"/>
    <cellStyle name="CABEÇALHO 3 7 6 2 5" xfId="7337" xr:uid="{00000000-0005-0000-0000-0000CE140000}"/>
    <cellStyle name="CABEÇALHO 3 7 6 2 6" xfId="9869" xr:uid="{00000000-0005-0000-0000-0000CF140000}"/>
    <cellStyle name="CABEÇALHO 3 7 6 3" xfId="2499" xr:uid="{00000000-0005-0000-0000-0000D0140000}"/>
    <cellStyle name="CABEÇALHO 3 7 6 3 2" xfId="5379" xr:uid="{00000000-0005-0000-0000-0000D1140000}"/>
    <cellStyle name="CABEÇALHO 3 7 6 3 3" xfId="7018" xr:uid="{00000000-0005-0000-0000-0000D2140000}"/>
    <cellStyle name="CABEÇALHO 3 7 6 3 4" xfId="5992" xr:uid="{00000000-0005-0000-0000-0000D3140000}"/>
    <cellStyle name="CABEÇALHO 3 7 6 3 5" xfId="10220" xr:uid="{00000000-0005-0000-0000-0000D4140000}"/>
    <cellStyle name="CABEÇALHO 3 7 6 3 6" xfId="11399" xr:uid="{00000000-0005-0000-0000-0000D5140000}"/>
    <cellStyle name="CABEÇALHO 3 7 6 4" xfId="4130" xr:uid="{00000000-0005-0000-0000-0000D6140000}"/>
    <cellStyle name="CABEÇALHO 3 7 6 5" xfId="3011" xr:uid="{00000000-0005-0000-0000-0000D7140000}"/>
    <cellStyle name="CABEÇALHO 3 7 6 6" xfId="6321" xr:uid="{00000000-0005-0000-0000-0000D8140000}"/>
    <cellStyle name="CABEÇALHO 3 7 6 7" xfId="9244" xr:uid="{00000000-0005-0000-0000-0000D9140000}"/>
    <cellStyle name="CABEÇALHO 3 7 6 8" xfId="10924" xr:uid="{00000000-0005-0000-0000-0000DA140000}"/>
    <cellStyle name="CABEÇALHO 3 7 7" xfId="1619" xr:uid="{00000000-0005-0000-0000-0000DB140000}"/>
    <cellStyle name="CABEÇALHO 3 7 7 2" xfId="4499" xr:uid="{00000000-0005-0000-0000-0000DC140000}"/>
    <cellStyle name="CABEÇALHO 3 7 7 3" xfId="7013" xr:uid="{00000000-0005-0000-0000-0000DD140000}"/>
    <cellStyle name="CABEÇALHO 3 7 7 4" xfId="8471" xr:uid="{00000000-0005-0000-0000-0000DE140000}"/>
    <cellStyle name="CABEÇALHO 3 7 7 5" xfId="8599" xr:uid="{00000000-0005-0000-0000-0000DF140000}"/>
    <cellStyle name="CABEÇALHO 3 7 7 6" xfId="11389" xr:uid="{00000000-0005-0000-0000-0000E0140000}"/>
    <cellStyle name="CABEÇALHO 3 7 8" xfId="2666" xr:uid="{00000000-0005-0000-0000-0000E1140000}"/>
    <cellStyle name="CABEÇALHO 3 7 8 2" xfId="5546" xr:uid="{00000000-0005-0000-0000-0000E2140000}"/>
    <cellStyle name="CABEÇALHO 3 7 8 3" xfId="7784" xr:uid="{00000000-0005-0000-0000-0000E3140000}"/>
    <cellStyle name="CABEÇALHO 3 7 8 4" xfId="8218" xr:uid="{00000000-0005-0000-0000-0000E4140000}"/>
    <cellStyle name="CABEÇALHO 3 7 8 5" xfId="9965" xr:uid="{00000000-0005-0000-0000-0000E5140000}"/>
    <cellStyle name="CABEÇALHO 3 7 8 6" xfId="11178" xr:uid="{00000000-0005-0000-0000-0000E6140000}"/>
    <cellStyle name="CABEÇALHO 3 7 9" xfId="3358" xr:uid="{00000000-0005-0000-0000-0000E7140000}"/>
    <cellStyle name="CABEÇALHO 3 8" xfId="492" xr:uid="{00000000-0005-0000-0000-0000E8140000}"/>
    <cellStyle name="CABEÇALHO 3 8 10" xfId="6238" xr:uid="{00000000-0005-0000-0000-0000E9140000}"/>
    <cellStyle name="CABEÇALHO 3 8 11" xfId="8348" xr:uid="{00000000-0005-0000-0000-0000EA140000}"/>
    <cellStyle name="CABEÇALHO 3 8 12" xfId="6061" xr:uid="{00000000-0005-0000-0000-0000EB140000}"/>
    <cellStyle name="CABEÇALHO 3 8 13" xfId="10731" xr:uid="{00000000-0005-0000-0000-0000EC140000}"/>
    <cellStyle name="CABEÇALHO 3 8 2" xfId="968" xr:uid="{00000000-0005-0000-0000-0000ED140000}"/>
    <cellStyle name="CABEÇALHO 3 8 2 2" xfId="2110" xr:uid="{00000000-0005-0000-0000-0000EE140000}"/>
    <cellStyle name="CABEÇALHO 3 8 2 2 2" xfId="4990" xr:uid="{00000000-0005-0000-0000-0000EF140000}"/>
    <cellStyle name="CABEÇALHO 3 8 2 2 3" xfId="8090" xr:uid="{00000000-0005-0000-0000-0000F0140000}"/>
    <cellStyle name="CABEÇALHO 3 8 2 2 4" xfId="8215" xr:uid="{00000000-0005-0000-0000-0000F1140000}"/>
    <cellStyle name="CABEÇALHO 3 8 2 2 5" xfId="9963" xr:uid="{00000000-0005-0000-0000-0000F2140000}"/>
    <cellStyle name="CABEÇALHO 3 8 2 2 6" xfId="7891" xr:uid="{00000000-0005-0000-0000-0000F3140000}"/>
    <cellStyle name="CABEÇALHO 3 8 2 3" xfId="2601" xr:uid="{00000000-0005-0000-0000-0000F4140000}"/>
    <cellStyle name="CABEÇALHO 3 8 2 3 2" xfId="5481" xr:uid="{00000000-0005-0000-0000-0000F5140000}"/>
    <cellStyle name="CABEÇALHO 3 8 2 3 3" xfId="6224" xr:uid="{00000000-0005-0000-0000-0000F6140000}"/>
    <cellStyle name="CABEÇALHO 3 8 2 3 4" xfId="8330" xr:uid="{00000000-0005-0000-0000-0000F7140000}"/>
    <cellStyle name="CABEÇALHO 3 8 2 3 5" xfId="9669" xr:uid="{00000000-0005-0000-0000-0000F8140000}"/>
    <cellStyle name="CABEÇALHO 3 8 2 3 6" xfId="11069" xr:uid="{00000000-0005-0000-0000-0000F9140000}"/>
    <cellStyle name="CABEÇALHO 3 8 2 4" xfId="3848" xr:uid="{00000000-0005-0000-0000-0000FA140000}"/>
    <cellStyle name="CABEÇALHO 3 8 2 5" xfId="2911" xr:uid="{00000000-0005-0000-0000-0000FB140000}"/>
    <cellStyle name="CABEÇALHO 3 8 2 6" xfId="7676" xr:uid="{00000000-0005-0000-0000-0000FC140000}"/>
    <cellStyle name="CABEÇALHO 3 8 2 7" xfId="8929" xr:uid="{00000000-0005-0000-0000-0000FD140000}"/>
    <cellStyle name="CABEÇALHO 3 8 2 8" xfId="11091" xr:uid="{00000000-0005-0000-0000-0000FE140000}"/>
    <cellStyle name="CABEÇALHO 3 8 3" xfId="759" xr:uid="{00000000-0005-0000-0000-0000FF140000}"/>
    <cellStyle name="CABEÇALHO 3 8 3 2" xfId="1901" xr:uid="{00000000-0005-0000-0000-000000150000}"/>
    <cellStyle name="CABEÇALHO 3 8 3 2 2" xfId="4781" xr:uid="{00000000-0005-0000-0000-000001150000}"/>
    <cellStyle name="CABEÇALHO 3 8 3 2 3" xfId="7444" xr:uid="{00000000-0005-0000-0000-000002150000}"/>
    <cellStyle name="CABEÇALHO 3 8 3 2 4" xfId="8307" xr:uid="{00000000-0005-0000-0000-000003150000}"/>
    <cellStyle name="CABEÇALHO 3 8 3 2 5" xfId="9723" xr:uid="{00000000-0005-0000-0000-000004150000}"/>
    <cellStyle name="CABEÇALHO 3 8 3 2 6" xfId="10984" xr:uid="{00000000-0005-0000-0000-000005150000}"/>
    <cellStyle name="CABEÇALHO 3 8 3 3" xfId="2734" xr:uid="{00000000-0005-0000-0000-000006150000}"/>
    <cellStyle name="CABEÇALHO 3 8 3 3 2" xfId="5614" xr:uid="{00000000-0005-0000-0000-000007150000}"/>
    <cellStyle name="CABEÇALHO 3 8 3 3 3" xfId="6999" xr:uid="{00000000-0005-0000-0000-000008150000}"/>
    <cellStyle name="CABEÇALHO 3 8 3 3 4" xfId="6853" xr:uid="{00000000-0005-0000-0000-000009150000}"/>
    <cellStyle name="CABEÇALHO 3 8 3 3 5" xfId="10771" xr:uid="{00000000-0005-0000-0000-00000A150000}"/>
    <cellStyle name="CABEÇALHO 3 8 3 3 6" xfId="11134" xr:uid="{00000000-0005-0000-0000-00000B150000}"/>
    <cellStyle name="CABEÇALHO 3 8 3 4" xfId="3639" xr:uid="{00000000-0005-0000-0000-00000C150000}"/>
    <cellStyle name="CABEÇALHO 3 8 3 5" xfId="6038" xr:uid="{00000000-0005-0000-0000-00000D150000}"/>
    <cellStyle name="CABEÇALHO 3 8 3 6" xfId="8996" xr:uid="{00000000-0005-0000-0000-00000E150000}"/>
    <cellStyle name="CABEÇALHO 3 8 3 7" xfId="9923" xr:uid="{00000000-0005-0000-0000-00000F150000}"/>
    <cellStyle name="CABEÇALHO 3 8 3 8" xfId="9788" xr:uid="{00000000-0005-0000-0000-000010150000}"/>
    <cellStyle name="CABEÇALHO 3 8 4" xfId="706" xr:uid="{00000000-0005-0000-0000-000011150000}"/>
    <cellStyle name="CABEÇALHO 3 8 4 2" xfId="1848" xr:uid="{00000000-0005-0000-0000-000012150000}"/>
    <cellStyle name="CABEÇALHO 3 8 4 2 2" xfId="4728" xr:uid="{00000000-0005-0000-0000-000013150000}"/>
    <cellStyle name="CABEÇALHO 3 8 4 2 3" xfId="6216" xr:uid="{00000000-0005-0000-0000-000014150000}"/>
    <cellStyle name="CABEÇALHO 3 8 4 2 4" xfId="8744" xr:uid="{00000000-0005-0000-0000-000015150000}"/>
    <cellStyle name="CABEÇALHO 3 8 4 2 5" xfId="9971" xr:uid="{00000000-0005-0000-0000-000016150000}"/>
    <cellStyle name="CABEÇALHO 3 8 4 2 6" xfId="8504" xr:uid="{00000000-0005-0000-0000-000017150000}"/>
    <cellStyle name="CABEÇALHO 3 8 4 3" xfId="2634" xr:uid="{00000000-0005-0000-0000-000018150000}"/>
    <cellStyle name="CABEÇALHO 3 8 4 3 2" xfId="5514" xr:uid="{00000000-0005-0000-0000-000019150000}"/>
    <cellStyle name="CABEÇALHO 3 8 4 3 3" xfId="6679" xr:uid="{00000000-0005-0000-0000-00001A150000}"/>
    <cellStyle name="CABEÇALHO 3 8 4 3 4" xfId="9441" xr:uid="{00000000-0005-0000-0000-00001B150000}"/>
    <cellStyle name="CABEÇALHO 3 8 4 3 5" xfId="10646" xr:uid="{00000000-0005-0000-0000-00001C150000}"/>
    <cellStyle name="CABEÇALHO 3 8 4 3 6" xfId="11585" xr:uid="{00000000-0005-0000-0000-00001D150000}"/>
    <cellStyle name="CABEÇALHO 3 8 4 4" xfId="3586" xr:uid="{00000000-0005-0000-0000-00001E150000}"/>
    <cellStyle name="CABEÇALHO 3 8 4 5" xfId="7566" xr:uid="{00000000-0005-0000-0000-00001F150000}"/>
    <cellStyle name="CABEÇALHO 3 8 4 6" xfId="7755" xr:uid="{00000000-0005-0000-0000-000020150000}"/>
    <cellStyle name="CABEÇALHO 3 8 4 7" xfId="10173" xr:uid="{00000000-0005-0000-0000-000021150000}"/>
    <cellStyle name="CABEÇALHO 3 8 4 8" xfId="9697" xr:uid="{00000000-0005-0000-0000-000022150000}"/>
    <cellStyle name="CABEÇALHO 3 8 5" xfId="1238" xr:uid="{00000000-0005-0000-0000-000023150000}"/>
    <cellStyle name="CABEÇALHO 3 8 5 2" xfId="2380" xr:uid="{00000000-0005-0000-0000-000024150000}"/>
    <cellStyle name="CABEÇALHO 3 8 5 2 2" xfId="5260" xr:uid="{00000000-0005-0000-0000-000025150000}"/>
    <cellStyle name="CABEÇALHO 3 8 5 2 3" xfId="6780" xr:uid="{00000000-0005-0000-0000-000026150000}"/>
    <cellStyle name="CABEÇALHO 3 8 5 2 4" xfId="7523" xr:uid="{00000000-0005-0000-0000-000027150000}"/>
    <cellStyle name="CABEÇALHO 3 8 5 2 5" xfId="8552" xr:uid="{00000000-0005-0000-0000-000028150000}"/>
    <cellStyle name="CABEÇALHO 3 8 5 2 6" xfId="11331" xr:uid="{00000000-0005-0000-0000-000029150000}"/>
    <cellStyle name="CABEÇALHO 3 8 5 3" xfId="2494" xr:uid="{00000000-0005-0000-0000-00002A150000}"/>
    <cellStyle name="CABEÇALHO 3 8 5 3 2" xfId="5374" xr:uid="{00000000-0005-0000-0000-00002B150000}"/>
    <cellStyle name="CABEÇALHO 3 8 5 3 3" xfId="8076" xr:uid="{00000000-0005-0000-0000-00002C150000}"/>
    <cellStyle name="CABEÇALHO 3 8 5 3 4" xfId="7488" xr:uid="{00000000-0005-0000-0000-00002D150000}"/>
    <cellStyle name="CABEÇALHO 3 8 5 3 5" xfId="8371" xr:uid="{00000000-0005-0000-0000-00002E150000}"/>
    <cellStyle name="CABEÇALHO 3 8 5 3 6" xfId="11215" xr:uid="{00000000-0005-0000-0000-00002F150000}"/>
    <cellStyle name="CABEÇALHO 3 8 5 4" xfId="4118" xr:uid="{00000000-0005-0000-0000-000030150000}"/>
    <cellStyle name="CABEÇALHO 3 8 5 5" xfId="3097" xr:uid="{00000000-0005-0000-0000-000031150000}"/>
    <cellStyle name="CABEÇALHO 3 8 5 6" xfId="8116" xr:uid="{00000000-0005-0000-0000-000032150000}"/>
    <cellStyle name="CABEÇALHO 3 8 5 7" xfId="5887" xr:uid="{00000000-0005-0000-0000-000033150000}"/>
    <cellStyle name="CABEÇALHO 3 8 5 8" xfId="11180" xr:uid="{00000000-0005-0000-0000-000034150000}"/>
    <cellStyle name="CABEÇALHO 3 8 6" xfId="1195" xr:uid="{00000000-0005-0000-0000-000035150000}"/>
    <cellStyle name="CABEÇALHO 3 8 6 2" xfId="2337" xr:uid="{00000000-0005-0000-0000-000036150000}"/>
    <cellStyle name="CABEÇALHO 3 8 6 2 2" xfId="5217" xr:uid="{00000000-0005-0000-0000-000037150000}"/>
    <cellStyle name="CABEÇALHO 3 8 6 2 3" xfId="6156" xr:uid="{00000000-0005-0000-0000-000038150000}"/>
    <cellStyle name="CABEÇALHO 3 8 6 2 4" xfId="8688" xr:uid="{00000000-0005-0000-0000-000039150000}"/>
    <cellStyle name="CABEÇALHO 3 8 6 2 5" xfId="9652" xr:uid="{00000000-0005-0000-0000-00003A150000}"/>
    <cellStyle name="CABEÇALHO 3 8 6 2 6" xfId="9775" xr:uid="{00000000-0005-0000-0000-00003B150000}"/>
    <cellStyle name="CABEÇALHO 3 8 6 3" xfId="1434" xr:uid="{00000000-0005-0000-0000-00003C150000}"/>
    <cellStyle name="CABEÇALHO 3 8 6 3 2" xfId="4314" xr:uid="{00000000-0005-0000-0000-00003D150000}"/>
    <cellStyle name="CABEÇALHO 3 8 6 3 3" xfId="7911" xr:uid="{00000000-0005-0000-0000-00003E150000}"/>
    <cellStyle name="CABEÇALHO 3 8 6 3 4" xfId="9321" xr:uid="{00000000-0005-0000-0000-00003F150000}"/>
    <cellStyle name="CABEÇALHO 3 8 6 3 5" xfId="10591" xr:uid="{00000000-0005-0000-0000-000040150000}"/>
    <cellStyle name="CABEÇALHO 3 8 6 3 6" xfId="11547" xr:uid="{00000000-0005-0000-0000-000041150000}"/>
    <cellStyle name="CABEÇALHO 3 8 6 4" xfId="4075" xr:uid="{00000000-0005-0000-0000-000042150000}"/>
    <cellStyle name="CABEÇALHO 3 8 6 5" xfId="2946" xr:uid="{00000000-0005-0000-0000-000043150000}"/>
    <cellStyle name="CABEÇALHO 3 8 6 6" xfId="6391" xr:uid="{00000000-0005-0000-0000-000044150000}"/>
    <cellStyle name="CABEÇALHO 3 8 6 7" xfId="9302" xr:uid="{00000000-0005-0000-0000-000045150000}"/>
    <cellStyle name="CABEÇALHO 3 8 6 8" xfId="8692" xr:uid="{00000000-0005-0000-0000-000046150000}"/>
    <cellStyle name="CABEÇALHO 3 8 7" xfId="1633" xr:uid="{00000000-0005-0000-0000-000047150000}"/>
    <cellStyle name="CABEÇALHO 3 8 7 2" xfId="4513" xr:uid="{00000000-0005-0000-0000-000048150000}"/>
    <cellStyle name="CABEÇALHO 3 8 7 3" xfId="7452" xr:uid="{00000000-0005-0000-0000-000049150000}"/>
    <cellStyle name="CABEÇALHO 3 8 7 4" xfId="8888" xr:uid="{00000000-0005-0000-0000-00004A150000}"/>
    <cellStyle name="CABEÇALHO 3 8 7 5" xfId="10045" xr:uid="{00000000-0005-0000-0000-00004B150000}"/>
    <cellStyle name="CABEÇALHO 3 8 7 6" xfId="10941" xr:uid="{00000000-0005-0000-0000-00004C150000}"/>
    <cellStyle name="CABEÇALHO 3 8 8" xfId="2606" xr:uid="{00000000-0005-0000-0000-00004D150000}"/>
    <cellStyle name="CABEÇALHO 3 8 8 2" xfId="5486" xr:uid="{00000000-0005-0000-0000-00004E150000}"/>
    <cellStyle name="CABEÇALHO 3 8 8 3" xfId="7977" xr:uid="{00000000-0005-0000-0000-00004F150000}"/>
    <cellStyle name="CABEÇALHO 3 8 8 4" xfId="7364" xr:uid="{00000000-0005-0000-0000-000050150000}"/>
    <cellStyle name="CABEÇALHO 3 8 8 5" xfId="8713" xr:uid="{00000000-0005-0000-0000-000051150000}"/>
    <cellStyle name="CABEÇALHO 3 8 8 6" xfId="11148" xr:uid="{00000000-0005-0000-0000-000052150000}"/>
    <cellStyle name="CABEÇALHO 3 8 9" xfId="3372" xr:uid="{00000000-0005-0000-0000-000053150000}"/>
    <cellStyle name="CABEÇALHO 3 9" xfId="491" xr:uid="{00000000-0005-0000-0000-000054150000}"/>
    <cellStyle name="CABEÇALHO 3 9 10" xfId="7322" xr:uid="{00000000-0005-0000-0000-000055150000}"/>
    <cellStyle name="CABEÇALHO 3 9 11" xfId="5859" xr:uid="{00000000-0005-0000-0000-000056150000}"/>
    <cellStyle name="CABEÇALHO 3 9 12" xfId="8763" xr:uid="{00000000-0005-0000-0000-000057150000}"/>
    <cellStyle name="CABEÇALHO 3 9 13" xfId="10112" xr:uid="{00000000-0005-0000-0000-000058150000}"/>
    <cellStyle name="CABEÇALHO 3 9 2" xfId="967" xr:uid="{00000000-0005-0000-0000-000059150000}"/>
    <cellStyle name="CABEÇALHO 3 9 2 2" xfId="2109" xr:uid="{00000000-0005-0000-0000-00005A150000}"/>
    <cellStyle name="CABEÇALHO 3 9 2 2 2" xfId="4989" xr:uid="{00000000-0005-0000-0000-00005B150000}"/>
    <cellStyle name="CABEÇALHO 3 9 2 2 3" xfId="6740" xr:uid="{00000000-0005-0000-0000-00005C150000}"/>
    <cellStyle name="CABEÇALHO 3 9 2 2 4" xfId="9224" xr:uid="{00000000-0005-0000-0000-00005D150000}"/>
    <cellStyle name="CABEÇALHO 3 9 2 2 5" xfId="10673" xr:uid="{00000000-0005-0000-0000-00005E150000}"/>
    <cellStyle name="CABEÇALHO 3 9 2 2 6" xfId="11392" xr:uid="{00000000-0005-0000-0000-00005F150000}"/>
    <cellStyle name="CABEÇALHO 3 9 2 3" xfId="2696" xr:uid="{00000000-0005-0000-0000-000060150000}"/>
    <cellStyle name="CABEÇALHO 3 9 2 3 2" xfId="5576" xr:uid="{00000000-0005-0000-0000-000061150000}"/>
    <cellStyle name="CABEÇALHO 3 9 2 3 3" xfId="6068" xr:uid="{00000000-0005-0000-0000-000062150000}"/>
    <cellStyle name="CABEÇALHO 3 9 2 3 4" xfId="9020" xr:uid="{00000000-0005-0000-0000-000063150000}"/>
    <cellStyle name="CABEÇALHO 3 9 2 3 5" xfId="10064" xr:uid="{00000000-0005-0000-0000-000064150000}"/>
    <cellStyle name="CABEÇALHO 3 9 2 3 6" xfId="10727" xr:uid="{00000000-0005-0000-0000-000065150000}"/>
    <cellStyle name="CABEÇALHO 3 9 2 4" xfId="3847" xr:uid="{00000000-0005-0000-0000-000066150000}"/>
    <cellStyle name="CABEÇALHO 3 9 2 5" xfId="2910" xr:uid="{00000000-0005-0000-0000-000067150000}"/>
    <cellStyle name="CABEÇALHO 3 9 2 6" xfId="5968" xr:uid="{00000000-0005-0000-0000-000068150000}"/>
    <cellStyle name="CABEÇALHO 3 9 2 7" xfId="8382" xr:uid="{00000000-0005-0000-0000-000069150000}"/>
    <cellStyle name="CABEÇALHO 3 9 2 8" xfId="10096" xr:uid="{00000000-0005-0000-0000-00006A150000}"/>
    <cellStyle name="CABEÇALHO 3 9 3" xfId="758" xr:uid="{00000000-0005-0000-0000-00006B150000}"/>
    <cellStyle name="CABEÇALHO 3 9 3 2" xfId="1900" xr:uid="{00000000-0005-0000-0000-00006C150000}"/>
    <cellStyle name="CABEÇALHO 3 9 3 2 2" xfId="4780" xr:uid="{00000000-0005-0000-0000-00006D150000}"/>
    <cellStyle name="CABEÇALHO 3 9 3 2 3" xfId="6838" xr:uid="{00000000-0005-0000-0000-00006E150000}"/>
    <cellStyle name="CABEÇALHO 3 9 3 2 4" xfId="6713" xr:uid="{00000000-0005-0000-0000-00006F150000}"/>
    <cellStyle name="CABEÇALHO 3 9 3 2 5" xfId="8386" xr:uid="{00000000-0005-0000-0000-000070150000}"/>
    <cellStyle name="CABEÇALHO 3 9 3 2 6" xfId="11619" xr:uid="{00000000-0005-0000-0000-000071150000}"/>
    <cellStyle name="CABEÇALHO 3 9 3 3" xfId="2813" xr:uid="{00000000-0005-0000-0000-000072150000}"/>
    <cellStyle name="CABEÇALHO 3 9 3 3 2" xfId="5693" xr:uid="{00000000-0005-0000-0000-000073150000}"/>
    <cellStyle name="CABEÇALHO 3 9 3 3 3" xfId="6766" xr:uid="{00000000-0005-0000-0000-000074150000}"/>
    <cellStyle name="CABEÇALHO 3 9 3 3 4" xfId="8645" xr:uid="{00000000-0005-0000-0000-000075150000}"/>
    <cellStyle name="CABEÇALHO 3 9 3 3 5" xfId="10407" xr:uid="{00000000-0005-0000-0000-000076150000}"/>
    <cellStyle name="CABEÇALHO 3 9 3 3 6" xfId="11378" xr:uid="{00000000-0005-0000-0000-000077150000}"/>
    <cellStyle name="CABEÇALHO 3 9 3 4" xfId="3638" xr:uid="{00000000-0005-0000-0000-000078150000}"/>
    <cellStyle name="CABEÇALHO 3 9 3 5" xfId="6490" xr:uid="{00000000-0005-0000-0000-000079150000}"/>
    <cellStyle name="CABEÇALHO 3 9 3 6" xfId="8574" xr:uid="{00000000-0005-0000-0000-00007A150000}"/>
    <cellStyle name="CABEÇALHO 3 9 3 7" xfId="8134" xr:uid="{00000000-0005-0000-0000-00007B150000}"/>
    <cellStyle name="CABEÇALHO 3 9 3 8" xfId="11669" xr:uid="{00000000-0005-0000-0000-00007C150000}"/>
    <cellStyle name="CABEÇALHO 3 9 4" xfId="717" xr:uid="{00000000-0005-0000-0000-00007D150000}"/>
    <cellStyle name="CABEÇALHO 3 9 4 2" xfId="1859" xr:uid="{00000000-0005-0000-0000-00007E150000}"/>
    <cellStyle name="CABEÇALHO 3 9 4 2 2" xfId="4739" xr:uid="{00000000-0005-0000-0000-00007F150000}"/>
    <cellStyle name="CABEÇALHO 3 9 4 2 3" xfId="6823" xr:uid="{00000000-0005-0000-0000-000080150000}"/>
    <cellStyle name="CABEÇALHO 3 9 4 2 4" xfId="7580" xr:uid="{00000000-0005-0000-0000-000081150000}"/>
    <cellStyle name="CABEÇALHO 3 9 4 2 5" xfId="8589" xr:uid="{00000000-0005-0000-0000-000082150000}"/>
    <cellStyle name="CABEÇALHO 3 9 4 2 6" xfId="10896" xr:uid="{00000000-0005-0000-0000-000083150000}"/>
    <cellStyle name="CABEÇALHO 3 9 4 3" xfId="2657" xr:uid="{00000000-0005-0000-0000-000084150000}"/>
    <cellStyle name="CABEÇALHO 3 9 4 3 2" xfId="5537" xr:uid="{00000000-0005-0000-0000-000085150000}"/>
    <cellStyle name="CABEÇALHO 3 9 4 3 3" xfId="7604" xr:uid="{00000000-0005-0000-0000-000086150000}"/>
    <cellStyle name="CABEÇALHO 3 9 4 3 4" xfId="7330" xr:uid="{00000000-0005-0000-0000-000087150000}"/>
    <cellStyle name="CABEÇALHO 3 9 4 3 5" xfId="6340" xr:uid="{00000000-0005-0000-0000-000088150000}"/>
    <cellStyle name="CABEÇALHO 3 9 4 3 6" xfId="10144" xr:uid="{00000000-0005-0000-0000-000089150000}"/>
    <cellStyle name="CABEÇALHO 3 9 4 4" xfId="3597" xr:uid="{00000000-0005-0000-0000-00008A150000}"/>
    <cellStyle name="CABEÇALHO 3 9 4 5" xfId="6431" xr:uid="{00000000-0005-0000-0000-00008B150000}"/>
    <cellStyle name="CABEÇALHO 3 9 4 6" xfId="8525" xr:uid="{00000000-0005-0000-0000-00008C150000}"/>
    <cellStyle name="CABEÇALHO 3 9 4 7" xfId="8962" xr:uid="{00000000-0005-0000-0000-00008D150000}"/>
    <cellStyle name="CABEÇALHO 3 9 4 8" xfId="11243" xr:uid="{00000000-0005-0000-0000-00008E150000}"/>
    <cellStyle name="CABEÇALHO 3 9 5" xfId="683" xr:uid="{00000000-0005-0000-0000-00008F150000}"/>
    <cellStyle name="CABEÇALHO 3 9 5 2" xfId="1825" xr:uid="{00000000-0005-0000-0000-000090150000}"/>
    <cellStyle name="CABEÇALHO 3 9 5 2 2" xfId="4705" xr:uid="{00000000-0005-0000-0000-000091150000}"/>
    <cellStyle name="CABEÇALHO 3 9 5 2 3" xfId="7987" xr:uid="{00000000-0005-0000-0000-000092150000}"/>
    <cellStyle name="CABEÇALHO 3 9 5 2 4" xfId="5849" xr:uid="{00000000-0005-0000-0000-000093150000}"/>
    <cellStyle name="CABEÇALHO 3 9 5 2 5" xfId="7591" xr:uid="{00000000-0005-0000-0000-000094150000}"/>
    <cellStyle name="CABEÇALHO 3 9 5 2 6" xfId="7021" xr:uid="{00000000-0005-0000-0000-000095150000}"/>
    <cellStyle name="CABEÇALHO 3 9 5 3" xfId="1394" xr:uid="{00000000-0005-0000-0000-000096150000}"/>
    <cellStyle name="CABEÇALHO 3 9 5 3 2" xfId="4274" xr:uid="{00000000-0005-0000-0000-000097150000}"/>
    <cellStyle name="CABEÇALHO 3 9 5 3 3" xfId="6616" xr:uid="{00000000-0005-0000-0000-000098150000}"/>
    <cellStyle name="CABEÇALHO 3 9 5 3 4" xfId="7526" xr:uid="{00000000-0005-0000-0000-000099150000}"/>
    <cellStyle name="CABEÇALHO 3 9 5 3 5" xfId="8979" xr:uid="{00000000-0005-0000-0000-00009A150000}"/>
    <cellStyle name="CABEÇALHO 3 9 5 3 6" xfId="10884" xr:uid="{00000000-0005-0000-0000-00009B150000}"/>
    <cellStyle name="CABEÇALHO 3 9 5 4" xfId="3563" xr:uid="{00000000-0005-0000-0000-00009C150000}"/>
    <cellStyle name="CABEÇALHO 3 9 5 5" xfId="6433" xr:uid="{00000000-0005-0000-0000-00009D150000}"/>
    <cellStyle name="CABEÇALHO 3 9 5 6" xfId="8527" xr:uid="{00000000-0005-0000-0000-00009E150000}"/>
    <cellStyle name="CABEÇALHO 3 9 5 7" xfId="9268" xr:uid="{00000000-0005-0000-0000-00009F150000}"/>
    <cellStyle name="CABEÇALHO 3 9 5 8" xfId="9770" xr:uid="{00000000-0005-0000-0000-0000A0150000}"/>
    <cellStyle name="CABEÇALHO 3 9 6" xfId="1249" xr:uid="{00000000-0005-0000-0000-0000A1150000}"/>
    <cellStyle name="CABEÇALHO 3 9 6 2" xfId="2391" xr:uid="{00000000-0005-0000-0000-0000A2150000}"/>
    <cellStyle name="CABEÇALHO 3 9 6 2 2" xfId="5271" xr:uid="{00000000-0005-0000-0000-0000A3150000}"/>
    <cellStyle name="CABEÇALHO 3 9 6 2 3" xfId="7158" xr:uid="{00000000-0005-0000-0000-0000A4150000}"/>
    <cellStyle name="CABEÇALHO 3 9 6 2 4" xfId="8345" xr:uid="{00000000-0005-0000-0000-0000A5150000}"/>
    <cellStyle name="CABEÇALHO 3 9 6 2 5" xfId="10191" xr:uid="{00000000-0005-0000-0000-0000A6150000}"/>
    <cellStyle name="CABEÇALHO 3 9 6 2 6" xfId="11306" xr:uid="{00000000-0005-0000-0000-0000A7150000}"/>
    <cellStyle name="CABEÇALHO 3 9 6 3" xfId="2763" xr:uid="{00000000-0005-0000-0000-0000A8150000}"/>
    <cellStyle name="CABEÇALHO 3 9 6 3 2" xfId="5643" xr:uid="{00000000-0005-0000-0000-0000A9150000}"/>
    <cellStyle name="CABEÇALHO 3 9 6 3 3" xfId="7285" xr:uid="{00000000-0005-0000-0000-0000AA150000}"/>
    <cellStyle name="CABEÇALHO 3 9 6 3 4" xfId="7583" xr:uid="{00000000-0005-0000-0000-0000AB150000}"/>
    <cellStyle name="CABEÇALHO 3 9 6 3 5" xfId="8974" xr:uid="{00000000-0005-0000-0000-0000AC150000}"/>
    <cellStyle name="CABEÇALHO 3 9 6 3 6" xfId="10232" xr:uid="{00000000-0005-0000-0000-0000AD150000}"/>
    <cellStyle name="CABEÇALHO 3 9 6 4" xfId="4129" xr:uid="{00000000-0005-0000-0000-0000AE150000}"/>
    <cellStyle name="CABEÇALHO 3 9 6 5" xfId="2951" xr:uid="{00000000-0005-0000-0000-0000AF150000}"/>
    <cellStyle name="CABEÇALHO 3 9 6 6" xfId="7787" xr:uid="{00000000-0005-0000-0000-0000B0150000}"/>
    <cellStyle name="CABEÇALHO 3 9 6 7" xfId="7110" xr:uid="{00000000-0005-0000-0000-0000B1150000}"/>
    <cellStyle name="CABEÇALHO 3 9 6 8" xfId="11172" xr:uid="{00000000-0005-0000-0000-0000B2150000}"/>
    <cellStyle name="CABEÇALHO 3 9 7" xfId="1632" xr:uid="{00000000-0005-0000-0000-0000B3150000}"/>
    <cellStyle name="CABEÇALHO 3 9 7 2" xfId="4512" xr:uid="{00000000-0005-0000-0000-0000B4150000}"/>
    <cellStyle name="CABEÇALHO 3 9 7 3" xfId="7960" xr:uid="{00000000-0005-0000-0000-0000B5150000}"/>
    <cellStyle name="CABEÇALHO 3 9 7 4" xfId="9371" xr:uid="{00000000-0005-0000-0000-0000B6150000}"/>
    <cellStyle name="CABEÇALHO 3 9 7 5" xfId="9732" xr:uid="{00000000-0005-0000-0000-0000B7150000}"/>
    <cellStyle name="CABEÇALHO 3 9 7 6" xfId="10985" xr:uid="{00000000-0005-0000-0000-0000B8150000}"/>
    <cellStyle name="CABEÇALHO 3 9 8" xfId="2807" xr:uid="{00000000-0005-0000-0000-0000B9150000}"/>
    <cellStyle name="CABEÇALHO 3 9 8 2" xfId="5687" xr:uid="{00000000-0005-0000-0000-0000BA150000}"/>
    <cellStyle name="CABEÇALHO 3 9 8 3" xfId="7929" xr:uid="{00000000-0005-0000-0000-0000BB150000}"/>
    <cellStyle name="CABEÇALHO 3 9 8 4" xfId="9470" xr:uid="{00000000-0005-0000-0000-0000BC150000}"/>
    <cellStyle name="CABEÇALHO 3 9 8 5" xfId="10219" xr:uid="{00000000-0005-0000-0000-0000BD150000}"/>
    <cellStyle name="CABEÇALHO 3 9 8 6" xfId="11222" xr:uid="{00000000-0005-0000-0000-0000BE150000}"/>
    <cellStyle name="CABEÇALHO 3 9 9" xfId="3371" xr:uid="{00000000-0005-0000-0000-0000BF150000}"/>
    <cellStyle name="CABEÇALHO 30" xfId="471" xr:uid="{00000000-0005-0000-0000-0000C0150000}"/>
    <cellStyle name="CABEÇALHO 30 10" xfId="7390" xr:uid="{00000000-0005-0000-0000-0000C1150000}"/>
    <cellStyle name="CABEÇALHO 30 11" xfId="7699" xr:uid="{00000000-0005-0000-0000-0000C2150000}"/>
    <cellStyle name="CABEÇALHO 30 12" xfId="8800" xr:uid="{00000000-0005-0000-0000-0000C3150000}"/>
    <cellStyle name="CABEÇALHO 30 13" xfId="10586" xr:uid="{00000000-0005-0000-0000-0000C4150000}"/>
    <cellStyle name="CABEÇALHO 30 2" xfId="947" xr:uid="{00000000-0005-0000-0000-0000C5150000}"/>
    <cellStyle name="CABEÇALHO 30 2 2" xfId="2089" xr:uid="{00000000-0005-0000-0000-0000C6150000}"/>
    <cellStyle name="CABEÇALHO 30 2 2 2" xfId="4969" xr:uid="{00000000-0005-0000-0000-0000C7150000}"/>
    <cellStyle name="CABEÇALHO 30 2 2 3" xfId="6818" xr:uid="{00000000-0005-0000-0000-0000C8150000}"/>
    <cellStyle name="CABEÇALHO 30 2 2 4" xfId="8466" xr:uid="{00000000-0005-0000-0000-0000C9150000}"/>
    <cellStyle name="CABEÇALHO 30 2 2 5" xfId="6141" xr:uid="{00000000-0005-0000-0000-0000CA150000}"/>
    <cellStyle name="CABEÇALHO 30 2 2 6" xfId="9105" xr:uid="{00000000-0005-0000-0000-0000CB150000}"/>
    <cellStyle name="CABEÇALHO 30 2 3" xfId="2677" xr:uid="{00000000-0005-0000-0000-0000CC150000}"/>
    <cellStyle name="CABEÇALHO 30 2 3 2" xfId="5557" xr:uid="{00000000-0005-0000-0000-0000CD150000}"/>
    <cellStyle name="CABEÇALHO 30 2 3 3" xfId="6087" xr:uid="{00000000-0005-0000-0000-0000CE150000}"/>
    <cellStyle name="CABEÇALHO 30 2 3 4" xfId="9040" xr:uid="{00000000-0005-0000-0000-0000CF150000}"/>
    <cellStyle name="CABEÇALHO 30 2 3 5" xfId="10422" xr:uid="{00000000-0005-0000-0000-0000D0150000}"/>
    <cellStyle name="CABEÇALHO 30 2 3 6" xfId="11397" xr:uid="{00000000-0005-0000-0000-0000D1150000}"/>
    <cellStyle name="CABEÇALHO 30 2 4" xfId="3827" xr:uid="{00000000-0005-0000-0000-0000D2150000}"/>
    <cellStyle name="CABEÇALHO 30 2 5" xfId="7062" xr:uid="{00000000-0005-0000-0000-0000D3150000}"/>
    <cellStyle name="CABEÇALHO 30 2 6" xfId="8785" xr:uid="{00000000-0005-0000-0000-0000D4150000}"/>
    <cellStyle name="CABEÇALHO 30 2 7" xfId="9754" xr:uid="{00000000-0005-0000-0000-0000D5150000}"/>
    <cellStyle name="CABEÇALHO 30 2 8" xfId="11315" xr:uid="{00000000-0005-0000-0000-0000D6150000}"/>
    <cellStyle name="CABEÇALHO 30 3" xfId="747" xr:uid="{00000000-0005-0000-0000-0000D7150000}"/>
    <cellStyle name="CABEÇALHO 30 3 2" xfId="1889" xr:uid="{00000000-0005-0000-0000-0000D8150000}"/>
    <cellStyle name="CABEÇALHO 30 3 2 2" xfId="4769" xr:uid="{00000000-0005-0000-0000-0000D9150000}"/>
    <cellStyle name="CABEÇALHO 30 3 2 3" xfId="7214" xr:uid="{00000000-0005-0000-0000-0000DA150000}"/>
    <cellStyle name="CABEÇALHO 30 3 2 4" xfId="9529" xr:uid="{00000000-0005-0000-0000-0000DB150000}"/>
    <cellStyle name="CABEÇALHO 30 3 2 5" xfId="9093" xr:uid="{00000000-0005-0000-0000-0000DC150000}"/>
    <cellStyle name="CABEÇALHO 30 3 2 6" xfId="6937" xr:uid="{00000000-0005-0000-0000-0000DD150000}"/>
    <cellStyle name="CABEÇALHO 30 3 3" xfId="2612" xr:uid="{00000000-0005-0000-0000-0000DE150000}"/>
    <cellStyle name="CABEÇALHO 30 3 3 2" xfId="5492" xr:uid="{00000000-0005-0000-0000-0000DF150000}"/>
    <cellStyle name="CABEÇALHO 30 3 3 3" xfId="7759" xr:uid="{00000000-0005-0000-0000-0000E0150000}"/>
    <cellStyle name="CABEÇALHO 30 3 3 4" xfId="7086" xr:uid="{00000000-0005-0000-0000-0000E1150000}"/>
    <cellStyle name="CABEÇALHO 30 3 3 5" xfId="9943" xr:uid="{00000000-0005-0000-0000-0000E2150000}"/>
    <cellStyle name="CABEÇALHO 30 3 3 6" xfId="11311" xr:uid="{00000000-0005-0000-0000-0000E3150000}"/>
    <cellStyle name="CABEÇALHO 30 3 4" xfId="3627" xr:uid="{00000000-0005-0000-0000-0000E4150000}"/>
    <cellStyle name="CABEÇALHO 30 3 5" xfId="7351" xr:uid="{00000000-0005-0000-0000-0000E5150000}"/>
    <cellStyle name="CABEÇALHO 30 3 6" xfId="6171" xr:uid="{00000000-0005-0000-0000-0000E6150000}"/>
    <cellStyle name="CABEÇALHO 30 3 7" xfId="8498" xr:uid="{00000000-0005-0000-0000-0000E7150000}"/>
    <cellStyle name="CABEÇALHO 30 3 8" xfId="10965" xr:uid="{00000000-0005-0000-0000-0000E8150000}"/>
    <cellStyle name="CABEÇALHO 30 4" xfId="730" xr:uid="{00000000-0005-0000-0000-0000E9150000}"/>
    <cellStyle name="CABEÇALHO 30 4 2" xfId="1872" xr:uid="{00000000-0005-0000-0000-0000EA150000}"/>
    <cellStyle name="CABEÇALHO 30 4 2 2" xfId="4752" xr:uid="{00000000-0005-0000-0000-0000EB150000}"/>
    <cellStyle name="CABEÇALHO 30 4 2 3" xfId="6146" xr:uid="{00000000-0005-0000-0000-0000EC150000}"/>
    <cellStyle name="CABEÇALHO 30 4 2 4" xfId="8679" xr:uid="{00000000-0005-0000-0000-0000ED150000}"/>
    <cellStyle name="CABEÇALHO 30 4 2 5" xfId="10715" xr:uid="{00000000-0005-0000-0000-0000EE150000}"/>
    <cellStyle name="CABEÇALHO 30 4 2 6" xfId="11183" xr:uid="{00000000-0005-0000-0000-0000EF150000}"/>
    <cellStyle name="CABEÇALHO 30 4 3" xfId="2555" xr:uid="{00000000-0005-0000-0000-0000F0150000}"/>
    <cellStyle name="CABEÇALHO 30 4 3 2" xfId="5435" xr:uid="{00000000-0005-0000-0000-0000F1150000}"/>
    <cellStyle name="CABEÇALHO 30 4 3 3" xfId="7796" xr:uid="{00000000-0005-0000-0000-0000F2150000}"/>
    <cellStyle name="CABEÇALHO 30 4 3 4" xfId="8603" xr:uid="{00000000-0005-0000-0000-0000F3150000}"/>
    <cellStyle name="CABEÇALHO 30 4 3 5" xfId="9003" xr:uid="{00000000-0005-0000-0000-0000F4150000}"/>
    <cellStyle name="CABEÇALHO 30 4 3 6" xfId="10847" xr:uid="{00000000-0005-0000-0000-0000F5150000}"/>
    <cellStyle name="CABEÇALHO 30 4 4" xfId="3610" xr:uid="{00000000-0005-0000-0000-0000F6150000}"/>
    <cellStyle name="CABEÇALHO 30 4 5" xfId="7352" xr:uid="{00000000-0005-0000-0000-0000F7150000}"/>
    <cellStyle name="CABEÇALHO 30 4 6" xfId="7318" xr:uid="{00000000-0005-0000-0000-0000F8150000}"/>
    <cellStyle name="CABEÇALHO 30 4 7" xfId="6162" xr:uid="{00000000-0005-0000-0000-0000F9150000}"/>
    <cellStyle name="CABEÇALHO 30 4 8" xfId="11213" xr:uid="{00000000-0005-0000-0000-0000FA150000}"/>
    <cellStyle name="CABEÇALHO 30 5" xfId="1204" xr:uid="{00000000-0005-0000-0000-0000FB150000}"/>
    <cellStyle name="CABEÇALHO 30 5 2" xfId="2346" xr:uid="{00000000-0005-0000-0000-0000FC150000}"/>
    <cellStyle name="CABEÇALHO 30 5 2 2" xfId="5226" xr:uid="{00000000-0005-0000-0000-0000FD150000}"/>
    <cellStyle name="CABEÇALHO 30 5 2 3" xfId="6210" xr:uid="{00000000-0005-0000-0000-0000FE150000}"/>
    <cellStyle name="CABEÇALHO 30 5 2 4" xfId="8739" xr:uid="{00000000-0005-0000-0000-0000FF150000}"/>
    <cellStyle name="CABEÇALHO 30 5 2 5" xfId="10007" xr:uid="{00000000-0005-0000-0000-000000160000}"/>
    <cellStyle name="CABEÇALHO 30 5 2 6" xfId="10557" xr:uid="{00000000-0005-0000-0000-000001160000}"/>
    <cellStyle name="CABEÇALHO 30 5 3" xfId="2853" xr:uid="{00000000-0005-0000-0000-000002160000}"/>
    <cellStyle name="CABEÇALHO 30 5 3 2" xfId="5733" xr:uid="{00000000-0005-0000-0000-000003160000}"/>
    <cellStyle name="CABEÇALHO 30 5 3 3" xfId="7278" xr:uid="{00000000-0005-0000-0000-000004160000}"/>
    <cellStyle name="CABEÇALHO 30 5 3 4" xfId="7518" xr:uid="{00000000-0005-0000-0000-000005160000}"/>
    <cellStyle name="CABEÇALHO 30 5 3 5" xfId="8556" xr:uid="{00000000-0005-0000-0000-000006160000}"/>
    <cellStyle name="CABEÇALHO 30 5 3 6" xfId="11139" xr:uid="{00000000-0005-0000-0000-000007160000}"/>
    <cellStyle name="CABEÇALHO 30 5 4" xfId="4084" xr:uid="{00000000-0005-0000-0000-000008160000}"/>
    <cellStyle name="CABEÇALHO 30 5 5" xfId="3115" xr:uid="{00000000-0005-0000-0000-000009160000}"/>
    <cellStyle name="CABEÇALHO 30 5 6" xfId="7338" xr:uid="{00000000-0005-0000-0000-00000A160000}"/>
    <cellStyle name="CABEÇALHO 30 5 7" xfId="3219" xr:uid="{00000000-0005-0000-0000-00000B160000}"/>
    <cellStyle name="CABEÇALHO 30 5 8" xfId="11372" xr:uid="{00000000-0005-0000-0000-00000C160000}"/>
    <cellStyle name="CABEÇALHO 30 6" xfId="1180" xr:uid="{00000000-0005-0000-0000-00000D160000}"/>
    <cellStyle name="CABEÇALHO 30 6 2" xfId="2322" xr:uid="{00000000-0005-0000-0000-00000E160000}"/>
    <cellStyle name="CABEÇALHO 30 6 2 2" xfId="5202" xr:uid="{00000000-0005-0000-0000-00000F160000}"/>
    <cellStyle name="CABEÇALHO 30 6 2 3" xfId="6696" xr:uid="{00000000-0005-0000-0000-000010160000}"/>
    <cellStyle name="CABEÇALHO 30 6 2 4" xfId="9184" xr:uid="{00000000-0005-0000-0000-000011160000}"/>
    <cellStyle name="CABEÇALHO 30 6 2 5" xfId="10499" xr:uid="{00000000-0005-0000-0000-000012160000}"/>
    <cellStyle name="CABEÇALHO 30 6 2 6" xfId="10902" xr:uid="{00000000-0005-0000-0000-000013160000}"/>
    <cellStyle name="CABEÇALHO 30 6 3" xfId="2737" xr:uid="{00000000-0005-0000-0000-000014160000}"/>
    <cellStyle name="CABEÇALHO 30 6 3 2" xfId="5617" xr:uid="{00000000-0005-0000-0000-000015160000}"/>
    <cellStyle name="CABEÇALHO 30 6 3 3" xfId="6154" xr:uid="{00000000-0005-0000-0000-000016160000}"/>
    <cellStyle name="CABEÇALHO 30 6 3 4" xfId="8259" xr:uid="{00000000-0005-0000-0000-000017160000}"/>
    <cellStyle name="CABEÇALHO 30 6 3 5" xfId="8323" xr:uid="{00000000-0005-0000-0000-000018160000}"/>
    <cellStyle name="CABEÇALHO 30 6 3 6" xfId="10894" xr:uid="{00000000-0005-0000-0000-000019160000}"/>
    <cellStyle name="CABEÇALHO 30 6 4" xfId="4060" xr:uid="{00000000-0005-0000-0000-00001A160000}"/>
    <cellStyle name="CABEÇALHO 30 6 5" xfId="3064" xr:uid="{00000000-0005-0000-0000-00001B160000}"/>
    <cellStyle name="CABEÇALHO 30 6 6" xfId="6423" xr:uid="{00000000-0005-0000-0000-00001C160000}"/>
    <cellStyle name="CABEÇALHO 30 6 7" xfId="6320" xr:uid="{00000000-0005-0000-0000-00001D160000}"/>
    <cellStyle name="CABEÇALHO 30 6 8" xfId="6341" xr:uid="{00000000-0005-0000-0000-00001E160000}"/>
    <cellStyle name="CABEÇALHO 30 7" xfId="1612" xr:uid="{00000000-0005-0000-0000-00001F160000}"/>
    <cellStyle name="CABEÇALHO 30 7 2" xfId="4492" xr:uid="{00000000-0005-0000-0000-000020160000}"/>
    <cellStyle name="CABEÇALHO 30 7 3" xfId="7251" xr:uid="{00000000-0005-0000-0000-000021160000}"/>
    <cellStyle name="CABEÇALHO 30 7 4" xfId="8696" xr:uid="{00000000-0005-0000-0000-000022160000}"/>
    <cellStyle name="CABEÇALHO 30 7 5" xfId="10025" xr:uid="{00000000-0005-0000-0000-000023160000}"/>
    <cellStyle name="CABEÇALHO 30 7 6" xfId="9903" xr:uid="{00000000-0005-0000-0000-000024160000}"/>
    <cellStyle name="CABEÇALHO 30 8" xfId="2607" xr:uid="{00000000-0005-0000-0000-000025160000}"/>
    <cellStyle name="CABEÇALHO 30 8 2" xfId="5487" xr:uid="{00000000-0005-0000-0000-000026160000}"/>
    <cellStyle name="CABEÇALHO 30 8 3" xfId="7152" xr:uid="{00000000-0005-0000-0000-000027160000}"/>
    <cellStyle name="CABEÇALHO 30 8 4" xfId="6837" xr:uid="{00000000-0005-0000-0000-000028160000}"/>
    <cellStyle name="CABEÇALHO 30 8 5" xfId="10584" xr:uid="{00000000-0005-0000-0000-000029160000}"/>
    <cellStyle name="CABEÇALHO 30 8 6" xfId="9744" xr:uid="{00000000-0005-0000-0000-00002A160000}"/>
    <cellStyle name="CABEÇALHO 30 9" xfId="3351" xr:uid="{00000000-0005-0000-0000-00002B160000}"/>
    <cellStyle name="CABEÇALHO 31" xfId="469" xr:uid="{00000000-0005-0000-0000-00002C160000}"/>
    <cellStyle name="CABEÇALHO 31 10" xfId="5959" xr:uid="{00000000-0005-0000-0000-00002D160000}"/>
    <cellStyle name="CABEÇALHO 31 11" xfId="8924" xr:uid="{00000000-0005-0000-0000-00002E160000}"/>
    <cellStyle name="CABEÇALHO 31 12" xfId="9870" xr:uid="{00000000-0005-0000-0000-00002F160000}"/>
    <cellStyle name="CABEÇALHO 31 13" xfId="10234" xr:uid="{00000000-0005-0000-0000-000030160000}"/>
    <cellStyle name="CABEÇALHO 31 2" xfId="945" xr:uid="{00000000-0005-0000-0000-000031160000}"/>
    <cellStyle name="CABEÇALHO 31 2 2" xfId="2087" xr:uid="{00000000-0005-0000-0000-000032160000}"/>
    <cellStyle name="CABEÇALHO 31 2 2 2" xfId="4967" xr:uid="{00000000-0005-0000-0000-000033160000}"/>
    <cellStyle name="CABEÇALHO 31 2 2 3" xfId="6775" xr:uid="{00000000-0005-0000-0000-000034160000}"/>
    <cellStyle name="CABEÇALHO 31 2 2 4" xfId="7446" xr:uid="{00000000-0005-0000-0000-000035160000}"/>
    <cellStyle name="CABEÇALHO 31 2 2 5" xfId="10626" xr:uid="{00000000-0005-0000-0000-000036160000}"/>
    <cellStyle name="CABEÇALHO 31 2 2 6" xfId="11352" xr:uid="{00000000-0005-0000-0000-000037160000}"/>
    <cellStyle name="CABEÇALHO 31 2 3" xfId="1454" xr:uid="{00000000-0005-0000-0000-000038160000}"/>
    <cellStyle name="CABEÇALHO 31 2 3 2" xfId="4334" xr:uid="{00000000-0005-0000-0000-000039160000}"/>
    <cellStyle name="CABEÇALHO 31 2 3 3" xfId="6394" xr:uid="{00000000-0005-0000-0000-00003A160000}"/>
    <cellStyle name="CABEÇALHO 31 2 3 4" xfId="6249" xr:uid="{00000000-0005-0000-0000-00003B160000}"/>
    <cellStyle name="CABEÇALHO 31 2 3 5" xfId="9278" xr:uid="{00000000-0005-0000-0000-00003C160000}"/>
    <cellStyle name="CABEÇALHO 31 2 3 6" xfId="11668" xr:uid="{00000000-0005-0000-0000-00003D160000}"/>
    <cellStyle name="CABEÇALHO 31 2 4" xfId="3825" xr:uid="{00000000-0005-0000-0000-00003E160000}"/>
    <cellStyle name="CABEÇALHO 31 2 5" xfId="7344" xr:uid="{00000000-0005-0000-0000-00003F160000}"/>
    <cellStyle name="CABEÇALHO 31 2 6" xfId="7705" xr:uid="{00000000-0005-0000-0000-000040160000}"/>
    <cellStyle name="CABEÇALHO 31 2 7" xfId="8950" xr:uid="{00000000-0005-0000-0000-000041160000}"/>
    <cellStyle name="CABEÇALHO 31 2 8" xfId="10928" xr:uid="{00000000-0005-0000-0000-000042160000}"/>
    <cellStyle name="CABEÇALHO 31 3" xfId="745" xr:uid="{00000000-0005-0000-0000-000043160000}"/>
    <cellStyle name="CABEÇALHO 31 3 2" xfId="1887" xr:uid="{00000000-0005-0000-0000-000044160000}"/>
    <cellStyle name="CABEÇALHO 31 3 2 2" xfId="4767" xr:uid="{00000000-0005-0000-0000-000045160000}"/>
    <cellStyle name="CABEÇALHO 31 3 2 3" xfId="7004" xr:uid="{00000000-0005-0000-0000-000046160000}"/>
    <cellStyle name="CABEÇALHO 31 3 2 4" xfId="9567" xr:uid="{00000000-0005-0000-0000-000047160000}"/>
    <cellStyle name="CABEÇALHO 31 3 2 5" xfId="10195" xr:uid="{00000000-0005-0000-0000-000048160000}"/>
    <cellStyle name="CABEÇALHO 31 3 2 6" xfId="11024" xr:uid="{00000000-0005-0000-0000-000049160000}"/>
    <cellStyle name="CABEÇALHO 31 3 3" xfId="1358" xr:uid="{00000000-0005-0000-0000-00004A160000}"/>
    <cellStyle name="CABEÇALHO 31 3 3 2" xfId="4238" xr:uid="{00000000-0005-0000-0000-00004B160000}"/>
    <cellStyle name="CABEÇALHO 31 3 3 3" xfId="6662" xr:uid="{00000000-0005-0000-0000-00004C160000}"/>
    <cellStyle name="CABEÇALHO 31 3 3 4" xfId="5891" xr:uid="{00000000-0005-0000-0000-00004D160000}"/>
    <cellStyle name="CABEÇALHO 31 3 3 5" xfId="8816" xr:uid="{00000000-0005-0000-0000-00004E160000}"/>
    <cellStyle name="CABEÇALHO 31 3 3 6" xfId="9348" xr:uid="{00000000-0005-0000-0000-00004F160000}"/>
    <cellStyle name="CABEÇALHO 31 3 4" xfId="3625" xr:uid="{00000000-0005-0000-0000-000050160000}"/>
    <cellStyle name="CABEÇALHO 31 3 5" xfId="3003" xr:uid="{00000000-0005-0000-0000-000051160000}"/>
    <cellStyle name="CABEÇALHO 31 3 6" xfId="6273" xr:uid="{00000000-0005-0000-0000-000052160000}"/>
    <cellStyle name="CABEÇALHO 31 3 7" xfId="8832" xr:uid="{00000000-0005-0000-0000-000053160000}"/>
    <cellStyle name="CABEÇALHO 31 3 8" xfId="10998" xr:uid="{00000000-0005-0000-0000-000054160000}"/>
    <cellStyle name="CABEÇALHO 31 4" xfId="1196" xr:uid="{00000000-0005-0000-0000-000055160000}"/>
    <cellStyle name="CABEÇALHO 31 4 2" xfId="2338" xr:uid="{00000000-0005-0000-0000-000056160000}"/>
    <cellStyle name="CABEÇALHO 31 4 2 2" xfId="5218" xr:uid="{00000000-0005-0000-0000-000057160000}"/>
    <cellStyle name="CABEÇALHO 31 4 2 3" xfId="7856" xr:uid="{00000000-0005-0000-0000-000058160000}"/>
    <cellStyle name="CABEÇALHO 31 4 2 4" xfId="6553" xr:uid="{00000000-0005-0000-0000-000059160000}"/>
    <cellStyle name="CABEÇALHO 31 4 2 5" xfId="9816" xr:uid="{00000000-0005-0000-0000-00005A160000}"/>
    <cellStyle name="CABEÇALHO 31 4 2 6" xfId="10223" xr:uid="{00000000-0005-0000-0000-00005B160000}"/>
    <cellStyle name="CABEÇALHO 31 4 3" xfId="2854" xr:uid="{00000000-0005-0000-0000-00005C160000}"/>
    <cellStyle name="CABEÇALHO 31 4 3 2" xfId="5734" xr:uid="{00000000-0005-0000-0000-00005D160000}"/>
    <cellStyle name="CABEÇALHO 31 4 3 3" xfId="6191" xr:uid="{00000000-0005-0000-0000-00005E160000}"/>
    <cellStyle name="CABEÇALHO 31 4 3 4" xfId="8269" xr:uid="{00000000-0005-0000-0000-00005F160000}"/>
    <cellStyle name="CABEÇALHO 31 4 3 5" xfId="10770" xr:uid="{00000000-0005-0000-0000-000060160000}"/>
    <cellStyle name="CABEÇALHO 31 4 3 6" xfId="10161" xr:uid="{00000000-0005-0000-0000-000061160000}"/>
    <cellStyle name="CABEÇALHO 31 4 4" xfId="4076" xr:uid="{00000000-0005-0000-0000-000062160000}"/>
    <cellStyle name="CABEÇALHO 31 4 5" xfId="3007" xr:uid="{00000000-0005-0000-0000-000063160000}"/>
    <cellStyle name="CABEÇALHO 31 4 6" xfId="6133" xr:uid="{00000000-0005-0000-0000-000064160000}"/>
    <cellStyle name="CABEÇALHO 31 4 7" xfId="6227" xr:uid="{00000000-0005-0000-0000-000065160000}"/>
    <cellStyle name="CABEÇALHO 31 4 8" xfId="6742" xr:uid="{00000000-0005-0000-0000-000066160000}"/>
    <cellStyle name="CABEÇALHO 31 5" xfId="736" xr:uid="{00000000-0005-0000-0000-000067160000}"/>
    <cellStyle name="CABEÇALHO 31 5 2" xfId="1878" xr:uid="{00000000-0005-0000-0000-000068160000}"/>
    <cellStyle name="CABEÇALHO 31 5 2 2" xfId="4758" xr:uid="{00000000-0005-0000-0000-000069160000}"/>
    <cellStyle name="CABEÇALHO 31 5 2 3" xfId="6148" xr:uid="{00000000-0005-0000-0000-00006A160000}"/>
    <cellStyle name="CABEÇALHO 31 5 2 4" xfId="8681" xr:uid="{00000000-0005-0000-0000-00006B160000}"/>
    <cellStyle name="CABEÇALHO 31 5 2 5" xfId="10411" xr:uid="{00000000-0005-0000-0000-00006C160000}"/>
    <cellStyle name="CABEÇALHO 31 5 2 6" xfId="9841" xr:uid="{00000000-0005-0000-0000-00006D160000}"/>
    <cellStyle name="CABEÇALHO 31 5 3" xfId="2623" xr:uid="{00000000-0005-0000-0000-00006E160000}"/>
    <cellStyle name="CABEÇALHO 31 5 3 2" xfId="5503" xr:uid="{00000000-0005-0000-0000-00006F160000}"/>
    <cellStyle name="CABEÇALHO 31 5 3 3" xfId="6063" xr:uid="{00000000-0005-0000-0000-000070160000}"/>
    <cellStyle name="CABEÇALHO 31 5 3 4" xfId="9017" xr:uid="{00000000-0005-0000-0000-000071160000}"/>
    <cellStyle name="CABEÇALHO 31 5 3 5" xfId="10415" xr:uid="{00000000-0005-0000-0000-000072160000}"/>
    <cellStyle name="CABEÇALHO 31 5 3 6" xfId="10011" xr:uid="{00000000-0005-0000-0000-000073160000}"/>
    <cellStyle name="CABEÇALHO 31 5 4" xfId="3616" xr:uid="{00000000-0005-0000-0000-000074160000}"/>
    <cellStyle name="CABEÇALHO 31 5 5" xfId="6968" xr:uid="{00000000-0005-0000-0000-000075160000}"/>
    <cellStyle name="CABEÇALHO 31 5 6" xfId="7101" xr:uid="{00000000-0005-0000-0000-000076160000}"/>
    <cellStyle name="CABEÇALHO 31 5 7" xfId="10255" xr:uid="{00000000-0005-0000-0000-000077160000}"/>
    <cellStyle name="CABEÇALHO 31 5 8" xfId="10052" xr:uid="{00000000-0005-0000-0000-000078160000}"/>
    <cellStyle name="CABEÇALHO 31 6" xfId="733" xr:uid="{00000000-0005-0000-0000-000079160000}"/>
    <cellStyle name="CABEÇALHO 31 6 2" xfId="1875" xr:uid="{00000000-0005-0000-0000-00007A160000}"/>
    <cellStyle name="CABEÇALHO 31 6 2 2" xfId="4755" xr:uid="{00000000-0005-0000-0000-00007B160000}"/>
    <cellStyle name="CABEÇALHO 31 6 2 3" xfId="6624" xr:uid="{00000000-0005-0000-0000-00007C160000}"/>
    <cellStyle name="CABEÇALHO 31 6 2 4" xfId="9118" xr:uid="{00000000-0005-0000-0000-00007D160000}"/>
    <cellStyle name="CABEÇALHO 31 6 2 5" xfId="10021" xr:uid="{00000000-0005-0000-0000-00007E160000}"/>
    <cellStyle name="CABEÇALHO 31 6 2 6" xfId="10911" xr:uid="{00000000-0005-0000-0000-00007F160000}"/>
    <cellStyle name="CABEÇALHO 31 6 3" xfId="2630" xr:uid="{00000000-0005-0000-0000-000080160000}"/>
    <cellStyle name="CABEÇALHO 31 6 3 2" xfId="5510" xr:uid="{00000000-0005-0000-0000-000081160000}"/>
    <cellStyle name="CABEÇALHO 31 6 3 3" xfId="7785" xr:uid="{00000000-0005-0000-0000-000082160000}"/>
    <cellStyle name="CABEÇALHO 31 6 3 4" xfId="8219" xr:uid="{00000000-0005-0000-0000-000083160000}"/>
    <cellStyle name="CABEÇALHO 31 6 3 5" xfId="9966" xr:uid="{00000000-0005-0000-0000-000084160000}"/>
    <cellStyle name="CABEÇALHO 31 6 3 6" xfId="10271" xr:uid="{00000000-0005-0000-0000-000085160000}"/>
    <cellStyle name="CABEÇALHO 31 6 4" xfId="3613" xr:uid="{00000000-0005-0000-0000-000086160000}"/>
    <cellStyle name="CABEÇALHO 31 6 5" xfId="7507" xr:uid="{00000000-0005-0000-0000-000087160000}"/>
    <cellStyle name="CABEÇALHO 31 6 6" xfId="8194" xr:uid="{00000000-0005-0000-0000-000088160000}"/>
    <cellStyle name="CABEÇALHO 31 6 7" xfId="10126" xr:uid="{00000000-0005-0000-0000-000089160000}"/>
    <cellStyle name="CABEÇALHO 31 6 8" xfId="11433" xr:uid="{00000000-0005-0000-0000-00008A160000}"/>
    <cellStyle name="CABEÇALHO 31 7" xfId="1610" xr:uid="{00000000-0005-0000-0000-00008B160000}"/>
    <cellStyle name="CABEÇALHO 31 7 2" xfId="4490" xr:uid="{00000000-0005-0000-0000-00008C160000}"/>
    <cellStyle name="CABEÇALHO 31 7 3" xfId="6150" xr:uid="{00000000-0005-0000-0000-00008D160000}"/>
    <cellStyle name="CABEÇALHO 31 7 4" xfId="6656" xr:uid="{00000000-0005-0000-0000-00008E160000}"/>
    <cellStyle name="CABEÇALHO 31 7 5" xfId="8389" xr:uid="{00000000-0005-0000-0000-00008F160000}"/>
    <cellStyle name="CABEÇALHO 31 7 6" xfId="11085" xr:uid="{00000000-0005-0000-0000-000090160000}"/>
    <cellStyle name="CABEÇALHO 31 8" xfId="2680" xr:uid="{00000000-0005-0000-0000-000091160000}"/>
    <cellStyle name="CABEÇALHO 31 8 2" xfId="5560" xr:uid="{00000000-0005-0000-0000-000092160000}"/>
    <cellStyle name="CABEÇALHO 31 8 3" xfId="7156" xr:uid="{00000000-0005-0000-0000-000093160000}"/>
    <cellStyle name="CABEÇALHO 31 8 4" xfId="5938" xr:uid="{00000000-0005-0000-0000-000094160000}"/>
    <cellStyle name="CABEÇALHO 31 8 5" xfId="10342" xr:uid="{00000000-0005-0000-0000-000095160000}"/>
    <cellStyle name="CABEÇALHO 31 8 6" xfId="11365" xr:uid="{00000000-0005-0000-0000-000096160000}"/>
    <cellStyle name="CABEÇALHO 31 9" xfId="3349" xr:uid="{00000000-0005-0000-0000-000097160000}"/>
    <cellStyle name="CABEÇALHO 32" xfId="480" xr:uid="{00000000-0005-0000-0000-000098160000}"/>
    <cellStyle name="CABEÇALHO 32 10" xfId="3207" xr:uid="{00000000-0005-0000-0000-000099160000}"/>
    <cellStyle name="CABEÇALHO 32 11" xfId="5914" xr:uid="{00000000-0005-0000-0000-00009A160000}"/>
    <cellStyle name="CABEÇALHO 32 12" xfId="8495" xr:uid="{00000000-0005-0000-0000-00009B160000}"/>
    <cellStyle name="CABEÇALHO 32 13" xfId="10152" xr:uid="{00000000-0005-0000-0000-00009C160000}"/>
    <cellStyle name="CABEÇALHO 32 2" xfId="956" xr:uid="{00000000-0005-0000-0000-00009D160000}"/>
    <cellStyle name="CABEÇALHO 32 2 2" xfId="2098" xr:uid="{00000000-0005-0000-0000-00009E160000}"/>
    <cellStyle name="CABEÇALHO 32 2 2 2" xfId="4978" xr:uid="{00000000-0005-0000-0000-00009F160000}"/>
    <cellStyle name="CABEÇALHO 32 2 2 3" xfId="8139" xr:uid="{00000000-0005-0000-0000-0000A0160000}"/>
    <cellStyle name="CABEÇALHO 32 2 2 4" xfId="3109" xr:uid="{00000000-0005-0000-0000-0000A1160000}"/>
    <cellStyle name="CABEÇALHO 32 2 2 5" xfId="8437" xr:uid="{00000000-0005-0000-0000-0000A2160000}"/>
    <cellStyle name="CABEÇALHO 32 2 2 6" xfId="11661" xr:uid="{00000000-0005-0000-0000-0000A3160000}"/>
    <cellStyle name="CABEÇALHO 32 2 3" xfId="1442" xr:uid="{00000000-0005-0000-0000-0000A4160000}"/>
    <cellStyle name="CABEÇALHO 32 2 3 2" xfId="4322" xr:uid="{00000000-0005-0000-0000-0000A5160000}"/>
    <cellStyle name="CABEÇALHO 32 2 3 3" xfId="6102" xr:uid="{00000000-0005-0000-0000-0000A6160000}"/>
    <cellStyle name="CABEÇALHO 32 2 3 4" xfId="6190" xr:uid="{00000000-0005-0000-0000-0000A7160000}"/>
    <cellStyle name="CABEÇALHO 32 2 3 5" xfId="9856" xr:uid="{00000000-0005-0000-0000-0000A8160000}"/>
    <cellStyle name="CABEÇALHO 32 2 3 6" xfId="10943" xr:uid="{00000000-0005-0000-0000-0000A9160000}"/>
    <cellStyle name="CABEÇALHO 32 2 4" xfId="3836" xr:uid="{00000000-0005-0000-0000-0000AA160000}"/>
    <cellStyle name="CABEÇALHO 32 2 5" xfId="6484" xr:uid="{00000000-0005-0000-0000-0000AB160000}"/>
    <cellStyle name="CABEÇALHO 32 2 6" xfId="8569" xr:uid="{00000000-0005-0000-0000-0000AC160000}"/>
    <cellStyle name="CABEÇALHO 32 2 7" xfId="7492" xr:uid="{00000000-0005-0000-0000-0000AD160000}"/>
    <cellStyle name="CABEÇALHO 32 2 8" xfId="11030" xr:uid="{00000000-0005-0000-0000-0000AE160000}"/>
    <cellStyle name="CABEÇALHO 32 3" xfId="752" xr:uid="{00000000-0005-0000-0000-0000AF160000}"/>
    <cellStyle name="CABEÇALHO 32 3 2" xfId="1894" xr:uid="{00000000-0005-0000-0000-0000B0160000}"/>
    <cellStyle name="CABEÇALHO 32 3 2 2" xfId="4774" xr:uid="{00000000-0005-0000-0000-0000B1160000}"/>
    <cellStyle name="CABEÇALHO 32 3 2 3" xfId="7837" xr:uid="{00000000-0005-0000-0000-0000B2160000}"/>
    <cellStyle name="CABEÇALHO 32 3 2 4" xfId="6447" xr:uid="{00000000-0005-0000-0000-0000B3160000}"/>
    <cellStyle name="CABEÇALHO 32 3 2 5" xfId="9446" xr:uid="{00000000-0005-0000-0000-0000B4160000}"/>
    <cellStyle name="CABEÇALHO 32 3 2 6" xfId="11082" xr:uid="{00000000-0005-0000-0000-0000B5160000}"/>
    <cellStyle name="CABEÇALHO 32 3 3" xfId="1470" xr:uid="{00000000-0005-0000-0000-0000B6160000}"/>
    <cellStyle name="CABEÇALHO 32 3 3 2" xfId="4350" xr:uid="{00000000-0005-0000-0000-0000B7160000}"/>
    <cellStyle name="CABEÇALHO 32 3 3 3" xfId="8024" xr:uid="{00000000-0005-0000-0000-0000B8160000}"/>
    <cellStyle name="CABEÇALHO 32 3 3 4" xfId="9431" xr:uid="{00000000-0005-0000-0000-0000B9160000}"/>
    <cellStyle name="CABEÇALHO 32 3 3 5" xfId="10693" xr:uid="{00000000-0005-0000-0000-0000BA160000}"/>
    <cellStyle name="CABEÇALHO 32 3 3 6" xfId="10898" xr:uid="{00000000-0005-0000-0000-0000BB160000}"/>
    <cellStyle name="CABEÇALHO 32 3 4" xfId="3632" xr:uid="{00000000-0005-0000-0000-0000BC160000}"/>
    <cellStyle name="CABEÇALHO 32 3 5" xfId="5979" xr:uid="{00000000-0005-0000-0000-0000BD160000}"/>
    <cellStyle name="CABEÇALHO 32 3 6" xfId="8939" xr:uid="{00000000-0005-0000-0000-0000BE160000}"/>
    <cellStyle name="CABEÇALHO 32 3 7" xfId="9886" xr:uid="{00000000-0005-0000-0000-0000BF160000}"/>
    <cellStyle name="CABEÇALHO 32 3 8" xfId="11184" xr:uid="{00000000-0005-0000-0000-0000C0160000}"/>
    <cellStyle name="CABEÇALHO 32 4" xfId="794" xr:uid="{00000000-0005-0000-0000-0000C1160000}"/>
    <cellStyle name="CABEÇALHO 32 4 2" xfId="1936" xr:uid="{00000000-0005-0000-0000-0000C2160000}"/>
    <cellStyle name="CABEÇALHO 32 4 2 2" xfId="4816" xr:uid="{00000000-0005-0000-0000-0000C3160000}"/>
    <cellStyle name="CABEÇALHO 32 4 2 3" xfId="7994" xr:uid="{00000000-0005-0000-0000-0000C4160000}"/>
    <cellStyle name="CABEÇALHO 32 4 2 4" xfId="6820" xr:uid="{00000000-0005-0000-0000-0000C5160000}"/>
    <cellStyle name="CABEÇALHO 32 4 2 5" xfId="8290" xr:uid="{00000000-0005-0000-0000-0000C6160000}"/>
    <cellStyle name="CABEÇALHO 32 4 2 6" xfId="9896" xr:uid="{00000000-0005-0000-0000-0000C7160000}"/>
    <cellStyle name="CABEÇALHO 32 4 3" xfId="2510" xr:uid="{00000000-0005-0000-0000-0000C8160000}"/>
    <cellStyle name="CABEÇALHO 32 4 3 2" xfId="5390" xr:uid="{00000000-0005-0000-0000-0000C9160000}"/>
    <cellStyle name="CABEÇALHO 32 4 3 3" xfId="7199" xr:uid="{00000000-0005-0000-0000-0000CA160000}"/>
    <cellStyle name="CABEÇALHO 32 4 3 4" xfId="5828" xr:uid="{00000000-0005-0000-0000-0000CB160000}"/>
    <cellStyle name="CABEÇALHO 32 4 3 5" xfId="8530" xr:uid="{00000000-0005-0000-0000-0000CC160000}"/>
    <cellStyle name="CABEÇALHO 32 4 3 6" xfId="10103" xr:uid="{00000000-0005-0000-0000-0000CD160000}"/>
    <cellStyle name="CABEÇALHO 32 4 4" xfId="3674" xr:uid="{00000000-0005-0000-0000-0000CE160000}"/>
    <cellStyle name="CABEÇALHO 32 4 5" xfId="5869" xr:uid="{00000000-0005-0000-0000-0000CF160000}"/>
    <cellStyle name="CABEÇALHO 32 4 6" xfId="7099" xr:uid="{00000000-0005-0000-0000-0000D0160000}"/>
    <cellStyle name="CABEÇALHO 32 4 7" xfId="10297" xr:uid="{00000000-0005-0000-0000-0000D1160000}"/>
    <cellStyle name="CABEÇALHO 32 4 8" xfId="11618" xr:uid="{00000000-0005-0000-0000-0000D2160000}"/>
    <cellStyle name="CABEÇALHO 32 5" xfId="1187" xr:uid="{00000000-0005-0000-0000-0000D3160000}"/>
    <cellStyle name="CABEÇALHO 32 5 2" xfId="2329" xr:uid="{00000000-0005-0000-0000-0000D4160000}"/>
    <cellStyle name="CABEÇALHO 32 5 2 2" xfId="5209" xr:uid="{00000000-0005-0000-0000-0000D5160000}"/>
    <cellStyle name="CABEÇALHO 32 5 2 3" xfId="6808" xr:uid="{00000000-0005-0000-0000-0000D6160000}"/>
    <cellStyle name="CABEÇALHO 32 5 2 4" xfId="7063" xr:uid="{00000000-0005-0000-0000-0000D7160000}"/>
    <cellStyle name="CABEÇALHO 32 5 2 5" xfId="9013" xr:uid="{00000000-0005-0000-0000-0000D8160000}"/>
    <cellStyle name="CABEÇALHO 32 5 2 6" xfId="11570" xr:uid="{00000000-0005-0000-0000-0000D9160000}"/>
    <cellStyle name="CABEÇALHO 32 5 3" xfId="2546" xr:uid="{00000000-0005-0000-0000-0000DA160000}"/>
    <cellStyle name="CABEÇALHO 32 5 3 2" xfId="5426" xr:uid="{00000000-0005-0000-0000-0000DB160000}"/>
    <cellStyle name="CABEÇALHO 32 5 3 3" xfId="7306" xr:uid="{00000000-0005-0000-0000-0000DC160000}"/>
    <cellStyle name="CABEÇALHO 32 5 3 4" xfId="7818" xr:uid="{00000000-0005-0000-0000-0000DD160000}"/>
    <cellStyle name="CABEÇALHO 32 5 3 5" xfId="7100" xr:uid="{00000000-0005-0000-0000-0000DE160000}"/>
    <cellStyle name="CABEÇALHO 32 5 3 6" xfId="11537" xr:uid="{00000000-0005-0000-0000-0000DF160000}"/>
    <cellStyle name="CABEÇALHO 32 5 4" xfId="4067" xr:uid="{00000000-0005-0000-0000-0000E0160000}"/>
    <cellStyle name="CABEÇALHO 32 5 5" xfId="2961" xr:uid="{00000000-0005-0000-0000-0000E1160000}"/>
    <cellStyle name="CABEÇALHO 32 5 6" xfId="5784" xr:uid="{00000000-0005-0000-0000-0000E2160000}"/>
    <cellStyle name="CABEÇALHO 32 5 7" xfId="8972" xr:uid="{00000000-0005-0000-0000-0000E3160000}"/>
    <cellStyle name="CABEÇALHO 32 5 8" xfId="10649" xr:uid="{00000000-0005-0000-0000-0000E4160000}"/>
    <cellStyle name="CABEÇALHO 32 6" xfId="703" xr:uid="{00000000-0005-0000-0000-0000E5160000}"/>
    <cellStyle name="CABEÇALHO 32 6 2" xfId="1845" xr:uid="{00000000-0005-0000-0000-0000E6160000}"/>
    <cellStyle name="CABEÇALHO 32 6 2 2" xfId="4725" xr:uid="{00000000-0005-0000-0000-0000E7160000}"/>
    <cellStyle name="CABEÇALHO 32 6 2 3" xfId="6092" xr:uid="{00000000-0005-0000-0000-0000E8160000}"/>
    <cellStyle name="CABEÇALHO 32 6 2 4" xfId="8627" xr:uid="{00000000-0005-0000-0000-0000E9160000}"/>
    <cellStyle name="CABEÇALHO 32 6 2 5" xfId="10399" xr:uid="{00000000-0005-0000-0000-0000EA160000}"/>
    <cellStyle name="CABEÇALHO 32 6 2 6" xfId="11659" xr:uid="{00000000-0005-0000-0000-0000EB160000}"/>
    <cellStyle name="CABEÇALHO 32 6 3" xfId="2812" xr:uid="{00000000-0005-0000-0000-0000EC160000}"/>
    <cellStyle name="CABEÇALHO 32 6 3 2" xfId="5692" xr:uid="{00000000-0005-0000-0000-0000ED160000}"/>
    <cellStyle name="CABEÇALHO 32 6 3 3" xfId="6111" xr:uid="{00000000-0005-0000-0000-0000EE160000}"/>
    <cellStyle name="CABEÇALHO 32 6 3 4" xfId="9392" xr:uid="{00000000-0005-0000-0000-0000EF160000}"/>
    <cellStyle name="CABEÇALHO 32 6 3 5" xfId="10613" xr:uid="{00000000-0005-0000-0000-0000F0160000}"/>
    <cellStyle name="CABEÇALHO 32 6 3 6" xfId="11435" xr:uid="{00000000-0005-0000-0000-0000F1160000}"/>
    <cellStyle name="CABEÇALHO 32 6 4" xfId="3583" xr:uid="{00000000-0005-0000-0000-0000F2160000}"/>
    <cellStyle name="CABEÇALHO 32 6 5" xfId="7410" xr:uid="{00000000-0005-0000-0000-0000F3160000}"/>
    <cellStyle name="CABEÇALHO 32 6 6" xfId="6258" xr:uid="{00000000-0005-0000-0000-0000F4160000}"/>
    <cellStyle name="CABEÇALHO 32 6 7" xfId="9324" xr:uid="{00000000-0005-0000-0000-0000F5160000}"/>
    <cellStyle name="CABEÇALHO 32 6 8" xfId="8096" xr:uid="{00000000-0005-0000-0000-0000F6160000}"/>
    <cellStyle name="CABEÇALHO 32 7" xfId="1621" xr:uid="{00000000-0005-0000-0000-0000F7160000}"/>
    <cellStyle name="CABEÇALHO 32 7 2" xfId="4501" xr:uid="{00000000-0005-0000-0000-0000F8160000}"/>
    <cellStyle name="CABEÇALHO 32 7 3" xfId="7670" xr:uid="{00000000-0005-0000-0000-0000F9160000}"/>
    <cellStyle name="CABEÇALHO 32 7 4" xfId="9092" xr:uid="{00000000-0005-0000-0000-0000FA160000}"/>
    <cellStyle name="CABEÇALHO 32 7 5" xfId="9714" xr:uid="{00000000-0005-0000-0000-0000FB160000}"/>
    <cellStyle name="CABEÇALHO 32 7 6" xfId="10181" xr:uid="{00000000-0005-0000-0000-0000FC160000}"/>
    <cellStyle name="CABEÇALHO 32 8" xfId="2855" xr:uid="{00000000-0005-0000-0000-0000FD160000}"/>
    <cellStyle name="CABEÇALHO 32 8 2" xfId="5735" xr:uid="{00000000-0005-0000-0000-0000FE160000}"/>
    <cellStyle name="CABEÇALHO 32 8 3" xfId="7925" xr:uid="{00000000-0005-0000-0000-0000FF160000}"/>
    <cellStyle name="CABEÇALHO 32 8 4" xfId="8721" xr:uid="{00000000-0005-0000-0000-000000170000}"/>
    <cellStyle name="CABEÇALHO 32 8 5" xfId="10435" xr:uid="{00000000-0005-0000-0000-000001170000}"/>
    <cellStyle name="CABEÇALHO 32 8 6" xfId="9919" xr:uid="{00000000-0005-0000-0000-000002170000}"/>
    <cellStyle name="CABEÇALHO 32 9" xfId="3360" xr:uid="{00000000-0005-0000-0000-000003170000}"/>
    <cellStyle name="CABEÇALHO 33" xfId="472" xr:uid="{00000000-0005-0000-0000-000004170000}"/>
    <cellStyle name="CABEÇALHO 33 10" xfId="6306" xr:uid="{00000000-0005-0000-0000-000005170000}"/>
    <cellStyle name="CABEÇALHO 33 11" xfId="8410" xr:uid="{00000000-0005-0000-0000-000006170000}"/>
    <cellStyle name="CABEÇALHO 33 12" xfId="9120" xr:uid="{00000000-0005-0000-0000-000007170000}"/>
    <cellStyle name="CABEÇALHO 33 13" xfId="6897" xr:uid="{00000000-0005-0000-0000-000008170000}"/>
    <cellStyle name="CABEÇALHO 33 2" xfId="948" xr:uid="{00000000-0005-0000-0000-000009170000}"/>
    <cellStyle name="CABEÇALHO 33 2 2" xfId="2090" xr:uid="{00000000-0005-0000-0000-00000A170000}"/>
    <cellStyle name="CABEÇALHO 33 2 2 2" xfId="4970" xr:uid="{00000000-0005-0000-0000-00000B170000}"/>
    <cellStyle name="CABEÇALHO 33 2 2 3" xfId="7210" xr:uid="{00000000-0005-0000-0000-00000C170000}"/>
    <cellStyle name="CABEÇALHO 33 2 2 4" xfId="8288" xr:uid="{00000000-0005-0000-0000-00000D170000}"/>
    <cellStyle name="CABEÇALHO 33 2 2 5" xfId="9469" xr:uid="{00000000-0005-0000-0000-00000E170000}"/>
    <cellStyle name="CABEÇALHO 33 2 2 6" xfId="11630" xr:uid="{00000000-0005-0000-0000-00000F170000}"/>
    <cellStyle name="CABEÇALHO 33 2 3" xfId="2520" xr:uid="{00000000-0005-0000-0000-000010170000}"/>
    <cellStyle name="CABEÇALHO 33 2 3 2" xfId="5400" xr:uid="{00000000-0005-0000-0000-000011170000}"/>
    <cellStyle name="CABEÇALHO 33 2 3 3" xfId="6589" xr:uid="{00000000-0005-0000-0000-000012170000}"/>
    <cellStyle name="CABEÇALHO 33 2 3 4" xfId="8267" xr:uid="{00000000-0005-0000-0000-000013170000}"/>
    <cellStyle name="CABEÇALHO 33 2 3 5" xfId="9005" xr:uid="{00000000-0005-0000-0000-000014170000}"/>
    <cellStyle name="CABEÇALHO 33 2 3 6" xfId="11667" xr:uid="{00000000-0005-0000-0000-000015170000}"/>
    <cellStyle name="CABEÇALHO 33 2 4" xfId="3828" xr:uid="{00000000-0005-0000-0000-000016170000}"/>
    <cellStyle name="CABEÇALHO 33 2 5" xfId="7501" xr:uid="{00000000-0005-0000-0000-000017170000}"/>
    <cellStyle name="CABEÇALHO 33 2 6" xfId="7153" xr:uid="{00000000-0005-0000-0000-000018170000}"/>
    <cellStyle name="CABEÇALHO 33 2 7" xfId="10120" xr:uid="{00000000-0005-0000-0000-000019170000}"/>
    <cellStyle name="CABEÇALHO 33 2 8" xfId="10310" xr:uid="{00000000-0005-0000-0000-00001A170000}"/>
    <cellStyle name="CABEÇALHO 33 3" xfId="748" xr:uid="{00000000-0005-0000-0000-00001B170000}"/>
    <cellStyle name="CABEÇALHO 33 3 2" xfId="1890" xr:uid="{00000000-0005-0000-0000-00001C170000}"/>
    <cellStyle name="CABEÇALHO 33 3 2 2" xfId="4770" xr:uid="{00000000-0005-0000-0000-00001D170000}"/>
    <cellStyle name="CABEÇALHO 33 3 2 3" xfId="6123" xr:uid="{00000000-0005-0000-0000-00001E170000}"/>
    <cellStyle name="CABEÇALHO 33 3 2 4" xfId="8657" xr:uid="{00000000-0005-0000-0000-00001F170000}"/>
    <cellStyle name="CABEÇALHO 33 3 2 5" xfId="10816" xr:uid="{00000000-0005-0000-0000-000020170000}"/>
    <cellStyle name="CABEÇALHO 33 3 2 6" xfId="9635" xr:uid="{00000000-0005-0000-0000-000021170000}"/>
    <cellStyle name="CABEÇALHO 33 3 3" xfId="1351" xr:uid="{00000000-0005-0000-0000-000022170000}"/>
    <cellStyle name="CABEÇALHO 33 3 3 2" xfId="4231" xr:uid="{00000000-0005-0000-0000-000023170000}"/>
    <cellStyle name="CABEÇALHO 33 3 3 3" xfId="7799" xr:uid="{00000000-0005-0000-0000-000024170000}"/>
    <cellStyle name="CABEÇALHO 33 3 3 4" xfId="9211" xr:uid="{00000000-0005-0000-0000-000025170000}"/>
    <cellStyle name="CABEÇALHO 33 3 3 5" xfId="10804" xr:uid="{00000000-0005-0000-0000-000026170000}"/>
    <cellStyle name="CABEÇALHO 33 3 3 6" xfId="10969" xr:uid="{00000000-0005-0000-0000-000027170000}"/>
    <cellStyle name="CABEÇALHO 33 3 4" xfId="3628" xr:uid="{00000000-0005-0000-0000-000028170000}"/>
    <cellStyle name="CABEÇALHO 33 3 5" xfId="6266" xr:uid="{00000000-0005-0000-0000-000029170000}"/>
    <cellStyle name="CABEÇALHO 33 3 6" xfId="8376" xr:uid="{00000000-0005-0000-0000-00002A170000}"/>
    <cellStyle name="CABEÇALHO 33 3 7" xfId="7624" xr:uid="{00000000-0005-0000-0000-00002B170000}"/>
    <cellStyle name="CABEÇALHO 33 3 8" xfId="10541" xr:uid="{00000000-0005-0000-0000-00002C170000}"/>
    <cellStyle name="CABEÇALHO 33 4" xfId="729" xr:uid="{00000000-0005-0000-0000-00002D170000}"/>
    <cellStyle name="CABEÇALHO 33 4 2" xfId="1871" xr:uid="{00000000-0005-0000-0000-00002E170000}"/>
    <cellStyle name="CABEÇALHO 33 4 2 2" xfId="4751" xr:uid="{00000000-0005-0000-0000-00002F170000}"/>
    <cellStyle name="CABEÇALHO 33 4 2 3" xfId="7236" xr:uid="{00000000-0005-0000-0000-000030170000}"/>
    <cellStyle name="CABEÇALHO 33 4 2 4" xfId="9368" xr:uid="{00000000-0005-0000-0000-000031170000}"/>
    <cellStyle name="CABEÇALHO 33 4 2 5" xfId="6244" xr:uid="{00000000-0005-0000-0000-000032170000}"/>
    <cellStyle name="CABEÇALHO 33 4 2 6" xfId="8396" xr:uid="{00000000-0005-0000-0000-000033170000}"/>
    <cellStyle name="CABEÇALHO 33 4 3" xfId="2701" xr:uid="{00000000-0005-0000-0000-000034170000}"/>
    <cellStyle name="CABEÇALHO 33 4 3 2" xfId="5581" xr:uid="{00000000-0005-0000-0000-000035170000}"/>
    <cellStyle name="CABEÇALHO 33 4 3 3" xfId="6741" xr:uid="{00000000-0005-0000-0000-000036170000}"/>
    <cellStyle name="CABEÇALHO 33 4 3 4" xfId="9593" xr:uid="{00000000-0005-0000-0000-000037170000}"/>
    <cellStyle name="CABEÇALHO 33 4 3 5" xfId="6384" xr:uid="{00000000-0005-0000-0000-000038170000}"/>
    <cellStyle name="CABEÇALHO 33 4 3 6" xfId="8986" xr:uid="{00000000-0005-0000-0000-000039170000}"/>
    <cellStyle name="CABEÇALHO 33 4 4" xfId="3609" xr:uid="{00000000-0005-0000-0000-00003A170000}"/>
    <cellStyle name="CABEÇALHO 33 4 5" xfId="6908" xr:uid="{00000000-0005-0000-0000-00003B170000}"/>
    <cellStyle name="CABEÇALHO 33 4 6" xfId="7519" xr:uid="{00000000-0005-0000-0000-00003C170000}"/>
    <cellStyle name="CABEÇALHO 33 4 7" xfId="7137" xr:uid="{00000000-0005-0000-0000-00003D170000}"/>
    <cellStyle name="CABEÇALHO 33 4 8" xfId="11179" xr:uid="{00000000-0005-0000-0000-00003E170000}"/>
    <cellStyle name="CABEÇALHO 33 5" xfId="1226" xr:uid="{00000000-0005-0000-0000-00003F170000}"/>
    <cellStyle name="CABEÇALHO 33 5 2" xfId="2368" xr:uid="{00000000-0005-0000-0000-000040170000}"/>
    <cellStyle name="CABEÇALHO 33 5 2 2" xfId="5248" xr:uid="{00000000-0005-0000-0000-000041170000}"/>
    <cellStyle name="CABEÇALHO 33 5 2 3" xfId="7857" xr:uid="{00000000-0005-0000-0000-000042170000}"/>
    <cellStyle name="CABEÇALHO 33 5 2 4" xfId="5896" xr:uid="{00000000-0005-0000-0000-000043170000}"/>
    <cellStyle name="CABEÇALHO 33 5 2 5" xfId="8978" xr:uid="{00000000-0005-0000-0000-000044170000}"/>
    <cellStyle name="CABEÇALHO 33 5 2 6" xfId="11507" xr:uid="{00000000-0005-0000-0000-000045170000}"/>
    <cellStyle name="CABEÇALHO 33 5 3" xfId="2591" xr:uid="{00000000-0005-0000-0000-000046170000}"/>
    <cellStyle name="CABEÇALHO 33 5 3 2" xfId="5471" xr:uid="{00000000-0005-0000-0000-000047170000}"/>
    <cellStyle name="CABEÇALHO 33 5 3 3" xfId="7300" xr:uid="{00000000-0005-0000-0000-000048170000}"/>
    <cellStyle name="CABEÇALHO 33 5 3 4" xfId="8491" xr:uid="{00000000-0005-0000-0000-000049170000}"/>
    <cellStyle name="CABEÇALHO 33 5 3 5" xfId="8860" xr:uid="{00000000-0005-0000-0000-00004A170000}"/>
    <cellStyle name="CABEÇALHO 33 5 3 6" xfId="11369" xr:uid="{00000000-0005-0000-0000-00004B170000}"/>
    <cellStyle name="CABEÇALHO 33 5 4" xfId="4106" xr:uid="{00000000-0005-0000-0000-00004C170000}"/>
    <cellStyle name="CABEÇALHO 33 5 5" xfId="3118" xr:uid="{00000000-0005-0000-0000-00004D170000}"/>
    <cellStyle name="CABEÇALHO 33 5 6" xfId="6184" xr:uid="{00000000-0005-0000-0000-00004E170000}"/>
    <cellStyle name="CABEÇALHO 33 5 7" xfId="8562" xr:uid="{00000000-0005-0000-0000-00004F170000}"/>
    <cellStyle name="CABEÇALHO 33 5 8" xfId="10951" xr:uid="{00000000-0005-0000-0000-000050170000}"/>
    <cellStyle name="CABEÇALHO 33 6" xfId="727" xr:uid="{00000000-0005-0000-0000-000051170000}"/>
    <cellStyle name="CABEÇALHO 33 6 2" xfId="1869" xr:uid="{00000000-0005-0000-0000-000052170000}"/>
    <cellStyle name="CABEÇALHO 33 6 2 2" xfId="4749" xr:uid="{00000000-0005-0000-0000-000053170000}"/>
    <cellStyle name="CABEÇALHO 33 6 2 3" xfId="6996" xr:uid="{00000000-0005-0000-0000-000054170000}"/>
    <cellStyle name="CABEÇALHO 33 6 2 4" xfId="9453" xr:uid="{00000000-0005-0000-0000-000055170000}"/>
    <cellStyle name="CABEÇALHO 33 6 2 5" xfId="9684" xr:uid="{00000000-0005-0000-0000-000056170000}"/>
    <cellStyle name="CABEÇALHO 33 6 2 6" xfId="9280" xr:uid="{00000000-0005-0000-0000-000057170000}"/>
    <cellStyle name="CABEÇALHO 33 6 3" xfId="2638" xr:uid="{00000000-0005-0000-0000-000058170000}"/>
    <cellStyle name="CABEÇALHO 33 6 3 2" xfId="5518" xr:uid="{00000000-0005-0000-0000-000059170000}"/>
    <cellStyle name="CABEÇALHO 33 6 3 3" xfId="7873" xr:uid="{00000000-0005-0000-0000-00005A170000}"/>
    <cellStyle name="CABEÇALHO 33 6 3 4" xfId="9134" xr:uid="{00000000-0005-0000-0000-00005B170000}"/>
    <cellStyle name="CABEÇALHO 33 6 3 5" xfId="10457" xr:uid="{00000000-0005-0000-0000-00005C170000}"/>
    <cellStyle name="CABEÇALHO 33 6 3 6" xfId="10147" xr:uid="{00000000-0005-0000-0000-00005D170000}"/>
    <cellStyle name="CABEÇALHO 33 6 4" xfId="3607" xr:uid="{00000000-0005-0000-0000-00005E170000}"/>
    <cellStyle name="CABEÇALHO 33 6 5" xfId="5815" xr:uid="{00000000-0005-0000-0000-00005F170000}"/>
    <cellStyle name="CABEÇALHO 33 6 6" xfId="7933" xr:uid="{00000000-0005-0000-0000-000060170000}"/>
    <cellStyle name="CABEÇALHO 33 6 7" xfId="6694" xr:uid="{00000000-0005-0000-0000-000061170000}"/>
    <cellStyle name="CABEÇALHO 33 6 8" xfId="11438" xr:uid="{00000000-0005-0000-0000-000062170000}"/>
    <cellStyle name="CABEÇALHO 33 7" xfId="1613" xr:uid="{00000000-0005-0000-0000-000063170000}"/>
    <cellStyle name="CABEÇALHO 33 7 2" xfId="4493" xr:uid="{00000000-0005-0000-0000-000064170000}"/>
    <cellStyle name="CABEÇALHO 33 7 3" xfId="6164" xr:uid="{00000000-0005-0000-0000-000065170000}"/>
    <cellStyle name="CABEÇALHO 33 7 4" xfId="6424" xr:uid="{00000000-0005-0000-0000-000066170000}"/>
    <cellStyle name="CABEÇALHO 33 7 5" xfId="9145" xr:uid="{00000000-0005-0000-0000-000067170000}"/>
    <cellStyle name="CABEÇALHO 33 7 6" xfId="10905" xr:uid="{00000000-0005-0000-0000-000068170000}"/>
    <cellStyle name="CABEÇALHO 33 8" xfId="2730" xr:uid="{00000000-0005-0000-0000-000069170000}"/>
    <cellStyle name="CABEÇALHO 33 8 2" xfId="5610" xr:uid="{00000000-0005-0000-0000-00006A170000}"/>
    <cellStyle name="CABEÇALHO 33 8 3" xfId="7606" xr:uid="{00000000-0005-0000-0000-00006B170000}"/>
    <cellStyle name="CABEÇALHO 33 8 4" xfId="6726" xr:uid="{00000000-0005-0000-0000-00006C170000}"/>
    <cellStyle name="CABEÇALHO 33 8 5" xfId="8542" xr:uid="{00000000-0005-0000-0000-00006D170000}"/>
    <cellStyle name="CABEÇALHO 33 8 6" xfId="11349" xr:uid="{00000000-0005-0000-0000-00006E170000}"/>
    <cellStyle name="CABEÇALHO 33 9" xfId="3352" xr:uid="{00000000-0005-0000-0000-00006F170000}"/>
    <cellStyle name="CABEÇALHO 34" xfId="669" xr:uid="{00000000-0005-0000-0000-000070170000}"/>
    <cellStyle name="CABEÇALHO 34 2" xfId="1811" xr:uid="{00000000-0005-0000-0000-000071170000}"/>
    <cellStyle name="CABEÇALHO 34 2 2" xfId="4691" xr:uid="{00000000-0005-0000-0000-000072170000}"/>
    <cellStyle name="CABEÇALHO 34 2 3" xfId="7310" xr:uid="{00000000-0005-0000-0000-000073170000}"/>
    <cellStyle name="CABEÇALHO 34 2 4" xfId="9293" xr:uid="{00000000-0005-0000-0000-000074170000}"/>
    <cellStyle name="CABEÇALHO 34 2 5" xfId="10737" xr:uid="{00000000-0005-0000-0000-000075170000}"/>
    <cellStyle name="CABEÇALHO 34 2 6" xfId="11361" xr:uid="{00000000-0005-0000-0000-000076170000}"/>
    <cellStyle name="CABEÇALHO 34 3" xfId="1425" xr:uid="{00000000-0005-0000-0000-000077170000}"/>
    <cellStyle name="CABEÇALHO 34 3 2" xfId="4305" xr:uid="{00000000-0005-0000-0000-000078170000}"/>
    <cellStyle name="CABEÇALHO 34 3 3" xfId="8012" xr:uid="{00000000-0005-0000-0000-000079170000}"/>
    <cellStyle name="CABEÇALHO 34 3 4" xfId="9419" xr:uid="{00000000-0005-0000-0000-00007A170000}"/>
    <cellStyle name="CABEÇALHO 34 3 5" xfId="10831" xr:uid="{00000000-0005-0000-0000-00007B170000}"/>
    <cellStyle name="CABEÇALHO 34 3 6" xfId="8516" xr:uid="{00000000-0005-0000-0000-00007C170000}"/>
    <cellStyle name="CABEÇALHO 34 4" xfId="3549" xr:uid="{00000000-0005-0000-0000-00007D170000}"/>
    <cellStyle name="CABEÇALHO 34 5" xfId="7394" xr:uid="{00000000-0005-0000-0000-00007E170000}"/>
    <cellStyle name="CABEÇALHO 34 6" xfId="6599" xr:uid="{00000000-0005-0000-0000-00007F170000}"/>
    <cellStyle name="CABEÇALHO 34 7" xfId="8588" xr:uid="{00000000-0005-0000-0000-000080170000}"/>
    <cellStyle name="CABEÇALHO 34 8" xfId="11395" xr:uid="{00000000-0005-0000-0000-000081170000}"/>
    <cellStyle name="CABEÇALHO 35" xfId="685" xr:uid="{00000000-0005-0000-0000-000082170000}"/>
    <cellStyle name="CABEÇALHO 35 2" xfId="1827" xr:uid="{00000000-0005-0000-0000-000083170000}"/>
    <cellStyle name="CABEÇALHO 35 2 2" xfId="4707" xr:uid="{00000000-0005-0000-0000-000084170000}"/>
    <cellStyle name="CABEÇALHO 35 2 3" xfId="6664" xr:uid="{00000000-0005-0000-0000-000085170000}"/>
    <cellStyle name="CABEÇALHO 35 2 4" xfId="9153" xr:uid="{00000000-0005-0000-0000-000086170000}"/>
    <cellStyle name="CABEÇALHO 35 2 5" xfId="10471" xr:uid="{00000000-0005-0000-0000-000087170000}"/>
    <cellStyle name="CABEÇALHO 35 2 6" xfId="6348" xr:uid="{00000000-0005-0000-0000-000088170000}"/>
    <cellStyle name="CABEÇALHO 35 3" xfId="2744" xr:uid="{00000000-0005-0000-0000-000089170000}"/>
    <cellStyle name="CABEÇALHO 35 3 2" xfId="5624" xr:uid="{00000000-0005-0000-0000-00008A170000}"/>
    <cellStyle name="CABEÇALHO 35 3 3" xfId="6831" xr:uid="{00000000-0005-0000-0000-00008B170000}"/>
    <cellStyle name="CABEÇALHO 35 3 4" xfId="8662" xr:uid="{00000000-0005-0000-0000-00008C170000}"/>
    <cellStyle name="CABEÇALHO 35 3 5" xfId="9999" xr:uid="{00000000-0005-0000-0000-00008D170000}"/>
    <cellStyle name="CABEÇALHO 35 3 6" xfId="11454" xr:uid="{00000000-0005-0000-0000-00008E170000}"/>
    <cellStyle name="CABEÇALHO 35 4" xfId="3565" xr:uid="{00000000-0005-0000-0000-00008F170000}"/>
    <cellStyle name="CABEÇALHO 35 5" xfId="6971" xr:uid="{00000000-0005-0000-0000-000090170000}"/>
    <cellStyle name="CABEÇALHO 35 6" xfId="7821" xr:uid="{00000000-0005-0000-0000-000091170000}"/>
    <cellStyle name="CABEÇALHO 35 7" xfId="10258" xr:uid="{00000000-0005-0000-0000-000092170000}"/>
    <cellStyle name="CABEÇALHO 35 8" xfId="11670" xr:uid="{00000000-0005-0000-0000-000093170000}"/>
    <cellStyle name="CABEÇALHO 36" xfId="1163" xr:uid="{00000000-0005-0000-0000-000094170000}"/>
    <cellStyle name="CABEÇALHO 36 2" xfId="2305" xr:uid="{00000000-0005-0000-0000-000095170000}"/>
    <cellStyle name="CABEÇALHO 36 2 2" xfId="5185" xr:uid="{00000000-0005-0000-0000-000096170000}"/>
    <cellStyle name="CABEÇALHO 36 2 3" xfId="8140" xr:uid="{00000000-0005-0000-0000-000097170000}"/>
    <cellStyle name="CABEÇALHO 36 2 4" xfId="8137" xr:uid="{00000000-0005-0000-0000-000098170000}"/>
    <cellStyle name="CABEÇALHO 36 2 5" xfId="7739" xr:uid="{00000000-0005-0000-0000-000099170000}"/>
    <cellStyle name="CABEÇALHO 36 2 6" xfId="10158" xr:uid="{00000000-0005-0000-0000-00009A170000}"/>
    <cellStyle name="CABEÇALHO 36 3" xfId="1427" xr:uid="{00000000-0005-0000-0000-00009B170000}"/>
    <cellStyle name="CABEÇALHO 36 3 2" xfId="4307" xr:uid="{00000000-0005-0000-0000-00009C170000}"/>
    <cellStyle name="CABEÇALHO 36 3 3" xfId="6702" xr:uid="{00000000-0005-0000-0000-00009D170000}"/>
    <cellStyle name="CABEÇALHO 36 3 4" xfId="6245" xr:uid="{00000000-0005-0000-0000-00009E170000}"/>
    <cellStyle name="CABEÇALHO 36 3 5" xfId="9610" xr:uid="{00000000-0005-0000-0000-00009F170000}"/>
    <cellStyle name="CABEÇALHO 36 3 6" xfId="11614" xr:uid="{00000000-0005-0000-0000-0000A0170000}"/>
    <cellStyle name="CABEÇALHO 36 4" xfId="4043" xr:uid="{00000000-0005-0000-0000-0000A1170000}"/>
    <cellStyle name="CABEÇALHO 36 5" xfId="3059" xr:uid="{00000000-0005-0000-0000-0000A2170000}"/>
    <cellStyle name="CABEÇALHO 36 6" xfId="7224" xr:uid="{00000000-0005-0000-0000-0000A3170000}"/>
    <cellStyle name="CABEÇALHO 36 7" xfId="7913" xr:uid="{00000000-0005-0000-0000-0000A4170000}"/>
    <cellStyle name="CABEÇALHO 36 8" xfId="10648" xr:uid="{00000000-0005-0000-0000-0000A5170000}"/>
    <cellStyle name="CABEÇALHO 37" xfId="1179" xr:uid="{00000000-0005-0000-0000-0000A6170000}"/>
    <cellStyle name="CABEÇALHO 37 2" xfId="2321" xr:uid="{00000000-0005-0000-0000-0000A7170000}"/>
    <cellStyle name="CABEÇALHO 37 2 2" xfId="5201" xr:uid="{00000000-0005-0000-0000-0000A8170000}"/>
    <cellStyle name="CABEÇALHO 37 2 3" xfId="7769" xr:uid="{00000000-0005-0000-0000-0000A9170000}"/>
    <cellStyle name="CABEÇALHO 37 2 4" xfId="8289" xr:uid="{00000000-0005-0000-0000-0000AA170000}"/>
    <cellStyle name="CABEÇALHO 37 2 5" xfId="10826" xr:uid="{00000000-0005-0000-0000-0000AB170000}"/>
    <cellStyle name="CABEÇALHO 37 2 6" xfId="11590" xr:uid="{00000000-0005-0000-0000-0000AC170000}"/>
    <cellStyle name="CABEÇALHO 37 3" xfId="2727" xr:uid="{00000000-0005-0000-0000-0000AD170000}"/>
    <cellStyle name="CABEÇALHO 37 3 2" xfId="5607" xr:uid="{00000000-0005-0000-0000-0000AE170000}"/>
    <cellStyle name="CABEÇALHO 37 3 3" xfId="7292" xr:uid="{00000000-0005-0000-0000-0000AF170000}"/>
    <cellStyle name="CABEÇALHO 37 3 4" xfId="6450" xr:uid="{00000000-0005-0000-0000-0000B0170000}"/>
    <cellStyle name="CABEÇALHO 37 3 5" xfId="7147" xr:uid="{00000000-0005-0000-0000-0000B1170000}"/>
    <cellStyle name="CABEÇALHO 37 3 6" xfId="11332" xr:uid="{00000000-0005-0000-0000-0000B2170000}"/>
    <cellStyle name="CABEÇALHO 37 4" xfId="4059" xr:uid="{00000000-0005-0000-0000-0000B3170000}"/>
    <cellStyle name="CABEÇALHO 37 5" xfId="3063" xr:uid="{00000000-0005-0000-0000-0000B4170000}"/>
    <cellStyle name="CABEÇALHO 37 6" xfId="6347" xr:uid="{00000000-0005-0000-0000-0000B5170000}"/>
    <cellStyle name="CABEÇALHO 37 7" xfId="5804" xr:uid="{00000000-0005-0000-0000-0000B6170000}"/>
    <cellStyle name="CABEÇALHO 37 8" xfId="11258" xr:uid="{00000000-0005-0000-0000-0000B7170000}"/>
    <cellStyle name="CABEÇALHO 38" xfId="1176" xr:uid="{00000000-0005-0000-0000-0000B8170000}"/>
    <cellStyle name="CABEÇALHO 38 2" xfId="2318" xr:uid="{00000000-0005-0000-0000-0000B9170000}"/>
    <cellStyle name="CABEÇALHO 38 2 2" xfId="5198" xr:uid="{00000000-0005-0000-0000-0000BA170000}"/>
    <cellStyle name="CABEÇALHO 38 2 3" xfId="7800" xr:uid="{00000000-0005-0000-0000-0000BB170000}"/>
    <cellStyle name="CABEÇALHO 38 2 4" xfId="9580" xr:uid="{00000000-0005-0000-0000-0000BC170000}"/>
    <cellStyle name="CABEÇALHO 38 2 5" xfId="7148" xr:uid="{00000000-0005-0000-0000-0000BD170000}"/>
    <cellStyle name="CABEÇALHO 38 2 6" xfId="11444" xr:uid="{00000000-0005-0000-0000-0000BE170000}"/>
    <cellStyle name="CABEÇALHO 38 3" xfId="2512" xr:uid="{00000000-0005-0000-0000-0000BF170000}"/>
    <cellStyle name="CABEÇALHO 38 3 2" xfId="5392" xr:uid="{00000000-0005-0000-0000-0000C0170000}"/>
    <cellStyle name="CABEÇALHO 38 3 3" xfId="6846" xr:uid="{00000000-0005-0000-0000-0000C1170000}"/>
    <cellStyle name="CABEÇALHO 38 3 4" xfId="8643" xr:uid="{00000000-0005-0000-0000-0000C2170000}"/>
    <cellStyle name="CABEÇALHO 38 3 5" xfId="10367" xr:uid="{00000000-0005-0000-0000-0000C3170000}"/>
    <cellStyle name="CABEÇALHO 38 3 6" xfId="11023" xr:uid="{00000000-0005-0000-0000-0000C4170000}"/>
    <cellStyle name="CABEÇALHO 38 4" xfId="4056" xr:uid="{00000000-0005-0000-0000-0000C5170000}"/>
    <cellStyle name="CABEÇALHO 38 5" xfId="3176" xr:uid="{00000000-0005-0000-0000-0000C6170000}"/>
    <cellStyle name="CABEÇALHO 38 6" xfId="6958" xr:uid="{00000000-0005-0000-0000-0000C7170000}"/>
    <cellStyle name="CABEÇALHO 38 7" xfId="2996" xr:uid="{00000000-0005-0000-0000-0000C8170000}"/>
    <cellStyle name="CABEÇALHO 38 8" xfId="11229" xr:uid="{00000000-0005-0000-0000-0000C9170000}"/>
    <cellStyle name="CABEÇALHO 39" xfId="1284" xr:uid="{00000000-0005-0000-0000-0000CA170000}"/>
    <cellStyle name="CABEÇALHO 39 2" xfId="2426" xr:uid="{00000000-0005-0000-0000-0000CB170000}"/>
    <cellStyle name="CABEÇALHO 39 2 2" xfId="5306" xr:uid="{00000000-0005-0000-0000-0000CC170000}"/>
    <cellStyle name="CABEÇALHO 39 2 3" xfId="6754" xr:uid="{00000000-0005-0000-0000-0000CD170000}"/>
    <cellStyle name="CABEÇALHO 39 2 4" xfId="3046" xr:uid="{00000000-0005-0000-0000-0000CE170000}"/>
    <cellStyle name="CABEÇALHO 39 2 5" xfId="10639" xr:uid="{00000000-0005-0000-0000-0000CF170000}"/>
    <cellStyle name="CABEÇALHO 39 2 6" xfId="10659" xr:uid="{00000000-0005-0000-0000-0000D0170000}"/>
    <cellStyle name="CABEÇALHO 39 3" xfId="2669" xr:uid="{00000000-0005-0000-0000-0000D1170000}"/>
    <cellStyle name="CABEÇALHO 39 3 2" xfId="5549" xr:uid="{00000000-0005-0000-0000-0000D2170000}"/>
    <cellStyle name="CABEÇALHO 39 3 3" xfId="7751" xr:uid="{00000000-0005-0000-0000-0000D3170000}"/>
    <cellStyle name="CABEÇALHO 39 3 4" xfId="7144" xr:uid="{00000000-0005-0000-0000-0000D4170000}"/>
    <cellStyle name="CABEÇALHO 39 3 5" xfId="9618" xr:uid="{00000000-0005-0000-0000-0000D5170000}"/>
    <cellStyle name="CABEÇALHO 39 3 6" xfId="11079" xr:uid="{00000000-0005-0000-0000-0000D6170000}"/>
    <cellStyle name="CABEÇALHO 39 4" xfId="4164" xr:uid="{00000000-0005-0000-0000-0000D7170000}"/>
    <cellStyle name="CABEÇALHO 39 5" xfId="3031" xr:uid="{00000000-0005-0000-0000-0000D8170000}"/>
    <cellStyle name="CABEÇALHO 39 6" xfId="7718" xr:uid="{00000000-0005-0000-0000-0000D9170000}"/>
    <cellStyle name="CABEÇALHO 39 7" xfId="8581" xr:uid="{00000000-0005-0000-0000-0000DA170000}"/>
    <cellStyle name="CABEÇALHO 39 8" xfId="10376" xr:uid="{00000000-0005-0000-0000-0000DB170000}"/>
    <cellStyle name="CABEÇALHO 4" xfId="462" xr:uid="{00000000-0005-0000-0000-0000DC170000}"/>
    <cellStyle name="CABEÇALHO 4 10" xfId="799" xr:uid="{00000000-0005-0000-0000-0000DD170000}"/>
    <cellStyle name="CABEÇALHO 4 10 2" xfId="1941" xr:uid="{00000000-0005-0000-0000-0000DE170000}"/>
    <cellStyle name="CABEÇALHO 4 10 2 2" xfId="4821" xr:uid="{00000000-0005-0000-0000-0000DF170000}"/>
    <cellStyle name="CABEÇALHO 4 10 2 3" xfId="7015" xr:uid="{00000000-0005-0000-0000-0000E0170000}"/>
    <cellStyle name="CABEÇALHO 4 10 2 4" xfId="9525" xr:uid="{00000000-0005-0000-0000-0000E1170000}"/>
    <cellStyle name="CABEÇALHO 4 10 2 5" xfId="10194" xr:uid="{00000000-0005-0000-0000-0000E2170000}"/>
    <cellStyle name="CABEÇALHO 4 10 2 6" xfId="9748" xr:uid="{00000000-0005-0000-0000-0000E3170000}"/>
    <cellStyle name="CABEÇALHO 4 10 3" xfId="2806" xr:uid="{00000000-0005-0000-0000-0000E4170000}"/>
    <cellStyle name="CABEÇALHO 4 10 3 2" xfId="5686" xr:uid="{00000000-0005-0000-0000-0000E5170000}"/>
    <cellStyle name="CABEÇALHO 4 10 3 3" xfId="7014" xr:uid="{00000000-0005-0000-0000-0000E6170000}"/>
    <cellStyle name="CABEÇALHO 4 10 3 4" xfId="6452" xr:uid="{00000000-0005-0000-0000-0000E7170000}"/>
    <cellStyle name="CABEÇALHO 4 10 3 5" xfId="10606" xr:uid="{00000000-0005-0000-0000-0000E8170000}"/>
    <cellStyle name="CABEÇALHO 4 10 3 6" xfId="11149" xr:uid="{00000000-0005-0000-0000-0000E9170000}"/>
    <cellStyle name="CABEÇALHO 4 10 4" xfId="3679" xr:uid="{00000000-0005-0000-0000-0000EA170000}"/>
    <cellStyle name="CABEÇALHO 4 10 5" xfId="6263" xr:uid="{00000000-0005-0000-0000-0000EB170000}"/>
    <cellStyle name="CABEÇALHO 4 10 6" xfId="8373" xr:uid="{00000000-0005-0000-0000-0000EC170000}"/>
    <cellStyle name="CABEÇALHO 4 10 7" xfId="6055" xr:uid="{00000000-0005-0000-0000-0000ED170000}"/>
    <cellStyle name="CABEÇALHO 4 10 8" xfId="8480" xr:uid="{00000000-0005-0000-0000-0000EE170000}"/>
    <cellStyle name="CABEÇALHO 4 11" xfId="670" xr:uid="{00000000-0005-0000-0000-0000EF170000}"/>
    <cellStyle name="CABEÇALHO 4 11 2" xfId="1812" xr:uid="{00000000-0005-0000-0000-0000F0170000}"/>
    <cellStyle name="CABEÇALHO 4 11 2 2" xfId="4692" xr:uid="{00000000-0005-0000-0000-0000F1170000}"/>
    <cellStyle name="CABEÇALHO 4 11 2 3" xfId="6226" xr:uid="{00000000-0005-0000-0000-0000F2170000}"/>
    <cellStyle name="CABEÇALHO 4 11 2 4" xfId="8754" xr:uid="{00000000-0005-0000-0000-0000F3170000}"/>
    <cellStyle name="CABEÇALHO 4 11 2 5" xfId="9998" xr:uid="{00000000-0005-0000-0000-0000F4170000}"/>
    <cellStyle name="CABEÇALHO 4 11 2 6" xfId="8930" xr:uid="{00000000-0005-0000-0000-0000F5170000}"/>
    <cellStyle name="CABEÇALHO 4 11 3" xfId="1429" xr:uid="{00000000-0005-0000-0000-0000F6170000}"/>
    <cellStyle name="CABEÇALHO 4 11 3 2" xfId="4309" xr:uid="{00000000-0005-0000-0000-0000F7170000}"/>
    <cellStyle name="CABEÇALHO 4 11 3 3" xfId="7742" xr:uid="{00000000-0005-0000-0000-0000F8170000}"/>
    <cellStyle name="CABEÇALHO 4 11 3 4" xfId="9158" xr:uid="{00000000-0005-0000-0000-0000F9170000}"/>
    <cellStyle name="CABEÇALHO 4 11 3 5" xfId="10476" xr:uid="{00000000-0005-0000-0000-0000FA170000}"/>
    <cellStyle name="CABEÇALHO 4 11 3 6" xfId="9897" xr:uid="{00000000-0005-0000-0000-0000FB170000}"/>
    <cellStyle name="CABEÇALHO 4 11 4" xfId="3550" xr:uid="{00000000-0005-0000-0000-0000FC170000}"/>
    <cellStyle name="CABEÇALHO 4 11 5" xfId="6310" xr:uid="{00000000-0005-0000-0000-0000FD170000}"/>
    <cellStyle name="CABEÇALHO 4 11 6" xfId="8413" xr:uid="{00000000-0005-0000-0000-0000FE170000}"/>
    <cellStyle name="CABEÇALHO 4 11 7" xfId="9094" xr:uid="{00000000-0005-0000-0000-0000FF170000}"/>
    <cellStyle name="CABEÇALHO 4 11 8" xfId="10283" xr:uid="{00000000-0005-0000-0000-000000180000}"/>
    <cellStyle name="CABEÇALHO 4 12" xfId="1214" xr:uid="{00000000-0005-0000-0000-000001180000}"/>
    <cellStyle name="CABEÇALHO 4 12 2" xfId="2356" xr:uid="{00000000-0005-0000-0000-000002180000}"/>
    <cellStyle name="CABEÇALHO 4 12 2 2" xfId="5236" xr:uid="{00000000-0005-0000-0000-000003180000}"/>
    <cellStyle name="CABEÇALHO 4 12 2 3" xfId="7852" xr:uid="{00000000-0005-0000-0000-000004180000}"/>
    <cellStyle name="CABEÇALHO 4 12 2 4" xfId="8461" xr:uid="{00000000-0005-0000-0000-000005180000}"/>
    <cellStyle name="CABEÇALHO 4 12 2 5" xfId="10101" xr:uid="{00000000-0005-0000-0000-000006180000}"/>
    <cellStyle name="CABEÇALHO 4 12 2 6" xfId="11135" xr:uid="{00000000-0005-0000-0000-000007180000}"/>
    <cellStyle name="CABEÇALHO 4 12 3" xfId="2835" xr:uid="{00000000-0005-0000-0000-000008180000}"/>
    <cellStyle name="CABEÇALHO 4 12 3 2" xfId="5715" xr:uid="{00000000-0005-0000-0000-000009180000}"/>
    <cellStyle name="CABEÇALHO 4 12 3 3" xfId="7208" xr:uid="{00000000-0005-0000-0000-00000A180000}"/>
    <cellStyle name="CABEÇALHO 4 12 3 4" xfId="7442" xr:uid="{00000000-0005-0000-0000-00000B180000}"/>
    <cellStyle name="CABEÇALHO 4 12 3 5" xfId="8441" xr:uid="{00000000-0005-0000-0000-00000C180000}"/>
    <cellStyle name="CABEÇALHO 4 12 3 6" xfId="8585" xr:uid="{00000000-0005-0000-0000-00000D180000}"/>
    <cellStyle name="CABEÇALHO 4 12 4" xfId="4094" xr:uid="{00000000-0005-0000-0000-00000E180000}"/>
    <cellStyle name="CABEÇALHO 4 12 5" xfId="3083" xr:uid="{00000000-0005-0000-0000-00000F180000}"/>
    <cellStyle name="CABEÇALHO 4 12 6" xfId="7327" xr:uid="{00000000-0005-0000-0000-000010180000}"/>
    <cellStyle name="CABEÇALHO 4 12 7" xfId="8593" xr:uid="{00000000-0005-0000-0000-000011180000}"/>
    <cellStyle name="CABEÇALHO 4 12 8" xfId="11171" xr:uid="{00000000-0005-0000-0000-000012180000}"/>
    <cellStyle name="CABEÇALHO 4 13" xfId="815" xr:uid="{00000000-0005-0000-0000-000013180000}"/>
    <cellStyle name="CABEÇALHO 4 13 2" xfId="1957" xr:uid="{00000000-0005-0000-0000-000014180000}"/>
    <cellStyle name="CABEÇALHO 4 13 2 2" xfId="4837" xr:uid="{00000000-0005-0000-0000-000015180000}"/>
    <cellStyle name="CABEÇALHO 4 13 2 3" xfId="5922" xr:uid="{00000000-0005-0000-0000-000016180000}"/>
    <cellStyle name="CABEÇALHO 4 13 2 4" xfId="5994" xr:uid="{00000000-0005-0000-0000-000017180000}"/>
    <cellStyle name="CABEÇALHO 4 13 2 5" xfId="8828" xr:uid="{00000000-0005-0000-0000-000018180000}"/>
    <cellStyle name="CABEÇALHO 4 13 2 6" xfId="11620" xr:uid="{00000000-0005-0000-0000-000019180000}"/>
    <cellStyle name="CABEÇALHO 4 13 3" xfId="2784" xr:uid="{00000000-0005-0000-0000-00001A180000}"/>
    <cellStyle name="CABEÇALHO 4 13 3 2" xfId="5664" xr:uid="{00000000-0005-0000-0000-00001B180000}"/>
    <cellStyle name="CABEÇALHO 4 13 3 3" xfId="7601" xr:uid="{00000000-0005-0000-0000-00001C180000}"/>
    <cellStyle name="CABEÇALHO 4 13 3 4" xfId="6409" xr:uid="{00000000-0005-0000-0000-00001D180000}"/>
    <cellStyle name="CABEÇALHO 4 13 3 5" xfId="8858" xr:uid="{00000000-0005-0000-0000-00001E180000}"/>
    <cellStyle name="CABEÇALHO 4 13 3 6" xfId="10684" xr:uid="{00000000-0005-0000-0000-00001F180000}"/>
    <cellStyle name="CABEÇALHO 4 13 4" xfId="3695" xr:uid="{00000000-0005-0000-0000-000020180000}"/>
    <cellStyle name="CABEÇALHO 4 13 5" xfId="7335" xr:uid="{00000000-0005-0000-0000-000021180000}"/>
    <cellStyle name="CABEÇALHO 4 13 6" xfId="6575" xr:uid="{00000000-0005-0000-0000-000022180000}"/>
    <cellStyle name="CABEÇALHO 4 13 7" xfId="9023" xr:uid="{00000000-0005-0000-0000-000023180000}"/>
    <cellStyle name="CABEÇALHO 4 13 8" xfId="10960" xr:uid="{00000000-0005-0000-0000-000024180000}"/>
    <cellStyle name="CABEÇALHO 4 14" xfId="1604" xr:uid="{00000000-0005-0000-0000-000025180000}"/>
    <cellStyle name="CABEÇALHO 4 14 2" xfId="4484" xr:uid="{00000000-0005-0000-0000-000026180000}"/>
    <cellStyle name="CABEÇALHO 4 14 3" xfId="6219" xr:uid="{00000000-0005-0000-0000-000027180000}"/>
    <cellStyle name="CABEÇALHO 4 14 4" xfId="8080" xr:uid="{00000000-0005-0000-0000-000028180000}"/>
    <cellStyle name="CABEÇALHO 4 14 5" xfId="9822" xr:uid="{00000000-0005-0000-0000-000029180000}"/>
    <cellStyle name="CABEÇALHO 4 14 6" xfId="11263" xr:uid="{00000000-0005-0000-0000-00002A180000}"/>
    <cellStyle name="CABEÇALHO 4 15" xfId="2726" xr:uid="{00000000-0005-0000-0000-00002B180000}"/>
    <cellStyle name="CABEÇALHO 4 15 2" xfId="5606" xr:uid="{00000000-0005-0000-0000-00002C180000}"/>
    <cellStyle name="CABEÇALHO 4 15 3" xfId="7900" xr:uid="{00000000-0005-0000-0000-00002D180000}"/>
    <cellStyle name="CABEÇALHO 4 15 4" xfId="9161" xr:uid="{00000000-0005-0000-0000-00002E180000}"/>
    <cellStyle name="CABEÇALHO 4 15 5" xfId="10479" xr:uid="{00000000-0005-0000-0000-00002F180000}"/>
    <cellStyle name="CABEÇALHO 4 15 6" xfId="11025" xr:uid="{00000000-0005-0000-0000-000030180000}"/>
    <cellStyle name="CABEÇALHO 4 16" xfId="3342" xr:uid="{00000000-0005-0000-0000-000031180000}"/>
    <cellStyle name="CABEÇALHO 4 17" xfId="5781" xr:uid="{00000000-0005-0000-0000-000032180000}"/>
    <cellStyle name="CABEÇALHO 4 18" xfId="7078" xr:uid="{00000000-0005-0000-0000-000033180000}"/>
    <cellStyle name="CABEÇALHO 4 19" xfId="6882" xr:uid="{00000000-0005-0000-0000-000034180000}"/>
    <cellStyle name="CABEÇALHO 4 2" xfId="651" xr:uid="{00000000-0005-0000-0000-000035180000}"/>
    <cellStyle name="CABEÇALHO 4 2 10" xfId="7412" xr:uid="{00000000-0005-0000-0000-000036180000}"/>
    <cellStyle name="CABEÇALHO 4 2 11" xfId="5950" xr:uid="{00000000-0005-0000-0000-000037180000}"/>
    <cellStyle name="CABEÇALHO 4 2 12" xfId="6053" xr:uid="{00000000-0005-0000-0000-000038180000}"/>
    <cellStyle name="CABEÇALHO 4 2 13" xfId="11531" xr:uid="{00000000-0005-0000-0000-000039180000}"/>
    <cellStyle name="CABEÇALHO 4 2 2" xfId="1127" xr:uid="{00000000-0005-0000-0000-00003A180000}"/>
    <cellStyle name="CABEÇALHO 4 2 2 2" xfId="2269" xr:uid="{00000000-0005-0000-0000-00003B180000}"/>
    <cellStyle name="CABEÇALHO 4 2 2 2 2" xfId="5149" xr:uid="{00000000-0005-0000-0000-00003C180000}"/>
    <cellStyle name="CABEÇALHO 4 2 2 2 3" xfId="6854" xr:uid="{00000000-0005-0000-0000-00003D180000}"/>
    <cellStyle name="CABEÇALHO 4 2 2 2 4" xfId="6887" xr:uid="{00000000-0005-0000-0000-00003E180000}"/>
    <cellStyle name="CABEÇALHO 4 2 2 2 5" xfId="9612" xr:uid="{00000000-0005-0000-0000-00003F180000}"/>
    <cellStyle name="CABEÇALHO 4 2 2 2 6" xfId="10395" xr:uid="{00000000-0005-0000-0000-000040180000}"/>
    <cellStyle name="CABEÇALHO 4 2 2 3" xfId="2788" xr:uid="{00000000-0005-0000-0000-000041180000}"/>
    <cellStyle name="CABEÇALHO 4 2 2 3 2" xfId="5668" xr:uid="{00000000-0005-0000-0000-000042180000}"/>
    <cellStyle name="CABEÇALHO 4 2 2 3 3" xfId="7026" xr:uid="{00000000-0005-0000-0000-000043180000}"/>
    <cellStyle name="CABEÇALHO 4 2 2 3 4" xfId="7395" xr:uid="{00000000-0005-0000-0000-000044180000}"/>
    <cellStyle name="CABEÇALHO 4 2 2 3 5" xfId="10529" xr:uid="{00000000-0005-0000-0000-000045180000}"/>
    <cellStyle name="CABEÇALHO 4 2 2 3 6" xfId="11513" xr:uid="{00000000-0005-0000-0000-000046180000}"/>
    <cellStyle name="CABEÇALHO 4 2 2 4" xfId="4007" xr:uid="{00000000-0005-0000-0000-000047180000}"/>
    <cellStyle name="CABEÇALHO 4 2 2 5" xfId="6480" xr:uid="{00000000-0005-0000-0000-000048180000}"/>
    <cellStyle name="CABEÇALHO 4 2 2 6" xfId="8565" xr:uid="{00000000-0005-0000-0000-000049180000}"/>
    <cellStyle name="CABEÇALHO 4 2 2 7" xfId="8678" xr:uid="{00000000-0005-0000-0000-00004A180000}"/>
    <cellStyle name="CABEÇALHO 4 2 2 8" xfId="11674" xr:uid="{00000000-0005-0000-0000-00004B180000}"/>
    <cellStyle name="CABEÇALHO 4 2 3" xfId="781" xr:uid="{00000000-0005-0000-0000-00004C180000}"/>
    <cellStyle name="CABEÇALHO 4 2 3 2" xfId="1923" xr:uid="{00000000-0005-0000-0000-00004D180000}"/>
    <cellStyle name="CABEÇALHO 4 2 3 2 2" xfId="4803" xr:uid="{00000000-0005-0000-0000-00004E180000}"/>
    <cellStyle name="CABEÇALHO 4 2 3 2 3" xfId="6995" xr:uid="{00000000-0005-0000-0000-00004F180000}"/>
    <cellStyle name="CABEÇALHO 4 2 3 2 4" xfId="9338" xr:uid="{00000000-0005-0000-0000-000050180000}"/>
    <cellStyle name="CABEÇALHO 4 2 3 2 5" xfId="10192" xr:uid="{00000000-0005-0000-0000-000051180000}"/>
    <cellStyle name="CABEÇALHO 4 2 3 2 6" xfId="10134" xr:uid="{00000000-0005-0000-0000-000052180000}"/>
    <cellStyle name="CABEÇALHO 4 2 3 3" xfId="2513" xr:uid="{00000000-0005-0000-0000-000053180000}"/>
    <cellStyle name="CABEÇALHO 4 2 3 3 2" xfId="5393" xr:uid="{00000000-0005-0000-0000-000054180000}"/>
    <cellStyle name="CABEÇALHO 4 2 3 3 3" xfId="7457" xr:uid="{00000000-0005-0000-0000-000055180000}"/>
    <cellStyle name="CABEÇALHO 4 2 3 3 4" xfId="7093" xr:uid="{00000000-0005-0000-0000-000056180000}"/>
    <cellStyle name="CABEÇALHO 4 2 3 3 5" xfId="6809" xr:uid="{00000000-0005-0000-0000-000057180000}"/>
    <cellStyle name="CABEÇALHO 4 2 3 3 6" xfId="11629" xr:uid="{00000000-0005-0000-0000-000058180000}"/>
    <cellStyle name="CABEÇALHO 4 2 3 4" xfId="3661" xr:uid="{00000000-0005-0000-0000-000059180000}"/>
    <cellStyle name="CABEÇALHO 4 2 3 5" xfId="7349" xr:uid="{00000000-0005-0000-0000-00005A180000}"/>
    <cellStyle name="CABEÇALHO 4 2 3 6" xfId="6296" xr:uid="{00000000-0005-0000-0000-00005B180000}"/>
    <cellStyle name="CABEÇALHO 4 2 3 7" xfId="8982" xr:uid="{00000000-0005-0000-0000-00005C180000}"/>
    <cellStyle name="CABEÇALHO 4 2 3 8" xfId="10311" xr:uid="{00000000-0005-0000-0000-00005D180000}"/>
    <cellStyle name="CABEÇALHO 4 2 4" xfId="1267" xr:uid="{00000000-0005-0000-0000-00005E180000}"/>
    <cellStyle name="CABEÇALHO 4 2 4 2" xfId="2409" xr:uid="{00000000-0005-0000-0000-00005F180000}"/>
    <cellStyle name="CABEÇALHO 4 2 4 2 2" xfId="5289" xr:uid="{00000000-0005-0000-0000-000060180000}"/>
    <cellStyle name="CABEÇALHO 4 2 4 2 3" xfId="7025" xr:uid="{00000000-0005-0000-0000-000061180000}"/>
    <cellStyle name="CABEÇALHO 4 2 4 2 4" xfId="8310" xr:uid="{00000000-0005-0000-0000-000062180000}"/>
    <cellStyle name="CABEÇALHO 4 2 4 2 5" xfId="10325" xr:uid="{00000000-0005-0000-0000-000063180000}"/>
    <cellStyle name="CABEÇALHO 4 2 4 2 6" xfId="10365" xr:uid="{00000000-0005-0000-0000-000064180000}"/>
    <cellStyle name="CABEÇALHO 4 2 4 3" xfId="2670" xr:uid="{00000000-0005-0000-0000-000065180000}"/>
    <cellStyle name="CABEÇALHO 4 2 4 3 2" xfId="5550" xr:uid="{00000000-0005-0000-0000-000066180000}"/>
    <cellStyle name="CABEÇALHO 4 2 4 3 3" xfId="6678" xr:uid="{00000000-0005-0000-0000-000067180000}"/>
    <cellStyle name="CABEÇALHO 4 2 4 3 4" xfId="9295" xr:uid="{00000000-0005-0000-0000-000068180000}"/>
    <cellStyle name="CABEÇALHO 4 2 4 3 5" xfId="10734" xr:uid="{00000000-0005-0000-0000-000069180000}"/>
    <cellStyle name="CABEÇALHO 4 2 4 3 6" xfId="11113" xr:uid="{00000000-0005-0000-0000-00006A180000}"/>
    <cellStyle name="CABEÇALHO 4 2 4 4" xfId="4147" xr:uid="{00000000-0005-0000-0000-00006B180000}"/>
    <cellStyle name="CABEÇALHO 4 2 4 5" xfId="7615" xr:uid="{00000000-0005-0000-0000-00006C180000}"/>
    <cellStyle name="CABEÇALHO 4 2 4 6" xfId="9042" xr:uid="{00000000-0005-0000-0000-00006D180000}"/>
    <cellStyle name="CABEÇALHO 4 2 4 7" xfId="5926" xr:uid="{00000000-0005-0000-0000-00006E180000}"/>
    <cellStyle name="CABEÇALHO 4 2 4 8" xfId="10979" xr:uid="{00000000-0005-0000-0000-00006F180000}"/>
    <cellStyle name="CABEÇALHO 4 2 5" xfId="1300" xr:uid="{00000000-0005-0000-0000-000070180000}"/>
    <cellStyle name="CABEÇALHO 4 2 5 2" xfId="2442" xr:uid="{00000000-0005-0000-0000-000071180000}"/>
    <cellStyle name="CABEÇALHO 4 2 5 2 2" xfId="5322" xr:uid="{00000000-0005-0000-0000-000072180000}"/>
    <cellStyle name="CABEÇALHO 4 2 5 2 3" xfId="6515" xr:uid="{00000000-0005-0000-0000-000073180000}"/>
    <cellStyle name="CABEÇALHO 4 2 5 2 4" xfId="9016" xr:uid="{00000000-0005-0000-0000-000074180000}"/>
    <cellStyle name="CABEÇALHO 4 2 5 2 5" xfId="10379" xr:uid="{00000000-0005-0000-0000-000075180000}"/>
    <cellStyle name="CABEÇALHO 4 2 5 2 6" xfId="9318" xr:uid="{00000000-0005-0000-0000-000076180000}"/>
    <cellStyle name="CABEÇALHO 4 2 5 3" xfId="2503" xr:uid="{00000000-0005-0000-0000-000077180000}"/>
    <cellStyle name="CABEÇALHO 4 2 5 3 2" xfId="5383" xr:uid="{00000000-0005-0000-0000-000078180000}"/>
    <cellStyle name="CABEÇALHO 4 2 5 3 3" xfId="7924" xr:uid="{00000000-0005-0000-0000-000079180000}"/>
    <cellStyle name="CABEÇALHO 4 2 5 3 4" xfId="8669" xr:uid="{00000000-0005-0000-0000-00007A180000}"/>
    <cellStyle name="CABEÇALHO 4 2 5 3 5" xfId="9675" xr:uid="{00000000-0005-0000-0000-00007B180000}"/>
    <cellStyle name="CABEÇALHO 4 2 5 3 6" xfId="6334" xr:uid="{00000000-0005-0000-0000-00007C180000}"/>
    <cellStyle name="CABEÇALHO 4 2 5 4" xfId="4180" xr:uid="{00000000-0005-0000-0000-00007D180000}"/>
    <cellStyle name="CABEÇALHO 4 2 5 5" xfId="3126" xr:uid="{00000000-0005-0000-0000-00007E180000}"/>
    <cellStyle name="CABEÇALHO 4 2 5 6" xfId="7020" xr:uid="{00000000-0005-0000-0000-00007F180000}"/>
    <cellStyle name="CABEÇALHO 4 2 5 7" xfId="6137" xr:uid="{00000000-0005-0000-0000-000080180000}"/>
    <cellStyle name="CABEÇALHO 4 2 5 8" xfId="11090" xr:uid="{00000000-0005-0000-0000-000081180000}"/>
    <cellStyle name="CABEÇALHO 4 2 6" xfId="1332" xr:uid="{00000000-0005-0000-0000-000082180000}"/>
    <cellStyle name="CABEÇALHO 4 2 6 2" xfId="2474" xr:uid="{00000000-0005-0000-0000-000083180000}"/>
    <cellStyle name="CABEÇALHO 4 2 6 2 2" xfId="5354" xr:uid="{00000000-0005-0000-0000-000084180000}"/>
    <cellStyle name="CABEÇALHO 4 2 6 2 3" xfId="7259" xr:uid="{00000000-0005-0000-0000-000085180000}"/>
    <cellStyle name="CABEÇALHO 4 2 6 2 4" xfId="9430" xr:uid="{00000000-0005-0000-0000-000086180000}"/>
    <cellStyle name="CABEÇALHO 4 2 6 2 5" xfId="10739" xr:uid="{00000000-0005-0000-0000-000087180000}"/>
    <cellStyle name="CABEÇALHO 4 2 6 2 6" xfId="11328" xr:uid="{00000000-0005-0000-0000-000088180000}"/>
    <cellStyle name="CABEÇALHO 4 2 6 3" xfId="2869" xr:uid="{00000000-0005-0000-0000-000089180000}"/>
    <cellStyle name="CABEÇALHO 4 2 6 3 2" xfId="5749" xr:uid="{00000000-0005-0000-0000-00008A180000}"/>
    <cellStyle name="CABEÇALHO 4 2 6 3 3" xfId="3150" xr:uid="{00000000-0005-0000-0000-00008B180000}"/>
    <cellStyle name="CABEÇALHO 4 2 6 3 4" xfId="5843" xr:uid="{00000000-0005-0000-0000-00008C180000}"/>
    <cellStyle name="CABEÇALHO 4 2 6 3 5" xfId="9653" xr:uid="{00000000-0005-0000-0000-00008D180000}"/>
    <cellStyle name="CABEÇALHO 4 2 6 3 6" xfId="10958" xr:uid="{00000000-0005-0000-0000-00008E180000}"/>
    <cellStyle name="CABEÇALHO 4 2 6 4" xfId="4212" xr:uid="{00000000-0005-0000-0000-00008F180000}"/>
    <cellStyle name="CABEÇALHO 4 2 6 5" xfId="8087" xr:uid="{00000000-0005-0000-0000-000090180000}"/>
    <cellStyle name="CABEÇALHO 4 2 6 6" xfId="9493" xr:uid="{00000000-0005-0000-0000-000091180000}"/>
    <cellStyle name="CABEÇALHO 4 2 6 7" xfId="9166" xr:uid="{00000000-0005-0000-0000-000092180000}"/>
    <cellStyle name="CABEÇALHO 4 2 6 8" xfId="10993" xr:uid="{00000000-0005-0000-0000-000093180000}"/>
    <cellStyle name="CABEÇALHO 4 2 7" xfId="1792" xr:uid="{00000000-0005-0000-0000-000094180000}"/>
    <cellStyle name="CABEÇALHO 4 2 7 2" xfId="4672" xr:uid="{00000000-0005-0000-0000-000095180000}"/>
    <cellStyle name="CABEÇALHO 4 2 7 3" xfId="6792" xr:uid="{00000000-0005-0000-0000-000096180000}"/>
    <cellStyle name="CABEÇALHO 4 2 7 4" xfId="7088" xr:uid="{00000000-0005-0000-0000-000097180000}"/>
    <cellStyle name="CABEÇALHO 4 2 7 5" xfId="6642" xr:uid="{00000000-0005-0000-0000-000098180000}"/>
    <cellStyle name="CABEÇALHO 4 2 7 6" xfId="9853" xr:uid="{00000000-0005-0000-0000-000099180000}"/>
    <cellStyle name="CABEÇALHO 4 2 8" xfId="2619" xr:uid="{00000000-0005-0000-0000-00009A180000}"/>
    <cellStyle name="CABEÇALHO 4 2 8 2" xfId="5499" xr:uid="{00000000-0005-0000-0000-00009B180000}"/>
    <cellStyle name="CABEÇALHO 4 2 8 3" xfId="6630" xr:uid="{00000000-0005-0000-0000-00009C180000}"/>
    <cellStyle name="CABEÇALHO 4 2 8 4" xfId="9455" xr:uid="{00000000-0005-0000-0000-00009D180000}"/>
    <cellStyle name="CABEÇALHO 4 2 8 5" xfId="10526" xr:uid="{00000000-0005-0000-0000-00009E180000}"/>
    <cellStyle name="CABEÇALHO 4 2 8 6" xfId="11383" xr:uid="{00000000-0005-0000-0000-00009F180000}"/>
    <cellStyle name="CABEÇALHO 4 2 9" xfId="3531" xr:uid="{00000000-0005-0000-0000-0000A0180000}"/>
    <cellStyle name="CABEÇALHO 4 20" xfId="10932" xr:uid="{00000000-0005-0000-0000-0000A1180000}"/>
    <cellStyle name="CABEÇALHO 4 3" xfId="514" xr:uid="{00000000-0005-0000-0000-0000A2180000}"/>
    <cellStyle name="CABEÇALHO 4 3 10" xfId="6975" xr:uid="{00000000-0005-0000-0000-0000A3180000}"/>
    <cellStyle name="CABEÇALHO 4 3 11" xfId="6499" xr:uid="{00000000-0005-0000-0000-0000A4180000}"/>
    <cellStyle name="CABEÇALHO 4 3 12" xfId="10260" xr:uid="{00000000-0005-0000-0000-0000A5180000}"/>
    <cellStyle name="CABEÇALHO 4 3 13" xfId="9701" xr:uid="{00000000-0005-0000-0000-0000A6180000}"/>
    <cellStyle name="CABEÇALHO 4 3 2" xfId="990" xr:uid="{00000000-0005-0000-0000-0000A7180000}"/>
    <cellStyle name="CABEÇALHO 4 3 2 2" xfId="2132" xr:uid="{00000000-0005-0000-0000-0000A8180000}"/>
    <cellStyle name="CABEÇALHO 4 3 2 2 2" xfId="5012" xr:uid="{00000000-0005-0000-0000-0000A9180000}"/>
    <cellStyle name="CABEÇALHO 4 3 2 2 3" xfId="7723" xr:uid="{00000000-0005-0000-0000-0000AA180000}"/>
    <cellStyle name="CABEÇALHO 4 3 2 2 4" xfId="9509" xr:uid="{00000000-0005-0000-0000-0000AB180000}"/>
    <cellStyle name="CABEÇALHO 4 3 2 2 5" xfId="9676" xr:uid="{00000000-0005-0000-0000-0000AC180000}"/>
    <cellStyle name="CABEÇALHO 4 3 2 2 6" xfId="7159" xr:uid="{00000000-0005-0000-0000-0000AD180000}"/>
    <cellStyle name="CABEÇALHO 4 3 2 3" xfId="1432" xr:uid="{00000000-0005-0000-0000-0000AE180000}"/>
    <cellStyle name="CABEÇALHO 4 3 2 3 2" xfId="4312" xr:uid="{00000000-0005-0000-0000-0000AF180000}"/>
    <cellStyle name="CABEÇALHO 4 3 2 3 3" xfId="7289" xr:uid="{00000000-0005-0000-0000-0000B0180000}"/>
    <cellStyle name="CABEÇALHO 4 3 2 3 4" xfId="8733" xr:uid="{00000000-0005-0000-0000-0000B1180000}"/>
    <cellStyle name="CABEÇALHO 4 3 2 3 5" xfId="10448" xr:uid="{00000000-0005-0000-0000-0000B2180000}"/>
    <cellStyle name="CABEÇALHO 4 3 2 3 6" xfId="10106" xr:uid="{00000000-0005-0000-0000-0000B3180000}"/>
    <cellStyle name="CABEÇALHO 4 3 2 4" xfId="3870" xr:uid="{00000000-0005-0000-0000-0000B4180000}"/>
    <cellStyle name="CABEÇALHO 4 3 2 5" xfId="2916" xr:uid="{00000000-0005-0000-0000-0000B5180000}"/>
    <cellStyle name="CABEÇALHO 4 3 2 6" xfId="8038" xr:uid="{00000000-0005-0000-0000-0000B6180000}"/>
    <cellStyle name="CABEÇALHO 4 3 2 7" xfId="8350" xr:uid="{00000000-0005-0000-0000-0000B7180000}"/>
    <cellStyle name="CABEÇALHO 4 3 2 8" xfId="11535" xr:uid="{00000000-0005-0000-0000-0000B8180000}"/>
    <cellStyle name="CABEÇALHO 4 3 3" xfId="809" xr:uid="{00000000-0005-0000-0000-0000B9180000}"/>
    <cellStyle name="CABEÇALHO 4 3 3 2" xfId="1951" xr:uid="{00000000-0005-0000-0000-0000BA180000}"/>
    <cellStyle name="CABEÇALHO 4 3 3 2 2" xfId="4831" xr:uid="{00000000-0005-0000-0000-0000BB180000}"/>
    <cellStyle name="CABEÇALHO 4 3 3 2 3" xfId="8126" xr:uid="{00000000-0005-0000-0000-0000BC180000}"/>
    <cellStyle name="CABEÇALHO 4 3 3 2 4" xfId="7010" xr:uid="{00000000-0005-0000-0000-0000BD180000}"/>
    <cellStyle name="CABEÇALHO 4 3 3 2 5" xfId="8755" xr:uid="{00000000-0005-0000-0000-0000BE180000}"/>
    <cellStyle name="CABEÇALHO 4 3 3 2 6" xfId="9176" xr:uid="{00000000-0005-0000-0000-0000BF180000}"/>
    <cellStyle name="CABEÇALHO 4 3 3 3" xfId="2559" xr:uid="{00000000-0005-0000-0000-0000C0180000}"/>
    <cellStyle name="CABEÇALHO 4 3 3 3 2" xfId="5439" xr:uid="{00000000-0005-0000-0000-0000C1180000}"/>
    <cellStyle name="CABEÇALHO 4 3 3 3 3" xfId="6692" xr:uid="{00000000-0005-0000-0000-0000C2180000}"/>
    <cellStyle name="CABEÇALHO 4 3 3 3 4" xfId="9342" xr:uid="{00000000-0005-0000-0000-0000C3180000}"/>
    <cellStyle name="CABEÇALHO 4 3 3 3 5" xfId="10593" xr:uid="{00000000-0005-0000-0000-0000C4180000}"/>
    <cellStyle name="CABEÇALHO 4 3 3 3 6" xfId="11465" xr:uid="{00000000-0005-0000-0000-0000C5180000}"/>
    <cellStyle name="CABEÇALHO 4 3 3 4" xfId="3689" xr:uid="{00000000-0005-0000-0000-0000C6180000}"/>
    <cellStyle name="CABEÇALHO 4 3 3 5" xfId="6487" xr:uid="{00000000-0005-0000-0000-0000C7180000}"/>
    <cellStyle name="CABEÇALHO 4 3 3 6" xfId="8571" xr:uid="{00000000-0005-0000-0000-0000C8180000}"/>
    <cellStyle name="CABEÇALHO 4 3 3 7" xfId="3051" xr:uid="{00000000-0005-0000-0000-0000C9180000}"/>
    <cellStyle name="CABEÇALHO 4 3 3 8" xfId="7421" xr:uid="{00000000-0005-0000-0000-0000CA180000}"/>
    <cellStyle name="CABEÇALHO 4 3 4" xfId="700" xr:uid="{00000000-0005-0000-0000-0000CB180000}"/>
    <cellStyle name="CABEÇALHO 4 3 4 2" xfId="1842" xr:uid="{00000000-0005-0000-0000-0000CC180000}"/>
    <cellStyle name="CABEÇALHO 4 3 4 2 2" xfId="4722" xr:uid="{00000000-0005-0000-0000-0000CD180000}"/>
    <cellStyle name="CABEÇALHO 4 3 4 2 3" xfId="6612" xr:uid="{00000000-0005-0000-0000-0000CE180000}"/>
    <cellStyle name="CABEÇALHO 4 3 4 2 4" xfId="9106" xr:uid="{00000000-0005-0000-0000-0000CF180000}"/>
    <cellStyle name="CABEÇALHO 4 3 4 2 5" xfId="10098" xr:uid="{00000000-0005-0000-0000-0000D0180000}"/>
    <cellStyle name="CABEÇALHO 4 3 4 2 6" xfId="8719" xr:uid="{00000000-0005-0000-0000-0000D1180000}"/>
    <cellStyle name="CABEÇALHO 4 3 4 3" xfId="2753" xr:uid="{00000000-0005-0000-0000-0000D2180000}"/>
    <cellStyle name="CABEÇALHO 4 3 4 3 2" xfId="5633" xr:uid="{00000000-0005-0000-0000-0000D3180000}"/>
    <cellStyle name="CABEÇALHO 4 3 4 3 3" xfId="8180" xr:uid="{00000000-0005-0000-0000-0000D4180000}"/>
    <cellStyle name="CABEÇALHO 4 3 4 3 4" xfId="9357" xr:uid="{00000000-0005-0000-0000-0000D5180000}"/>
    <cellStyle name="CABEÇALHO 4 3 4 3 5" xfId="10198" xr:uid="{00000000-0005-0000-0000-0000D6180000}"/>
    <cellStyle name="CABEÇALHO 4 3 4 3 6" xfId="6583" xr:uid="{00000000-0005-0000-0000-0000D7180000}"/>
    <cellStyle name="CABEÇALHO 4 3 4 4" xfId="3580" xr:uid="{00000000-0005-0000-0000-0000D8180000}"/>
    <cellStyle name="CABEÇALHO 4 3 4 5" xfId="6432" xr:uid="{00000000-0005-0000-0000-0000D9180000}"/>
    <cellStyle name="CABEÇALHO 4 3 4 6" xfId="8526" xr:uid="{00000000-0005-0000-0000-0000DA180000}"/>
    <cellStyle name="CABEÇALHO 4 3 4 7" xfId="9074" xr:uid="{00000000-0005-0000-0000-0000DB180000}"/>
    <cellStyle name="CABEÇALHO 4 3 4 8" xfId="10306" xr:uid="{00000000-0005-0000-0000-0000DC180000}"/>
    <cellStyle name="CABEÇALHO 4 3 5" xfId="1239" xr:uid="{00000000-0005-0000-0000-0000DD180000}"/>
    <cellStyle name="CABEÇALHO 4 3 5 2" xfId="2381" xr:uid="{00000000-0005-0000-0000-0000DE180000}"/>
    <cellStyle name="CABEÇALHO 4 3 5 2 2" xfId="5261" xr:uid="{00000000-0005-0000-0000-0000DF180000}"/>
    <cellStyle name="CABEÇALHO 4 3 5 2 3" xfId="7683" xr:uid="{00000000-0005-0000-0000-0000E0180000}"/>
    <cellStyle name="CABEÇALHO 4 3 5 2 4" xfId="8250" xr:uid="{00000000-0005-0000-0000-0000E1180000}"/>
    <cellStyle name="CABEÇALHO 4 3 5 2 5" xfId="10534" xr:uid="{00000000-0005-0000-0000-0000E2180000}"/>
    <cellStyle name="CABEÇALHO 4 3 5 2 6" xfId="9785" xr:uid="{00000000-0005-0000-0000-0000E3180000}"/>
    <cellStyle name="CABEÇALHO 4 3 5 3" xfId="2864" xr:uid="{00000000-0005-0000-0000-0000E4180000}"/>
    <cellStyle name="CABEÇALHO 4 3 5 3 2" xfId="5744" xr:uid="{00000000-0005-0000-0000-0000E5180000}"/>
    <cellStyle name="CABEÇALHO 4 3 5 3 3" xfId="6787" xr:uid="{00000000-0005-0000-0000-0000E6180000}"/>
    <cellStyle name="CABEÇALHO 4 3 5 3 4" xfId="8691" xr:uid="{00000000-0005-0000-0000-0000E7180000}"/>
    <cellStyle name="CABEÇALHO 4 3 5 3 5" xfId="7843" xr:uid="{00000000-0005-0000-0000-0000E8180000}"/>
    <cellStyle name="CABEÇALHO 4 3 5 3 6" xfId="6977" xr:uid="{00000000-0005-0000-0000-0000E9180000}"/>
    <cellStyle name="CABEÇALHO 4 3 5 4" xfId="4119" xr:uid="{00000000-0005-0000-0000-0000EA180000}"/>
    <cellStyle name="CABEÇALHO 4 3 5 5" xfId="2962" xr:uid="{00000000-0005-0000-0000-0000EB180000}"/>
    <cellStyle name="CABEÇALHO 4 3 5 6" xfId="6143" xr:uid="{00000000-0005-0000-0000-0000EC180000}"/>
    <cellStyle name="CABEÇALHO 4 3 5 7" xfId="7897" xr:uid="{00000000-0005-0000-0000-0000ED180000}"/>
    <cellStyle name="CABEÇALHO 4 3 5 8" xfId="10931" xr:uid="{00000000-0005-0000-0000-0000EE180000}"/>
    <cellStyle name="CABEÇALHO 4 3 6" xfId="702" xr:uid="{00000000-0005-0000-0000-0000EF180000}"/>
    <cellStyle name="CABEÇALHO 4 3 6 2" xfId="1844" xr:uid="{00000000-0005-0000-0000-0000F0180000}"/>
    <cellStyle name="CABEÇALHO 4 3 6 2 2" xfId="4724" xr:uid="{00000000-0005-0000-0000-0000F1180000}"/>
    <cellStyle name="CABEÇALHO 4 3 6 2 3" xfId="7181" xr:uid="{00000000-0005-0000-0000-0000F2180000}"/>
    <cellStyle name="CABEÇALHO 4 3 6 2 4" xfId="8295" xr:uid="{00000000-0005-0000-0000-0000F3180000}"/>
    <cellStyle name="CABEÇALHO 4 3 6 2 5" xfId="10798" xr:uid="{00000000-0005-0000-0000-0000F4180000}"/>
    <cellStyle name="CABEÇALHO 4 3 6 2 6" xfId="9135" xr:uid="{00000000-0005-0000-0000-0000F5180000}"/>
    <cellStyle name="CABEÇALHO 4 3 6 3" xfId="2501" xr:uid="{00000000-0005-0000-0000-0000F6180000}"/>
    <cellStyle name="CABEÇALHO 4 3 6 3 2" xfId="5381" xr:uid="{00000000-0005-0000-0000-0000F7180000}"/>
    <cellStyle name="CABEÇALHO 4 3 6 3 3" xfId="7225" xr:uid="{00000000-0005-0000-0000-0000F8180000}"/>
    <cellStyle name="CABEÇALHO 4 3 6 3 4" xfId="8475" xr:uid="{00000000-0005-0000-0000-0000F9180000}"/>
    <cellStyle name="CABEÇALHO 4 3 6 3 5" xfId="6850" xr:uid="{00000000-0005-0000-0000-0000FA180000}"/>
    <cellStyle name="CABEÇALHO 4 3 6 3 6" xfId="8278" xr:uid="{00000000-0005-0000-0000-0000FB180000}"/>
    <cellStyle name="CABEÇALHO 4 3 6 4" xfId="3582" xr:uid="{00000000-0005-0000-0000-0000FC180000}"/>
    <cellStyle name="CABEÇALHO 4 3 6 5" xfId="6970" xr:uid="{00000000-0005-0000-0000-0000FD180000}"/>
    <cellStyle name="CABEÇALHO 4 3 6 6" xfId="7914" xr:uid="{00000000-0005-0000-0000-0000FE180000}"/>
    <cellStyle name="CABEÇALHO 4 3 6 7" xfId="10257" xr:uid="{00000000-0005-0000-0000-0000FF180000}"/>
    <cellStyle name="CABEÇALHO 4 3 6 8" xfId="10657" xr:uid="{00000000-0005-0000-0000-000000190000}"/>
    <cellStyle name="CABEÇALHO 4 3 7" xfId="1655" xr:uid="{00000000-0005-0000-0000-000001190000}"/>
    <cellStyle name="CABEÇALHO 4 3 7 2" xfId="4535" xr:uid="{00000000-0005-0000-0000-000002190000}"/>
    <cellStyle name="CABEÇALHO 4 3 7 3" xfId="7019" xr:uid="{00000000-0005-0000-0000-000003190000}"/>
    <cellStyle name="CABEÇALHO 4 3 7 4" xfId="8476" xr:uid="{00000000-0005-0000-0000-000004190000}"/>
    <cellStyle name="CABEÇALHO 4 3 7 5" xfId="9284" xr:uid="{00000000-0005-0000-0000-000005190000}"/>
    <cellStyle name="CABEÇALHO 4 3 7 6" xfId="11413" xr:uid="{00000000-0005-0000-0000-000006190000}"/>
    <cellStyle name="CABEÇALHO 4 3 8" xfId="2686" xr:uid="{00000000-0005-0000-0000-000007190000}"/>
    <cellStyle name="CABEÇALHO 4 3 8 2" xfId="5566" xr:uid="{00000000-0005-0000-0000-000008190000}"/>
    <cellStyle name="CABEÇALHO 4 3 8 3" xfId="6691" xr:uid="{00000000-0005-0000-0000-000009190000}"/>
    <cellStyle name="CABEÇALHO 4 3 8 4" xfId="9288" xr:uid="{00000000-0005-0000-0000-00000A190000}"/>
    <cellStyle name="CABEÇALHO 4 3 8 5" xfId="10603" xr:uid="{00000000-0005-0000-0000-00000B190000}"/>
    <cellStyle name="CABEÇALHO 4 3 8 6" xfId="11357" xr:uid="{00000000-0005-0000-0000-00000C190000}"/>
    <cellStyle name="CABEÇALHO 4 3 9" xfId="3394" xr:uid="{00000000-0005-0000-0000-00000D190000}"/>
    <cellStyle name="CABEÇALHO 4 4" xfId="661" xr:uid="{00000000-0005-0000-0000-00000E190000}"/>
    <cellStyle name="CABEÇALHO 4 4 10" xfId="6893" xr:uid="{00000000-0005-0000-0000-00000F190000}"/>
    <cellStyle name="CABEÇALHO 4 4 11" xfId="6807" xr:uid="{00000000-0005-0000-0000-000010190000}"/>
    <cellStyle name="CABEÇALHO 4 4 12" xfId="7908" xr:uid="{00000000-0005-0000-0000-000011190000}"/>
    <cellStyle name="CABEÇALHO 4 4 13" xfId="10261" xr:uid="{00000000-0005-0000-0000-000012190000}"/>
    <cellStyle name="CABEÇALHO 4 4 2" xfId="1137" xr:uid="{00000000-0005-0000-0000-000013190000}"/>
    <cellStyle name="CABEÇALHO 4 4 2 2" xfId="2279" xr:uid="{00000000-0005-0000-0000-000014190000}"/>
    <cellStyle name="CABEÇALHO 4 4 2 2 2" xfId="5159" xr:uid="{00000000-0005-0000-0000-000015190000}"/>
    <cellStyle name="CABEÇALHO 4 4 2 2 3" xfId="8094" xr:uid="{00000000-0005-0000-0000-000016190000}"/>
    <cellStyle name="CABEÇALHO 4 4 2 2 4" xfId="7091" xr:uid="{00000000-0005-0000-0000-000017190000}"/>
    <cellStyle name="CABEÇALHO 4 4 2 2 5" xfId="10748" xr:uid="{00000000-0005-0000-0000-000018190000}"/>
    <cellStyle name="CABEÇALHO 4 4 2 2 6" xfId="11370" xr:uid="{00000000-0005-0000-0000-000019190000}"/>
    <cellStyle name="CABEÇALHO 4 4 2 3" xfId="2632" xr:uid="{00000000-0005-0000-0000-00001A190000}"/>
    <cellStyle name="CABEÇALHO 4 4 2 3 2" xfId="5512" xr:uid="{00000000-0005-0000-0000-00001B190000}"/>
    <cellStyle name="CABEÇALHO 4 4 2 3 3" xfId="8034" xr:uid="{00000000-0005-0000-0000-00001C190000}"/>
    <cellStyle name="CABEÇALHO 4 4 2 3 4" xfId="9198" xr:uid="{00000000-0005-0000-0000-00001D190000}"/>
    <cellStyle name="CABEÇALHO 4 4 2 3 5" xfId="10514" xr:uid="{00000000-0005-0000-0000-00001E190000}"/>
    <cellStyle name="CABEÇALHO 4 4 2 3 6" xfId="9323" xr:uid="{00000000-0005-0000-0000-00001F190000}"/>
    <cellStyle name="CABEÇALHO 4 4 2 4" xfId="4017" xr:uid="{00000000-0005-0000-0000-000020190000}"/>
    <cellStyle name="CABEÇALHO 4 4 2 5" xfId="3016" xr:uid="{00000000-0005-0000-0000-000021190000}"/>
    <cellStyle name="CABEÇALHO 4 4 2 6" xfId="9139" xr:uid="{00000000-0005-0000-0000-000022190000}"/>
    <cellStyle name="CABEÇALHO 4 4 2 7" xfId="9670" xr:uid="{00000000-0005-0000-0000-000023190000}"/>
    <cellStyle name="CABEÇALHO 4 4 2 8" xfId="6500" xr:uid="{00000000-0005-0000-0000-000024190000}"/>
    <cellStyle name="CABEÇALHO 4 4 3" xfId="721" xr:uid="{00000000-0005-0000-0000-000025190000}"/>
    <cellStyle name="CABEÇALHO 4 4 3 2" xfId="1863" xr:uid="{00000000-0005-0000-0000-000026190000}"/>
    <cellStyle name="CABEÇALHO 4 4 3 2 2" xfId="4743" xr:uid="{00000000-0005-0000-0000-000027190000}"/>
    <cellStyle name="CABEÇALHO 4 4 3 2 3" xfId="7196" xr:uid="{00000000-0005-0000-0000-000028190000}"/>
    <cellStyle name="CABEÇALHO 4 4 3 2 4" xfId="9466" xr:uid="{00000000-0005-0000-0000-000029190000}"/>
    <cellStyle name="CABEÇALHO 4 4 3 2 5" xfId="9686" xr:uid="{00000000-0005-0000-0000-00002A190000}"/>
    <cellStyle name="CABEÇALHO 4 4 3 2 6" xfId="9698" xr:uid="{00000000-0005-0000-0000-00002B190000}"/>
    <cellStyle name="CABEÇALHO 4 4 3 3" xfId="1395" xr:uid="{00000000-0005-0000-0000-00002C190000}"/>
    <cellStyle name="CABEÇALHO 4 4 3 3 2" xfId="4275" xr:uid="{00000000-0005-0000-0000-00002D190000}"/>
    <cellStyle name="CABEÇALHO 4 4 3 3 3" xfId="6928" xr:uid="{00000000-0005-0000-0000-00002E190000}"/>
    <cellStyle name="CABEÇALHO 4 4 3 3 4" xfId="8393" xr:uid="{00000000-0005-0000-0000-00002F190000}"/>
    <cellStyle name="CABEÇALHO 4 4 3 3 5" xfId="9730" xr:uid="{00000000-0005-0000-0000-000030190000}"/>
    <cellStyle name="CABEÇALHO 4 4 3 3 6" xfId="7510" xr:uid="{00000000-0005-0000-0000-000031190000}"/>
    <cellStyle name="CABEÇALHO 4 4 3 4" xfId="3601" xr:uid="{00000000-0005-0000-0000-000032190000}"/>
    <cellStyle name="CABEÇALHO 4 4 3 5" xfId="6327" xr:uid="{00000000-0005-0000-0000-000033190000}"/>
    <cellStyle name="CABEÇALHO 4 4 3 6" xfId="8429" xr:uid="{00000000-0005-0000-0000-000034190000}"/>
    <cellStyle name="CABEÇALHO 4 4 3 7" xfId="8308" xr:uid="{00000000-0005-0000-0000-000035190000}"/>
    <cellStyle name="CABEÇALHO 4 4 3 8" xfId="11045" xr:uid="{00000000-0005-0000-0000-000036190000}"/>
    <cellStyle name="CABEÇALHO 4 4 4" xfId="1277" xr:uid="{00000000-0005-0000-0000-000037190000}"/>
    <cellStyle name="CABEÇALHO 4 4 4 2" xfId="2419" xr:uid="{00000000-0005-0000-0000-000038190000}"/>
    <cellStyle name="CABEÇALHO 4 4 4 2 2" xfId="5299" xr:uid="{00000000-0005-0000-0000-000039190000}"/>
    <cellStyle name="CABEÇALHO 4 4 4 2 3" xfId="8154" xr:uid="{00000000-0005-0000-0000-00003A190000}"/>
    <cellStyle name="CABEÇALHO 4 4 4 2 4" xfId="5909" xr:uid="{00000000-0005-0000-0000-00003B190000}"/>
    <cellStyle name="CABEÇALHO 4 4 4 2 5" xfId="8407" xr:uid="{00000000-0005-0000-0000-00003C190000}"/>
    <cellStyle name="CABEÇALHO 4 4 4 2 6" xfId="11647" xr:uid="{00000000-0005-0000-0000-00003D190000}"/>
    <cellStyle name="CABEÇALHO 4 4 4 3" xfId="2663" xr:uid="{00000000-0005-0000-0000-00003E190000}"/>
    <cellStyle name="CABEÇALHO 4 4 4 3 2" xfId="5543" xr:uid="{00000000-0005-0000-0000-00003F190000}"/>
    <cellStyle name="CABEÇALHO 4 4 4 3 3" xfId="7815" xr:uid="{00000000-0005-0000-0000-000040190000}"/>
    <cellStyle name="CABEÇALHO 4 4 4 3 4" xfId="8621" xr:uid="{00000000-0005-0000-0000-000041190000}"/>
    <cellStyle name="CABEÇALHO 4 4 4 3 5" xfId="8639" xr:uid="{00000000-0005-0000-0000-000042190000}"/>
    <cellStyle name="CABEÇALHO 4 4 4 3 6" xfId="11429" xr:uid="{00000000-0005-0000-0000-000043190000}"/>
    <cellStyle name="CABEÇALHO 4 4 4 4" xfId="4157" xr:uid="{00000000-0005-0000-0000-000044190000}"/>
    <cellStyle name="CABEÇALHO 4 4 4 5" xfId="3201" xr:uid="{00000000-0005-0000-0000-000045190000}"/>
    <cellStyle name="CABEÇALHO 4 4 4 6" xfId="7374" xr:uid="{00000000-0005-0000-0000-000046190000}"/>
    <cellStyle name="CABEÇALHO 4 4 4 7" xfId="8566" xr:uid="{00000000-0005-0000-0000-000047190000}"/>
    <cellStyle name="CABEÇALHO 4 4 4 8" xfId="6288" xr:uid="{00000000-0005-0000-0000-000048190000}"/>
    <cellStyle name="CABEÇALHO 4 4 5" xfId="1310" xr:uid="{00000000-0005-0000-0000-000049190000}"/>
    <cellStyle name="CABEÇALHO 4 4 5 2" xfId="2452" xr:uid="{00000000-0005-0000-0000-00004A190000}"/>
    <cellStyle name="CABEÇALHO 4 4 5 2 2" xfId="5332" xr:uid="{00000000-0005-0000-0000-00004B190000}"/>
    <cellStyle name="CABEÇALHO 4 4 5 2 3" xfId="6764" xr:uid="{00000000-0005-0000-0000-00004C190000}"/>
    <cellStyle name="CABEÇALHO 4 4 5 2 4" xfId="6661" xr:uid="{00000000-0005-0000-0000-00004D190000}"/>
    <cellStyle name="CABEÇALHO 4 4 5 2 5" xfId="7656" xr:uid="{00000000-0005-0000-0000-00004E190000}"/>
    <cellStyle name="CABEÇALHO 4 4 5 2 6" xfId="11655" xr:uid="{00000000-0005-0000-0000-00004F190000}"/>
    <cellStyle name="CABEÇALHO 4 4 5 3" xfId="1399" xr:uid="{00000000-0005-0000-0000-000050190000}"/>
    <cellStyle name="CABEÇALHO 4 4 5 3 2" xfId="4279" xr:uid="{00000000-0005-0000-0000-000051190000}"/>
    <cellStyle name="CABEÇALHO 4 4 5 3 3" xfId="7430" xr:uid="{00000000-0005-0000-0000-000052190000}"/>
    <cellStyle name="CABEÇALHO 4 4 5 3 4" xfId="8867" xr:uid="{00000000-0005-0000-0000-000053190000}"/>
    <cellStyle name="CABEÇALHO 4 4 5 3 5" xfId="9994" xr:uid="{00000000-0005-0000-0000-000054190000}"/>
    <cellStyle name="CABEÇALHO 4 4 5 3 6" xfId="10281" xr:uid="{00000000-0005-0000-0000-000055190000}"/>
    <cellStyle name="CABEÇALHO 4 4 5 4" xfId="4190" xr:uid="{00000000-0005-0000-0000-000056190000}"/>
    <cellStyle name="CABEÇALHO 4 4 5 5" xfId="3108" xr:uid="{00000000-0005-0000-0000-000057190000}"/>
    <cellStyle name="CABEÇALHO 4 4 5 6" xfId="6346" xr:uid="{00000000-0005-0000-0000-000058190000}"/>
    <cellStyle name="CABEÇALHO 4 4 5 7" xfId="9215" xr:uid="{00000000-0005-0000-0000-000059190000}"/>
    <cellStyle name="CABEÇALHO 4 4 5 8" xfId="6503" xr:uid="{00000000-0005-0000-0000-00005A190000}"/>
    <cellStyle name="CABEÇALHO 4 4 6" xfId="1342" xr:uid="{00000000-0005-0000-0000-00005B190000}"/>
    <cellStyle name="CABEÇALHO 4 4 6 2" xfId="2484" xr:uid="{00000000-0005-0000-0000-00005C190000}"/>
    <cellStyle name="CABEÇALHO 4 4 6 2 2" xfId="5364" xr:uid="{00000000-0005-0000-0000-00005D190000}"/>
    <cellStyle name="CABEÇALHO 4 4 6 2 3" xfId="6643" xr:uid="{00000000-0005-0000-0000-00005E190000}"/>
    <cellStyle name="CABEÇALHO 4 4 6 2 4" xfId="9136" xr:uid="{00000000-0005-0000-0000-00005F190000}"/>
    <cellStyle name="CABEÇALHO 4 4 6 2 5" xfId="9643" xr:uid="{00000000-0005-0000-0000-000060190000}"/>
    <cellStyle name="CABEÇALHO 4 4 6 2 6" xfId="9375" xr:uid="{00000000-0005-0000-0000-000061190000}"/>
    <cellStyle name="CABEÇALHO 4 4 6 3" xfId="2879" xr:uid="{00000000-0005-0000-0000-000062190000}"/>
    <cellStyle name="CABEÇALHO 4 4 6 3 2" xfId="5759" xr:uid="{00000000-0005-0000-0000-000063190000}"/>
    <cellStyle name="CABEÇALHO 4 4 6 3 3" xfId="3160" xr:uid="{00000000-0005-0000-0000-000064190000}"/>
    <cellStyle name="CABEÇALHO 4 4 6 3 4" xfId="6627" xr:uid="{00000000-0005-0000-0000-000065190000}"/>
    <cellStyle name="CABEÇALHO 4 4 6 3 5" xfId="7323" xr:uid="{00000000-0005-0000-0000-000066190000}"/>
    <cellStyle name="CABEÇALHO 4 4 6 3 6" xfId="11680" xr:uid="{00000000-0005-0000-0000-000067190000}"/>
    <cellStyle name="CABEÇALHO 4 4 6 4" xfId="4222" xr:uid="{00000000-0005-0000-0000-000068190000}"/>
    <cellStyle name="CABEÇALHO 4 4 6 5" xfId="7254" xr:uid="{00000000-0005-0000-0000-000069190000}"/>
    <cellStyle name="CABEÇALHO 4 4 6 6" xfId="8699" xr:uid="{00000000-0005-0000-0000-00006A190000}"/>
    <cellStyle name="CABEÇALHO 4 4 6 7" xfId="10006" xr:uid="{00000000-0005-0000-0000-00006B190000}"/>
    <cellStyle name="CABEÇALHO 4 4 6 8" xfId="11673" xr:uid="{00000000-0005-0000-0000-00006C190000}"/>
    <cellStyle name="CABEÇALHO 4 4 7" xfId="1802" xr:uid="{00000000-0005-0000-0000-00006D190000}"/>
    <cellStyle name="CABEÇALHO 4 4 7 2" xfId="4682" xr:uid="{00000000-0005-0000-0000-00006E190000}"/>
    <cellStyle name="CABEÇALHO 4 4 7 3" xfId="7213" xr:uid="{00000000-0005-0000-0000-00006F190000}"/>
    <cellStyle name="CABEÇALHO 4 4 7 4" xfId="9238" xr:uid="{00000000-0005-0000-0000-000070190000}"/>
    <cellStyle name="CABEÇALHO 4 4 7 5" xfId="8935" xr:uid="{00000000-0005-0000-0000-000071190000}"/>
    <cellStyle name="CABEÇALHO 4 4 7 6" xfId="10889" xr:uid="{00000000-0005-0000-0000-000072190000}"/>
    <cellStyle name="CABEÇALHO 4 4 8" xfId="2769" xr:uid="{00000000-0005-0000-0000-000073190000}"/>
    <cellStyle name="CABEÇALHO 4 4 8 2" xfId="5649" xr:uid="{00000000-0005-0000-0000-000074190000}"/>
    <cellStyle name="CABEÇALHO 4 4 8 3" xfId="8057" xr:uid="{00000000-0005-0000-0000-000075190000}"/>
    <cellStyle name="CABEÇALHO 4 4 8 4" xfId="6916" xr:uid="{00000000-0005-0000-0000-000076190000}"/>
    <cellStyle name="CABEÇALHO 4 4 8 5" xfId="9177" xr:uid="{00000000-0005-0000-0000-000077190000}"/>
    <cellStyle name="CABEÇALHO 4 4 8 6" xfId="11448" xr:uid="{00000000-0005-0000-0000-000078190000}"/>
    <cellStyle name="CABEÇALHO 4 4 9" xfId="3541" xr:uid="{00000000-0005-0000-0000-000079190000}"/>
    <cellStyle name="CABEÇALHO 4 5" xfId="664" xr:uid="{00000000-0005-0000-0000-00007A190000}"/>
    <cellStyle name="CABEÇALHO 4 5 10" xfId="7053" xr:uid="{00000000-0005-0000-0000-00007B190000}"/>
    <cellStyle name="CABEÇALHO 4 5 11" xfId="8776" xr:uid="{00000000-0005-0000-0000-00007C190000}"/>
    <cellStyle name="CABEÇALHO 4 5 12" xfId="9746" xr:uid="{00000000-0005-0000-0000-00007D190000}"/>
    <cellStyle name="CABEÇALHO 4 5 13" xfId="7197" xr:uid="{00000000-0005-0000-0000-00007E190000}"/>
    <cellStyle name="CABEÇALHO 4 5 2" xfId="1140" xr:uid="{00000000-0005-0000-0000-00007F190000}"/>
    <cellStyle name="CABEÇALHO 4 5 2 2" xfId="2282" xr:uid="{00000000-0005-0000-0000-000080190000}"/>
    <cellStyle name="CABEÇALHO 4 5 2 2 2" xfId="5162" xr:uid="{00000000-0005-0000-0000-000081190000}"/>
    <cellStyle name="CABEÇALHO 4 5 2 2 3" xfId="7810" xr:uid="{00000000-0005-0000-0000-000082190000}"/>
    <cellStyle name="CABEÇALHO 4 5 2 2 4" xfId="9590" xr:uid="{00000000-0005-0000-0000-000083190000}"/>
    <cellStyle name="CABEÇALHO 4 5 2 2 5" xfId="8812" xr:uid="{00000000-0005-0000-0000-000084190000}"/>
    <cellStyle name="CABEÇALHO 4 5 2 2 6" xfId="10546" xr:uid="{00000000-0005-0000-0000-000085190000}"/>
    <cellStyle name="CABEÇALHO 4 5 2 3" xfId="2700" xr:uid="{00000000-0005-0000-0000-000086190000}"/>
    <cellStyle name="CABEÇALHO 4 5 2 3 2" xfId="5580" xr:uid="{00000000-0005-0000-0000-000087190000}"/>
    <cellStyle name="CABEÇALHO 4 5 2 3 3" xfId="7813" xr:uid="{00000000-0005-0000-0000-000088190000}"/>
    <cellStyle name="CABEÇALHO 4 5 2 3 4" xfId="8619" xr:uid="{00000000-0005-0000-0000-000089190000}"/>
    <cellStyle name="CABEÇALHO 4 5 2 3 5" xfId="9015" xr:uid="{00000000-0005-0000-0000-00008A190000}"/>
    <cellStyle name="CABEÇALHO 4 5 2 3 6" xfId="11436" xr:uid="{00000000-0005-0000-0000-00008B190000}"/>
    <cellStyle name="CABEÇALHO 4 5 2 4" xfId="4020" xr:uid="{00000000-0005-0000-0000-00008C190000}"/>
    <cellStyle name="CABEÇALHO 4 5 2 5" xfId="8199" xr:uid="{00000000-0005-0000-0000-00008D190000}"/>
    <cellStyle name="CABEÇALHO 4 5 2 6" xfId="9602" xr:uid="{00000000-0005-0000-0000-00008E190000}"/>
    <cellStyle name="CABEÇALHO 4 5 2 7" xfId="8943" xr:uid="{00000000-0005-0000-0000-00008F190000}"/>
    <cellStyle name="CABEÇALHO 4 5 2 8" xfId="11234" xr:uid="{00000000-0005-0000-0000-000090190000}"/>
    <cellStyle name="CABEÇALHO 4 5 3" xfId="1241" xr:uid="{00000000-0005-0000-0000-000091190000}"/>
    <cellStyle name="CABEÇALHO 4 5 3 2" xfId="2383" xr:uid="{00000000-0005-0000-0000-000092190000}"/>
    <cellStyle name="CABEÇALHO 4 5 3 2 2" xfId="5263" xr:uid="{00000000-0005-0000-0000-000093190000}"/>
    <cellStyle name="CABEÇALHO 4 5 3 2 3" xfId="8142" xr:uid="{00000000-0005-0000-0000-000094190000}"/>
    <cellStyle name="CABEÇALHO 4 5 3 2 4" xfId="5953" xr:uid="{00000000-0005-0000-0000-000095190000}"/>
    <cellStyle name="CABEÇALHO 4 5 3 2 5" xfId="8133" xr:uid="{00000000-0005-0000-0000-000096190000}"/>
    <cellStyle name="CABEÇALHO 4 5 3 2 6" xfId="11376" xr:uid="{00000000-0005-0000-0000-000097190000}"/>
    <cellStyle name="CABEÇALHO 4 5 3 3" xfId="1438" xr:uid="{00000000-0005-0000-0000-000098190000}"/>
    <cellStyle name="CABEÇALHO 4 5 3 3 2" xfId="4318" xr:uid="{00000000-0005-0000-0000-000099190000}"/>
    <cellStyle name="CABEÇALHO 4 5 3 3 3" xfId="7853" xr:uid="{00000000-0005-0000-0000-00009A190000}"/>
    <cellStyle name="CABEÇALHO 4 5 3 3 4" xfId="9265" xr:uid="{00000000-0005-0000-0000-00009B190000}"/>
    <cellStyle name="CABEÇALHO 4 5 3 3 5" xfId="10333" xr:uid="{00000000-0005-0000-0000-00009C190000}"/>
    <cellStyle name="CABEÇALHO 4 5 3 3 6" xfId="8925" xr:uid="{00000000-0005-0000-0000-00009D190000}"/>
    <cellStyle name="CABEÇALHO 4 5 3 4" xfId="4121" xr:uid="{00000000-0005-0000-0000-00009E190000}"/>
    <cellStyle name="CABEÇALHO 4 5 3 5" xfId="2949" xr:uid="{00000000-0005-0000-0000-00009F190000}"/>
    <cellStyle name="CABEÇALHO 4 5 3 6" xfId="6366" xr:uid="{00000000-0005-0000-0000-0000A0190000}"/>
    <cellStyle name="CABEÇALHO 4 5 3 7" xfId="3113" xr:uid="{00000000-0005-0000-0000-0000A1190000}"/>
    <cellStyle name="CABEÇALHO 4 5 3 8" xfId="7921" xr:uid="{00000000-0005-0000-0000-0000A2190000}"/>
    <cellStyle name="CABEÇALHO 4 5 4" xfId="1280" xr:uid="{00000000-0005-0000-0000-0000A3190000}"/>
    <cellStyle name="CABEÇALHO 4 5 4 2" xfId="2422" xr:uid="{00000000-0005-0000-0000-0000A4190000}"/>
    <cellStyle name="CABEÇALHO 4 5 4 2 2" xfId="5302" xr:uid="{00000000-0005-0000-0000-0000A5190000}"/>
    <cellStyle name="CABEÇALHO 4 5 4 2 3" xfId="7959" xr:uid="{00000000-0005-0000-0000-0000A6190000}"/>
    <cellStyle name="CABEÇALHO 4 5 4 2 4" xfId="6349" xr:uid="{00000000-0005-0000-0000-0000A7190000}"/>
    <cellStyle name="CABEÇALHO 4 5 4 2 5" xfId="3055" xr:uid="{00000000-0005-0000-0000-0000A8190000}"/>
    <cellStyle name="CABEÇALHO 4 5 4 2 6" xfId="11323" xr:uid="{00000000-0005-0000-0000-0000A9190000}"/>
    <cellStyle name="CABEÇALHO 4 5 4 3" xfId="2851" xr:uid="{00000000-0005-0000-0000-0000AA190000}"/>
    <cellStyle name="CABEÇALHO 4 5 4 3 2" xfId="5731" xr:uid="{00000000-0005-0000-0000-0000AB190000}"/>
    <cellStyle name="CABEÇALHO 4 5 4 3 3" xfId="6657" xr:uid="{00000000-0005-0000-0000-0000AC190000}"/>
    <cellStyle name="CABEÇALHO 4 5 4 3 4" xfId="9516" xr:uid="{00000000-0005-0000-0000-0000AD190000}"/>
    <cellStyle name="CABEÇALHO 4 5 4 3 5" xfId="9694" xr:uid="{00000000-0005-0000-0000-0000AE190000}"/>
    <cellStyle name="CABEÇALHO 4 5 4 3 6" xfId="9479" xr:uid="{00000000-0005-0000-0000-0000AF190000}"/>
    <cellStyle name="CABEÇALHO 4 5 4 4" xfId="4160" xr:uid="{00000000-0005-0000-0000-0000B0190000}"/>
    <cellStyle name="CABEÇALHO 4 5 4 5" xfId="5777" xr:uid="{00000000-0005-0000-0000-0000B1190000}"/>
    <cellStyle name="CABEÇALHO 4 5 4 6" xfId="7058" xr:uid="{00000000-0005-0000-0000-0000B2190000}"/>
    <cellStyle name="CABEÇALHO 4 5 4 7" xfId="5867" xr:uid="{00000000-0005-0000-0000-0000B3190000}"/>
    <cellStyle name="CABEÇALHO 4 5 4 8" xfId="9872" xr:uid="{00000000-0005-0000-0000-0000B4190000}"/>
    <cellStyle name="CABEÇALHO 4 5 5" xfId="1313" xr:uid="{00000000-0005-0000-0000-0000B5190000}"/>
    <cellStyle name="CABEÇALHO 4 5 5 2" xfId="2455" xr:uid="{00000000-0005-0000-0000-0000B6190000}"/>
    <cellStyle name="CABEÇALHO 4 5 5 2 2" xfId="5335" xr:uid="{00000000-0005-0000-0000-0000B7190000}"/>
    <cellStyle name="CABEÇALHO 4 5 5 2 3" xfId="7894" xr:uid="{00000000-0005-0000-0000-0000B8190000}"/>
    <cellStyle name="CABEÇALHO 4 5 5 2 4" xfId="6026" xr:uid="{00000000-0005-0000-0000-0000B9190000}"/>
    <cellStyle name="CABEÇALHO 4 5 5 2 5" xfId="9150" xr:uid="{00000000-0005-0000-0000-0000BA190000}"/>
    <cellStyle name="CABEÇALHO 4 5 5 2 6" xfId="7968" xr:uid="{00000000-0005-0000-0000-0000BB190000}"/>
    <cellStyle name="CABEÇALHO 4 5 5 3" xfId="2545" xr:uid="{00000000-0005-0000-0000-0000BC190000}"/>
    <cellStyle name="CABEÇALHO 4 5 5 3 2" xfId="5425" xr:uid="{00000000-0005-0000-0000-0000BD190000}"/>
    <cellStyle name="CABEÇALHO 4 5 5 3 3" xfId="6802" xr:uid="{00000000-0005-0000-0000-0000BE190000}"/>
    <cellStyle name="CABEÇALHO 4 5 5 3 4" xfId="8709" xr:uid="{00000000-0005-0000-0000-0000BF190000}"/>
    <cellStyle name="CABEÇALHO 4 5 5 3 5" xfId="10402" xr:uid="{00000000-0005-0000-0000-0000C0190000}"/>
    <cellStyle name="CABEÇALHO 4 5 5 3 6" xfId="9892" xr:uid="{00000000-0005-0000-0000-0000C1190000}"/>
    <cellStyle name="CABEÇALHO 4 5 5 4" xfId="4193" xr:uid="{00000000-0005-0000-0000-0000C2190000}"/>
    <cellStyle name="CABEÇALHO 4 5 5 5" xfId="7708" xr:uid="{00000000-0005-0000-0000-0000C3190000}"/>
    <cellStyle name="CABEÇALHO 4 5 5 6" xfId="9129" xr:uid="{00000000-0005-0000-0000-0000C4190000}"/>
    <cellStyle name="CABEÇALHO 4 5 5 7" xfId="8864" xr:uid="{00000000-0005-0000-0000-0000C5190000}"/>
    <cellStyle name="CABEÇALHO 4 5 5 8" xfId="11555" xr:uid="{00000000-0005-0000-0000-0000C6190000}"/>
    <cellStyle name="CABEÇALHO 4 5 6" xfId="1345" xr:uid="{00000000-0005-0000-0000-0000C7190000}"/>
    <cellStyle name="CABEÇALHO 4 5 6 2" xfId="2487" xr:uid="{00000000-0005-0000-0000-0000C8190000}"/>
    <cellStyle name="CABEÇALHO 4 5 6 2 2" xfId="5367" xr:uid="{00000000-0005-0000-0000-0000C9190000}"/>
    <cellStyle name="CABEÇALHO 4 5 6 2 3" xfId="6114" xr:uid="{00000000-0005-0000-0000-0000CA190000}"/>
    <cellStyle name="CABEÇALHO 4 5 6 2 4" xfId="8648" xr:uid="{00000000-0005-0000-0000-0000CB190000}"/>
    <cellStyle name="CABEÇALHO 4 5 6 2 5" xfId="10425" xr:uid="{00000000-0005-0000-0000-0000CC190000}"/>
    <cellStyle name="CABEÇALHO 4 5 6 2 6" xfId="11631" xr:uid="{00000000-0005-0000-0000-0000CD190000}"/>
    <cellStyle name="CABEÇALHO 4 5 6 3" xfId="2882" xr:uid="{00000000-0005-0000-0000-0000CE190000}"/>
    <cellStyle name="CABEÇALHO 4 5 6 3 2" xfId="5762" xr:uid="{00000000-0005-0000-0000-0000CF190000}"/>
    <cellStyle name="CABEÇALHO 4 5 6 3 3" xfId="3163" xr:uid="{00000000-0005-0000-0000-0000D0190000}"/>
    <cellStyle name="CABEÇALHO 4 5 6 3 4" xfId="7979" xr:uid="{00000000-0005-0000-0000-0000D1190000}"/>
    <cellStyle name="CABEÇALHO 4 5 6 3 5" xfId="9121" xr:uid="{00000000-0005-0000-0000-0000D2190000}"/>
    <cellStyle name="CABEÇALHO 4 5 6 3 6" xfId="11683" xr:uid="{00000000-0005-0000-0000-0000D3190000}"/>
    <cellStyle name="CABEÇALHO 4 5 6 4" xfId="4225" xr:uid="{00000000-0005-0000-0000-0000D4190000}"/>
    <cellStyle name="CABEÇALHO 4 5 6 5" xfId="7438" xr:uid="{00000000-0005-0000-0000-0000D5190000}"/>
    <cellStyle name="CABEÇALHO 4 5 6 6" xfId="8874" xr:uid="{00000000-0005-0000-0000-0000D6190000}"/>
    <cellStyle name="CABEÇALHO 4 5 6 7" xfId="10040" xr:uid="{00000000-0005-0000-0000-0000D7190000}"/>
    <cellStyle name="CABEÇALHO 4 5 6 8" xfId="10285" xr:uid="{00000000-0005-0000-0000-0000D8190000}"/>
    <cellStyle name="CABEÇALHO 4 5 7" xfId="1805" xr:uid="{00000000-0005-0000-0000-0000D9190000}"/>
    <cellStyle name="CABEÇALHO 4 5 7 2" xfId="4685" xr:uid="{00000000-0005-0000-0000-0000DA190000}"/>
    <cellStyle name="CABEÇALHO 4 5 7 3" xfId="7710" xr:uid="{00000000-0005-0000-0000-0000DB190000}"/>
    <cellStyle name="CABEÇALHO 4 5 7 4" xfId="9576" xr:uid="{00000000-0005-0000-0000-0000DC190000}"/>
    <cellStyle name="CABEÇALHO 4 5 7 5" xfId="10522" xr:uid="{00000000-0005-0000-0000-0000DD190000}"/>
    <cellStyle name="CABEÇALHO 4 5 7 6" xfId="11459" xr:uid="{00000000-0005-0000-0000-0000DE190000}"/>
    <cellStyle name="CABEÇALHO 4 5 8" xfId="1450" xr:uid="{00000000-0005-0000-0000-0000DF190000}"/>
    <cellStyle name="CABEÇALHO 4 5 8 2" xfId="4330" xr:uid="{00000000-0005-0000-0000-0000E0190000}"/>
    <cellStyle name="CABEÇALHO 4 5 8 3" xfId="7307" xr:uid="{00000000-0005-0000-0000-0000E1190000}"/>
    <cellStyle name="CABEÇALHO 4 5 8 4" xfId="8750" xr:uid="{00000000-0005-0000-0000-0000E2190000}"/>
    <cellStyle name="CABEÇALHO 4 5 8 5" xfId="10366" xr:uid="{00000000-0005-0000-0000-0000E3190000}"/>
    <cellStyle name="CABEÇALHO 4 5 8 6" xfId="7276" xr:uid="{00000000-0005-0000-0000-0000E4190000}"/>
    <cellStyle name="CABEÇALHO 4 5 9" xfId="3544" xr:uid="{00000000-0005-0000-0000-0000E5190000}"/>
    <cellStyle name="CABEÇALHO 4 6" xfId="505" xr:uid="{00000000-0005-0000-0000-0000E6190000}"/>
    <cellStyle name="CABEÇALHO 4 6 10" xfId="5785" xr:uid="{00000000-0005-0000-0000-0000E7190000}"/>
    <cellStyle name="CABEÇALHO 4 6 11" xfId="6917" xr:uid="{00000000-0005-0000-0000-0000E8190000}"/>
    <cellStyle name="CABEÇALHO 4 6 12" xfId="6019" xr:uid="{00000000-0005-0000-0000-0000E9190000}"/>
    <cellStyle name="CABEÇALHO 4 6 13" xfId="11476" xr:uid="{00000000-0005-0000-0000-0000EA190000}"/>
    <cellStyle name="CABEÇALHO 4 6 2" xfId="981" xr:uid="{00000000-0005-0000-0000-0000EB190000}"/>
    <cellStyle name="CABEÇALHO 4 6 2 2" xfId="2123" xr:uid="{00000000-0005-0000-0000-0000EC190000}"/>
    <cellStyle name="CABEÇALHO 4 6 2 2 2" xfId="5003" xr:uid="{00000000-0005-0000-0000-0000ED190000}"/>
    <cellStyle name="CABEÇALHO 4 6 2 2 3" xfId="8144" xr:uid="{00000000-0005-0000-0000-0000EE190000}"/>
    <cellStyle name="CABEÇALHO 4 6 2 2 4" xfId="7268" xr:uid="{00000000-0005-0000-0000-0000EF190000}"/>
    <cellStyle name="CABEÇALHO 4 6 2 2 5" xfId="10714" xr:uid="{00000000-0005-0000-0000-0000F0190000}"/>
    <cellStyle name="CABEÇALHO 4 6 2 2 6" xfId="11143" xr:uid="{00000000-0005-0000-0000-0000F1190000}"/>
    <cellStyle name="CABEÇALHO 4 6 2 3" xfId="2567" xr:uid="{00000000-0005-0000-0000-0000F2190000}"/>
    <cellStyle name="CABEÇALHO 4 6 2 3 2" xfId="5447" xr:uid="{00000000-0005-0000-0000-0000F3190000}"/>
    <cellStyle name="CABEÇALHO 4 6 2 3 3" xfId="7593" xr:uid="{00000000-0005-0000-0000-0000F4190000}"/>
    <cellStyle name="CABEÇALHO 4 6 2 3 4" xfId="7573" xr:uid="{00000000-0005-0000-0000-0000F5190000}"/>
    <cellStyle name="CABEÇALHO 4 6 2 3 5" xfId="8172" xr:uid="{00000000-0005-0000-0000-0000F6190000}"/>
    <cellStyle name="CABEÇALHO 4 6 2 3 6" xfId="9938" xr:uid="{00000000-0005-0000-0000-0000F7190000}"/>
    <cellStyle name="CABEÇALHO 4 6 2 4" xfId="3861" xr:uid="{00000000-0005-0000-0000-0000F8190000}"/>
    <cellStyle name="CABEÇALHO 4 6 2 5" xfId="6959" xr:uid="{00000000-0005-0000-0000-0000F9190000}"/>
    <cellStyle name="CABEÇALHO 4 6 2 6" xfId="6955" xr:uid="{00000000-0005-0000-0000-0000FA190000}"/>
    <cellStyle name="CABEÇALHO 4 6 2 7" xfId="10248" xr:uid="{00000000-0005-0000-0000-0000FB190000}"/>
    <cellStyle name="CABEÇALHO 4 6 2 8" xfId="10856" xr:uid="{00000000-0005-0000-0000-0000FC190000}"/>
    <cellStyle name="CABEÇALHO 4 6 3" xfId="689" xr:uid="{00000000-0005-0000-0000-0000FD190000}"/>
    <cellStyle name="CABEÇALHO 4 6 3 2" xfId="1831" xr:uid="{00000000-0005-0000-0000-0000FE190000}"/>
    <cellStyle name="CABEÇALHO 4 6 3 2 2" xfId="4711" xr:uid="{00000000-0005-0000-0000-0000FF190000}"/>
    <cellStyle name="CABEÇALHO 4 6 3 2 3" xfId="8102" xr:uid="{00000000-0005-0000-0000-0000001A0000}"/>
    <cellStyle name="CABEÇALHO 4 6 3 2 4" xfId="5899" xr:uid="{00000000-0005-0000-0000-0000011A0000}"/>
    <cellStyle name="CABEÇALHO 4 6 3 2 5" xfId="8592" xr:uid="{00000000-0005-0000-0000-0000021A0000}"/>
    <cellStyle name="CABEÇALHO 4 6 3 2 6" xfId="11422" xr:uid="{00000000-0005-0000-0000-0000031A0000}"/>
    <cellStyle name="CABEÇALHO 4 6 3 3" xfId="2723" xr:uid="{00000000-0005-0000-0000-0000041A0000}"/>
    <cellStyle name="CABEÇALHO 4 6 3 3 2" xfId="5603" xr:uid="{00000000-0005-0000-0000-0000051A0000}"/>
    <cellStyle name="CABEÇALHO 4 6 3 3 3" xfId="8016" xr:uid="{00000000-0005-0000-0000-0000061A0000}"/>
    <cellStyle name="CABEÇALHO 4 6 3 3 4" xfId="9192" xr:uid="{00000000-0005-0000-0000-0000071A0000}"/>
    <cellStyle name="CABEÇALHO 4 6 3 3 5" xfId="10508" xr:uid="{00000000-0005-0000-0000-0000081A0000}"/>
    <cellStyle name="CABEÇALHO 4 6 3 3 6" xfId="7721" xr:uid="{00000000-0005-0000-0000-0000091A0000}"/>
    <cellStyle name="CABEÇALHO 4 6 3 4" xfId="3569" xr:uid="{00000000-0005-0000-0000-00000A1A0000}"/>
    <cellStyle name="CABEÇALHO 4 6 3 5" xfId="7567" xr:uid="{00000000-0005-0000-0000-00000B1A0000}"/>
    <cellStyle name="CABEÇALHO 4 6 3 6" xfId="6460" xr:uid="{00000000-0005-0000-0000-00000C1A0000}"/>
    <cellStyle name="CABEÇALHO 4 6 3 7" xfId="10174" xr:uid="{00000000-0005-0000-0000-00000D1A0000}"/>
    <cellStyle name="CABEÇALHO 4 6 3 8" xfId="9915" xr:uid="{00000000-0005-0000-0000-00000E1A0000}"/>
    <cellStyle name="CABEÇALHO 4 6 4" xfId="1153" xr:uid="{00000000-0005-0000-0000-00000F1A0000}"/>
    <cellStyle name="CABEÇALHO 4 6 4 2" xfId="2295" xr:uid="{00000000-0005-0000-0000-0000101A0000}"/>
    <cellStyle name="CABEÇALHO 4 6 4 2 2" xfId="5175" xr:uid="{00000000-0005-0000-0000-0000111A0000}"/>
    <cellStyle name="CABEÇALHO 4 6 4 2 3" xfId="6536" xr:uid="{00000000-0005-0000-0000-0000121A0000}"/>
    <cellStyle name="CABEÇALHO 4 6 4 2 4" xfId="9035" xr:uid="{00000000-0005-0000-0000-0000131A0000}"/>
    <cellStyle name="CABEÇALHO 4 6 4 2 5" xfId="10079" xr:uid="{00000000-0005-0000-0000-0000141A0000}"/>
    <cellStyle name="CABEÇALHO 4 6 4 2 6" xfId="10204" xr:uid="{00000000-0005-0000-0000-0000151A0000}"/>
    <cellStyle name="CABEÇALHO 4 6 4 3" xfId="2824" xr:uid="{00000000-0005-0000-0000-0000161A0000}"/>
    <cellStyle name="CABEÇALHO 4 6 4 3 2" xfId="5704" xr:uid="{00000000-0005-0000-0000-0000171A0000}"/>
    <cellStyle name="CABEÇALHO 4 6 4 3 3" xfId="7028" xr:uid="{00000000-0005-0000-0000-0000181A0000}"/>
    <cellStyle name="CABEÇALHO 4 6 4 3 4" xfId="7393" xr:uid="{00000000-0005-0000-0000-0000191A0000}"/>
    <cellStyle name="CABEÇALHO 4 6 4 3 5" xfId="10614" xr:uid="{00000000-0005-0000-0000-00001A1A0000}"/>
    <cellStyle name="CABEÇALHO 4 6 4 3 6" xfId="11576" xr:uid="{00000000-0005-0000-0000-00001B1A0000}"/>
    <cellStyle name="CABEÇALHO 4 6 4 4" xfId="4033" xr:uid="{00000000-0005-0000-0000-00001C1A0000}"/>
    <cellStyle name="CABEÇALHO 4 6 4 5" xfId="6799" xr:uid="{00000000-0005-0000-0000-00001D1A0000}"/>
    <cellStyle name="CABEÇALHO 4 6 4 6" xfId="8268" xr:uid="{00000000-0005-0000-0000-00001E1A0000}"/>
    <cellStyle name="CABEÇALHO 4 6 4 7" xfId="6465" xr:uid="{00000000-0005-0000-0000-00001F1A0000}"/>
    <cellStyle name="CABEÇALHO 4 6 4 8" xfId="9359" xr:uid="{00000000-0005-0000-0000-0000201A0000}"/>
    <cellStyle name="CABEÇALHO 4 6 5" xfId="723" xr:uid="{00000000-0005-0000-0000-0000211A0000}"/>
    <cellStyle name="CABEÇALHO 4 6 5 2" xfId="1865" xr:uid="{00000000-0005-0000-0000-0000221A0000}"/>
    <cellStyle name="CABEÇALHO 4 6 5 2 2" xfId="4745" xr:uid="{00000000-0005-0000-0000-0000231A0000}"/>
    <cellStyle name="CABEÇALHO 4 6 5 2 3" xfId="6821" xr:uid="{00000000-0005-0000-0000-0000241A0000}"/>
    <cellStyle name="CABEÇALHO 4 6 5 2 4" xfId="6947" xr:uid="{00000000-0005-0000-0000-0000251A0000}"/>
    <cellStyle name="CABEÇALHO 4 6 5 2 5" xfId="8443" xr:uid="{00000000-0005-0000-0000-0000261A0000}"/>
    <cellStyle name="CABEÇALHO 4 6 5 2 6" xfId="7459" xr:uid="{00000000-0005-0000-0000-0000271A0000}"/>
    <cellStyle name="CABEÇALHO 4 6 5 3" xfId="2542" xr:uid="{00000000-0005-0000-0000-0000281A0000}"/>
    <cellStyle name="CABEÇALHO 4 6 5 3 2" xfId="5422" xr:uid="{00000000-0005-0000-0000-0000291A0000}"/>
    <cellStyle name="CABEÇALHO 4 6 5 3 3" xfId="7944" xr:uid="{00000000-0005-0000-0000-00002A1A0000}"/>
    <cellStyle name="CABEÇALHO 4 6 5 3 4" xfId="9109" xr:uid="{00000000-0005-0000-0000-00002B1A0000}"/>
    <cellStyle name="CABEÇALHO 4 6 5 3 5" xfId="10410" xr:uid="{00000000-0005-0000-0000-00002C1A0000}"/>
    <cellStyle name="CABEÇALHO 4 6 5 3 6" xfId="11666" xr:uid="{00000000-0005-0000-0000-00002D1A0000}"/>
    <cellStyle name="CABEÇALHO 4 6 5 4" xfId="3603" xr:uid="{00000000-0005-0000-0000-00002E1A0000}"/>
    <cellStyle name="CABEÇALHO 4 6 5 5" xfId="7565" xr:uid="{00000000-0005-0000-0000-00002F1A0000}"/>
    <cellStyle name="CABEÇALHO 4 6 5 6" xfId="7636" xr:uid="{00000000-0005-0000-0000-0000301A0000}"/>
    <cellStyle name="CABEÇALHO 4 6 5 7" xfId="10172" xr:uid="{00000000-0005-0000-0000-0000311A0000}"/>
    <cellStyle name="CABEÇALHO 4 6 5 8" xfId="11233" xr:uid="{00000000-0005-0000-0000-0000321A0000}"/>
    <cellStyle name="CABEÇALHO 4 6 6" xfId="1178" xr:uid="{00000000-0005-0000-0000-0000331A0000}"/>
    <cellStyle name="CABEÇALHO 4 6 6 2" xfId="2320" xr:uid="{00000000-0005-0000-0000-0000341A0000}"/>
    <cellStyle name="CABEÇALHO 4 6 6 2 2" xfId="5200" xr:uid="{00000000-0005-0000-0000-0000351A0000}"/>
    <cellStyle name="CABEÇALHO 4 6 6 2 3" xfId="6819" xr:uid="{00000000-0005-0000-0000-0000361A0000}"/>
    <cellStyle name="CABEÇALHO 4 6 6 2 4" xfId="7375" xr:uid="{00000000-0005-0000-0000-0000371A0000}"/>
    <cellStyle name="CABEÇALHO 4 6 6 2 5" xfId="9952" xr:uid="{00000000-0005-0000-0000-0000381A0000}"/>
    <cellStyle name="CABEÇALHO 4 6 6 2 6" xfId="11279" xr:uid="{00000000-0005-0000-0000-0000391A0000}"/>
    <cellStyle name="CABEÇALHO 4 6 6 3" xfId="2797" xr:uid="{00000000-0005-0000-0000-00003A1A0000}"/>
    <cellStyle name="CABEÇALHO 4 6 6 3 2" xfId="5677" xr:uid="{00000000-0005-0000-0000-00003B1A0000}"/>
    <cellStyle name="CABEÇALHO 4 6 6 3 3" xfId="6613" xr:uid="{00000000-0005-0000-0000-00003C1A0000}"/>
    <cellStyle name="CABEÇALHO 4 6 6 3 4" xfId="9271" xr:uid="{00000000-0005-0000-0000-00003D1A0000}"/>
    <cellStyle name="CABEÇALHO 4 6 6 3 5" xfId="10803" xr:uid="{00000000-0005-0000-0000-00003E1A0000}"/>
    <cellStyle name="CABEÇALHO 4 6 6 3 6" xfId="11360" xr:uid="{00000000-0005-0000-0000-00003F1A0000}"/>
    <cellStyle name="CABEÇALHO 4 6 6 4" xfId="4058" xr:uid="{00000000-0005-0000-0000-0000401A0000}"/>
    <cellStyle name="CABEÇALHO 4 6 6 5" xfId="8196" xr:uid="{00000000-0005-0000-0000-0000411A0000}"/>
    <cellStyle name="CABEÇALHO 4 6 6 6" xfId="9599" xr:uid="{00000000-0005-0000-0000-0000421A0000}"/>
    <cellStyle name="CABEÇALHO 4 6 6 7" xfId="8406" xr:uid="{00000000-0005-0000-0000-0000431A0000}"/>
    <cellStyle name="CABEÇALHO 4 6 6 8" xfId="10272" xr:uid="{00000000-0005-0000-0000-0000441A0000}"/>
    <cellStyle name="CABEÇALHO 4 6 7" xfId="1646" xr:uid="{00000000-0005-0000-0000-0000451A0000}"/>
    <cellStyle name="CABEÇALHO 4 6 7 2" xfId="4526" xr:uid="{00000000-0005-0000-0000-0000461A0000}"/>
    <cellStyle name="CABEÇALHO 4 6 7 3" xfId="6118" xr:uid="{00000000-0005-0000-0000-0000471A0000}"/>
    <cellStyle name="CABEÇALHO 4 6 7 4" xfId="5795" xr:uid="{00000000-0005-0000-0000-0000481A0000}"/>
    <cellStyle name="CABEÇALHO 4 6 7 5" xfId="8342" xr:uid="{00000000-0005-0000-0000-0000491A0000}"/>
    <cellStyle name="CABEÇALHO 4 6 7 6" xfId="7553" xr:uid="{00000000-0005-0000-0000-00004A1A0000}"/>
    <cellStyle name="CABEÇALHO 4 6 8" xfId="2749" xr:uid="{00000000-0005-0000-0000-00004B1A0000}"/>
    <cellStyle name="CABEÇALHO 4 6 8 2" xfId="5629" xr:uid="{00000000-0005-0000-0000-00004C1A0000}"/>
    <cellStyle name="CABEÇALHO 4 6 8 3" xfId="6359" xr:uid="{00000000-0005-0000-0000-00004D1A0000}"/>
    <cellStyle name="CABEÇALHO 4 6 8 4" xfId="8248" xr:uid="{00000000-0005-0000-0000-00004E1A0000}"/>
    <cellStyle name="CABEÇALHO 4 6 8 5" xfId="9693" xr:uid="{00000000-0005-0000-0000-00004F1A0000}"/>
    <cellStyle name="CABEÇALHO 4 6 8 6" xfId="10545" xr:uid="{00000000-0005-0000-0000-0000501A0000}"/>
    <cellStyle name="CABEÇALHO 4 6 9" xfId="3385" xr:uid="{00000000-0005-0000-0000-0000511A0000}"/>
    <cellStyle name="CABEÇALHO 4 7" xfId="638" xr:uid="{00000000-0005-0000-0000-0000521A0000}"/>
    <cellStyle name="CABEÇALHO 4 7 10" xfId="6496" xr:uid="{00000000-0005-0000-0000-0000531A0000}"/>
    <cellStyle name="CABEÇALHO 4 7 11" xfId="8580" xr:uid="{00000000-0005-0000-0000-0000541A0000}"/>
    <cellStyle name="CABEÇALHO 4 7 12" xfId="8477" xr:uid="{00000000-0005-0000-0000-0000551A0000}"/>
    <cellStyle name="CABEÇALHO 4 7 13" xfId="11534" xr:uid="{00000000-0005-0000-0000-0000561A0000}"/>
    <cellStyle name="CABEÇALHO 4 7 2" xfId="1114" xr:uid="{00000000-0005-0000-0000-0000571A0000}"/>
    <cellStyle name="CABEÇALHO 4 7 2 2" xfId="2256" xr:uid="{00000000-0005-0000-0000-0000581A0000}"/>
    <cellStyle name="CABEÇALHO 4 7 2 2 2" xfId="5136" xr:uid="{00000000-0005-0000-0000-0000591A0000}"/>
    <cellStyle name="CABEÇALHO 4 7 2 2 3" xfId="6113" xr:uid="{00000000-0005-0000-0000-00005A1A0000}"/>
    <cellStyle name="CABEÇALHO 4 7 2 2 4" xfId="8647" xr:uid="{00000000-0005-0000-0000-00005B1A0000}"/>
    <cellStyle name="CABEÇALHO 4 7 2 2 5" xfId="10353" xr:uid="{00000000-0005-0000-0000-00005C1A0000}"/>
    <cellStyle name="CABEÇALHO 4 7 2 2 6" xfId="9939" xr:uid="{00000000-0005-0000-0000-00005D1A0000}"/>
    <cellStyle name="CABEÇALHO 4 7 2 3" xfId="2655" xr:uid="{00000000-0005-0000-0000-00005E1A0000}"/>
    <cellStyle name="CABEÇALHO 4 7 2 3 2" xfId="5535" xr:uid="{00000000-0005-0000-0000-00005F1A0000}"/>
    <cellStyle name="CABEÇALHO 4 7 2 3 3" xfId="6204" xr:uid="{00000000-0005-0000-0000-0000601A0000}"/>
    <cellStyle name="CABEÇALHO 4 7 2 3 4" xfId="9413" xr:uid="{00000000-0005-0000-0000-0000611A0000}"/>
    <cellStyle name="CABEÇALHO 4 7 2 3 5" xfId="10589" xr:uid="{00000000-0005-0000-0000-0000621A0000}"/>
    <cellStyle name="CABEÇALHO 4 7 2 3 6" xfId="10863" xr:uid="{00000000-0005-0000-0000-0000631A0000}"/>
    <cellStyle name="CABEÇALHO 4 7 2 4" xfId="3994" xr:uid="{00000000-0005-0000-0000-0000641A0000}"/>
    <cellStyle name="CABEÇALHO 4 7 2 5" xfId="3211" xr:uid="{00000000-0005-0000-0000-0000651A0000}"/>
    <cellStyle name="CABEÇALHO 4 7 2 6" xfId="5923" xr:uid="{00000000-0005-0000-0000-0000661A0000}"/>
    <cellStyle name="CABEÇALHO 4 7 2 7" xfId="8963" xr:uid="{00000000-0005-0000-0000-0000671A0000}"/>
    <cellStyle name="CABEÇALHO 4 7 2 8" xfId="11218" xr:uid="{00000000-0005-0000-0000-0000681A0000}"/>
    <cellStyle name="CABEÇALHO 4 7 3" xfId="1186" xr:uid="{00000000-0005-0000-0000-0000691A0000}"/>
    <cellStyle name="CABEÇALHO 4 7 3 2" xfId="2328" xr:uid="{00000000-0005-0000-0000-00006A1A0000}"/>
    <cellStyle name="CABEÇALHO 4 7 3 2 2" xfId="5208" xr:uid="{00000000-0005-0000-0000-00006B1A0000}"/>
    <cellStyle name="CABEÇALHO 4 7 3 2 3" xfId="6197" xr:uid="{00000000-0005-0000-0000-00006C1A0000}"/>
    <cellStyle name="CABEÇALHO 4 7 3 2 4" xfId="8727" xr:uid="{00000000-0005-0000-0000-00006D1A0000}"/>
    <cellStyle name="CABEÇALHO 4 7 3 2 5" xfId="10442" xr:uid="{00000000-0005-0000-0000-00006E1A0000}"/>
    <cellStyle name="CABEÇALHO 4 7 3 2 6" xfId="9782" xr:uid="{00000000-0005-0000-0000-00006F1A0000}"/>
    <cellStyle name="CABEÇALHO 4 7 3 3" xfId="2735" xr:uid="{00000000-0005-0000-0000-0000701A0000}"/>
    <cellStyle name="CABEÇALHO 4 7 3 3 2" xfId="5615" xr:uid="{00000000-0005-0000-0000-0000711A0000}"/>
    <cellStyle name="CABEÇALHO 4 7 3 3 3" xfId="6790" xr:uid="{00000000-0005-0000-0000-0000721A0000}"/>
    <cellStyle name="CABEÇALHO 4 7 3 3 4" xfId="9557" xr:uid="{00000000-0005-0000-0000-0000731A0000}"/>
    <cellStyle name="CABEÇALHO 4 7 3 3 5" xfId="10336" xr:uid="{00000000-0005-0000-0000-0000741A0000}"/>
    <cellStyle name="CABEÇALHO 4 7 3 3 6" xfId="8540" xr:uid="{00000000-0005-0000-0000-0000751A0000}"/>
    <cellStyle name="CABEÇALHO 4 7 3 4" xfId="4066" xr:uid="{00000000-0005-0000-0000-0000761A0000}"/>
    <cellStyle name="CABEÇALHO 4 7 3 5" xfId="3069" xr:uid="{00000000-0005-0000-0000-0000771A0000}"/>
    <cellStyle name="CABEÇALHO 4 7 3 6" xfId="7096" xr:uid="{00000000-0005-0000-0000-0000781A0000}"/>
    <cellStyle name="CABEÇALHO 4 7 3 7" xfId="5860" xr:uid="{00000000-0005-0000-0000-0000791A0000}"/>
    <cellStyle name="CABEÇALHO 4 7 3 8" xfId="10949" xr:uid="{00000000-0005-0000-0000-00007A1A0000}"/>
    <cellStyle name="CABEÇALHO 4 7 4" xfId="1254" xr:uid="{00000000-0005-0000-0000-00007B1A0000}"/>
    <cellStyle name="CABEÇALHO 4 7 4 2" xfId="2396" xr:uid="{00000000-0005-0000-0000-00007C1A0000}"/>
    <cellStyle name="CABEÇALHO 4 7 4 2 2" xfId="5276" xr:uid="{00000000-0005-0000-0000-00007D1A0000}"/>
    <cellStyle name="CABEÇALHO 4 7 4 2 3" xfId="7766" xr:uid="{00000000-0005-0000-0000-00007E1A0000}"/>
    <cellStyle name="CABEÇALHO 4 7 4 2 4" xfId="8332" xr:uid="{00000000-0005-0000-0000-00007F1A0000}"/>
    <cellStyle name="CABEÇALHO 4 7 4 2 5" xfId="10765" xr:uid="{00000000-0005-0000-0000-0000801A0000}"/>
    <cellStyle name="CABEÇALHO 4 7 4 2 6" xfId="8347" xr:uid="{00000000-0005-0000-0000-0000811A0000}"/>
    <cellStyle name="CABEÇALHO 4 7 4 3" xfId="2660" xr:uid="{00000000-0005-0000-0000-0000821A0000}"/>
    <cellStyle name="CABEÇALHO 4 7 4 3 2" xfId="5540" xr:uid="{00000000-0005-0000-0000-0000831A0000}"/>
    <cellStyle name="CABEÇALHO 4 7 4 3 3" xfId="8002" xr:uid="{00000000-0005-0000-0000-0000841A0000}"/>
    <cellStyle name="CABEÇALHO 4 7 4 3 4" xfId="7000" xr:uid="{00000000-0005-0000-0000-0000851A0000}"/>
    <cellStyle name="CABEÇALHO 4 7 4 3 5" xfId="6422" xr:uid="{00000000-0005-0000-0000-0000861A0000}"/>
    <cellStyle name="CABEÇALHO 4 7 4 3 6" xfId="11133" xr:uid="{00000000-0005-0000-0000-0000871A0000}"/>
    <cellStyle name="CABEÇALHO 4 7 4 4" xfId="4134" xr:uid="{00000000-0005-0000-0000-0000881A0000}"/>
    <cellStyle name="CABEÇALHO 4 7 4 5" xfId="3105" xr:uid="{00000000-0005-0000-0000-0000891A0000}"/>
    <cellStyle name="CABEÇALHO 4 7 4 6" xfId="7043" xr:uid="{00000000-0005-0000-0000-00008A1A0000}"/>
    <cellStyle name="CABEÇALHO 4 7 4 7" xfId="7044" xr:uid="{00000000-0005-0000-0000-00008B1A0000}"/>
    <cellStyle name="CABEÇALHO 4 7 4 8" xfId="11445" xr:uid="{00000000-0005-0000-0000-00008C1A0000}"/>
    <cellStyle name="CABEÇALHO 4 7 5" xfId="1287" xr:uid="{00000000-0005-0000-0000-00008D1A0000}"/>
    <cellStyle name="CABEÇALHO 4 7 5 2" xfId="2429" xr:uid="{00000000-0005-0000-0000-00008E1A0000}"/>
    <cellStyle name="CABEÇALHO 4 7 5 2 2" xfId="5309" xr:uid="{00000000-0005-0000-0000-00008F1A0000}"/>
    <cellStyle name="CABEÇALHO 4 7 5 2 3" xfId="7790" xr:uid="{00000000-0005-0000-0000-0000901A0000}"/>
    <cellStyle name="CABEÇALHO 4 7 5 2 4" xfId="8287" xr:uid="{00000000-0005-0000-0000-0000911A0000}"/>
    <cellStyle name="CABEÇALHO 4 7 5 2 5" xfId="6274" xr:uid="{00000000-0005-0000-0000-0000921A0000}"/>
    <cellStyle name="CABEÇALHO 4 7 5 2 6" xfId="8801" xr:uid="{00000000-0005-0000-0000-0000931A0000}"/>
    <cellStyle name="CABEÇALHO 4 7 5 3" xfId="2805" xr:uid="{00000000-0005-0000-0000-0000941A0000}"/>
    <cellStyle name="CABEÇALHO 4 7 5 3 2" xfId="5685" xr:uid="{00000000-0005-0000-0000-0000951A0000}"/>
    <cellStyle name="CABEÇALHO 4 7 5 3 3" xfId="8064" xr:uid="{00000000-0005-0000-0000-0000961A0000}"/>
    <cellStyle name="CABEÇALHO 4 7 5 3 4" xfId="2953" xr:uid="{00000000-0005-0000-0000-0000971A0000}"/>
    <cellStyle name="CABEÇALHO 4 7 5 3 5" xfId="9255" xr:uid="{00000000-0005-0000-0000-0000981A0000}"/>
    <cellStyle name="CABEÇALHO 4 7 5 3 6" xfId="7333" xr:uid="{00000000-0005-0000-0000-0000991A0000}"/>
    <cellStyle name="CABEÇALHO 4 7 5 4" xfId="4167" xr:uid="{00000000-0005-0000-0000-00009A1A0000}"/>
    <cellStyle name="CABEÇALHO 4 7 5 5" xfId="3033" xr:uid="{00000000-0005-0000-0000-00009B1A0000}"/>
    <cellStyle name="CABEÇALHO 4 7 5 6" xfId="8143" xr:uid="{00000000-0005-0000-0000-00009C1A0000}"/>
    <cellStyle name="CABEÇALHO 4 7 5 7" xfId="9448" xr:uid="{00000000-0005-0000-0000-00009D1A0000}"/>
    <cellStyle name="CABEÇALHO 4 7 5 8" xfId="11296" xr:uid="{00000000-0005-0000-0000-00009E1A0000}"/>
    <cellStyle name="CABEÇALHO 4 7 6" xfId="1319" xr:uid="{00000000-0005-0000-0000-00009F1A0000}"/>
    <cellStyle name="CABEÇALHO 4 7 6 2" xfId="2461" xr:uid="{00000000-0005-0000-0000-0000A01A0000}"/>
    <cellStyle name="CABEÇALHO 4 7 6 2 2" xfId="5341" xr:uid="{00000000-0005-0000-0000-0000A11A0000}"/>
    <cellStyle name="CABEÇALHO 4 7 6 2 3" xfId="5939" xr:uid="{00000000-0005-0000-0000-0000A21A0000}"/>
    <cellStyle name="CABEÇALHO 4 7 6 2 4" xfId="5803" xr:uid="{00000000-0005-0000-0000-0000A31A0000}"/>
    <cellStyle name="CABEÇALHO 4 7 6 2 5" xfId="9228" xr:uid="{00000000-0005-0000-0000-0000A41A0000}"/>
    <cellStyle name="CABEÇALHO 4 7 6 2 6" xfId="10850" xr:uid="{00000000-0005-0000-0000-0000A51A0000}"/>
    <cellStyle name="CABEÇALHO 4 7 6 3" xfId="2572" xr:uid="{00000000-0005-0000-0000-0000A61A0000}"/>
    <cellStyle name="CABEÇALHO 4 7 6 3 2" xfId="5452" xr:uid="{00000000-0005-0000-0000-0000A71A0000}"/>
    <cellStyle name="CABEÇALHO 4 7 6 3 3" xfId="7980" xr:uid="{00000000-0005-0000-0000-0000A81A0000}"/>
    <cellStyle name="CABEÇALHO 4 7 6 3 4" xfId="9513" xr:uid="{00000000-0005-0000-0000-0000A91A0000}"/>
    <cellStyle name="CABEÇALHO 4 7 6 3 5" xfId="10324" xr:uid="{00000000-0005-0000-0000-0000AA1A0000}"/>
    <cellStyle name="CABEÇALHO 4 7 6 3 6" xfId="11265" xr:uid="{00000000-0005-0000-0000-0000AB1A0000}"/>
    <cellStyle name="CABEÇALHO 4 7 6 4" xfId="4199" xr:uid="{00000000-0005-0000-0000-0000AC1A0000}"/>
    <cellStyle name="CABEÇALHO 4 7 6 5" xfId="3136" xr:uid="{00000000-0005-0000-0000-0000AD1A0000}"/>
    <cellStyle name="CABEÇALHO 4 7 6 6" xfId="6059" xr:uid="{00000000-0005-0000-0000-0000AE1A0000}"/>
    <cellStyle name="CABEÇALHO 4 7 6 7" xfId="5853" xr:uid="{00000000-0005-0000-0000-0000AF1A0000}"/>
    <cellStyle name="CABEÇALHO 4 7 6 8" xfId="10142" xr:uid="{00000000-0005-0000-0000-0000B01A0000}"/>
    <cellStyle name="CABEÇALHO 4 7 7" xfId="1779" xr:uid="{00000000-0005-0000-0000-0000B11A0000}"/>
    <cellStyle name="CABEÇALHO 4 7 7 2" xfId="4659" xr:uid="{00000000-0005-0000-0000-0000B21A0000}"/>
    <cellStyle name="CABEÇALHO 4 7 7 3" xfId="6540" xr:uid="{00000000-0005-0000-0000-0000B31A0000}"/>
    <cellStyle name="CABEÇALHO 4 7 7 4" xfId="9039" xr:uid="{00000000-0005-0000-0000-0000B41A0000}"/>
    <cellStyle name="CABEÇALHO 4 7 7 5" xfId="10421" xr:uid="{00000000-0005-0000-0000-0000B51A0000}"/>
    <cellStyle name="CABEÇALHO 4 7 7 6" xfId="8738" xr:uid="{00000000-0005-0000-0000-0000B61A0000}"/>
    <cellStyle name="CABEÇALHO 4 7 8" xfId="2746" xr:uid="{00000000-0005-0000-0000-0000B71A0000}"/>
    <cellStyle name="CABEÇALHO 4 7 8 2" xfId="5626" xr:uid="{00000000-0005-0000-0000-0000B81A0000}"/>
    <cellStyle name="CABEÇALHO 4 7 8 3" xfId="6231" xr:uid="{00000000-0005-0000-0000-0000B91A0000}"/>
    <cellStyle name="CABEÇALHO 4 7 8 4" xfId="8301" xr:uid="{00000000-0005-0000-0000-0000BA1A0000}"/>
    <cellStyle name="CABEÇALHO 4 7 8 5" xfId="9715" xr:uid="{00000000-0005-0000-0000-0000BB1A0000}"/>
    <cellStyle name="CABEÇALHO 4 7 8 6" xfId="8761" xr:uid="{00000000-0005-0000-0000-0000BC1A0000}"/>
    <cellStyle name="CABEÇALHO 4 7 9" xfId="3518" xr:uid="{00000000-0005-0000-0000-0000BD1A0000}"/>
    <cellStyle name="CABEÇALHO 4 8" xfId="483" xr:uid="{00000000-0005-0000-0000-0000BE1A0000}"/>
    <cellStyle name="CABEÇALHO 4 8 10" xfId="2979" xr:uid="{00000000-0005-0000-0000-0000BF1A0000}"/>
    <cellStyle name="CABEÇALHO 4 8 11" xfId="7379" xr:uid="{00000000-0005-0000-0000-0000C01A0000}"/>
    <cellStyle name="CABEÇALHO 4 8 12" xfId="9048" xr:uid="{00000000-0005-0000-0000-0000C11A0000}"/>
    <cellStyle name="CABEÇALHO 4 8 13" xfId="11060" xr:uid="{00000000-0005-0000-0000-0000C21A0000}"/>
    <cellStyle name="CABEÇALHO 4 8 2" xfId="959" xr:uid="{00000000-0005-0000-0000-0000C31A0000}"/>
    <cellStyle name="CABEÇALHO 4 8 2 2" xfId="2101" xr:uid="{00000000-0005-0000-0000-0000C41A0000}"/>
    <cellStyle name="CABEÇALHO 4 8 2 2 2" xfId="4981" xr:uid="{00000000-0005-0000-0000-0000C51A0000}"/>
    <cellStyle name="CABEÇALHO 4 8 2 2 3" xfId="8130" xr:uid="{00000000-0005-0000-0000-0000C61A0000}"/>
    <cellStyle name="CABEÇALHO 4 8 2 2 4" xfId="6305" xr:uid="{00000000-0005-0000-0000-0000C71A0000}"/>
    <cellStyle name="CABEÇALHO 4 8 2 2 5" xfId="9103" xr:uid="{00000000-0005-0000-0000-0000C81A0000}"/>
    <cellStyle name="CABEÇALHO 4 8 2 2 6" xfId="11587" xr:uid="{00000000-0005-0000-0000-0000C91A0000}"/>
    <cellStyle name="CABEÇALHO 4 8 2 3" xfId="2747" xr:uid="{00000000-0005-0000-0000-0000CA1A0000}"/>
    <cellStyle name="CABEÇALHO 4 8 2 3 2" xfId="5627" xr:uid="{00000000-0005-0000-0000-0000CB1A0000}"/>
    <cellStyle name="CABEÇALHO 4 8 2 3 3" xfId="6778" xr:uid="{00000000-0005-0000-0000-0000CC1A0000}"/>
    <cellStyle name="CABEÇALHO 4 8 2 3 4" xfId="8759" xr:uid="{00000000-0005-0000-0000-0000CD1A0000}"/>
    <cellStyle name="CABEÇALHO 4 8 2 3 5" xfId="10005" xr:uid="{00000000-0005-0000-0000-0000CE1A0000}"/>
    <cellStyle name="CABEÇALHO 4 8 2 3 6" xfId="10105" xr:uid="{00000000-0005-0000-0000-0000CF1A0000}"/>
    <cellStyle name="CABEÇALHO 4 8 2 4" xfId="3839" xr:uid="{00000000-0005-0000-0000-0000D01A0000}"/>
    <cellStyle name="CABEÇALHO 4 8 2 5" xfId="5806" xr:uid="{00000000-0005-0000-0000-0000D11A0000}"/>
    <cellStyle name="CABEÇALHO 4 8 2 6" xfId="6504" xr:uid="{00000000-0005-0000-0000-0000D21A0000}"/>
    <cellStyle name="CABEÇALHO 4 8 2 7" xfId="9360" xr:uid="{00000000-0005-0000-0000-0000D31A0000}"/>
    <cellStyle name="CABEÇALHO 4 8 2 8" xfId="10947" xr:uid="{00000000-0005-0000-0000-0000D41A0000}"/>
    <cellStyle name="CABEÇALHO 4 8 3" xfId="753" xr:uid="{00000000-0005-0000-0000-0000D51A0000}"/>
    <cellStyle name="CABEÇALHO 4 8 3 2" xfId="1895" xr:uid="{00000000-0005-0000-0000-0000D61A0000}"/>
    <cellStyle name="CABEÇALHO 4 8 3 2 2" xfId="4775" xr:uid="{00000000-0005-0000-0000-0000D71A0000}"/>
    <cellStyle name="CABEÇALHO 4 8 3 2 3" xfId="7296" xr:uid="{00000000-0005-0000-0000-0000D81A0000}"/>
    <cellStyle name="CABEÇALHO 4 8 3 2 4" xfId="9247" xr:uid="{00000000-0005-0000-0000-0000D91A0000}"/>
    <cellStyle name="CABEÇALHO 4 8 3 2 5" xfId="10559" xr:uid="{00000000-0005-0000-0000-0000DA1A0000}"/>
    <cellStyle name="CABEÇALHO 4 8 3 2 6" xfId="11117" xr:uid="{00000000-0005-0000-0000-0000DB1A0000}"/>
    <cellStyle name="CABEÇALHO 4 8 3 3" xfId="2683" xr:uid="{00000000-0005-0000-0000-0000DC1A0000}"/>
    <cellStyle name="CABEÇALHO 4 8 3 3 2" xfId="5563" xr:uid="{00000000-0005-0000-0000-0000DD1A0000}"/>
    <cellStyle name="CABEÇALHO 4 8 3 3 3" xfId="6723" xr:uid="{00000000-0005-0000-0000-0000DE1A0000}"/>
    <cellStyle name="CABEÇALHO 4 8 3 3 4" xfId="9330" xr:uid="{00000000-0005-0000-0000-0000DF1A0000}"/>
    <cellStyle name="CABEÇALHO 4 8 3 3 5" xfId="8905" xr:uid="{00000000-0005-0000-0000-0000E01A0000}"/>
    <cellStyle name="CABEÇALHO 4 8 3 3 6" xfId="10362" xr:uid="{00000000-0005-0000-0000-0000E11A0000}"/>
    <cellStyle name="CABEÇALHO 4 8 3 4" xfId="3633" xr:uid="{00000000-0005-0000-0000-0000E21A0000}"/>
    <cellStyle name="CABEÇALHO 4 8 3 5" xfId="6967" xr:uid="{00000000-0005-0000-0000-0000E31A0000}"/>
    <cellStyle name="CABEÇALHO 4 8 3 6" xfId="6298" xr:uid="{00000000-0005-0000-0000-0000E41A0000}"/>
    <cellStyle name="CABEÇALHO 4 8 3 7" xfId="10254" xr:uid="{00000000-0005-0000-0000-0000E51A0000}"/>
    <cellStyle name="CABEÇALHO 4 8 3 8" xfId="11236" xr:uid="{00000000-0005-0000-0000-0000E61A0000}"/>
    <cellStyle name="CABEÇALHO 4 8 4" xfId="1229" xr:uid="{00000000-0005-0000-0000-0000E71A0000}"/>
    <cellStyle name="CABEÇALHO 4 8 4 2" xfId="2371" xr:uid="{00000000-0005-0000-0000-0000E81A0000}"/>
    <cellStyle name="CABEÇALHO 4 8 4 2 2" xfId="5251" xr:uid="{00000000-0005-0000-0000-0000E91A0000}"/>
    <cellStyle name="CABEÇALHO 4 8 4 2 3" xfId="5910" xr:uid="{00000000-0005-0000-0000-0000EA1A0000}"/>
    <cellStyle name="CABEÇALHO 4 8 4 2 4" xfId="5877" xr:uid="{00000000-0005-0000-0000-0000EB1A0000}"/>
    <cellStyle name="CABEÇALHO 4 8 4 2 5" xfId="6699" xr:uid="{00000000-0005-0000-0000-0000EC1A0000}"/>
    <cellStyle name="CABEÇALHO 4 8 4 2 6" xfId="11002" xr:uid="{00000000-0005-0000-0000-0000ED1A0000}"/>
    <cellStyle name="CABEÇALHO 4 8 4 3" xfId="1365" xr:uid="{00000000-0005-0000-0000-0000EE1A0000}"/>
    <cellStyle name="CABEÇALHO 4 8 4 3 2" xfId="4245" xr:uid="{00000000-0005-0000-0000-0000EF1A0000}"/>
    <cellStyle name="CABEÇALHO 4 8 4 3 3" xfId="6072" xr:uid="{00000000-0005-0000-0000-0000F01A0000}"/>
    <cellStyle name="CABEÇALHO 4 8 4 3 4" xfId="7715" xr:uid="{00000000-0005-0000-0000-0000F11A0000}"/>
    <cellStyle name="CABEÇALHO 4 8 4 3 5" xfId="10665" xr:uid="{00000000-0005-0000-0000-0000F21A0000}"/>
    <cellStyle name="CABEÇALHO 4 8 4 3 6" xfId="7600" xr:uid="{00000000-0005-0000-0000-0000F31A0000}"/>
    <cellStyle name="CABEÇALHO 4 8 4 4" xfId="4109" xr:uid="{00000000-0005-0000-0000-0000F41A0000}"/>
    <cellStyle name="CABEÇALHO 4 8 4 5" xfId="3088" xr:uid="{00000000-0005-0000-0000-0000F51A0000}"/>
    <cellStyle name="CABEÇALHO 4 8 4 6" xfId="7454" xr:uid="{00000000-0005-0000-0000-0000F61A0000}"/>
    <cellStyle name="CABEÇALHO 4 8 4 7" xfId="5958" xr:uid="{00000000-0005-0000-0000-0000F71A0000}"/>
    <cellStyle name="CABEÇALHO 4 8 4 8" xfId="11216" xr:uid="{00000000-0005-0000-0000-0000F81A0000}"/>
    <cellStyle name="CABEÇALHO 4 8 5" xfId="738" xr:uid="{00000000-0005-0000-0000-0000F91A0000}"/>
    <cellStyle name="CABEÇALHO 4 8 5 2" xfId="1880" xr:uid="{00000000-0005-0000-0000-0000FA1A0000}"/>
    <cellStyle name="CABEÇALHO 4 8 5 2 2" xfId="4760" xr:uid="{00000000-0005-0000-0000-0000FB1A0000}"/>
    <cellStyle name="CABEÇALHO 4 8 5 2 3" xfId="7253" xr:uid="{00000000-0005-0000-0000-0000FC1A0000}"/>
    <cellStyle name="CABEÇALHO 4 8 5 2 4" xfId="8222" xr:uid="{00000000-0005-0000-0000-0000FD1A0000}"/>
    <cellStyle name="CABEÇALHO 4 8 5 2 5" xfId="10691" xr:uid="{00000000-0005-0000-0000-0000FE1A0000}"/>
    <cellStyle name="CABEÇALHO 4 8 5 2 6" xfId="8233" xr:uid="{00000000-0005-0000-0000-0000FF1A0000}"/>
    <cellStyle name="CABEÇALHO 4 8 5 3" xfId="2858" xr:uid="{00000000-0005-0000-0000-0000001B0000}"/>
    <cellStyle name="CABEÇALHO 4 8 5 3 2" xfId="5738" xr:uid="{00000000-0005-0000-0000-0000011B0000}"/>
    <cellStyle name="CABEÇALHO 4 8 5 3 3" xfId="6066" xr:uid="{00000000-0005-0000-0000-0000021B0000}"/>
    <cellStyle name="CABEÇALHO 4 8 5 3 4" xfId="9019" xr:uid="{00000000-0005-0000-0000-0000031B0000}"/>
    <cellStyle name="CABEÇALHO 4 8 5 3 5" xfId="10063" xr:uid="{00000000-0005-0000-0000-0000041B0000}"/>
    <cellStyle name="CABEÇALHO 4 8 5 3 6" xfId="11033" xr:uid="{00000000-0005-0000-0000-0000051B0000}"/>
    <cellStyle name="CABEÇALHO 4 8 5 4" xfId="3618" xr:uid="{00000000-0005-0000-0000-0000061B0000}"/>
    <cellStyle name="CABEÇALHO 4 8 5 5" xfId="6326" xr:uid="{00000000-0005-0000-0000-0000071B0000}"/>
    <cellStyle name="CABEÇALHO 4 8 5 6" xfId="8428" xr:uid="{00000000-0005-0000-0000-0000081B0000}"/>
    <cellStyle name="CABEÇALHO 4 8 5 7" xfId="9523" xr:uid="{00000000-0005-0000-0000-0000091B0000}"/>
    <cellStyle name="CABEÇALHO 4 8 5 8" xfId="10722" xr:uid="{00000000-0005-0000-0000-00000A1B0000}"/>
    <cellStyle name="CABEÇALHO 4 8 6" xfId="1247" xr:uid="{00000000-0005-0000-0000-00000B1B0000}"/>
    <cellStyle name="CABEÇALHO 4 8 6 2" xfId="2389" xr:uid="{00000000-0005-0000-0000-00000C1B0000}"/>
    <cellStyle name="CABEÇALHO 4 8 6 2 2" xfId="5269" xr:uid="{00000000-0005-0000-0000-00000D1B0000}"/>
    <cellStyle name="CABEÇALHO 4 8 6 2 3" xfId="5898" xr:uid="{00000000-0005-0000-0000-00000E1B0000}"/>
    <cellStyle name="CABEÇALHO 4 8 6 2 4" xfId="8159" xr:uid="{00000000-0005-0000-0000-00000F1B0000}"/>
    <cellStyle name="CABEÇALHO 4 8 6 2 5" xfId="8536" xr:uid="{00000000-0005-0000-0000-0000101B0000}"/>
    <cellStyle name="CABEÇALHO 4 8 6 2 6" xfId="9967" xr:uid="{00000000-0005-0000-0000-0000111B0000}"/>
    <cellStyle name="CABEÇALHO 4 8 6 3" xfId="2725" xr:uid="{00000000-0005-0000-0000-0000121B0000}"/>
    <cellStyle name="CABEÇALHO 4 8 6 3 2" xfId="5605" xr:uid="{00000000-0005-0000-0000-0000131B0000}"/>
    <cellStyle name="CABEÇALHO 4 8 6 3 3" xfId="6672" xr:uid="{00000000-0005-0000-0000-0000141B0000}"/>
    <cellStyle name="CABEÇALHO 4 8 6 3 4" xfId="9423" xr:uid="{00000000-0005-0000-0000-0000151B0000}"/>
    <cellStyle name="CABEÇALHO 4 8 6 3 5" xfId="10583" xr:uid="{00000000-0005-0000-0000-0000161B0000}"/>
    <cellStyle name="CABEÇALHO 4 8 6 3 6" xfId="11502" xr:uid="{00000000-0005-0000-0000-0000171B0000}"/>
    <cellStyle name="CABEÇALHO 4 8 6 4" xfId="4127" xr:uid="{00000000-0005-0000-0000-0000181B0000}"/>
    <cellStyle name="CABEÇALHO 4 8 6 5" xfId="5772" xr:uid="{00000000-0005-0000-0000-0000191B0000}"/>
    <cellStyle name="CABEÇALHO 4 8 6 6" xfId="7834" xr:uid="{00000000-0005-0000-0000-00001A1B0000}"/>
    <cellStyle name="CABEÇALHO 4 8 6 7" xfId="8564" xr:uid="{00000000-0005-0000-0000-00001B1B0000}"/>
    <cellStyle name="CABEÇALHO 4 8 6 8" xfId="10923" xr:uid="{00000000-0005-0000-0000-00001C1B0000}"/>
    <cellStyle name="CABEÇALHO 4 8 7" xfId="1624" xr:uid="{00000000-0005-0000-0000-00001D1B0000}"/>
    <cellStyle name="CABEÇALHO 4 8 7 2" xfId="4504" xr:uid="{00000000-0005-0000-0000-00001E1B0000}"/>
    <cellStyle name="CABEÇALHO 4 8 7 3" xfId="7674" xr:uid="{00000000-0005-0000-0000-00001F1B0000}"/>
    <cellStyle name="CABEÇALHO 4 8 7 4" xfId="9096" xr:uid="{00000000-0005-0000-0000-0000201B0000}"/>
    <cellStyle name="CABEÇALHO 4 8 7 5" xfId="10387" xr:uid="{00000000-0005-0000-0000-0000211B0000}"/>
    <cellStyle name="CABEÇALHO 4 8 7 6" xfId="10997" xr:uid="{00000000-0005-0000-0000-0000221B0000}"/>
    <cellStyle name="CABEÇALHO 4 8 8" xfId="2571" xr:uid="{00000000-0005-0000-0000-0000231B0000}"/>
    <cellStyle name="CABEÇALHO 4 8 8 2" xfId="5451" xr:uid="{00000000-0005-0000-0000-0000241B0000}"/>
    <cellStyle name="CABEÇALHO 4 8 8 3" xfId="7011" xr:uid="{00000000-0005-0000-0000-0000251B0000}"/>
    <cellStyle name="CABEÇALHO 4 8 8 4" xfId="6880" xr:uid="{00000000-0005-0000-0000-0000261B0000}"/>
    <cellStyle name="CABEÇALHO 4 8 8 5" xfId="9671" xr:uid="{00000000-0005-0000-0000-0000271B0000}"/>
    <cellStyle name="CABEÇALHO 4 8 8 6" xfId="8605" xr:uid="{00000000-0005-0000-0000-0000281B0000}"/>
    <cellStyle name="CABEÇALHO 4 8 9" xfId="3363" xr:uid="{00000000-0005-0000-0000-0000291B0000}"/>
    <cellStyle name="CABEÇALHO 4 9" xfId="939" xr:uid="{00000000-0005-0000-0000-00002A1B0000}"/>
    <cellStyle name="CABEÇALHO 4 9 2" xfId="2081" xr:uid="{00000000-0005-0000-0000-00002B1B0000}"/>
    <cellStyle name="CABEÇALHO 4 9 2 2" xfId="4961" xr:uid="{00000000-0005-0000-0000-00002C1B0000}"/>
    <cellStyle name="CABEÇALHO 4 9 2 3" xfId="7317" xr:uid="{00000000-0005-0000-0000-00002D1B0000}"/>
    <cellStyle name="CABEÇALHO 4 9 2 4" xfId="9549" xr:uid="{00000000-0005-0000-0000-00002E1B0000}"/>
    <cellStyle name="CABEÇALHO 4 9 2 5" xfId="10566" xr:uid="{00000000-0005-0000-0000-00002F1B0000}"/>
    <cellStyle name="CABEÇALHO 4 9 2 6" xfId="11416" xr:uid="{00000000-0005-0000-0000-0000301B0000}"/>
    <cellStyle name="CABEÇALHO 4 9 3" xfId="2833" xr:uid="{00000000-0005-0000-0000-0000311B0000}"/>
    <cellStyle name="CABEÇALHO 4 9 3 2" xfId="5713" xr:uid="{00000000-0005-0000-0000-0000321B0000}"/>
    <cellStyle name="CABEÇALHO 4 9 3 3" xfId="6213" xr:uid="{00000000-0005-0000-0000-0000331B0000}"/>
    <cellStyle name="CABEÇALHO 4 9 3 4" xfId="8253" xr:uid="{00000000-0005-0000-0000-0000341B0000}"/>
    <cellStyle name="CABEÇALHO 4 9 3 5" xfId="10683" xr:uid="{00000000-0005-0000-0000-0000351B0000}"/>
    <cellStyle name="CABEÇALHO 4 9 3 6" xfId="11626" xr:uid="{00000000-0005-0000-0000-0000361B0000}"/>
    <cellStyle name="CABEÇALHO 4 9 4" xfId="3819" xr:uid="{00000000-0005-0000-0000-0000371B0000}"/>
    <cellStyle name="CABEÇALHO 4 9 5" xfId="7094" xr:uid="{00000000-0005-0000-0000-0000381B0000}"/>
    <cellStyle name="CABEÇALHO 4 9 6" xfId="8814" xr:uid="{00000000-0005-0000-0000-0000391B0000}"/>
    <cellStyle name="CABEÇALHO 4 9 7" xfId="9779" xr:uid="{00000000-0005-0000-0000-00003A1B0000}"/>
    <cellStyle name="CABEÇALHO 4 9 8" xfId="8417" xr:uid="{00000000-0005-0000-0000-00003B1B0000}"/>
    <cellStyle name="CABEÇALHO 40" xfId="1175" xr:uid="{00000000-0005-0000-0000-00003C1B0000}"/>
    <cellStyle name="CABEÇALHO 40 2" xfId="2317" xr:uid="{00000000-0005-0000-0000-00003D1B0000}"/>
    <cellStyle name="CABEÇALHO 40 2 2" xfId="5197" xr:uid="{00000000-0005-0000-0000-00003E1B0000}"/>
    <cellStyle name="CABEÇALHO 40 2 3" xfId="8178" xr:uid="{00000000-0005-0000-0000-00003F1B0000}"/>
    <cellStyle name="CABEÇALHO 40 2 4" xfId="8607" xr:uid="{00000000-0005-0000-0000-0000401B0000}"/>
    <cellStyle name="CABEÇALHO 40 2 5" xfId="8533" xr:uid="{00000000-0005-0000-0000-0000411B0000}"/>
    <cellStyle name="CABEÇALHO 40 2 6" xfId="11421" xr:uid="{00000000-0005-0000-0000-0000421B0000}"/>
    <cellStyle name="CABEÇALHO 40 3" xfId="2697" xr:uid="{00000000-0005-0000-0000-0000431B0000}"/>
    <cellStyle name="CABEÇALHO 40 3 2" xfId="5577" xr:uid="{00000000-0005-0000-0000-0000441B0000}"/>
    <cellStyle name="CABEÇALHO 40 3 3" xfId="8146" xr:uid="{00000000-0005-0000-0000-0000451B0000}"/>
    <cellStyle name="CABEÇALHO 40 3 4" xfId="6512" xr:uid="{00000000-0005-0000-0000-0000461B0000}"/>
    <cellStyle name="CABEÇALHO 40 3 5" xfId="8411" xr:uid="{00000000-0005-0000-0000-0000471B0000}"/>
    <cellStyle name="CABEÇALHO 40 3 6" xfId="10268" xr:uid="{00000000-0005-0000-0000-0000481B0000}"/>
    <cellStyle name="CABEÇALHO 40 4" xfId="4055" xr:uid="{00000000-0005-0000-0000-0000491B0000}"/>
    <cellStyle name="CABEÇALHO 40 5" xfId="3042" xr:uid="{00000000-0005-0000-0000-00004A1B0000}"/>
    <cellStyle name="CABEÇALHO 40 6" xfId="6301" xr:uid="{00000000-0005-0000-0000-00004B1B0000}"/>
    <cellStyle name="CABEÇALHO 40 7" xfId="9326" xr:uid="{00000000-0005-0000-0000-00004C1B0000}"/>
    <cellStyle name="CABEÇALHO 40 8" xfId="11286" xr:uid="{00000000-0005-0000-0000-00004D1B0000}"/>
    <cellStyle name="CABEÇALHO 41" xfId="1184" xr:uid="{00000000-0005-0000-0000-00004E1B0000}"/>
    <cellStyle name="CABEÇALHO 41 2" xfId="2326" xr:uid="{00000000-0005-0000-0000-00004F1B0000}"/>
    <cellStyle name="CABEÇALHO 41 2 2" xfId="5206" xr:uid="{00000000-0005-0000-0000-0000501B0000}"/>
    <cellStyle name="CABEÇALHO 41 2 3" xfId="6782" xr:uid="{00000000-0005-0000-0000-0000511B0000}"/>
    <cellStyle name="CABEÇALHO 41 2 4" xfId="6058" xr:uid="{00000000-0005-0000-0000-0000521B0000}"/>
    <cellStyle name="CABEÇALHO 41 2 5" xfId="5884" xr:uid="{00000000-0005-0000-0000-0000531B0000}"/>
    <cellStyle name="CABEÇALHO 41 2 6" xfId="11652" xr:uid="{00000000-0005-0000-0000-0000541B0000}"/>
    <cellStyle name="CABEÇALHO 41 3" xfId="2823" xr:uid="{00000000-0005-0000-0000-0000551B0000}"/>
    <cellStyle name="CABEÇALHO 41 3 2" xfId="5703" xr:uid="{00000000-0005-0000-0000-0000561B0000}"/>
    <cellStyle name="CABEÇALHO 41 3 3" xfId="8161" xr:uid="{00000000-0005-0000-0000-0000571B0000}"/>
    <cellStyle name="CABEÇALHO 41 3 4" xfId="6981" xr:uid="{00000000-0005-0000-0000-0000581B0000}"/>
    <cellStyle name="CABEÇALHO 41 3 5" xfId="8777" xr:uid="{00000000-0005-0000-0000-0000591B0000}"/>
    <cellStyle name="CABEÇALHO 41 3 6" xfId="11377" xr:uid="{00000000-0005-0000-0000-00005A1B0000}"/>
    <cellStyle name="CABEÇALHO 41 4" xfId="4064" xr:uid="{00000000-0005-0000-0000-00005B1B0000}"/>
    <cellStyle name="CABEÇALHO 41 5" xfId="3068" xr:uid="{00000000-0005-0000-0000-00005C1B0000}"/>
    <cellStyle name="CABEÇALHO 41 6" xfId="6014" xr:uid="{00000000-0005-0000-0000-00005D1B0000}"/>
    <cellStyle name="CABEÇALHO 41 7" xfId="6921" xr:uid="{00000000-0005-0000-0000-00005E1B0000}"/>
    <cellStyle name="CABEÇALHO 41 8" xfId="8949" xr:uid="{00000000-0005-0000-0000-00005F1B0000}"/>
    <cellStyle name="CABEÇALHO 42" xfId="1168" xr:uid="{00000000-0005-0000-0000-0000601B0000}"/>
    <cellStyle name="CABEÇALHO 42 2" xfId="2310" xr:uid="{00000000-0005-0000-0000-0000611B0000}"/>
    <cellStyle name="CABEÇALHO 42 2 2" xfId="5190" xr:uid="{00000000-0005-0000-0000-0000621B0000}"/>
    <cellStyle name="CABEÇALHO 42 2 3" xfId="6098" xr:uid="{00000000-0005-0000-0000-0000631B0000}"/>
    <cellStyle name="CABEÇALHO 42 2 4" xfId="8633" xr:uid="{00000000-0005-0000-0000-0000641B0000}"/>
    <cellStyle name="CABEÇALHO 42 2 5" xfId="10360" xr:uid="{00000000-0005-0000-0000-0000651B0000}"/>
    <cellStyle name="CABEÇALHO 42 2 6" xfId="9274" xr:uid="{00000000-0005-0000-0000-0000661B0000}"/>
    <cellStyle name="CABEÇALHO 42 3" xfId="1480" xr:uid="{00000000-0005-0000-0000-0000671B0000}"/>
    <cellStyle name="CABEÇALHO 42 3 2" xfId="4360" xr:uid="{00000000-0005-0000-0000-0000681B0000}"/>
    <cellStyle name="CABEÇALHO 42 3 3" xfId="7270" xr:uid="{00000000-0005-0000-0000-0000691B0000}"/>
    <cellStyle name="CABEÇALHO 42 3 4" xfId="8714" xr:uid="{00000000-0005-0000-0000-00006A1B0000}"/>
    <cellStyle name="CABEÇALHO 42 3 5" xfId="10392" xr:uid="{00000000-0005-0000-0000-00006B1B0000}"/>
    <cellStyle name="CABEÇALHO 42 3 6" xfId="11603" xr:uid="{00000000-0005-0000-0000-00006C1B0000}"/>
    <cellStyle name="CABEÇALHO 42 4" xfId="4048" xr:uid="{00000000-0005-0000-0000-00006D1B0000}"/>
    <cellStyle name="CABEÇALHO 42 5" xfId="3061" xr:uid="{00000000-0005-0000-0000-00006E1B0000}"/>
    <cellStyle name="CABEÇALHO 42 6" xfId="7415" xr:uid="{00000000-0005-0000-0000-00006F1B0000}"/>
    <cellStyle name="CABEÇALHO 42 7" xfId="8453" xr:uid="{00000000-0005-0000-0000-0000701B0000}"/>
    <cellStyle name="CABEÇALHO 42 8" xfId="10458" xr:uid="{00000000-0005-0000-0000-0000711B0000}"/>
    <cellStyle name="CABEÇALHO 43" xfId="1350" xr:uid="{00000000-0005-0000-0000-0000721B0000}"/>
    <cellStyle name="CABEÇALHO 43 2" xfId="4230" xr:uid="{00000000-0005-0000-0000-0000731B0000}"/>
    <cellStyle name="CABEÇALHO 43 3" xfId="8177" xr:uid="{00000000-0005-0000-0000-0000741B0000}"/>
    <cellStyle name="CABEÇALHO 43 4" xfId="9579" xr:uid="{00000000-0005-0000-0000-0000751B0000}"/>
    <cellStyle name="CABEÇALHO 43 5" xfId="6300" xr:uid="{00000000-0005-0000-0000-0000761B0000}"/>
    <cellStyle name="CABEÇALHO 43 6" xfId="11665" xr:uid="{00000000-0005-0000-0000-0000771B0000}"/>
    <cellStyle name="CABEÇALHO 44" xfId="1373" xr:uid="{00000000-0005-0000-0000-0000781B0000}"/>
    <cellStyle name="CABEÇALHO 44 2" xfId="4253" xr:uid="{00000000-0005-0000-0000-0000791B0000}"/>
    <cellStyle name="CABEÇALHO 44 3" xfId="6110" xr:uid="{00000000-0005-0000-0000-00007A1B0000}"/>
    <cellStyle name="CABEÇALHO 44 4" xfId="5855" xr:uid="{00000000-0005-0000-0000-00007B1B0000}"/>
    <cellStyle name="CABEÇALHO 44 5" xfId="6555" xr:uid="{00000000-0005-0000-0000-00007C1B0000}"/>
    <cellStyle name="CABEÇALHO 44 6" xfId="10868" xr:uid="{00000000-0005-0000-0000-00007D1B0000}"/>
    <cellStyle name="CABEÇALHO 45" xfId="2518" xr:uid="{00000000-0005-0000-0000-00007E1B0000}"/>
    <cellStyle name="CABEÇALHO 45 2" xfId="5398" xr:uid="{00000000-0005-0000-0000-00007F1B0000}"/>
    <cellStyle name="CABEÇALHO 45 3" xfId="6798" xr:uid="{00000000-0005-0000-0000-0000801B0000}"/>
    <cellStyle name="CABEÇALHO 45 4" xfId="8230" xr:uid="{00000000-0005-0000-0000-0000811B0000}"/>
    <cellStyle name="CABEÇALHO 45 5" xfId="10213" xr:uid="{00000000-0005-0000-0000-0000821B0000}"/>
    <cellStyle name="CABEÇALHO 45 6" xfId="11307" xr:uid="{00000000-0005-0000-0000-0000831B0000}"/>
    <cellStyle name="CABEÇALHO 46" xfId="2754" xr:uid="{00000000-0005-0000-0000-0000841B0000}"/>
    <cellStyle name="CABEÇALHO 46 2" xfId="5634" xr:uid="{00000000-0005-0000-0000-0000851B0000}"/>
    <cellStyle name="CABEÇALHO 46 3" xfId="7802" xr:uid="{00000000-0005-0000-0000-0000861B0000}"/>
    <cellStyle name="CABEÇALHO 46 4" xfId="8609" xr:uid="{00000000-0005-0000-0000-0000871B0000}"/>
    <cellStyle name="CABEÇALHO 46 5" xfId="5989" xr:uid="{00000000-0005-0000-0000-0000881B0000}"/>
    <cellStyle name="CABEÇALHO 46 6" xfId="10509" xr:uid="{00000000-0005-0000-0000-0000891B0000}"/>
    <cellStyle name="CABEÇALHO 47" xfId="2818" xr:uid="{00000000-0005-0000-0000-00008A1B0000}"/>
    <cellStyle name="CABEÇALHO 47 2" xfId="5698" xr:uid="{00000000-0005-0000-0000-00008B1B0000}"/>
    <cellStyle name="CABEÇALHO 47 3" xfId="6174" xr:uid="{00000000-0005-0000-0000-00008C1B0000}"/>
    <cellStyle name="CABEÇALHO 47 4" xfId="9285" xr:uid="{00000000-0005-0000-0000-00008D1B0000}"/>
    <cellStyle name="CABEÇALHO 47 5" xfId="9636" xr:uid="{00000000-0005-0000-0000-00008E1B0000}"/>
    <cellStyle name="CABEÇALHO 47 6" xfId="10231" xr:uid="{00000000-0005-0000-0000-00008F1B0000}"/>
    <cellStyle name="CABEÇALHO 48" xfId="1424" xr:uid="{00000000-0005-0000-0000-0000901B0000}"/>
    <cellStyle name="CABEÇALHO 48 2" xfId="4304" xr:uid="{00000000-0005-0000-0000-0000911B0000}"/>
    <cellStyle name="CABEÇALHO 48 3" xfId="6734" xr:uid="{00000000-0005-0000-0000-0000921B0000}"/>
    <cellStyle name="CABEÇALHO 48 4" xfId="8209" xr:uid="{00000000-0005-0000-0000-0000931B0000}"/>
    <cellStyle name="CABEÇALHO 48 5" xfId="9957" xr:uid="{00000000-0005-0000-0000-0000941B0000}"/>
    <cellStyle name="CABEÇALHO 48 6" xfId="11057" xr:uid="{00000000-0005-0000-0000-0000951B0000}"/>
    <cellStyle name="CABEÇALHO 49" xfId="2886" xr:uid="{00000000-0005-0000-0000-0000961B0000}"/>
    <cellStyle name="CABEÇALHO 49 2" xfId="5766" xr:uid="{00000000-0005-0000-0000-0000971B0000}"/>
    <cellStyle name="CABEÇALHO 49 3" xfId="8201" xr:uid="{00000000-0005-0000-0000-0000981B0000}"/>
    <cellStyle name="CABEÇALHO 49 4" xfId="7937" xr:uid="{00000000-0005-0000-0000-0000991B0000}"/>
    <cellStyle name="CABEÇALHO 49 5" xfId="6033" xr:uid="{00000000-0005-0000-0000-00009A1B0000}"/>
    <cellStyle name="CABEÇALHO 49 6" xfId="11687" xr:uid="{00000000-0005-0000-0000-00009B1B0000}"/>
    <cellStyle name="CABEÇALHO 5" xfId="397" xr:uid="{00000000-0005-0000-0000-00009C1B0000}"/>
    <cellStyle name="CABEÇALHO 5 10" xfId="468" xr:uid="{00000000-0005-0000-0000-00009D1B0000}"/>
    <cellStyle name="CABEÇALHO 5 10 10" xfId="6410" xr:uid="{00000000-0005-0000-0000-00009E1B0000}"/>
    <cellStyle name="CABEÇALHO 5 10 11" xfId="8503" xr:uid="{00000000-0005-0000-0000-00009F1B0000}"/>
    <cellStyle name="CABEÇALHO 5 10 12" xfId="7368" xr:uid="{00000000-0005-0000-0000-0000A01B0000}"/>
    <cellStyle name="CABEÇALHO 5 10 13" xfId="10945" xr:uid="{00000000-0005-0000-0000-0000A11B0000}"/>
    <cellStyle name="CABEÇALHO 5 10 2" xfId="944" xr:uid="{00000000-0005-0000-0000-0000A21B0000}"/>
    <cellStyle name="CABEÇALHO 5 10 2 2" xfId="2086" xr:uid="{00000000-0005-0000-0000-0000A31B0000}"/>
    <cellStyle name="CABEÇALHO 5 10 2 2 2" xfId="4966" xr:uid="{00000000-0005-0000-0000-0000A41B0000}"/>
    <cellStyle name="CABEÇALHO 5 10 2 2 3" xfId="5929" xr:uid="{00000000-0005-0000-0000-0000A51B0000}"/>
    <cellStyle name="CABEÇALHO 5 10 2 2 4" xfId="5868" xr:uid="{00000000-0005-0000-0000-0000A61B0000}"/>
    <cellStyle name="CABEÇALHO 5 10 2 2 5" xfId="9155" xr:uid="{00000000-0005-0000-0000-0000A71B0000}"/>
    <cellStyle name="CABEÇALHO 5 10 2 2 6" xfId="9895" xr:uid="{00000000-0005-0000-0000-0000A81B0000}"/>
    <cellStyle name="CABEÇALHO 5 10 2 3" xfId="2667" xr:uid="{00000000-0005-0000-0000-0000A91B0000}"/>
    <cellStyle name="CABEÇALHO 5 10 2 3 2" xfId="5547" xr:uid="{00000000-0005-0000-0000-0000AA1B0000}"/>
    <cellStyle name="CABEÇALHO 5 10 2 3 3" xfId="6711" xr:uid="{00000000-0005-0000-0000-0000AB1B0000}"/>
    <cellStyle name="CABEÇALHO 5 10 2 3 4" xfId="9472" xr:uid="{00000000-0005-0000-0000-0000AC1B0000}"/>
    <cellStyle name="CABEÇALHO 5 10 2 3 5" xfId="10839" xr:uid="{00000000-0005-0000-0000-0000AD1B0000}"/>
    <cellStyle name="CABEÇALHO 5 10 2 3 6" xfId="8375" xr:uid="{00000000-0005-0000-0000-0000AE1B0000}"/>
    <cellStyle name="CABEÇALHO 5 10 2 4" xfId="3824" xr:uid="{00000000-0005-0000-0000-0000AF1B0000}"/>
    <cellStyle name="CABEÇALHO 5 10 2 5" xfId="6900" xr:uid="{00000000-0005-0000-0000-0000B01B0000}"/>
    <cellStyle name="CABEÇALHO 5 10 2 6" xfId="5990" xr:uid="{00000000-0005-0000-0000-0000B11B0000}"/>
    <cellStyle name="CABEÇALHO 5 10 2 7" xfId="8806" xr:uid="{00000000-0005-0000-0000-0000B21B0000}"/>
    <cellStyle name="CABEÇALHO 5 10 2 8" xfId="11312" xr:uid="{00000000-0005-0000-0000-0000B31B0000}"/>
    <cellStyle name="CABEÇALHO 5 10 3" xfId="744" xr:uid="{00000000-0005-0000-0000-0000B41B0000}"/>
    <cellStyle name="CABEÇALHO 5 10 3 2" xfId="1886" xr:uid="{00000000-0005-0000-0000-0000B51B0000}"/>
    <cellStyle name="CABEÇALHO 5 10 3 2 2" xfId="4766" xr:uid="{00000000-0005-0000-0000-0000B61B0000}"/>
    <cellStyle name="CABEÇALHO 5 10 3 2 3" xfId="8166" xr:uid="{00000000-0005-0000-0000-0000B71B0000}"/>
    <cellStyle name="CABEÇALHO 5 10 3 2 4" xfId="6598" xr:uid="{00000000-0005-0000-0000-0000B81B0000}"/>
    <cellStyle name="CABEÇALHO 5 10 3 2 5" xfId="10538" xr:uid="{00000000-0005-0000-0000-0000B91B0000}"/>
    <cellStyle name="CABEÇALHO 5 10 3 2 6" xfId="10667" xr:uid="{00000000-0005-0000-0000-0000BA1B0000}"/>
    <cellStyle name="CABEÇALHO 5 10 3 3" xfId="2548" xr:uid="{00000000-0005-0000-0000-0000BB1B0000}"/>
    <cellStyle name="CABEÇALHO 5 10 3 3 2" xfId="5428" xr:uid="{00000000-0005-0000-0000-0000BC1B0000}"/>
    <cellStyle name="CABEÇALHO 5 10 3 3 3" xfId="8049" xr:uid="{00000000-0005-0000-0000-0000BD1B0000}"/>
    <cellStyle name="CABEÇALHO 5 10 3 3 4" xfId="8749" xr:uid="{00000000-0005-0000-0000-0000BE1B0000}"/>
    <cellStyle name="CABEÇALHO 5 10 3 3 5" xfId="10050" xr:uid="{00000000-0005-0000-0000-0000BF1B0000}"/>
    <cellStyle name="CABEÇALHO 5 10 3 3 6" xfId="10785" xr:uid="{00000000-0005-0000-0000-0000C01B0000}"/>
    <cellStyle name="CABEÇALHO 5 10 3 4" xfId="3624" xr:uid="{00000000-0005-0000-0000-0000C11B0000}"/>
    <cellStyle name="CABEÇALHO 5 10 3 5" xfId="5814" xr:uid="{00000000-0005-0000-0000-0000C21B0000}"/>
    <cellStyle name="CABEÇALHO 5 10 3 6" xfId="7113" xr:uid="{00000000-0005-0000-0000-0000C31B0000}"/>
    <cellStyle name="CABEÇALHO 5 10 3 7" xfId="6265" xr:uid="{00000000-0005-0000-0000-0000C41B0000}"/>
    <cellStyle name="CABEÇALHO 5 10 3 8" xfId="11657" xr:uid="{00000000-0005-0000-0000-0000C51B0000}"/>
    <cellStyle name="CABEÇALHO 5 10 4" xfId="763" xr:uid="{00000000-0005-0000-0000-0000C61B0000}"/>
    <cellStyle name="CABEÇALHO 5 10 4 2" xfId="1905" xr:uid="{00000000-0005-0000-0000-0000C71B0000}"/>
    <cellStyle name="CABEÇALHO 5 10 4 2 2" xfId="4785" xr:uid="{00000000-0005-0000-0000-0000C81B0000}"/>
    <cellStyle name="CABEÇALHO 5 10 4 2 3" xfId="6993" xr:uid="{00000000-0005-0000-0000-0000C91B0000}"/>
    <cellStyle name="CABEÇALHO 5 10 4 2 4" xfId="9405" xr:uid="{00000000-0005-0000-0000-0000CA1B0000}"/>
    <cellStyle name="CABEÇALHO 5 10 4 2 5" xfId="10202" xr:uid="{00000000-0005-0000-0000-0000CB1B0000}"/>
    <cellStyle name="CABEÇALHO 5 10 4 2 6" xfId="6936" xr:uid="{00000000-0005-0000-0000-0000CC1B0000}"/>
    <cellStyle name="CABEÇALHO 5 10 4 3" xfId="2777" xr:uid="{00000000-0005-0000-0000-0000CD1B0000}"/>
    <cellStyle name="CABEÇALHO 5 10 4 3 2" xfId="5657" xr:uid="{00000000-0005-0000-0000-0000CE1B0000}"/>
    <cellStyle name="CABEÇALHO 5 10 4 3 3" xfId="7996" xr:uid="{00000000-0005-0000-0000-0000CF1B0000}"/>
    <cellStyle name="CABEÇALHO 5 10 4 3 4" xfId="9187" xr:uid="{00000000-0005-0000-0000-0000D01B0000}"/>
    <cellStyle name="CABEÇALHO 5 10 4 3 5" xfId="10503" xr:uid="{00000000-0005-0000-0000-0000D11B0000}"/>
    <cellStyle name="CABEÇALHO 5 10 4 3 6" xfId="10267" xr:uid="{00000000-0005-0000-0000-0000D21B0000}"/>
    <cellStyle name="CABEÇALHO 5 10 4 4" xfId="3643" xr:uid="{00000000-0005-0000-0000-0000D31B0000}"/>
    <cellStyle name="CABEÇALHO 5 10 4 5" xfId="6906" xr:uid="{00000000-0005-0000-0000-0000D41B0000}"/>
    <cellStyle name="CABEÇALHO 5 10 4 6" xfId="6235" xr:uid="{00000000-0005-0000-0000-0000D51B0000}"/>
    <cellStyle name="CABEÇALHO 5 10 4 7" xfId="5960" xr:uid="{00000000-0005-0000-0000-0000D61B0000}"/>
    <cellStyle name="CABEÇALHO 5 10 4 8" xfId="9862" xr:uid="{00000000-0005-0000-0000-0000D71B0000}"/>
    <cellStyle name="CABEÇALHO 5 10 5" xfId="704" xr:uid="{00000000-0005-0000-0000-0000D81B0000}"/>
    <cellStyle name="CABEÇALHO 5 10 5 2" xfId="1846" xr:uid="{00000000-0005-0000-0000-0000D91B0000}"/>
    <cellStyle name="CABEÇALHO 5 10 5 2 2" xfId="4726" xr:uid="{00000000-0005-0000-0000-0000DA1B0000}"/>
    <cellStyle name="CABEÇALHO 5 10 5 2 3" xfId="8119" xr:uid="{00000000-0005-0000-0000-0000DB1B0000}"/>
    <cellStyle name="CABEÇALHO 5 10 5 2 4" xfId="7854" xr:uid="{00000000-0005-0000-0000-0000DC1B0000}"/>
    <cellStyle name="CABEÇALHO 5 10 5 2 5" xfId="8958" xr:uid="{00000000-0005-0000-0000-0000DD1B0000}"/>
    <cellStyle name="CABEÇALHO 5 10 5 2 6" xfId="7079" xr:uid="{00000000-0005-0000-0000-0000DE1B0000}"/>
    <cellStyle name="CABEÇALHO 5 10 5 3" xfId="2724" xr:uid="{00000000-0005-0000-0000-0000DF1B0000}"/>
    <cellStyle name="CABEÇALHO 5 10 5 3 2" xfId="5604" xr:uid="{00000000-0005-0000-0000-0000E01B0000}"/>
    <cellStyle name="CABEÇALHO 5 10 5 3 3" xfId="7745" xr:uid="{00000000-0005-0000-0000-0000E11B0000}"/>
    <cellStyle name="CABEÇALHO 5 10 5 3 4" xfId="3182" xr:uid="{00000000-0005-0000-0000-0000E21B0000}"/>
    <cellStyle name="CABEÇALHO 5 10 5 3 5" xfId="9613" xr:uid="{00000000-0005-0000-0000-0000E31B0000}"/>
    <cellStyle name="CABEÇALHO 5 10 5 3 6" xfId="11121" xr:uid="{00000000-0005-0000-0000-0000E41B0000}"/>
    <cellStyle name="CABEÇALHO 5 10 5 4" xfId="3584" xr:uid="{00000000-0005-0000-0000-0000E51B0000}"/>
    <cellStyle name="CABEÇALHO 5 10 5 5" xfId="6328" xr:uid="{00000000-0005-0000-0000-0000E61B0000}"/>
    <cellStyle name="CABEÇALHO 5 10 5 6" xfId="8430" xr:uid="{00000000-0005-0000-0000-0000E71B0000}"/>
    <cellStyle name="CABEÇALHO 5 10 5 7" xfId="8366" xr:uid="{00000000-0005-0000-0000-0000E81B0000}"/>
    <cellStyle name="CABEÇALHO 5 10 5 8" xfId="11299" xr:uid="{00000000-0005-0000-0000-0000E91B0000}"/>
    <cellStyle name="CABEÇALHO 5 10 6" xfId="764" xr:uid="{00000000-0005-0000-0000-0000EA1B0000}"/>
    <cellStyle name="CABEÇALHO 5 10 6 2" xfId="1906" xr:uid="{00000000-0005-0000-0000-0000EB1B0000}"/>
    <cellStyle name="CABEÇALHO 5 10 6 2 2" xfId="4786" xr:uid="{00000000-0005-0000-0000-0000EC1B0000}"/>
    <cellStyle name="CABEÇALHO 5 10 6 2 3" xfId="7949" xr:uid="{00000000-0005-0000-0000-0000ED1B0000}"/>
    <cellStyle name="CABEÇALHO 5 10 6 2 4" xfId="8452" xr:uid="{00000000-0005-0000-0000-0000EE1B0000}"/>
    <cellStyle name="CABEÇALHO 5 10 6 2 5" xfId="8773" xr:uid="{00000000-0005-0000-0000-0000EF1B0000}"/>
    <cellStyle name="CABEÇALHO 5 10 6 2 6" xfId="8885" xr:uid="{00000000-0005-0000-0000-0000F01B0000}"/>
    <cellStyle name="CABEÇALHO 5 10 6 3" xfId="1363" xr:uid="{00000000-0005-0000-0000-0000F11B0000}"/>
    <cellStyle name="CABEÇALHO 5 10 6 3 2" xfId="4243" xr:uid="{00000000-0005-0000-0000-0000F21B0000}"/>
    <cellStyle name="CABEÇALHO 5 10 6 3 3" xfId="7596" xr:uid="{00000000-0005-0000-0000-0000F31B0000}"/>
    <cellStyle name="CABEÇALHO 5 10 6 3 4" xfId="9024" xr:uid="{00000000-0005-0000-0000-0000F41B0000}"/>
    <cellStyle name="CABEÇALHO 5 10 6 3 5" xfId="10016" xr:uid="{00000000-0005-0000-0000-0000F51B0000}"/>
    <cellStyle name="CABEÇALHO 5 10 6 3 6" xfId="8911" xr:uid="{00000000-0005-0000-0000-0000F61B0000}"/>
    <cellStyle name="CABEÇALHO 5 10 6 4" xfId="3644" xr:uid="{00000000-0005-0000-0000-0000F71B0000}"/>
    <cellStyle name="CABEÇALHO 5 10 6 5" xfId="7350" xr:uid="{00000000-0005-0000-0000-0000F81B0000}"/>
    <cellStyle name="CABEÇALHO 5 10 6 6" xfId="6437" xr:uid="{00000000-0005-0000-0000-0000F91B0000}"/>
    <cellStyle name="CABEÇALHO 5 10 6 7" xfId="8346" xr:uid="{00000000-0005-0000-0000-0000FA1B0000}"/>
    <cellStyle name="CABEÇALHO 5 10 6 8" xfId="9991" xr:uid="{00000000-0005-0000-0000-0000FB1B0000}"/>
    <cellStyle name="CABEÇALHO 5 10 7" xfId="1609" xr:uid="{00000000-0005-0000-0000-0000FC1B0000}"/>
    <cellStyle name="CABEÇALHO 5 10 7 2" xfId="4489" xr:uid="{00000000-0005-0000-0000-0000FD1B0000}"/>
    <cellStyle name="CABEÇALHO 5 10 7 3" xfId="7240" xr:uid="{00000000-0005-0000-0000-0000FE1B0000}"/>
    <cellStyle name="CABEÇALHO 5 10 7 4" xfId="8683" xr:uid="{00000000-0005-0000-0000-0000FF1B0000}"/>
    <cellStyle name="CABEÇALHO 5 10 7 5" xfId="10364" xr:uid="{00000000-0005-0000-0000-0000001C0000}"/>
    <cellStyle name="CABEÇALHO 5 10 7 6" xfId="8878" xr:uid="{00000000-0005-0000-0000-0000011C0000}"/>
    <cellStyle name="CABEÇALHO 5 10 8" xfId="2650" xr:uid="{00000000-0005-0000-0000-0000021C0000}"/>
    <cellStyle name="CABEÇALHO 5 10 8 2" xfId="5530" xr:uid="{00000000-0005-0000-0000-0000031C0000}"/>
    <cellStyle name="CABEÇALHO 5 10 8 3" xfId="7904" xr:uid="{00000000-0005-0000-0000-0000041C0000}"/>
    <cellStyle name="CABEÇALHO 5 10 8 4" xfId="9190" xr:uid="{00000000-0005-0000-0000-0000051C0000}"/>
    <cellStyle name="CABEÇALHO 5 10 8 5" xfId="10506" xr:uid="{00000000-0005-0000-0000-0000061C0000}"/>
    <cellStyle name="CABEÇALHO 5 10 8 6" xfId="11105" xr:uid="{00000000-0005-0000-0000-0000071C0000}"/>
    <cellStyle name="CABEÇALHO 5 10 9" xfId="3348" xr:uid="{00000000-0005-0000-0000-0000081C0000}"/>
    <cellStyle name="CABEÇALHO 5 11" xfId="495" xr:uid="{00000000-0005-0000-0000-0000091C0000}"/>
    <cellStyle name="CABEÇALHO 5 11 10" xfId="6402" xr:uid="{00000000-0005-0000-0000-00000A1C0000}"/>
    <cellStyle name="CABEÇALHO 5 11 11" xfId="8496" xr:uid="{00000000-0005-0000-0000-00000B1C0000}"/>
    <cellStyle name="CABEÇALHO 5 11 12" xfId="9141" xr:uid="{00000000-0005-0000-0000-00000C1C0000}"/>
    <cellStyle name="CABEÇALHO 5 11 13" xfId="11617" xr:uid="{00000000-0005-0000-0000-00000D1C0000}"/>
    <cellStyle name="CABEÇALHO 5 11 2" xfId="971" xr:uid="{00000000-0005-0000-0000-00000E1C0000}"/>
    <cellStyle name="CABEÇALHO 5 11 2 2" xfId="2113" xr:uid="{00000000-0005-0000-0000-00000F1C0000}"/>
    <cellStyle name="CABEÇALHO 5 11 2 2 2" xfId="4993" xr:uid="{00000000-0005-0000-0000-0000101C0000}"/>
    <cellStyle name="CABEÇALHO 5 11 2 2 3" xfId="8123" xr:uid="{00000000-0005-0000-0000-0000111C0000}"/>
    <cellStyle name="CABEÇALHO 5 11 2 2 4" xfId="5889" xr:uid="{00000000-0005-0000-0000-0000121C0000}"/>
    <cellStyle name="CABEÇALHO 5 11 2 2 5" xfId="9616" xr:uid="{00000000-0005-0000-0000-0000131C0000}"/>
    <cellStyle name="CABEÇALHO 5 11 2 2 6" xfId="11075" xr:uid="{00000000-0005-0000-0000-0000141C0000}"/>
    <cellStyle name="CABEÇALHO 5 11 2 3" xfId="2563" xr:uid="{00000000-0005-0000-0000-0000151C0000}"/>
    <cellStyle name="CABEÇALHO 5 11 2 3 2" xfId="5443" xr:uid="{00000000-0005-0000-0000-0000161C0000}"/>
    <cellStyle name="CABEÇALHO 5 11 2 3 3" xfId="8158" xr:uid="{00000000-0005-0000-0000-0000171C0000}"/>
    <cellStyle name="CABEÇALHO 5 11 2 3 4" xfId="9148" xr:uid="{00000000-0005-0000-0000-0000181C0000}"/>
    <cellStyle name="CABEÇALHO 5 11 2 3 5" xfId="10466" xr:uid="{00000000-0005-0000-0000-0000191C0000}"/>
    <cellStyle name="CABEÇALHO 5 11 2 3 6" xfId="6048" xr:uid="{00000000-0005-0000-0000-00001A1C0000}"/>
    <cellStyle name="CABEÇALHO 5 11 2 4" xfId="3851" xr:uid="{00000000-0005-0000-0000-00001B1C0000}"/>
    <cellStyle name="CABEÇALHO 5 11 2 5" xfId="2913" xr:uid="{00000000-0005-0000-0000-00001C1C0000}"/>
    <cellStyle name="CABEÇALHO 5 11 2 6" xfId="6234" xr:uid="{00000000-0005-0000-0000-00001D1C0000}"/>
    <cellStyle name="CABEÇALHO 5 11 2 7" xfId="8320" xr:uid="{00000000-0005-0000-0000-00001E1C0000}"/>
    <cellStyle name="CABEÇALHO 5 11 2 8" xfId="11320" xr:uid="{00000000-0005-0000-0000-00001F1C0000}"/>
    <cellStyle name="CABEÇALHO 5 11 3" xfId="767" xr:uid="{00000000-0005-0000-0000-0000201C0000}"/>
    <cellStyle name="CABEÇALHO 5 11 3 2" xfId="1909" xr:uid="{00000000-0005-0000-0000-0000211C0000}"/>
    <cellStyle name="CABEÇALHO 5 11 3 2 2" xfId="4789" xr:uid="{00000000-0005-0000-0000-0000221C0000}"/>
    <cellStyle name="CABEÇALHO 5 11 3 2 3" xfId="7942" xr:uid="{00000000-0005-0000-0000-0000231C0000}"/>
    <cellStyle name="CABEÇALHO 5 11 3 2 4" xfId="7389" xr:uid="{00000000-0005-0000-0000-0000241C0000}"/>
    <cellStyle name="CABEÇALHO 5 11 3 2 5" xfId="9821" xr:uid="{00000000-0005-0000-0000-0000251C0000}"/>
    <cellStyle name="CABEÇALHO 5 11 3 2 6" xfId="11013" xr:uid="{00000000-0005-0000-0000-0000261C0000}"/>
    <cellStyle name="CABEÇALHO 5 11 3 3" xfId="2557" xr:uid="{00000000-0005-0000-0000-0000271C0000}"/>
    <cellStyle name="CABEÇALHO 5 11 3 3 2" xfId="5437" xr:uid="{00000000-0005-0000-0000-0000281C0000}"/>
    <cellStyle name="CABEÇALHO 5 11 3 3 3" xfId="7931" xr:uid="{00000000-0005-0000-0000-0000291C0000}"/>
    <cellStyle name="CABEÇALHO 5 11 3 3 4" xfId="9208" xr:uid="{00000000-0005-0000-0000-00002A1C0000}"/>
    <cellStyle name="CABEÇALHO 5 11 3 3 5" xfId="10528" xr:uid="{00000000-0005-0000-0000-00002B1C0000}"/>
    <cellStyle name="CABEÇALHO 5 11 3 3 6" xfId="11268" xr:uid="{00000000-0005-0000-0000-00002C1C0000}"/>
    <cellStyle name="CABEÇALHO 5 11 3 4" xfId="3647" xr:uid="{00000000-0005-0000-0000-00002D1C0000}"/>
    <cellStyle name="CABEÇALHO 5 11 3 5" xfId="7505" xr:uid="{00000000-0005-0000-0000-00002E1C0000}"/>
    <cellStyle name="CABEÇALHO 5 11 3 6" xfId="6247" xr:uid="{00000000-0005-0000-0000-00002F1C0000}"/>
    <cellStyle name="CABEÇALHO 5 11 3 7" xfId="10124" xr:uid="{00000000-0005-0000-0000-0000301C0000}"/>
    <cellStyle name="CABEÇALHO 5 11 3 8" xfId="11070" xr:uid="{00000000-0005-0000-0000-0000311C0000}"/>
    <cellStyle name="CABEÇALHO 5 11 4" xfId="1224" xr:uid="{00000000-0005-0000-0000-0000321C0000}"/>
    <cellStyle name="CABEÇALHO 5 11 4 2" xfId="2366" xr:uid="{00000000-0005-0000-0000-0000331C0000}"/>
    <cellStyle name="CABEÇALHO 5 11 4 2 2" xfId="5246" xr:uid="{00000000-0005-0000-0000-0000341C0000}"/>
    <cellStyle name="CABEÇALHO 5 11 4 2 3" xfId="7256" xr:uid="{00000000-0005-0000-0000-0000351C0000}"/>
    <cellStyle name="CABEÇALHO 5 11 4 2 4" xfId="9376" xr:uid="{00000000-0005-0000-0000-0000361C0000}"/>
    <cellStyle name="CABEÇALHO 5 11 4 2 5" xfId="10641" xr:uid="{00000000-0005-0000-0000-0000371C0000}"/>
    <cellStyle name="CABEÇALHO 5 11 4 2 6" xfId="9882" xr:uid="{00000000-0005-0000-0000-0000381C0000}"/>
    <cellStyle name="CABEÇALHO 5 11 4 3" xfId="1440" xr:uid="{00000000-0005-0000-0000-0000391C0000}"/>
    <cellStyle name="CABEÇALHO 5 11 4 3 2" xfId="4320" xr:uid="{00000000-0005-0000-0000-00003A1C0000}"/>
    <cellStyle name="CABEÇALHO 5 11 4 3 3" xfId="6859" xr:uid="{00000000-0005-0000-0000-00003B1C0000}"/>
    <cellStyle name="CABEÇALHO 5 11 4 3 4" xfId="8328" xr:uid="{00000000-0005-0000-0000-00003C1C0000}"/>
    <cellStyle name="CABEÇALHO 5 11 4 3 5" xfId="6001" xr:uid="{00000000-0005-0000-0000-00003D1C0000}"/>
    <cellStyle name="CABEÇALHO 5 11 4 3 6" xfId="11068" xr:uid="{00000000-0005-0000-0000-00003E1C0000}"/>
    <cellStyle name="CABEÇALHO 5 11 4 4" xfId="4104" xr:uid="{00000000-0005-0000-0000-00003F1C0000}"/>
    <cellStyle name="CABEÇALHO 5 11 4 5" xfId="2937" xr:uid="{00000000-0005-0000-0000-0000401C0000}"/>
    <cellStyle name="CABEÇALHO 5 11 4 6" xfId="8041" xr:uid="{00000000-0005-0000-0000-0000411C0000}"/>
    <cellStyle name="CABEÇALHO 5 11 4 7" xfId="5783" xr:uid="{00000000-0005-0000-0000-0000421C0000}"/>
    <cellStyle name="CABEÇALHO 5 11 4 8" xfId="10177" xr:uid="{00000000-0005-0000-0000-0000431C0000}"/>
    <cellStyle name="CABEÇALHO 5 11 5" xfId="792" xr:uid="{00000000-0005-0000-0000-0000441C0000}"/>
    <cellStyle name="CABEÇALHO 5 11 5 2" xfId="1934" xr:uid="{00000000-0005-0000-0000-0000451C0000}"/>
    <cellStyle name="CABEÇALHO 5 11 5 2 2" xfId="4814" xr:uid="{00000000-0005-0000-0000-0000461C0000}"/>
    <cellStyle name="CABEÇALHO 5 11 5 2 3" xfId="7252" xr:uid="{00000000-0005-0000-0000-0000471C0000}"/>
    <cellStyle name="CABEÇALHO 5 11 5 2 4" xfId="9343" xr:uid="{00000000-0005-0000-0000-0000481C0000}"/>
    <cellStyle name="CABEÇALHO 5 11 5 2 5" xfId="10567" xr:uid="{00000000-0005-0000-0000-0000491C0000}"/>
    <cellStyle name="CABEÇALHO 5 11 5 2 6" xfId="9860" xr:uid="{00000000-0005-0000-0000-00004A1C0000}"/>
    <cellStyle name="CABEÇALHO 5 11 5 3" xfId="2603" xr:uid="{00000000-0005-0000-0000-00004B1C0000}"/>
    <cellStyle name="CABEÇALHO 5 11 5 3 2" xfId="5483" xr:uid="{00000000-0005-0000-0000-00004C1C0000}"/>
    <cellStyle name="CABEÇALHO 5 11 5 3 3" xfId="7475" xr:uid="{00000000-0005-0000-0000-00004D1C0000}"/>
    <cellStyle name="CABEÇALHO 5 11 5 3 4" xfId="7024" xr:uid="{00000000-0005-0000-0000-00004E1C0000}"/>
    <cellStyle name="CABEÇALHO 5 11 5 3 5" xfId="7530" xr:uid="{00000000-0005-0000-0000-00004F1C0000}"/>
    <cellStyle name="CABEÇALHO 5 11 5 3 6" xfId="11622" xr:uid="{00000000-0005-0000-0000-0000501C0000}"/>
    <cellStyle name="CABEÇALHO 5 11 5 4" xfId="3672" xr:uid="{00000000-0005-0000-0000-0000511C0000}"/>
    <cellStyle name="CABEÇALHO 5 11 5 5" xfId="6488" xr:uid="{00000000-0005-0000-0000-0000521C0000}"/>
    <cellStyle name="CABEÇALHO 5 11 5 6" xfId="8572" xr:uid="{00000000-0005-0000-0000-0000531C0000}"/>
    <cellStyle name="CABEÇALHO 5 11 5 7" xfId="8894" xr:uid="{00000000-0005-0000-0000-0000541C0000}"/>
    <cellStyle name="CABEÇALHO 5 11 5 8" xfId="10854" xr:uid="{00000000-0005-0000-0000-0000551C0000}"/>
    <cellStyle name="CABEÇALHO 5 11 6" xfId="1150" xr:uid="{00000000-0005-0000-0000-0000561C0000}"/>
    <cellStyle name="CABEÇALHO 5 11 6 2" xfId="2292" xr:uid="{00000000-0005-0000-0000-0000571C0000}"/>
    <cellStyle name="CABEÇALHO 5 11 6 2 2" xfId="5172" xr:uid="{00000000-0005-0000-0000-0000581C0000}"/>
    <cellStyle name="CABEÇALHO 5 11 6 2 3" xfId="6207" xr:uid="{00000000-0005-0000-0000-0000591C0000}"/>
    <cellStyle name="CABEÇALHO 5 11 6 2 4" xfId="8737" xr:uid="{00000000-0005-0000-0000-00005A1C0000}"/>
    <cellStyle name="CABEÇALHO 5 11 6 2 5" xfId="10452" xr:uid="{00000000-0005-0000-0000-00005B1C0000}"/>
    <cellStyle name="CABEÇALHO 5 11 6 2 6" xfId="8857" xr:uid="{00000000-0005-0000-0000-00005C1C0000}"/>
    <cellStyle name="CABEÇALHO 5 11 6 3" xfId="2618" xr:uid="{00000000-0005-0000-0000-00005D1C0000}"/>
    <cellStyle name="CABEÇALHO 5 11 6 3 2" xfId="5498" xr:uid="{00000000-0005-0000-0000-00005E1C0000}"/>
    <cellStyle name="CABEÇALHO 5 11 6 3 3" xfId="7703" xr:uid="{00000000-0005-0000-0000-00005F1C0000}"/>
    <cellStyle name="CABEÇALHO 5 11 6 3 4" xfId="6284" xr:uid="{00000000-0005-0000-0000-0000601C0000}"/>
    <cellStyle name="CABEÇALHO 5 11 6 3 5" xfId="6189" xr:uid="{00000000-0005-0000-0000-0000611C0000}"/>
    <cellStyle name="CABEÇALHO 5 11 6 3 6" xfId="10872" xr:uid="{00000000-0005-0000-0000-0000621C0000}"/>
    <cellStyle name="CABEÇALHO 5 11 6 4" xfId="4030" xr:uid="{00000000-0005-0000-0000-0000631C0000}"/>
    <cellStyle name="CABEÇALHO 5 11 6 5" xfId="3018" xr:uid="{00000000-0005-0000-0000-0000641C0000}"/>
    <cellStyle name="CABEÇALHO 5 11 6 6" xfId="3191" xr:uid="{00000000-0005-0000-0000-0000651C0000}"/>
    <cellStyle name="CABEÇALHO 5 11 6 7" xfId="9468" xr:uid="{00000000-0005-0000-0000-0000661C0000}"/>
    <cellStyle name="CABEÇALHO 5 11 6 8" xfId="11031" xr:uid="{00000000-0005-0000-0000-0000671C0000}"/>
    <cellStyle name="CABEÇALHO 5 11 7" xfId="1636" xr:uid="{00000000-0005-0000-0000-0000681C0000}"/>
    <cellStyle name="CABEÇALHO 5 11 7 2" xfId="4516" xr:uid="{00000000-0005-0000-0000-0000691C0000}"/>
    <cellStyle name="CABEÇALHO 5 11 7 3" xfId="6851" xr:uid="{00000000-0005-0000-0000-00006A1C0000}"/>
    <cellStyle name="CABEÇALHO 5 11 7 4" xfId="8321" xr:uid="{00000000-0005-0000-0000-00006B1C0000}"/>
    <cellStyle name="CABEÇALHO 5 11 7 5" xfId="10209" xr:uid="{00000000-0005-0000-0000-00006C1C0000}"/>
    <cellStyle name="CABEÇALHO 5 11 7 6" xfId="10430" xr:uid="{00000000-0005-0000-0000-00006D1C0000}"/>
    <cellStyle name="CABEÇALHO 5 11 8" xfId="2644" xr:uid="{00000000-0005-0000-0000-00006E1C0000}"/>
    <cellStyle name="CABEÇALHO 5 11 8 2" xfId="5524" xr:uid="{00000000-0005-0000-0000-00006F1C0000}"/>
    <cellStyle name="CABEÇALHO 5 11 8 3" xfId="8184" xr:uid="{00000000-0005-0000-0000-0000701C0000}"/>
    <cellStyle name="CABEÇALHO 5 11 8 4" xfId="9241" xr:uid="{00000000-0005-0000-0000-0000711C0000}"/>
    <cellStyle name="CABEÇALHO 5 11 8 5" xfId="10343" xr:uid="{00000000-0005-0000-0000-0000721C0000}"/>
    <cellStyle name="CABEÇALHO 5 11 8 6" xfId="11273" xr:uid="{00000000-0005-0000-0000-0000731C0000}"/>
    <cellStyle name="CABEÇALHO 5 11 9" xfId="3375" xr:uid="{00000000-0005-0000-0000-0000741C0000}"/>
    <cellStyle name="CABEÇALHO 5 12" xfId="499" xr:uid="{00000000-0005-0000-0000-0000751C0000}"/>
    <cellStyle name="CABEÇALHO 5 12 10" xfId="6297" xr:uid="{00000000-0005-0000-0000-0000761C0000}"/>
    <cellStyle name="CABEÇALHO 5 12 11" xfId="8403" xr:uid="{00000000-0005-0000-0000-0000771C0000}"/>
    <cellStyle name="CABEÇALHO 5 12 12" xfId="7513" xr:uid="{00000000-0005-0000-0000-0000781C0000}"/>
    <cellStyle name="CABEÇALHO 5 12 13" xfId="11168" xr:uid="{00000000-0005-0000-0000-0000791C0000}"/>
    <cellStyle name="CABEÇALHO 5 12 2" xfId="975" xr:uid="{00000000-0005-0000-0000-00007A1C0000}"/>
    <cellStyle name="CABEÇALHO 5 12 2 2" xfId="2117" xr:uid="{00000000-0005-0000-0000-00007B1C0000}"/>
    <cellStyle name="CABEÇALHO 5 12 2 2 2" xfId="4997" xr:uid="{00000000-0005-0000-0000-00007C1C0000}"/>
    <cellStyle name="CABEÇALHO 5 12 2 2 3" xfId="7232" xr:uid="{00000000-0005-0000-0000-00007D1C0000}"/>
    <cellStyle name="CABEÇALHO 5 12 2 2 4" xfId="9306" xr:uid="{00000000-0005-0000-0000-00007E1C0000}"/>
    <cellStyle name="CABEÇALHO 5 12 2 2 5" xfId="10778" xr:uid="{00000000-0005-0000-0000-00007F1C0000}"/>
    <cellStyle name="CABEÇALHO 5 12 2 2 6" xfId="8132" xr:uid="{00000000-0005-0000-0000-0000801C0000}"/>
    <cellStyle name="CABEÇALHO 5 12 2 3" xfId="2770" xr:uid="{00000000-0005-0000-0000-0000811C0000}"/>
    <cellStyle name="CABEÇALHO 5 12 2 3 2" xfId="5650" xr:uid="{00000000-0005-0000-0000-0000821C0000}"/>
    <cellStyle name="CABEÇALHO 5 12 2 3 3" xfId="7165" xr:uid="{00000000-0005-0000-0000-0000831C0000}"/>
    <cellStyle name="CABEÇALHO 5 12 2 3 4" xfId="7861" xr:uid="{00000000-0005-0000-0000-0000841C0000}"/>
    <cellStyle name="CABEÇALHO 5 12 2 3 5" xfId="10623" xr:uid="{00000000-0005-0000-0000-0000851C0000}"/>
    <cellStyle name="CABEÇALHO 5 12 2 3 6" xfId="11509" xr:uid="{00000000-0005-0000-0000-0000861C0000}"/>
    <cellStyle name="CABEÇALHO 5 12 2 4" xfId="3855" xr:uid="{00000000-0005-0000-0000-0000871C0000}"/>
    <cellStyle name="CABEÇALHO 5 12 2 5" xfId="7343" xr:uid="{00000000-0005-0000-0000-0000881C0000}"/>
    <cellStyle name="CABEÇALHO 5 12 2 6" xfId="7189" xr:uid="{00000000-0005-0000-0000-0000891C0000}"/>
    <cellStyle name="CABEÇALHO 5 12 2 7" xfId="8820" xr:uid="{00000000-0005-0000-0000-00008A1C0000}"/>
    <cellStyle name="CABEÇALHO 5 12 2 8" xfId="10296" xr:uid="{00000000-0005-0000-0000-00008B1C0000}"/>
    <cellStyle name="CABEÇALHO 5 12 3" xfId="728" xr:uid="{00000000-0005-0000-0000-00008C1C0000}"/>
    <cellStyle name="CABEÇALHO 5 12 3 2" xfId="1870" xr:uid="{00000000-0005-0000-0000-00008D1C0000}"/>
    <cellStyle name="CABEÇALHO 5 12 3 2 2" xfId="4750" xr:uid="{00000000-0005-0000-0000-00008E1C0000}"/>
    <cellStyle name="CABEÇALHO 5 12 3 2 3" xfId="7957" xr:uid="{00000000-0005-0000-0000-00008F1C0000}"/>
    <cellStyle name="CABEÇALHO 5 12 3 2 4" xfId="8455" xr:uid="{00000000-0005-0000-0000-0000901C0000}"/>
    <cellStyle name="CABEÇALHO 5 12 3 2 5" xfId="9970" xr:uid="{00000000-0005-0000-0000-0000911C0000}"/>
    <cellStyle name="CABEÇALHO 5 12 3 2 6" xfId="10540" xr:uid="{00000000-0005-0000-0000-0000921C0000}"/>
    <cellStyle name="CABEÇALHO 5 12 3 3" xfId="2635" xr:uid="{00000000-0005-0000-0000-0000931C0000}"/>
    <cellStyle name="CABEÇALHO 5 12 3 3 2" xfId="5515" xr:uid="{00000000-0005-0000-0000-0000941C0000}"/>
    <cellStyle name="CABEÇALHO 5 12 3 3 3" xfId="8114" xr:uid="{00000000-0005-0000-0000-0000951C0000}"/>
    <cellStyle name="CABEÇALHO 5 12 3 3 4" xfId="9168" xr:uid="{00000000-0005-0000-0000-0000961C0000}"/>
    <cellStyle name="CABEÇALHO 5 12 3 3 5" xfId="10485" xr:uid="{00000000-0005-0000-0000-0000971C0000}"/>
    <cellStyle name="CABEÇALHO 5 12 3 3 6" xfId="11606" xr:uid="{00000000-0005-0000-0000-0000981C0000}"/>
    <cellStyle name="CABEÇALHO 5 12 3 4" xfId="3608" xr:uid="{00000000-0005-0000-0000-0000991C0000}"/>
    <cellStyle name="CABEÇALHO 5 12 3 5" xfId="3002" xr:uid="{00000000-0005-0000-0000-00009A1C0000}"/>
    <cellStyle name="CABEÇALHO 5 12 3 6" xfId="7381" xr:uid="{00000000-0005-0000-0000-00009B1C0000}"/>
    <cellStyle name="CABEÇALHO 5 12 3 7" xfId="9344" xr:uid="{00000000-0005-0000-0000-00009C1C0000}"/>
    <cellStyle name="CABEÇALHO 5 12 3 8" xfId="11249" xr:uid="{00000000-0005-0000-0000-00009D1C0000}"/>
    <cellStyle name="CABEÇALHO 5 12 4" xfId="698" xr:uid="{00000000-0005-0000-0000-00009E1C0000}"/>
    <cellStyle name="CABEÇALHO 5 12 4 2" xfId="1840" xr:uid="{00000000-0005-0000-0000-00009F1C0000}"/>
    <cellStyle name="CABEÇALHO 5 12 4 2 2" xfId="4720" xr:uid="{00000000-0005-0000-0000-0000A01C0000}"/>
    <cellStyle name="CABEÇALHO 5 12 4 2 3" xfId="8147" xr:uid="{00000000-0005-0000-0000-0000A11C0000}"/>
    <cellStyle name="CABEÇALHO 5 12 4 2 4" xfId="6760" xr:uid="{00000000-0005-0000-0000-0000A21C0000}"/>
    <cellStyle name="CABEÇALHO 5 12 4 2 5" xfId="9817" xr:uid="{00000000-0005-0000-0000-0000A31C0000}"/>
    <cellStyle name="CABEÇALHO 5 12 4 2 6" xfId="8584" xr:uid="{00000000-0005-0000-0000-0000A41C0000}"/>
    <cellStyle name="CABEÇALHO 5 12 4 3" xfId="2778" xr:uid="{00000000-0005-0000-0000-0000A51C0000}"/>
    <cellStyle name="CABEÇALHO 5 12 4 3 2" xfId="5658" xr:uid="{00000000-0005-0000-0000-0000A61C0000}"/>
    <cellStyle name="CABEÇALHO 5 12 4 3 3" xfId="7740" xr:uid="{00000000-0005-0000-0000-0000A71C0000}"/>
    <cellStyle name="CABEÇALHO 5 12 4 3 4" xfId="7486" xr:uid="{00000000-0005-0000-0000-0000A81C0000}"/>
    <cellStyle name="CABEÇALHO 5 12 4 3 5" xfId="9608" xr:uid="{00000000-0005-0000-0000-0000A91C0000}"/>
    <cellStyle name="CABEÇALHO 5 12 4 3 6" xfId="11098" xr:uid="{00000000-0005-0000-0000-0000AA1C0000}"/>
    <cellStyle name="CABEÇALHO 5 12 4 4" xfId="3578" xr:uid="{00000000-0005-0000-0000-0000AB1C0000}"/>
    <cellStyle name="CABEÇALHO 5 12 4 5" xfId="7070" xr:uid="{00000000-0005-0000-0000-0000AC1C0000}"/>
    <cellStyle name="CABEÇALHO 5 12 4 6" xfId="8794" xr:uid="{00000000-0005-0000-0000-0000AD1C0000}"/>
    <cellStyle name="CABEÇALHO 5 12 4 7" xfId="9762" xr:uid="{00000000-0005-0000-0000-0000AE1C0000}"/>
    <cellStyle name="CABEÇALHO 5 12 4 8" xfId="11281" xr:uid="{00000000-0005-0000-0000-0000AF1C0000}"/>
    <cellStyle name="CABEÇALHO 5 12 5" xfId="1221" xr:uid="{00000000-0005-0000-0000-0000B01C0000}"/>
    <cellStyle name="CABEÇALHO 5 12 5 2" xfId="2363" xr:uid="{00000000-0005-0000-0000-0000B11C0000}"/>
    <cellStyle name="CABEÇALHO 5 12 5 2 2" xfId="5243" xr:uid="{00000000-0005-0000-0000-0000B21C0000}"/>
    <cellStyle name="CABEÇALHO 5 12 5 2 3" xfId="7218" xr:uid="{00000000-0005-0000-0000-0000B31C0000}"/>
    <cellStyle name="CABEÇALHO 5 12 5 2 4" xfId="9372" xr:uid="{00000000-0005-0000-0000-0000B41C0000}"/>
    <cellStyle name="CABEÇALHO 5 12 5 2 5" xfId="10519" xr:uid="{00000000-0005-0000-0000-0000B51C0000}"/>
    <cellStyle name="CABEÇALHO 5 12 5 2 6" xfId="9064" xr:uid="{00000000-0005-0000-0000-0000B61C0000}"/>
    <cellStyle name="CABEÇALHO 5 12 5 3" xfId="2628" xr:uid="{00000000-0005-0000-0000-0000B71C0000}"/>
    <cellStyle name="CABEÇALHO 5 12 5 3 2" xfId="5508" xr:uid="{00000000-0005-0000-0000-0000B81C0000}"/>
    <cellStyle name="CABEÇALHO 5 12 5 3 3" xfId="6744" xr:uid="{00000000-0005-0000-0000-0000B91C0000}"/>
    <cellStyle name="CABEÇALHO 5 12 5 3 4" xfId="9596" xr:uid="{00000000-0005-0000-0000-0000BA1C0000}"/>
    <cellStyle name="CABEÇALHO 5 12 5 3 5" xfId="8859" xr:uid="{00000000-0005-0000-0000-0000BB1C0000}"/>
    <cellStyle name="CABEÇALHO 5 12 5 3 6" xfId="11078" xr:uid="{00000000-0005-0000-0000-0000BC1C0000}"/>
    <cellStyle name="CABEÇALHO 5 12 5 4" xfId="4101" xr:uid="{00000000-0005-0000-0000-0000BD1C0000}"/>
    <cellStyle name="CABEÇALHO 5 12 5 5" xfId="3010" xr:uid="{00000000-0005-0000-0000-0000BE1C0000}"/>
    <cellStyle name="CABEÇALHO 5 12 5 6" xfId="2900" xr:uid="{00000000-0005-0000-0000-0000BF1C0000}"/>
    <cellStyle name="CABEÇALHO 5 12 5 7" xfId="8499" xr:uid="{00000000-0005-0000-0000-0000C01C0000}"/>
    <cellStyle name="CABEÇALHO 5 12 5 8" xfId="9358" xr:uid="{00000000-0005-0000-0000-0000C11C0000}"/>
    <cellStyle name="CABEÇALHO 5 12 6" xfId="1177" xr:uid="{00000000-0005-0000-0000-0000C21C0000}"/>
    <cellStyle name="CABEÇALHO 5 12 6 2" xfId="2319" xr:uid="{00000000-0005-0000-0000-0000C31C0000}"/>
    <cellStyle name="CABEÇALHO 5 12 6 2 2" xfId="5199" xr:uid="{00000000-0005-0000-0000-0000C41C0000}"/>
    <cellStyle name="CABEÇALHO 5 12 6 2 3" xfId="6728" xr:uid="{00000000-0005-0000-0000-0000C51C0000}"/>
    <cellStyle name="CABEÇALHO 5 12 6 2 4" xfId="9212" xr:uid="{00000000-0005-0000-0000-0000C61C0000}"/>
    <cellStyle name="CABEÇALHO 5 12 6 2 5" xfId="10705" xr:uid="{00000000-0005-0000-0000-0000C71C0000}"/>
    <cellStyle name="CABEÇALHO 5 12 6 2 6" xfId="11217" xr:uid="{00000000-0005-0000-0000-0000C81C0000}"/>
    <cellStyle name="CABEÇALHO 5 12 6 3" xfId="2547" xr:uid="{00000000-0005-0000-0000-0000C91C0000}"/>
    <cellStyle name="CABEÇALHO 5 12 6 3 2" xfId="5427" xr:uid="{00000000-0005-0000-0000-0000CA1C0000}"/>
    <cellStyle name="CABEÇALHO 5 12 6 3 3" xfId="6221" xr:uid="{00000000-0005-0000-0000-0000CB1C0000}"/>
    <cellStyle name="CABEÇALHO 5 12 6 3 4" xfId="8271" xr:uid="{00000000-0005-0000-0000-0000CC1C0000}"/>
    <cellStyle name="CABEÇALHO 5 12 6 3 5" xfId="10627" xr:uid="{00000000-0005-0000-0000-0000CD1C0000}"/>
    <cellStyle name="CABEÇALHO 5 12 6 3 6" xfId="8570" xr:uid="{00000000-0005-0000-0000-0000CE1C0000}"/>
    <cellStyle name="CABEÇALHO 5 12 6 4" xfId="4057" xr:uid="{00000000-0005-0000-0000-0000CF1C0000}"/>
    <cellStyle name="CABEÇALHO 5 12 6 5" xfId="2921" xr:uid="{00000000-0005-0000-0000-0000D01C0000}"/>
    <cellStyle name="CABEÇALHO 5 12 6 6" xfId="6852" xr:uid="{00000000-0005-0000-0000-0000D11C0000}"/>
    <cellStyle name="CABEÇALHO 5 12 6 7" xfId="2986" xr:uid="{00000000-0005-0000-0000-0000D21C0000}"/>
    <cellStyle name="CABEÇALHO 5 12 6 8" xfId="10980" xr:uid="{00000000-0005-0000-0000-0000D31C0000}"/>
    <cellStyle name="CABEÇALHO 5 12 7" xfId="1640" xr:uid="{00000000-0005-0000-0000-0000D41C0000}"/>
    <cellStyle name="CABEÇALHO 5 12 7 2" xfId="4520" xr:uid="{00000000-0005-0000-0000-0000D51C0000}"/>
    <cellStyle name="CABEÇALHO 5 12 7 3" xfId="6577" xr:uid="{00000000-0005-0000-0000-0000D61C0000}"/>
    <cellStyle name="CABEÇALHO 5 12 7 4" xfId="7425" xr:uid="{00000000-0005-0000-0000-0000D71C0000}"/>
    <cellStyle name="CABEÇALHO 5 12 7 5" xfId="9845" xr:uid="{00000000-0005-0000-0000-0000D81C0000}"/>
    <cellStyle name="CABEÇALHO 5 12 7 6" xfId="9810" xr:uid="{00000000-0005-0000-0000-0000D91C0000}"/>
    <cellStyle name="CABEÇALHO 5 12 8" xfId="1456" xr:uid="{00000000-0005-0000-0000-0000DA1C0000}"/>
    <cellStyle name="CABEÇALHO 5 12 8 2" xfId="4336" xr:uid="{00000000-0005-0000-0000-0000DB1C0000}"/>
    <cellStyle name="CABEÇALHO 5 12 8 3" xfId="8033" xr:uid="{00000000-0005-0000-0000-0000DC1C0000}"/>
    <cellStyle name="CABEÇALHO 5 12 8 4" xfId="9440" xr:uid="{00000000-0005-0000-0000-0000DD1C0000}"/>
    <cellStyle name="CABEÇALHO 5 12 8 5" xfId="10226" xr:uid="{00000000-0005-0000-0000-0000DE1C0000}"/>
    <cellStyle name="CABEÇALHO 5 12 8 6" xfId="8257" xr:uid="{00000000-0005-0000-0000-0000DF1C0000}"/>
    <cellStyle name="CABEÇALHO 5 12 9" xfId="3379" xr:uid="{00000000-0005-0000-0000-0000E01C0000}"/>
    <cellStyle name="CABEÇALHO 5 13" xfId="489" xr:uid="{00000000-0005-0000-0000-0000E11C0000}"/>
    <cellStyle name="CABEÇALHO 5 13 10" xfId="2985" xr:uid="{00000000-0005-0000-0000-0000E21C0000}"/>
    <cellStyle name="CABEÇALHO 5 13 11" xfId="5952" xr:uid="{00000000-0005-0000-0000-0000E31C0000}"/>
    <cellStyle name="CABEÇALHO 5 13 12" xfId="9361" xr:uid="{00000000-0005-0000-0000-0000E41C0000}"/>
    <cellStyle name="CABEÇALHO 5 13 13" xfId="10148" xr:uid="{00000000-0005-0000-0000-0000E51C0000}"/>
    <cellStyle name="CABEÇALHO 5 13 2" xfId="965" xr:uid="{00000000-0005-0000-0000-0000E61C0000}"/>
    <cellStyle name="CABEÇALHO 5 13 2 2" xfId="2107" xr:uid="{00000000-0005-0000-0000-0000E71C0000}"/>
    <cellStyle name="CABEÇALHO 5 13 2 2 2" xfId="4987" xr:uid="{00000000-0005-0000-0000-0000E81C0000}"/>
    <cellStyle name="CABEÇALHO 5 13 2 2 3" xfId="8189" xr:uid="{00000000-0005-0000-0000-0000E91C0000}"/>
    <cellStyle name="CABEÇALHO 5 13 2 2 4" xfId="8618" xr:uid="{00000000-0005-0000-0000-0000EA1C0000}"/>
    <cellStyle name="CABEÇALHO 5 13 2 2 5" xfId="9010" xr:uid="{00000000-0005-0000-0000-0000EB1C0000}"/>
    <cellStyle name="CABEÇALHO 5 13 2 2 6" xfId="11404" xr:uid="{00000000-0005-0000-0000-0000EC1C0000}"/>
    <cellStyle name="CABEÇALHO 5 13 2 3" xfId="2641" xr:uid="{00000000-0005-0000-0000-0000ED1C0000}"/>
    <cellStyle name="CABEÇALHO 5 13 2 3 2" xfId="5521" xr:uid="{00000000-0005-0000-0000-0000EE1C0000}"/>
    <cellStyle name="CABEÇALHO 5 13 2 3 3" xfId="6088" xr:uid="{00000000-0005-0000-0000-0000EF1C0000}"/>
    <cellStyle name="CABEÇALHO 5 13 2 3 4" xfId="9041" xr:uid="{00000000-0005-0000-0000-0000F01C0000}"/>
    <cellStyle name="CABEÇALHO 5 13 2 3 5" xfId="10423" xr:uid="{00000000-0005-0000-0000-0000F11C0000}"/>
    <cellStyle name="CABEÇALHO 5 13 2 3 6" xfId="6836" xr:uid="{00000000-0005-0000-0000-0000F21C0000}"/>
    <cellStyle name="CABEÇALHO 5 13 2 4" xfId="3845" xr:uid="{00000000-0005-0000-0000-0000F31C0000}"/>
    <cellStyle name="CABEÇALHO 5 13 2 5" xfId="2908" xr:uid="{00000000-0005-0000-0000-0000F41C0000}"/>
    <cellStyle name="CABEÇALHO 5 13 2 6" xfId="6935" xr:uid="{00000000-0005-0000-0000-0000F51C0000}"/>
    <cellStyle name="CABEÇALHO 5 13 2 7" xfId="8823" xr:uid="{00000000-0005-0000-0000-0000F61C0000}"/>
    <cellStyle name="CABEÇALHO 5 13 2 8" xfId="11330" xr:uid="{00000000-0005-0000-0000-0000F71C0000}"/>
    <cellStyle name="CABEÇALHO 5 13 3" xfId="756" xr:uid="{00000000-0005-0000-0000-0000F81C0000}"/>
    <cellStyle name="CABEÇALHO 5 13 3 2" xfId="1898" xr:uid="{00000000-0005-0000-0000-0000F91C0000}"/>
    <cellStyle name="CABEÇALHO 5 13 3 2 2" xfId="4778" xr:uid="{00000000-0005-0000-0000-0000FA1C0000}"/>
    <cellStyle name="CABEÇALHO 5 13 3 2 3" xfId="7257" xr:uid="{00000000-0005-0000-0000-0000FB1C0000}"/>
    <cellStyle name="CABEÇALHO 5 13 3 2 4" xfId="8334" xr:uid="{00000000-0005-0000-0000-0000FC1C0000}"/>
    <cellStyle name="CABEÇALHO 5 13 3 2 5" xfId="10530" xr:uid="{00000000-0005-0000-0000-0000FD1C0000}"/>
    <cellStyle name="CABEÇALHO 5 13 3 2 6" xfId="11381" xr:uid="{00000000-0005-0000-0000-0000FE1C0000}"/>
    <cellStyle name="CABEÇALHO 5 13 3 3" xfId="1479" xr:uid="{00000000-0005-0000-0000-0000FF1C0000}"/>
    <cellStyle name="CABEÇALHO 5 13 3 3 2" xfId="4359" xr:uid="{00000000-0005-0000-0000-0000001D0000}"/>
    <cellStyle name="CABEÇALHO 5 13 3 3 3" xfId="8121" xr:uid="{00000000-0005-0000-0000-0000011D0000}"/>
    <cellStyle name="CABEÇALHO 5 13 3 3 4" xfId="9526" xr:uid="{00000000-0005-0000-0000-0000021D0000}"/>
    <cellStyle name="CABEÇALHO 5 13 3 3 5" xfId="10682" xr:uid="{00000000-0005-0000-0000-0000031D0000}"/>
    <cellStyle name="CABEÇALHO 5 13 3 3 6" xfId="11081" xr:uid="{00000000-0005-0000-0000-0000041D0000}"/>
    <cellStyle name="CABEÇALHO 5 13 3 4" xfId="3636" xr:uid="{00000000-0005-0000-0000-0000051D0000}"/>
    <cellStyle name="CABEÇALHO 5 13 3 5" xfId="7127" xr:uid="{00000000-0005-0000-0000-0000061D0000}"/>
    <cellStyle name="CABEÇALHO 5 13 3 6" xfId="8846" xr:uid="{00000000-0005-0000-0000-0000071D0000}"/>
    <cellStyle name="CABEÇALHO 5 13 3 7" xfId="9800" xr:uid="{00000000-0005-0000-0000-0000081D0000}"/>
    <cellStyle name="CABEÇALHO 5 13 3 8" xfId="11012" xr:uid="{00000000-0005-0000-0000-0000091D0000}"/>
    <cellStyle name="CABEÇALHO 5 13 4" xfId="1198" xr:uid="{00000000-0005-0000-0000-00000A1D0000}"/>
    <cellStyle name="CABEÇALHO 5 13 4 2" xfId="2340" xr:uid="{00000000-0005-0000-0000-00000B1D0000}"/>
    <cellStyle name="CABEÇALHO 5 13 4 2 2" xfId="5220" xr:uid="{00000000-0005-0000-0000-00000C1D0000}"/>
    <cellStyle name="CABEÇALHO 5 13 4 2 3" xfId="6590" xr:uid="{00000000-0005-0000-0000-00000D1D0000}"/>
    <cellStyle name="CABEÇALHO 5 13 4 2 4" xfId="9085" xr:uid="{00000000-0005-0000-0000-00000E1D0000}"/>
    <cellStyle name="CABEÇALHO 5 13 4 2 5" xfId="10030" xr:uid="{00000000-0005-0000-0000-00000F1D0000}"/>
    <cellStyle name="CABEÇALHO 5 13 4 2 6" xfId="10807" xr:uid="{00000000-0005-0000-0000-0000101D0000}"/>
    <cellStyle name="CABEÇALHO 5 13 4 3" xfId="1449" xr:uid="{00000000-0005-0000-0000-0000111D0000}"/>
    <cellStyle name="CABEÇALHO 5 13 4 3 2" xfId="4329" xr:uid="{00000000-0005-0000-0000-0000121D0000}"/>
    <cellStyle name="CABEÇALHO 5 13 4 3 3" xfId="8162" xr:uid="{00000000-0005-0000-0000-0000131D0000}"/>
    <cellStyle name="CABEÇALHO 5 13 4 3 4" xfId="9562" xr:uid="{00000000-0005-0000-0000-0000141D0000}"/>
    <cellStyle name="CABEÇALHO 5 13 4 3 5" xfId="9702" xr:uid="{00000000-0005-0000-0000-0000151D0000}"/>
    <cellStyle name="CABEÇALHO 5 13 4 3 6" xfId="10861" xr:uid="{00000000-0005-0000-0000-0000161D0000}"/>
    <cellStyle name="CABEÇALHO 5 13 4 4" xfId="4078" xr:uid="{00000000-0005-0000-0000-0000171D0000}"/>
    <cellStyle name="CABEÇALHO 5 13 4 5" xfId="2924" xr:uid="{00000000-0005-0000-0000-0000181D0000}"/>
    <cellStyle name="CABEÇALHO 5 13 4 6" xfId="6332" xr:uid="{00000000-0005-0000-0000-0000191D0000}"/>
    <cellStyle name="CABEÇALHO 5 13 4 7" xfId="8486" xr:uid="{00000000-0005-0000-0000-00001A1D0000}"/>
    <cellStyle name="CABEÇALHO 5 13 4 8" xfId="10706" xr:uid="{00000000-0005-0000-0000-00001B1D0000}"/>
    <cellStyle name="CABEÇALHO 5 13 5" xfId="1203" xr:uid="{00000000-0005-0000-0000-00001C1D0000}"/>
    <cellStyle name="CABEÇALHO 5 13 5 2" xfId="2345" xr:uid="{00000000-0005-0000-0000-00001D1D0000}"/>
    <cellStyle name="CABEÇALHO 5 13 5 2 2" xfId="5225" xr:uid="{00000000-0005-0000-0000-00001E1D0000}"/>
    <cellStyle name="CABEÇALHO 5 13 5 2 3" xfId="7295" xr:uid="{00000000-0005-0000-0000-00001F1D0000}"/>
    <cellStyle name="CABEÇALHO 5 13 5 2 4" xfId="9272" xr:uid="{00000000-0005-0000-0000-0000201D0000}"/>
    <cellStyle name="CABEÇALHO 5 13 5 2 5" xfId="10516" xr:uid="{00000000-0005-0000-0000-0000211D0000}"/>
    <cellStyle name="CABEÇALHO 5 13 5 2 6" xfId="11126" xr:uid="{00000000-0005-0000-0000-0000221D0000}"/>
    <cellStyle name="CABEÇALHO 5 13 5 3" xfId="2587" xr:uid="{00000000-0005-0000-0000-0000231D0000}"/>
    <cellStyle name="CABEÇALHO 5 13 5 3 2" xfId="5467" xr:uid="{00000000-0005-0000-0000-0000241D0000}"/>
    <cellStyle name="CABEÇALHO 5 13 5 3 3" xfId="5918" xr:uid="{00000000-0005-0000-0000-0000251D0000}"/>
    <cellStyle name="CABEÇALHO 5 13 5 3 4" xfId="8886" xr:uid="{00000000-0005-0000-0000-0000261D0000}"/>
    <cellStyle name="CABEÇALHO 5 13 5 3 5" xfId="9969" xr:uid="{00000000-0005-0000-0000-0000271D0000}"/>
    <cellStyle name="CABEÇALHO 5 13 5 3 6" xfId="9672" xr:uid="{00000000-0005-0000-0000-0000281D0000}"/>
    <cellStyle name="CABEÇALHO 5 13 5 4" xfId="4083" xr:uid="{00000000-0005-0000-0000-0000291D0000}"/>
    <cellStyle name="CABEÇALHO 5 13 5 5" xfId="3075" xr:uid="{00000000-0005-0000-0000-00002A1D0000}"/>
    <cellStyle name="CABEÇALHO 5 13 5 6" xfId="6774" xr:uid="{00000000-0005-0000-0000-00002B1D0000}"/>
    <cellStyle name="CABEÇALHO 5 13 5 7" xfId="8322" xr:uid="{00000000-0005-0000-0000-00002C1D0000}"/>
    <cellStyle name="CABEÇALHO 5 13 5 8" xfId="9866" xr:uid="{00000000-0005-0000-0000-00002D1D0000}"/>
    <cellStyle name="CABEÇALHO 5 13 6" xfId="1199" xr:uid="{00000000-0005-0000-0000-00002E1D0000}"/>
    <cellStyle name="CABEÇALHO 5 13 6 2" xfId="2341" xr:uid="{00000000-0005-0000-0000-00002F1D0000}"/>
    <cellStyle name="CABEÇALHO 5 13 6 2 2" xfId="5221" xr:uid="{00000000-0005-0000-0000-0000301D0000}"/>
    <cellStyle name="CABEÇALHO 5 13 6 2 3" xfId="7819" xr:uid="{00000000-0005-0000-0000-0000311D0000}"/>
    <cellStyle name="CABEÇALHO 5 13 6 2 4" xfId="6924" xr:uid="{00000000-0005-0000-0000-0000321D0000}"/>
    <cellStyle name="CABEÇALHO 5 13 6 2 5" xfId="9051" xr:uid="{00000000-0005-0000-0000-0000331D0000}"/>
    <cellStyle name="CABEÇALHO 5 13 6 2 6" xfId="9334" xr:uid="{00000000-0005-0000-0000-0000341D0000}"/>
    <cellStyle name="CABEÇALHO 5 13 6 3" xfId="2738" xr:uid="{00000000-0005-0000-0000-0000351D0000}"/>
    <cellStyle name="CABEÇALHO 5 13 6 3 2" xfId="5618" xr:uid="{00000000-0005-0000-0000-0000361D0000}"/>
    <cellStyle name="CABEÇALHO 5 13 6 3 3" xfId="6816" xr:uid="{00000000-0005-0000-0000-0000371D0000}"/>
    <cellStyle name="CABEÇALHO 5 13 6 3 4" xfId="8686" xr:uid="{00000000-0005-0000-0000-0000381D0000}"/>
    <cellStyle name="CABEÇALHO 5 13 6 3 5" xfId="10808" xr:uid="{00000000-0005-0000-0000-0000391D0000}"/>
    <cellStyle name="CABEÇALHO 5 13 6 3 6" xfId="11270" xr:uid="{00000000-0005-0000-0000-00003A1D0000}"/>
    <cellStyle name="CABEÇALHO 5 13 6 4" xfId="4079" xr:uid="{00000000-0005-0000-0000-00003B1D0000}"/>
    <cellStyle name="CABEÇALHO 5 13 6 5" xfId="2947" xr:uid="{00000000-0005-0000-0000-00003C1D0000}"/>
    <cellStyle name="CABEÇALHO 5 13 6 6" xfId="6011" xr:uid="{00000000-0005-0000-0000-00003D1D0000}"/>
    <cellStyle name="CABEÇALHO 5 13 6 7" xfId="8668" xr:uid="{00000000-0005-0000-0000-00003E1D0000}"/>
    <cellStyle name="CABEÇALHO 5 13 6 8" xfId="8927" xr:uid="{00000000-0005-0000-0000-00003F1D0000}"/>
    <cellStyle name="CABEÇALHO 5 13 7" xfId="1630" xr:uid="{00000000-0005-0000-0000-0000401D0000}"/>
    <cellStyle name="CABEÇALHO 5 13 7 2" xfId="4510" xr:uid="{00000000-0005-0000-0000-0000411D0000}"/>
    <cellStyle name="CABEÇALHO 5 13 7 3" xfId="7260" xr:uid="{00000000-0005-0000-0000-0000421D0000}"/>
    <cellStyle name="CABEÇALHO 5 13 7 4" xfId="8704" xr:uid="{00000000-0005-0000-0000-0000431D0000}"/>
    <cellStyle name="CABEÇALHO 5 13 7 5" xfId="10386" xr:uid="{00000000-0005-0000-0000-0000441D0000}"/>
    <cellStyle name="CABEÇALHO 5 13 7 6" xfId="10108" xr:uid="{00000000-0005-0000-0000-0000451D0000}"/>
    <cellStyle name="CABEÇALHO 5 13 8" xfId="1461" xr:uid="{00000000-0005-0000-0000-0000461D0000}"/>
    <cellStyle name="CABEÇALHO 5 13 8 2" xfId="4341" xr:uid="{00000000-0005-0000-0000-0000471D0000}"/>
    <cellStyle name="CABEÇALHO 5 13 8 3" xfId="8107" xr:uid="{00000000-0005-0000-0000-0000481D0000}"/>
    <cellStyle name="CABEÇALHO 5 13 8 4" xfId="9512" xr:uid="{00000000-0005-0000-0000-0000491D0000}"/>
    <cellStyle name="CABEÇALHO 5 13 8 5" xfId="10701" xr:uid="{00000000-0005-0000-0000-00004A1D0000}"/>
    <cellStyle name="CABEÇALHO 5 13 8 6" xfId="6276" xr:uid="{00000000-0005-0000-0000-00004B1D0000}"/>
    <cellStyle name="CABEÇALHO 5 13 9" xfId="3369" xr:uid="{00000000-0005-0000-0000-00004C1D0000}"/>
    <cellStyle name="CABEÇALHO 5 14" xfId="470" xr:uid="{00000000-0005-0000-0000-00004D1D0000}"/>
    <cellStyle name="CABEÇALHO 5 14 10" xfId="6949" xr:uid="{00000000-0005-0000-0000-00004E1D0000}"/>
    <cellStyle name="CABEÇALHO 5 14 11" xfId="7077" xr:uid="{00000000-0005-0000-0000-00004F1D0000}"/>
    <cellStyle name="CABEÇALHO 5 14 12" xfId="10243" xr:uid="{00000000-0005-0000-0000-0000501D0000}"/>
    <cellStyle name="CABEÇALHO 5 14 13" xfId="9809" xr:uid="{00000000-0005-0000-0000-0000511D0000}"/>
    <cellStyle name="CABEÇALHO 5 14 2" xfId="946" xr:uid="{00000000-0005-0000-0000-0000521D0000}"/>
    <cellStyle name="CABEÇALHO 5 14 2 2" xfId="2088" xr:uid="{00000000-0005-0000-0000-0000531D0000}"/>
    <cellStyle name="CABEÇALHO 5 14 2 2 2" xfId="4968" xr:uid="{00000000-0005-0000-0000-0000541D0000}"/>
    <cellStyle name="CABEÇALHO 5 14 2 2 3" xfId="7008" xr:uid="{00000000-0005-0000-0000-0000551D0000}"/>
    <cellStyle name="CABEÇALHO 5 14 2 2 4" xfId="8245" xr:uid="{00000000-0005-0000-0000-0000561D0000}"/>
    <cellStyle name="CABEÇALHO 5 14 2 2 5" xfId="10216" xr:uid="{00000000-0005-0000-0000-0000571D0000}"/>
    <cellStyle name="CABEÇALHO 5 14 2 2 6" xfId="11189" xr:uid="{00000000-0005-0000-0000-0000581D0000}"/>
    <cellStyle name="CABEÇALHO 5 14 2 3" xfId="2767" xr:uid="{00000000-0005-0000-0000-0000591D0000}"/>
    <cellStyle name="CABEÇALHO 5 14 2 3 2" xfId="5647" xr:uid="{00000000-0005-0000-0000-00005A1D0000}"/>
    <cellStyle name="CABEÇALHO 5 14 2 3 3" xfId="6528" xr:uid="{00000000-0005-0000-0000-00005B1D0000}"/>
    <cellStyle name="CABEÇALHO 5 14 2 3 4" xfId="9351" xr:uid="{00000000-0005-0000-0000-00005C1D0000}"/>
    <cellStyle name="CABEÇALHO 5 14 2 3 5" xfId="10766" xr:uid="{00000000-0005-0000-0000-00005D1D0000}"/>
    <cellStyle name="CABEÇALHO 5 14 2 3 6" xfId="10906" xr:uid="{00000000-0005-0000-0000-00005E1D0000}"/>
    <cellStyle name="CABEÇALHO 5 14 2 4" xfId="3826" xr:uid="{00000000-0005-0000-0000-00005F1D0000}"/>
    <cellStyle name="CABEÇALHO 5 14 2 5" xfId="6260" xr:uid="{00000000-0005-0000-0000-0000601D0000}"/>
    <cellStyle name="CABEÇALHO 5 14 2 6" xfId="8369" xr:uid="{00000000-0005-0000-0000-0000611D0000}"/>
    <cellStyle name="CABEÇALHO 5 14 2 7" xfId="9126" xr:uid="{00000000-0005-0000-0000-0000621D0000}"/>
    <cellStyle name="CABEÇALHO 5 14 2 8" xfId="10762" xr:uid="{00000000-0005-0000-0000-0000631D0000}"/>
    <cellStyle name="CABEÇALHO 5 14 3" xfId="746" xr:uid="{00000000-0005-0000-0000-0000641D0000}"/>
    <cellStyle name="CABEÇALHO 5 14 3 2" xfId="1888" xr:uid="{00000000-0005-0000-0000-0000651D0000}"/>
    <cellStyle name="CABEÇALHO 5 14 3 2 2" xfId="4768" xr:uid="{00000000-0005-0000-0000-0000661D0000}"/>
    <cellStyle name="CABEÇALHO 5 14 3 2 3" xfId="8125" xr:uid="{00000000-0005-0000-0000-0000671D0000}"/>
    <cellStyle name="CABEÇALHO 5 14 3 2 4" xfId="8462" xr:uid="{00000000-0005-0000-0000-0000681D0000}"/>
    <cellStyle name="CABEÇALHO 5 14 3 2 5" xfId="8191" xr:uid="{00000000-0005-0000-0000-0000691D0000}"/>
    <cellStyle name="CABEÇALHO 5 14 3 2 6" xfId="11004" xr:uid="{00000000-0005-0000-0000-00006A1D0000}"/>
    <cellStyle name="CABEÇALHO 5 14 3 3" xfId="2664" xr:uid="{00000000-0005-0000-0000-00006B1D0000}"/>
    <cellStyle name="CABEÇALHO 5 14 3 3 2" xfId="5544" xr:uid="{00000000-0005-0000-0000-00006C1D0000}"/>
    <cellStyle name="CABEÇALHO 5 14 3 3 3" xfId="6743" xr:uid="{00000000-0005-0000-0000-00006D1D0000}"/>
    <cellStyle name="CABEÇALHO 5 14 3 3 4" xfId="9595" xr:uid="{00000000-0005-0000-0000-00006E1D0000}"/>
    <cellStyle name="CABEÇALHO 5 14 3 3 5" xfId="8438" xr:uid="{00000000-0005-0000-0000-00006F1D0000}"/>
    <cellStyle name="CABEÇALHO 5 14 3 3 6" xfId="11610" xr:uid="{00000000-0005-0000-0000-0000701D0000}"/>
    <cellStyle name="CABEÇALHO 5 14 3 4" xfId="3626" xr:uid="{00000000-0005-0000-0000-0000711D0000}"/>
    <cellStyle name="CABEÇALHO 5 14 3 5" xfId="6907" xr:uid="{00000000-0005-0000-0000-0000721D0000}"/>
    <cellStyle name="CABEÇALHO 5 14 3 6" xfId="6405" xr:uid="{00000000-0005-0000-0000-0000731D0000}"/>
    <cellStyle name="CABEÇALHO 5 14 3 7" xfId="8383" xr:uid="{00000000-0005-0000-0000-0000741D0000}"/>
    <cellStyle name="CABEÇALHO 5 14 3 8" xfId="10930" xr:uid="{00000000-0005-0000-0000-0000751D0000}"/>
    <cellStyle name="CABEÇALHO 5 14 4" xfId="731" xr:uid="{00000000-0005-0000-0000-0000761D0000}"/>
    <cellStyle name="CABEÇALHO 5 14 4 2" xfId="1873" xr:uid="{00000000-0005-0000-0000-0000771D0000}"/>
    <cellStyle name="CABEÇALHO 5 14 4 2 2" xfId="4753" xr:uid="{00000000-0005-0000-0000-0000781D0000}"/>
    <cellStyle name="CABEÇALHO 5 14 4 2 3" xfId="7912" xr:uid="{00000000-0005-0000-0000-0000791D0000}"/>
    <cellStyle name="CABEÇALHO 5 14 4 2 4" xfId="6687" xr:uid="{00000000-0005-0000-0000-00007A1D0000}"/>
    <cellStyle name="CABEÇALHO 5 14 4 2 5" xfId="9824" xr:uid="{00000000-0005-0000-0000-00007B1D0000}"/>
    <cellStyle name="CABEÇALHO 5 14 4 2 6" xfId="8010" xr:uid="{00000000-0005-0000-0000-00007C1D0000}"/>
    <cellStyle name="CABEÇALHO 5 14 4 3" xfId="2636" xr:uid="{00000000-0005-0000-0000-00007D1D0000}"/>
    <cellStyle name="CABEÇALHO 5 14 4 3 2" xfId="5516" xr:uid="{00000000-0005-0000-0000-00007E1D0000}"/>
    <cellStyle name="CABEÇALHO 5 14 4 3 3" xfId="7714" xr:uid="{00000000-0005-0000-0000-00007F1D0000}"/>
    <cellStyle name="CABEÇALHO 5 14 4 3 4" xfId="6008" xr:uid="{00000000-0005-0000-0000-0000801D0000}"/>
    <cellStyle name="CABEÇALHO 5 14 4 3 5" xfId="7595" xr:uid="{00000000-0005-0000-0000-0000811D0000}"/>
    <cellStyle name="CABEÇALHO 5 14 4 3 6" xfId="11624" xr:uid="{00000000-0005-0000-0000-0000821D0000}"/>
    <cellStyle name="CABEÇALHO 5 14 4 4" xfId="3611" xr:uid="{00000000-0005-0000-0000-0000831D0000}"/>
    <cellStyle name="CABEÇALHO 5 14 4 5" xfId="6267" xr:uid="{00000000-0005-0000-0000-0000841D0000}"/>
    <cellStyle name="CABEÇALHO 5 14 4 6" xfId="8377" xr:uid="{00000000-0005-0000-0000-0000851D0000}"/>
    <cellStyle name="CABEÇALHO 5 14 4 7" xfId="9535" xr:uid="{00000000-0005-0000-0000-0000861D0000}"/>
    <cellStyle name="CABEÇALHO 5 14 4 8" xfId="11061" xr:uid="{00000000-0005-0000-0000-0000871D0000}"/>
    <cellStyle name="CABEÇALHO 5 14 5" xfId="1167" xr:uid="{00000000-0005-0000-0000-0000881D0000}"/>
    <cellStyle name="CABEÇALHO 5 14 5 2" xfId="2309" xr:uid="{00000000-0005-0000-0000-0000891D0000}"/>
    <cellStyle name="CABEÇALHO 5 14 5 2 2" xfId="5189" xr:uid="{00000000-0005-0000-0000-00008A1D0000}"/>
    <cellStyle name="CABEÇALHO 5 14 5 2 3" xfId="7187" xr:uid="{00000000-0005-0000-0000-00008B1D0000}"/>
    <cellStyle name="CABEÇALHO 5 14 5 2 4" xfId="9398" xr:uid="{00000000-0005-0000-0000-00008C1D0000}"/>
    <cellStyle name="CABEÇALHO 5 14 5 2 5" xfId="10791" xr:uid="{00000000-0005-0000-0000-00008D1D0000}"/>
    <cellStyle name="CABEÇALHO 5 14 5 2 6" xfId="10855" xr:uid="{00000000-0005-0000-0000-00008E1D0000}"/>
    <cellStyle name="CABEÇALHO 5 14 5 3" xfId="2674" xr:uid="{00000000-0005-0000-0000-00008F1D0000}"/>
    <cellStyle name="CABEÇALHO 5 14 5 3 2" xfId="5554" xr:uid="{00000000-0005-0000-0000-0000901D0000}"/>
    <cellStyle name="CABEÇALHO 5 14 5 3 3" xfId="7988" xr:uid="{00000000-0005-0000-0000-0000911D0000}"/>
    <cellStyle name="CABEÇALHO 5 14 5 3 4" xfId="9133" xr:uid="{00000000-0005-0000-0000-0000921D0000}"/>
    <cellStyle name="CABEÇALHO 5 14 5 3 5" xfId="10456" xr:uid="{00000000-0005-0000-0000-0000931D0000}"/>
    <cellStyle name="CABEÇALHO 5 14 5 3 6" xfId="11410" xr:uid="{00000000-0005-0000-0000-0000941D0000}"/>
    <cellStyle name="CABEÇALHO 5 14 5 4" xfId="4047" xr:uid="{00000000-0005-0000-0000-0000951D0000}"/>
    <cellStyle name="CABEÇALHO 5 14 5 5" xfId="5773" xr:uid="{00000000-0005-0000-0000-0000961D0000}"/>
    <cellStyle name="CABEÇALHO 5 14 5 6" xfId="7022" xr:uid="{00000000-0005-0000-0000-0000971D0000}"/>
    <cellStyle name="CABEÇALHO 5 14 5 7" xfId="7578" xr:uid="{00000000-0005-0000-0000-0000981D0000}"/>
    <cellStyle name="CABEÇALHO 5 14 5 8" xfId="7396" xr:uid="{00000000-0005-0000-0000-0000991D0000}"/>
    <cellStyle name="CABEÇALHO 5 14 6" xfId="802" xr:uid="{00000000-0005-0000-0000-00009A1D0000}"/>
    <cellStyle name="CABEÇALHO 5 14 6 2" xfId="1944" xr:uid="{00000000-0005-0000-0000-00009B1D0000}"/>
    <cellStyle name="CABEÇALHO 5 14 6 2 2" xfId="4824" xr:uid="{00000000-0005-0000-0000-00009C1D0000}"/>
    <cellStyle name="CABEÇALHO 5 14 6 2 3" xfId="6647" xr:uid="{00000000-0005-0000-0000-00009D1D0000}"/>
    <cellStyle name="CABEÇALHO 5 14 6 2 4" xfId="9140" xr:uid="{00000000-0005-0000-0000-00009E1D0000}"/>
    <cellStyle name="CABEÇALHO 5 14 6 2 5" xfId="10775" xr:uid="{00000000-0005-0000-0000-00009F1D0000}"/>
    <cellStyle name="CABEÇALHO 5 14 6 2 6" xfId="10233" xr:uid="{00000000-0005-0000-0000-0000A01D0000}"/>
    <cellStyle name="CABEÇALHO 5 14 6 3" xfId="2521" xr:uid="{00000000-0005-0000-0000-0000A11D0000}"/>
    <cellStyle name="CABEÇALHO 5 14 6 3 2" xfId="5401" xr:uid="{00000000-0005-0000-0000-0000A21D0000}"/>
    <cellStyle name="CABEÇALHO 5 14 6 3 3" xfId="7878" xr:uid="{00000000-0005-0000-0000-0000A31D0000}"/>
    <cellStyle name="CABEÇALHO 5 14 6 3 4" xfId="9084" xr:uid="{00000000-0005-0000-0000-0000A41D0000}"/>
    <cellStyle name="CABEÇALHO 5 14 6 3 5" xfId="9631" xr:uid="{00000000-0005-0000-0000-0000A51D0000}"/>
    <cellStyle name="CABEÇALHO 5 14 6 3 6" xfId="9876" xr:uid="{00000000-0005-0000-0000-0000A61D0000}"/>
    <cellStyle name="CABEÇALHO 5 14 6 4" xfId="3682" xr:uid="{00000000-0005-0000-0000-0000A71D0000}"/>
    <cellStyle name="CABEÇALHO 5 14 6 5" xfId="6426" xr:uid="{00000000-0005-0000-0000-0000A81D0000}"/>
    <cellStyle name="CABEÇALHO 5 14 6 6" xfId="8520" xr:uid="{00000000-0005-0000-0000-0000A91D0000}"/>
    <cellStyle name="CABEÇALHO 5 14 6 7" xfId="9205" xr:uid="{00000000-0005-0000-0000-0000AA1D0000}"/>
    <cellStyle name="CABEÇALHO 5 14 6 8" xfId="11247" xr:uid="{00000000-0005-0000-0000-0000AB1D0000}"/>
    <cellStyle name="CABEÇALHO 5 14 7" xfId="1611" xr:uid="{00000000-0005-0000-0000-0000AC1D0000}"/>
    <cellStyle name="CABEÇALHO 5 14 7 2" xfId="4491" xr:uid="{00000000-0005-0000-0000-0000AD1D0000}"/>
    <cellStyle name="CABEÇALHO 5 14 7 3" xfId="7982" xr:uid="{00000000-0005-0000-0000-0000AE1D0000}"/>
    <cellStyle name="CABEÇALHO 5 14 7 4" xfId="9391" xr:uid="{00000000-0005-0000-0000-0000AF1D0000}"/>
    <cellStyle name="CABEÇALHO 5 14 7 5" xfId="10636" xr:uid="{00000000-0005-0000-0000-0000B01D0000}"/>
    <cellStyle name="CABEÇALHO 5 14 7 6" xfId="11453" xr:uid="{00000000-0005-0000-0000-0000B11D0000}"/>
    <cellStyle name="CABEÇALHO 5 14 8" xfId="1437" xr:uid="{00000000-0005-0000-0000-0000B21D0000}"/>
    <cellStyle name="CABEÇALHO 5 14 8 2" xfId="4317" xr:uid="{00000000-0005-0000-0000-0000B31D0000}"/>
    <cellStyle name="CABEÇALHO 5 14 8 3" xfId="6078" xr:uid="{00000000-0005-0000-0000-0000B41D0000}"/>
    <cellStyle name="CABEÇALHO 5 14 8 4" xfId="6883" xr:uid="{00000000-0005-0000-0000-0000B51D0000}"/>
    <cellStyle name="CABEÇALHO 5 14 8 5" xfId="10595" xr:uid="{00000000-0005-0000-0000-0000B61D0000}"/>
    <cellStyle name="CABEÇALHO 5 14 8 6" xfId="11393" xr:uid="{00000000-0005-0000-0000-0000B71D0000}"/>
    <cellStyle name="CABEÇALHO 5 14 9" xfId="3350" xr:uid="{00000000-0005-0000-0000-0000B81D0000}"/>
    <cellStyle name="CABEÇALHO 5 15" xfId="486" xr:uid="{00000000-0005-0000-0000-0000B91D0000}"/>
    <cellStyle name="CABEÇALHO 5 15 10" xfId="2982" xr:uid="{00000000-0005-0000-0000-0000BA1D0000}"/>
    <cellStyle name="CABEÇALHO 5 15 11" xfId="7345" xr:uid="{00000000-0005-0000-0000-0000BB1D0000}"/>
    <cellStyle name="CABEÇALHO 5 15 12" xfId="9421" xr:uid="{00000000-0005-0000-0000-0000BC1D0000}"/>
    <cellStyle name="CABEÇALHO 5 15 13" xfId="11167" xr:uid="{00000000-0005-0000-0000-0000BD1D0000}"/>
    <cellStyle name="CABEÇALHO 5 15 2" xfId="962" xr:uid="{00000000-0005-0000-0000-0000BE1D0000}"/>
    <cellStyle name="CABEÇALHO 5 15 2 2" xfId="2104" xr:uid="{00000000-0005-0000-0000-0000BF1D0000}"/>
    <cellStyle name="CABEÇALHO 5 15 2 2 2" xfId="4984" xr:uid="{00000000-0005-0000-0000-0000C01D0000}"/>
    <cellStyle name="CABEÇALHO 5 15 2 2 3" xfId="5915" xr:uid="{00000000-0005-0000-0000-0000C11D0000}"/>
    <cellStyle name="CABEÇALHO 5 15 2 2 4" xfId="6052" xr:uid="{00000000-0005-0000-0000-0000C21D0000}"/>
    <cellStyle name="CABEÇALHO 5 15 2 2 5" xfId="8409" xr:uid="{00000000-0005-0000-0000-0000C31D0000}"/>
    <cellStyle name="CABEÇALHO 5 15 2 2 6" xfId="7135" xr:uid="{00000000-0005-0000-0000-0000C41D0000}"/>
    <cellStyle name="CABEÇALHO 5 15 2 3" xfId="2715" xr:uid="{00000000-0005-0000-0000-0000C51D0000}"/>
    <cellStyle name="CABEÇALHO 5 15 2 3 2" xfId="5595" xr:uid="{00000000-0005-0000-0000-0000C61D0000}"/>
    <cellStyle name="CABEÇALHO 5 15 2 3 3" xfId="8150" xr:uid="{00000000-0005-0000-0000-0000C71D0000}"/>
    <cellStyle name="CABEÇALHO 5 15 2 3 4" xfId="5848" xr:uid="{00000000-0005-0000-0000-0000C81D0000}"/>
    <cellStyle name="CABEÇALHO 5 15 2 3 5" xfId="8510" xr:uid="{00000000-0005-0000-0000-0000C91D0000}"/>
    <cellStyle name="CABEÇALHO 5 15 2 3 6" xfId="5964" xr:uid="{00000000-0005-0000-0000-0000CA1D0000}"/>
    <cellStyle name="CABEÇALHO 5 15 2 4" xfId="3842" xr:uid="{00000000-0005-0000-0000-0000CB1D0000}"/>
    <cellStyle name="CABEÇALHO 5 15 2 5" xfId="2905" xr:uid="{00000000-0005-0000-0000-0000CC1D0000}"/>
    <cellStyle name="CABEÇALHO 5 15 2 6" xfId="7576" xr:uid="{00000000-0005-0000-0000-0000CD1D0000}"/>
    <cellStyle name="CABEÇALHO 5 15 2 7" xfId="9067" xr:uid="{00000000-0005-0000-0000-0000CE1D0000}"/>
    <cellStyle name="CABEÇALHO 5 15 2 8" xfId="11125" xr:uid="{00000000-0005-0000-0000-0000CF1D0000}"/>
    <cellStyle name="CABEÇALHO 5 15 3" xfId="754" xr:uid="{00000000-0005-0000-0000-0000D01D0000}"/>
    <cellStyle name="CABEÇALHO 5 15 3 2" xfId="1896" xr:uid="{00000000-0005-0000-0000-0000D11D0000}"/>
    <cellStyle name="CABEÇALHO 5 15 3 2 2" xfId="4776" xr:uid="{00000000-0005-0000-0000-0000D21D0000}"/>
    <cellStyle name="CABEÇALHO 5 15 3 2 3" xfId="6211" xr:uid="{00000000-0005-0000-0000-0000D31D0000}"/>
    <cellStyle name="CABEÇALHO 5 15 3 2 4" xfId="8740" xr:uid="{00000000-0005-0000-0000-0000D41D0000}"/>
    <cellStyle name="CABEÇALHO 5 15 3 2 5" xfId="10377" xr:uid="{00000000-0005-0000-0000-0000D51D0000}"/>
    <cellStyle name="CABEÇALHO 5 15 3 2 6" xfId="11188" xr:uid="{00000000-0005-0000-0000-0000D61D0000}"/>
    <cellStyle name="CABEÇALHO 5 15 3 3" xfId="2507" xr:uid="{00000000-0005-0000-0000-0000D71D0000}"/>
    <cellStyle name="CABEÇALHO 5 15 3 3 2" xfId="5387" xr:uid="{00000000-0005-0000-0000-0000D81D0000}"/>
    <cellStyle name="CABEÇALHO 5 15 3 3 3" xfId="7643" xr:uid="{00000000-0005-0000-0000-0000D91D0000}"/>
    <cellStyle name="CABEÇALHO 5 15 3 3 4" xfId="6436" xr:uid="{00000000-0005-0000-0000-0000DA1D0000}"/>
    <cellStyle name="CABEÇALHO 5 15 3 3 5" xfId="6099" xr:uid="{00000000-0005-0000-0000-0000DB1D0000}"/>
    <cellStyle name="CABEÇALHO 5 15 3 3 6" xfId="10862" xr:uid="{00000000-0005-0000-0000-0000DC1D0000}"/>
    <cellStyle name="CABEÇALHO 5 15 3 4" xfId="3634" xr:uid="{00000000-0005-0000-0000-0000DD1D0000}"/>
    <cellStyle name="CABEÇALHO 5 15 3 5" xfId="7407" xr:uid="{00000000-0005-0000-0000-0000DE1D0000}"/>
    <cellStyle name="CABEÇALHO 5 15 3 6" xfId="6010" xr:uid="{00000000-0005-0000-0000-0000DF1D0000}"/>
    <cellStyle name="CABEÇALHO 5 15 3 7" xfId="8404" xr:uid="{00000000-0005-0000-0000-0000E01D0000}"/>
    <cellStyle name="CABEÇALHO 5 15 3 8" xfId="8388" xr:uid="{00000000-0005-0000-0000-0000E11D0000}"/>
    <cellStyle name="CABEÇALHO 5 15 4" xfId="1171" xr:uid="{00000000-0005-0000-0000-0000E21D0000}"/>
    <cellStyle name="CABEÇALHO 5 15 4 2" xfId="2313" xr:uid="{00000000-0005-0000-0000-0000E31D0000}"/>
    <cellStyle name="CABEÇALHO 5 15 4 2 2" xfId="5193" xr:uid="{00000000-0005-0000-0000-0000E41D0000}"/>
    <cellStyle name="CABEÇALHO 5 15 4 2 3" xfId="6365" xr:uid="{00000000-0005-0000-0000-0000E51D0000}"/>
    <cellStyle name="CABEÇALHO 5 15 4 2 4" xfId="8881" xr:uid="{00000000-0005-0000-0000-0000E61D0000}"/>
    <cellStyle name="CABEÇALHO 5 15 4 2 5" xfId="9976" xr:uid="{00000000-0005-0000-0000-0000E71D0000}"/>
    <cellStyle name="CABEÇALHO 5 15 4 2 6" xfId="10634" xr:uid="{00000000-0005-0000-0000-0000E81D0000}"/>
    <cellStyle name="CABEÇALHO 5 15 4 3" xfId="1441" xr:uid="{00000000-0005-0000-0000-0000E91D0000}"/>
    <cellStyle name="CABEÇALHO 5 15 4 3 2" xfId="4321" xr:uid="{00000000-0005-0000-0000-0000EA1D0000}"/>
    <cellStyle name="CABEÇALHO 5 15 4 3 3" xfId="7191" xr:uid="{00000000-0005-0000-0000-0000EB1D0000}"/>
    <cellStyle name="CABEÇALHO 5 15 4 3 4" xfId="8636" xr:uid="{00000000-0005-0000-0000-0000EC1D0000}"/>
    <cellStyle name="CABEÇALHO 5 15 4 3 5" xfId="10544" xr:uid="{00000000-0005-0000-0000-0000ED1D0000}"/>
    <cellStyle name="CABEÇALHO 5 15 4 3 6" xfId="8946" xr:uid="{00000000-0005-0000-0000-0000EE1D0000}"/>
    <cellStyle name="CABEÇALHO 5 15 4 4" xfId="4051" xr:uid="{00000000-0005-0000-0000-0000EF1D0000}"/>
    <cellStyle name="CABEÇALHO 5 15 4 5" xfId="2940" xr:uid="{00000000-0005-0000-0000-0000F01D0000}"/>
    <cellStyle name="CABEÇALHO 5 15 4 6" xfId="8156" xr:uid="{00000000-0005-0000-0000-0000F11D0000}"/>
    <cellStyle name="CABEÇALHO 5 15 4 7" xfId="7974" xr:uid="{00000000-0005-0000-0000-0000F21D0000}"/>
    <cellStyle name="CABEÇALHO 5 15 4 8" xfId="11064" xr:uid="{00000000-0005-0000-0000-0000F31D0000}"/>
    <cellStyle name="CABEÇALHO 5 15 5" xfId="812" xr:uid="{00000000-0005-0000-0000-0000F41D0000}"/>
    <cellStyle name="CABEÇALHO 5 15 5 2" xfId="1954" xr:uid="{00000000-0005-0000-0000-0000F51D0000}"/>
    <cellStyle name="CABEÇALHO 5 15 5 2 2" xfId="4834" xr:uid="{00000000-0005-0000-0000-0000F61D0000}"/>
    <cellStyle name="CABEÇALHO 5 15 5 2 3" xfId="8013" xr:uid="{00000000-0005-0000-0000-0000F71D0000}"/>
    <cellStyle name="CABEÇALHO 5 15 5 2 4" xfId="7109" xr:uid="{00000000-0005-0000-0000-0000F81D0000}"/>
    <cellStyle name="CABEÇALHO 5 15 5 2 5" xfId="8468" xr:uid="{00000000-0005-0000-0000-0000F91D0000}"/>
    <cellStyle name="CABEÇALHO 5 15 5 2 6" xfId="11532" xr:uid="{00000000-0005-0000-0000-0000FA1D0000}"/>
    <cellStyle name="CABEÇALHO 5 15 5 3" xfId="1412" xr:uid="{00000000-0005-0000-0000-0000FB1D0000}"/>
    <cellStyle name="CABEÇALHO 5 15 5 3 2" xfId="4292" xr:uid="{00000000-0005-0000-0000-0000FC1D0000}"/>
    <cellStyle name="CABEÇALHO 5 15 5 3 3" xfId="6668" xr:uid="{00000000-0005-0000-0000-0000FD1D0000}"/>
    <cellStyle name="CABEÇALHO 5 15 5 3 4" xfId="6345" xr:uid="{00000000-0005-0000-0000-0000FE1D0000}"/>
    <cellStyle name="CABEÇALHO 5 15 5 3 5" xfId="8771" xr:uid="{00000000-0005-0000-0000-0000FF1D0000}"/>
    <cellStyle name="CABEÇALHO 5 15 5 3 6" xfId="11575" xr:uid="{00000000-0005-0000-0000-0000001E0000}"/>
    <cellStyle name="CABEÇALHO 5 15 5 4" xfId="3692" xr:uid="{00000000-0005-0000-0000-0000011E0000}"/>
    <cellStyle name="CABEÇALHO 5 15 5 5" xfId="5810" xr:uid="{00000000-0005-0000-0000-0000021E0000}"/>
    <cellStyle name="CABEÇALHO 5 15 5 6" xfId="6963" xr:uid="{00000000-0005-0000-0000-0000031E0000}"/>
    <cellStyle name="CABEÇALHO 5 15 5 7" xfId="8368" xr:uid="{00000000-0005-0000-0000-0000041E0000}"/>
    <cellStyle name="CABEÇALHO 5 15 5 8" xfId="11368" xr:uid="{00000000-0005-0000-0000-0000051E0000}"/>
    <cellStyle name="CABEÇALHO 5 15 6" xfId="810" xr:uid="{00000000-0005-0000-0000-0000061E0000}"/>
    <cellStyle name="CABEÇALHO 5 15 6 2" xfId="1952" xr:uid="{00000000-0005-0000-0000-0000071E0000}"/>
    <cellStyle name="CABEÇALHO 5 15 6 2 2" xfId="4832" xr:uid="{00000000-0005-0000-0000-0000081E0000}"/>
    <cellStyle name="CABEÇALHO 5 15 6 2 3" xfId="7262" xr:uid="{00000000-0005-0000-0000-0000091E0000}"/>
    <cellStyle name="CABEÇALHO 5 15 6 2 4" xfId="9530" xr:uid="{00000000-0005-0000-0000-00000A1E0000}"/>
    <cellStyle name="CABEÇALHO 5 15 6 2 5" xfId="10650" xr:uid="{00000000-0005-0000-0000-00000B1E0000}"/>
    <cellStyle name="CABEÇALHO 5 15 6 2 6" xfId="6335" xr:uid="{00000000-0005-0000-0000-00000C1E0000}"/>
    <cellStyle name="CABEÇALHO 5 15 6 3" xfId="1448" xr:uid="{00000000-0005-0000-0000-00000D1E0000}"/>
    <cellStyle name="CABEÇALHO 5 15 6 3 2" xfId="4328" xr:uid="{00000000-0005-0000-0000-00000E1E0000}"/>
    <cellStyle name="CABEÇALHO 5 15 6 3 3" xfId="6570" xr:uid="{00000000-0005-0000-0000-00000F1E0000}"/>
    <cellStyle name="CABEÇALHO 5 15 6 3 4" xfId="6923" xr:uid="{00000000-0005-0000-0000-0000101E0000}"/>
    <cellStyle name="CABEÇALHO 5 15 6 3 5" xfId="8975" xr:uid="{00000000-0005-0000-0000-0000111E0000}"/>
    <cellStyle name="CABEÇALHO 5 15 6 3 6" xfId="11000" xr:uid="{00000000-0005-0000-0000-0000121E0000}"/>
    <cellStyle name="CABEÇALHO 5 15 6 4" xfId="3690" xr:uid="{00000000-0005-0000-0000-0000131E0000}"/>
    <cellStyle name="CABEÇALHO 5 15 6 5" xfId="6035" xr:uid="{00000000-0005-0000-0000-0000141E0000}"/>
    <cellStyle name="CABEÇALHO 5 15 6 6" xfId="8993" xr:uid="{00000000-0005-0000-0000-0000151E0000}"/>
    <cellStyle name="CABEÇALHO 5 15 6 7" xfId="9920" xr:uid="{00000000-0005-0000-0000-0000161E0000}"/>
    <cellStyle name="CABEÇALHO 5 15 6 8" xfId="10307" xr:uid="{00000000-0005-0000-0000-0000171E0000}"/>
    <cellStyle name="CABEÇALHO 5 15 7" xfId="1627" xr:uid="{00000000-0005-0000-0000-0000181E0000}"/>
    <cellStyle name="CABEÇALHO 5 15 7 2" xfId="4507" xr:uid="{00000000-0005-0000-0000-0000191E0000}"/>
    <cellStyle name="CABEÇALHO 5 15 7 3" xfId="7669" xr:uid="{00000000-0005-0000-0000-00001A1E0000}"/>
    <cellStyle name="CABEÇALHO 5 15 7 4" xfId="9091" xr:uid="{00000000-0005-0000-0000-00001B1E0000}"/>
    <cellStyle name="CABEÇALHO 5 15 7 5" xfId="10390" xr:uid="{00000000-0005-0000-0000-00001C1E0000}"/>
    <cellStyle name="CABEÇALHO 5 15 7 6" xfId="10269" xr:uid="{00000000-0005-0000-0000-00001D1E0000}"/>
    <cellStyle name="CABEÇALHO 5 15 8" xfId="1391" xr:uid="{00000000-0005-0000-0000-00001E1E0000}"/>
    <cellStyle name="CABEÇALHO 5 15 8 2" xfId="4271" xr:uid="{00000000-0005-0000-0000-00001F1E0000}"/>
    <cellStyle name="CABEÇALHO 5 15 8 3" xfId="6151" xr:uid="{00000000-0005-0000-0000-0000201E0000}"/>
    <cellStyle name="CABEÇALHO 5 15 8 4" xfId="6022" xr:uid="{00000000-0005-0000-0000-0000211E0000}"/>
    <cellStyle name="CABEÇALHO 5 15 8 5" xfId="8354" xr:uid="{00000000-0005-0000-0000-0000221E0000}"/>
    <cellStyle name="CABEÇALHO 5 15 8 6" xfId="10276" xr:uid="{00000000-0005-0000-0000-0000231E0000}"/>
    <cellStyle name="CABEÇALHO 5 15 9" xfId="3366" xr:uid="{00000000-0005-0000-0000-0000241E0000}"/>
    <cellStyle name="CABEÇALHO 5 16" xfId="465" xr:uid="{00000000-0005-0000-0000-0000251E0000}"/>
    <cellStyle name="CABEÇALHO 5 16 10" xfId="6248" xr:uid="{00000000-0005-0000-0000-0000261E0000}"/>
    <cellStyle name="CABEÇALHO 5 16 11" xfId="8356" xr:uid="{00000000-0005-0000-0000-0000271E0000}"/>
    <cellStyle name="CABEÇALHO 5 16 12" xfId="8063" xr:uid="{00000000-0005-0000-0000-0000281E0000}"/>
    <cellStyle name="CABEÇALHO 5 16 13" xfId="10315" xr:uid="{00000000-0005-0000-0000-0000291E0000}"/>
    <cellStyle name="CABEÇALHO 5 16 2" xfId="941" xr:uid="{00000000-0005-0000-0000-00002A1E0000}"/>
    <cellStyle name="CABEÇALHO 5 16 2 2" xfId="2083" xr:uid="{00000000-0005-0000-0000-00002B1E0000}"/>
    <cellStyle name="CABEÇALHO 5 16 2 2 2" xfId="4963" xr:uid="{00000000-0005-0000-0000-00002C1E0000}"/>
    <cellStyle name="CABEÇALHO 5 16 2 2 3" xfId="7943" xr:uid="{00000000-0005-0000-0000-00002D1E0000}"/>
    <cellStyle name="CABEÇALHO 5 16 2 2 4" xfId="6666" xr:uid="{00000000-0005-0000-0000-00002E1E0000}"/>
    <cellStyle name="CABEÇALHO 5 16 2 2 5" xfId="6289" xr:uid="{00000000-0005-0000-0000-00002F1E0000}"/>
    <cellStyle name="CABEÇALHO 5 16 2 2 6" xfId="10845" xr:uid="{00000000-0005-0000-0000-0000301E0000}"/>
    <cellStyle name="CABEÇALHO 5 16 2 3" xfId="2765" xr:uid="{00000000-0005-0000-0000-0000311E0000}"/>
    <cellStyle name="CABEÇALHO 5 16 2 3 2" xfId="5645" xr:uid="{00000000-0005-0000-0000-0000321E0000}"/>
    <cellStyle name="CABEÇALHO 5 16 2 3 3" xfId="7940" xr:uid="{00000000-0005-0000-0000-0000331E0000}"/>
    <cellStyle name="CABEÇALHO 5 16 2 3 4" xfId="8729" xr:uid="{00000000-0005-0000-0000-0000341E0000}"/>
    <cellStyle name="CABEÇALHO 5 16 2 3 5" xfId="10444" xr:uid="{00000000-0005-0000-0000-0000351E0000}"/>
    <cellStyle name="CABEÇALHO 5 16 2 3 6" xfId="8553" xr:uid="{00000000-0005-0000-0000-0000361E0000}"/>
    <cellStyle name="CABEÇALHO 5 16 2 4" xfId="3821" xr:uid="{00000000-0005-0000-0000-0000371E0000}"/>
    <cellStyle name="CABEÇALHO 5 16 2 5" xfId="6456" xr:uid="{00000000-0005-0000-0000-0000381E0000}"/>
    <cellStyle name="CABEÇALHO 5 16 2 6" xfId="8546" xr:uid="{00000000-0005-0000-0000-0000391E0000}"/>
    <cellStyle name="CABEÇALHO 5 16 2 7" xfId="7382" xr:uid="{00000000-0005-0000-0000-00003A1E0000}"/>
    <cellStyle name="CABEÇALHO 5 16 2 8" xfId="9796" xr:uid="{00000000-0005-0000-0000-00003B1E0000}"/>
    <cellStyle name="CABEÇALHO 5 16 3" xfId="681" xr:uid="{00000000-0005-0000-0000-00003C1E0000}"/>
    <cellStyle name="CABEÇALHO 5 16 3 2" xfId="1823" xr:uid="{00000000-0005-0000-0000-00003D1E0000}"/>
    <cellStyle name="CABEÇALHO 5 16 3 2 2" xfId="4703" xr:uid="{00000000-0005-0000-0000-00003E1E0000}"/>
    <cellStyle name="CABEÇALHO 5 16 3 2 3" xfId="7770" xr:uid="{00000000-0005-0000-0000-00003F1E0000}"/>
    <cellStyle name="CABEÇALHO 5 16 3 2 4" xfId="9240" xr:uid="{00000000-0005-0000-0000-0000401E0000}"/>
    <cellStyle name="CABEÇALHO 5 16 3 2 5" xfId="10827" xr:uid="{00000000-0005-0000-0000-0000411E0000}"/>
    <cellStyle name="CABEÇALHO 5 16 3 2 6" xfId="11424" xr:uid="{00000000-0005-0000-0000-0000421E0000}"/>
    <cellStyle name="CABEÇALHO 5 16 3 3" xfId="2820" xr:uid="{00000000-0005-0000-0000-0000431E0000}"/>
    <cellStyle name="CABEÇALHO 5 16 3 3 2" xfId="5700" xr:uid="{00000000-0005-0000-0000-0000441E0000}"/>
    <cellStyle name="CABEÇALHO 5 16 3 3 3" xfId="7453" xr:uid="{00000000-0005-0000-0000-0000451E0000}"/>
    <cellStyle name="CABEÇALHO 5 16 3 3 4" xfId="7054" xr:uid="{00000000-0005-0000-0000-0000461E0000}"/>
    <cellStyle name="CABEÇALHO 5 16 3 3 5" xfId="8281" xr:uid="{00000000-0005-0000-0000-0000471E0000}"/>
    <cellStyle name="CABEÇALHO 5 16 3 3 6" xfId="9861" xr:uid="{00000000-0005-0000-0000-0000481E0000}"/>
    <cellStyle name="CABEÇALHO 5 16 3 4" xfId="3561" xr:uid="{00000000-0005-0000-0000-0000491E0000}"/>
    <cellStyle name="CABEÇALHO 5 16 3 5" xfId="7071" xr:uid="{00000000-0005-0000-0000-00004A1E0000}"/>
    <cellStyle name="CABEÇALHO 5 16 3 6" xfId="8795" xr:uid="{00000000-0005-0000-0000-00004B1E0000}"/>
    <cellStyle name="CABEÇALHO 5 16 3 7" xfId="9763" xr:uid="{00000000-0005-0000-0000-00004C1E0000}"/>
    <cellStyle name="CABEÇALHO 5 16 3 8" xfId="7342" xr:uid="{00000000-0005-0000-0000-00004D1E0000}"/>
    <cellStyle name="CABEÇALHO 5 16 4" xfId="1169" xr:uid="{00000000-0005-0000-0000-00004E1E0000}"/>
    <cellStyle name="CABEÇALHO 5 16 4 2" xfId="2311" xr:uid="{00000000-0005-0000-0000-00004F1E0000}"/>
    <cellStyle name="CABEÇALHO 5 16 4 2 2" xfId="5191" xr:uid="{00000000-0005-0000-0000-0000501E0000}"/>
    <cellStyle name="CABEÇALHO 5 16 4 2 3" xfId="6826" xr:uid="{00000000-0005-0000-0000-0000511E0000}"/>
    <cellStyle name="CABEÇALHO 5 16 4 2 4" xfId="6655" xr:uid="{00000000-0005-0000-0000-0000521E0000}"/>
    <cellStyle name="CABEÇALHO 5 16 4 2 5" xfId="8824" xr:uid="{00000000-0005-0000-0000-0000531E0000}"/>
    <cellStyle name="CABEÇALHO 5 16 4 2 6" xfId="10917" xr:uid="{00000000-0005-0000-0000-0000541E0000}"/>
    <cellStyle name="CABEÇALHO 5 16 4 3" xfId="2860" xr:uid="{00000000-0005-0000-0000-0000551E0000}"/>
    <cellStyle name="CABEÇALHO 5 16 4 3 2" xfId="5740" xr:uid="{00000000-0005-0000-0000-0000561E0000}"/>
    <cellStyle name="CABEÇALHO 5 16 4 3 3" xfId="3146" xr:uid="{00000000-0005-0000-0000-0000571E0000}"/>
    <cellStyle name="CABEÇALHO 5 16 4 3 4" xfId="7122" xr:uid="{00000000-0005-0000-0000-0000581E0000}"/>
    <cellStyle name="CABEÇALHO 5 16 4 3 5" xfId="10609" xr:uid="{00000000-0005-0000-0000-0000591E0000}"/>
    <cellStyle name="CABEÇALHO 5 16 4 3 6" xfId="11197" xr:uid="{00000000-0005-0000-0000-00005A1E0000}"/>
    <cellStyle name="CABEÇALHO 5 16 4 4" xfId="4049" xr:uid="{00000000-0005-0000-0000-00005B1E0000}"/>
    <cellStyle name="CABEÇALHO 5 16 4 5" xfId="3062" xr:uid="{00000000-0005-0000-0000-00005C1E0000}"/>
    <cellStyle name="CABEÇALHO 5 16 4 6" xfId="6461" xr:uid="{00000000-0005-0000-0000-00005D1E0000}"/>
    <cellStyle name="CABEÇALHO 5 16 4 7" xfId="8372" xr:uid="{00000000-0005-0000-0000-00005E1E0000}"/>
    <cellStyle name="CABEÇALHO 5 16 4 8" xfId="8689" xr:uid="{00000000-0005-0000-0000-00005F1E0000}"/>
    <cellStyle name="CABEÇALHO 5 16 5" xfId="677" xr:uid="{00000000-0005-0000-0000-0000601E0000}"/>
    <cellStyle name="CABEÇALHO 5 16 5 2" xfId="1819" xr:uid="{00000000-0005-0000-0000-0000611E0000}"/>
    <cellStyle name="CABEÇALHO 5 16 5 2 2" xfId="4699" xr:uid="{00000000-0005-0000-0000-0000621E0000}"/>
    <cellStyle name="CABEÇALHO 5 16 5 2 3" xfId="8179" xr:uid="{00000000-0005-0000-0000-0000631E0000}"/>
    <cellStyle name="CABEÇALHO 5 16 5 2 4" xfId="8608" xr:uid="{00000000-0005-0000-0000-0000641E0000}"/>
    <cellStyle name="CABEÇALHO 5 16 5 2 5" xfId="7258" xr:uid="{00000000-0005-0000-0000-0000651E0000}"/>
    <cellStyle name="CABEÇALHO 5 16 5 2 6" xfId="11461" xr:uid="{00000000-0005-0000-0000-0000661E0000}"/>
    <cellStyle name="CABEÇALHO 5 16 5 3" xfId="2646" xr:uid="{00000000-0005-0000-0000-0000671E0000}"/>
    <cellStyle name="CABEÇALHO 5 16 5 3 2" xfId="5526" xr:uid="{00000000-0005-0000-0000-0000681E0000}"/>
    <cellStyle name="CABEÇALHO 5 16 5 3 3" xfId="6735" xr:uid="{00000000-0005-0000-0000-0000691E0000}"/>
    <cellStyle name="CABEÇALHO 5 16 5 3 4" xfId="9587" xr:uid="{00000000-0005-0000-0000-00006A1E0000}"/>
    <cellStyle name="CABEÇALHO 5 16 5 3 5" xfId="8448" xr:uid="{00000000-0005-0000-0000-00006B1E0000}"/>
    <cellStyle name="CABEÇALHO 5 16 5 3 6" xfId="6369" xr:uid="{00000000-0005-0000-0000-00006C1E0000}"/>
    <cellStyle name="CABEÇALHO 5 16 5 4" xfId="3557" xr:uid="{00000000-0005-0000-0000-00006D1E0000}"/>
    <cellStyle name="CABEÇALHO 5 16 5 5" xfId="3208" xr:uid="{00000000-0005-0000-0000-00006E1E0000}"/>
    <cellStyle name="CABEÇALHO 5 16 5 6" xfId="3047" xr:uid="{00000000-0005-0000-0000-00006F1E0000}"/>
    <cellStyle name="CABEÇALHO 5 16 5 7" xfId="8757" xr:uid="{00000000-0005-0000-0000-0000701E0000}"/>
    <cellStyle name="CABEÇALHO 5 16 5 8" xfId="10957" xr:uid="{00000000-0005-0000-0000-0000711E0000}"/>
    <cellStyle name="CABEÇALHO 5 16 6" xfId="1228" xr:uid="{00000000-0005-0000-0000-0000721E0000}"/>
    <cellStyle name="CABEÇALHO 5 16 6 2" xfId="2370" xr:uid="{00000000-0005-0000-0000-0000731E0000}"/>
    <cellStyle name="CABEÇALHO 5 16 6 2 2" xfId="5250" xr:uid="{00000000-0005-0000-0000-0000741E0000}"/>
    <cellStyle name="CABEÇALHO 5 16 6 2 3" xfId="6363" xr:uid="{00000000-0005-0000-0000-0000751E0000}"/>
    <cellStyle name="CABEÇALHO 5 16 6 2 4" xfId="8879" xr:uid="{00000000-0005-0000-0000-0000761E0000}"/>
    <cellStyle name="CABEÇALHO 5 16 6 2 5" xfId="10041" xr:uid="{00000000-0005-0000-0000-0000771E0000}"/>
    <cellStyle name="CABEÇALHO 5 16 6 2 6" xfId="7392" xr:uid="{00000000-0005-0000-0000-0000781E0000}"/>
    <cellStyle name="CABEÇALHO 5 16 6 3" xfId="2613" xr:uid="{00000000-0005-0000-0000-0000791E0000}"/>
    <cellStyle name="CABEÇALHO 5 16 6 3 2" xfId="5493" xr:uid="{00000000-0005-0000-0000-00007A1E0000}"/>
    <cellStyle name="CABEÇALHO 5 16 6 3 3" xfId="6686" xr:uid="{00000000-0005-0000-0000-00007B1E0000}"/>
    <cellStyle name="CABEÇALHO 5 16 6 3 4" xfId="9491" xr:uid="{00000000-0005-0000-0000-00007C1E0000}"/>
    <cellStyle name="CABEÇALHO 5 16 6 3 5" xfId="10562" xr:uid="{00000000-0005-0000-0000-00007D1E0000}"/>
    <cellStyle name="CABEÇALHO 5 16 6 3 6" xfId="10882" xr:uid="{00000000-0005-0000-0000-00007E1E0000}"/>
    <cellStyle name="CABEÇALHO 5 16 6 4" xfId="4108" xr:uid="{00000000-0005-0000-0000-00007F1E0000}"/>
    <cellStyle name="CABEÇALHO 5 16 6 5" xfId="3194" xr:uid="{00000000-0005-0000-0000-0000801E0000}"/>
    <cellStyle name="CABEÇALHO 5 16 6 6" xfId="6813" xr:uid="{00000000-0005-0000-0000-0000811E0000}"/>
    <cellStyle name="CABEÇALHO 5 16 6 7" xfId="6379" xr:uid="{00000000-0005-0000-0000-0000821E0000}"/>
    <cellStyle name="CABEÇALHO 5 16 6 8" xfId="10032" xr:uid="{00000000-0005-0000-0000-0000831E0000}"/>
    <cellStyle name="CABEÇALHO 5 16 7" xfId="1606" xr:uid="{00000000-0005-0000-0000-0000841E0000}"/>
    <cellStyle name="CABEÇALHO 5 16 7 2" xfId="4486" xr:uid="{00000000-0005-0000-0000-0000851E0000}"/>
    <cellStyle name="CABEÇALHO 5 16 7 3" xfId="7638" xr:uid="{00000000-0005-0000-0000-0000861E0000}"/>
    <cellStyle name="CABEÇALHO 5 16 7 4" xfId="9063" xr:uid="{00000000-0005-0000-0000-0000871E0000}"/>
    <cellStyle name="CABEÇALHO 5 16 7 5" xfId="10089" xr:uid="{00000000-0005-0000-0000-0000881E0000}"/>
    <cellStyle name="CABEÇALHO 5 16 7 6" xfId="11367" xr:uid="{00000000-0005-0000-0000-0000891E0000}"/>
    <cellStyle name="CABEÇALHO 5 16 8" xfId="2721" xr:uid="{00000000-0005-0000-0000-00008A1E0000}"/>
    <cellStyle name="CABEÇALHO 5 16 8 2" xfId="5601" xr:uid="{00000000-0005-0000-0000-00008B1E0000}"/>
    <cellStyle name="CABEÇALHO 5 16 8 3" xfId="7778" xr:uid="{00000000-0005-0000-0000-00008C1E0000}"/>
    <cellStyle name="CABEÇALHO 5 16 8 4" xfId="8212" xr:uid="{00000000-0005-0000-0000-00008D1E0000}"/>
    <cellStyle name="CABEÇALHO 5 16 8 5" xfId="9960" xr:uid="{00000000-0005-0000-0000-00008E1E0000}"/>
    <cellStyle name="CABEÇALHO 5 16 8 6" xfId="10573" xr:uid="{00000000-0005-0000-0000-00008F1E0000}"/>
    <cellStyle name="CABEÇALHO 5 16 9" xfId="3345" xr:uid="{00000000-0005-0000-0000-0000901E0000}"/>
    <cellStyle name="CABEÇALHO 5 17" xfId="874" xr:uid="{00000000-0005-0000-0000-0000911E0000}"/>
    <cellStyle name="CABEÇALHO 5 17 2" xfId="2016" xr:uid="{00000000-0005-0000-0000-0000921E0000}"/>
    <cellStyle name="CABEÇALHO 5 17 2 2" xfId="4896" xr:uid="{00000000-0005-0000-0000-0000931E0000}"/>
    <cellStyle name="CABEÇALHO 5 17 2 3" xfId="6158" xr:uid="{00000000-0005-0000-0000-0000941E0000}"/>
    <cellStyle name="CABEÇALHO 5 17 2 4" xfId="8690" xr:uid="{00000000-0005-0000-0000-0000951E0000}"/>
    <cellStyle name="CABEÇALHO 5 17 2 5" xfId="9641" xr:uid="{00000000-0005-0000-0000-0000961E0000}"/>
    <cellStyle name="CABEÇALHO 5 17 2 6" xfId="9874" xr:uid="{00000000-0005-0000-0000-0000971E0000}"/>
    <cellStyle name="CABEÇALHO 5 17 3" xfId="2758" xr:uid="{00000000-0005-0000-0000-0000981E0000}"/>
    <cellStyle name="CABEÇALHO 5 17 3 2" xfId="5638" xr:uid="{00000000-0005-0000-0000-0000991E0000}"/>
    <cellStyle name="CABEÇALHO 5 17 3 3" xfId="6698" xr:uid="{00000000-0005-0000-0000-00009A1E0000}"/>
    <cellStyle name="CABEÇALHO 5 17 3 4" xfId="8329" xr:uid="{00000000-0005-0000-0000-00009B1E0000}"/>
    <cellStyle name="CABEÇALHO 5 17 3 5" xfId="10828" xr:uid="{00000000-0005-0000-0000-00009C1E0000}"/>
    <cellStyle name="CABEÇALHO 5 17 3 6" xfId="11123" xr:uid="{00000000-0005-0000-0000-00009D1E0000}"/>
    <cellStyle name="CABEÇALHO 5 17 4" xfId="3754" xr:uid="{00000000-0005-0000-0000-00009E1E0000}"/>
    <cellStyle name="CABEÇALHO 5 17 5" xfId="7121" xr:uid="{00000000-0005-0000-0000-00009F1E0000}"/>
    <cellStyle name="CABEÇALHO 5 17 6" xfId="8840" xr:uid="{00000000-0005-0000-0000-0000A01E0000}"/>
    <cellStyle name="CABEÇALHO 5 17 7" xfId="9795" xr:uid="{00000000-0005-0000-0000-0000A11E0000}"/>
    <cellStyle name="CABEÇALHO 5 17 8" xfId="7889" xr:uid="{00000000-0005-0000-0000-0000A21E0000}"/>
    <cellStyle name="CABEÇALHO 5 18" xfId="1165" xr:uid="{00000000-0005-0000-0000-0000A31E0000}"/>
    <cellStyle name="CABEÇALHO 5 18 2" xfId="2307" xr:uid="{00000000-0005-0000-0000-0000A41E0000}"/>
    <cellStyle name="CABEÇALHO 5 18 2 2" xfId="5187" xr:uid="{00000000-0005-0000-0000-0000A51E0000}"/>
    <cellStyle name="CABEÇALHO 5 18 2 3" xfId="6562" xr:uid="{00000000-0005-0000-0000-0000A61E0000}"/>
    <cellStyle name="CABEÇALHO 5 18 2 4" xfId="9059" xr:uid="{00000000-0005-0000-0000-0000A71E0000}"/>
    <cellStyle name="CABEÇALHO 5 18 2 5" xfId="10060" xr:uid="{00000000-0005-0000-0000-0000A81E0000}"/>
    <cellStyle name="CABEÇALHO 5 18 2 6" xfId="9936" xr:uid="{00000000-0005-0000-0000-0000A91E0000}"/>
    <cellStyle name="CABEÇALHO 5 18 3" xfId="2637" xr:uid="{00000000-0005-0000-0000-0000AA1E0000}"/>
    <cellStyle name="CABEÇALHO 5 18 3 2" xfId="5517" xr:uid="{00000000-0005-0000-0000-0000AB1E0000}"/>
    <cellStyle name="CABEÇALHO 5 18 3 3" xfId="6641" xr:uid="{00000000-0005-0000-0000-0000AC1E0000}"/>
    <cellStyle name="CABEÇALHO 5 18 3 4" xfId="9518" xr:uid="{00000000-0005-0000-0000-0000AD1E0000}"/>
    <cellStyle name="CABEÇALHO 5 18 3 5" xfId="10704" xr:uid="{00000000-0005-0000-0000-0000AE1E0000}"/>
    <cellStyle name="CABEÇALHO 5 18 3 6" xfId="11494" xr:uid="{00000000-0005-0000-0000-0000AF1E0000}"/>
    <cellStyle name="CABEÇALHO 5 18 4" xfId="4045" xr:uid="{00000000-0005-0000-0000-0000B01E0000}"/>
    <cellStyle name="CABEÇALHO 5 18 5" xfId="2959" xr:uid="{00000000-0005-0000-0000-0000B11E0000}"/>
    <cellStyle name="CABEÇALHO 5 18 6" xfId="6994" xr:uid="{00000000-0005-0000-0000-0000B21E0000}"/>
    <cellStyle name="CABEÇALHO 5 18 7" xfId="6362" xr:uid="{00000000-0005-0000-0000-0000B31E0000}"/>
    <cellStyle name="CABEÇALHO 5 18 8" xfId="8582" xr:uid="{00000000-0005-0000-0000-0000B41E0000}"/>
    <cellStyle name="CABEÇALHO 5 19" xfId="734" xr:uid="{00000000-0005-0000-0000-0000B51E0000}"/>
    <cellStyle name="CABEÇALHO 5 19 2" xfId="1876" xr:uid="{00000000-0005-0000-0000-0000B61E0000}"/>
    <cellStyle name="CABEÇALHO 5 19 2 2" xfId="4756" xr:uid="{00000000-0005-0000-0000-0000B71E0000}"/>
    <cellStyle name="CABEÇALHO 5 19 2 3" xfId="8018" xr:uid="{00000000-0005-0000-0000-0000B81E0000}"/>
    <cellStyle name="CABEÇALHO 5 19 2 4" xfId="2894" xr:uid="{00000000-0005-0000-0000-0000B91E0000}"/>
    <cellStyle name="CABEÇALHO 5 19 2 5" xfId="5851" xr:uid="{00000000-0005-0000-0000-0000BA1E0000}"/>
    <cellStyle name="CABEÇALHO 5 19 2 6" xfId="11510" xr:uid="{00000000-0005-0000-0000-0000BB1E0000}"/>
    <cellStyle name="CABEÇALHO 5 19 3" xfId="2595" xr:uid="{00000000-0005-0000-0000-0000BC1E0000}"/>
    <cellStyle name="CABEÇALHO 5 19 3 2" xfId="5475" xr:uid="{00000000-0005-0000-0000-0000BD1E0000}"/>
    <cellStyle name="CABEÇALHO 5 19 3 3" xfId="6138" xr:uid="{00000000-0005-0000-0000-0000BE1E0000}"/>
    <cellStyle name="CABEÇALHO 5 19 3 4" xfId="9454" xr:uid="{00000000-0005-0000-0000-0000BF1E0000}"/>
    <cellStyle name="CABEÇALHO 5 19 3 5" xfId="9726" xr:uid="{00000000-0005-0000-0000-0000C01E0000}"/>
    <cellStyle name="CABEÇALHO 5 19 3 6" xfId="11146" xr:uid="{00000000-0005-0000-0000-0000C11E0000}"/>
    <cellStyle name="CABEÇALHO 5 19 4" xfId="3614" xr:uid="{00000000-0005-0000-0000-0000C21E0000}"/>
    <cellStyle name="CABEÇALHO 5 19 5" xfId="6430" xr:uid="{00000000-0005-0000-0000-0000C31E0000}"/>
    <cellStyle name="CABEÇALHO 5 19 6" xfId="8524" xr:uid="{00000000-0005-0000-0000-0000C41E0000}"/>
    <cellStyle name="CABEÇALHO 5 19 7" xfId="8623" xr:uid="{00000000-0005-0000-0000-0000C51E0000}"/>
    <cellStyle name="CABEÇALHO 5 19 8" xfId="11638" xr:uid="{00000000-0005-0000-0000-0000C61E0000}"/>
    <cellStyle name="CABEÇALHO 5 2" xfId="572" xr:uid="{00000000-0005-0000-0000-0000C71E0000}"/>
    <cellStyle name="CABEÇALHO 5 2 10" xfId="6046" xr:uid="{00000000-0005-0000-0000-0000C81E0000}"/>
    <cellStyle name="CABEÇALHO 5 2 11" xfId="9004" xr:uid="{00000000-0005-0000-0000-0000C91E0000}"/>
    <cellStyle name="CABEÇALHO 5 2 12" xfId="9930" xr:uid="{00000000-0005-0000-0000-0000CA1E0000}"/>
    <cellStyle name="CABEÇALHO 5 2 13" xfId="5880" xr:uid="{00000000-0005-0000-0000-0000CB1E0000}"/>
    <cellStyle name="CABEÇALHO 5 2 2" xfId="1048" xr:uid="{00000000-0005-0000-0000-0000CC1E0000}"/>
    <cellStyle name="CABEÇALHO 5 2 2 2" xfId="2190" xr:uid="{00000000-0005-0000-0000-0000CD1E0000}"/>
    <cellStyle name="CABEÇALHO 5 2 2 2 2" xfId="5070" xr:uid="{00000000-0005-0000-0000-0000CE1E0000}"/>
    <cellStyle name="CABEÇALHO 5 2 2 2 3" xfId="6545" xr:uid="{00000000-0005-0000-0000-0000CF1E0000}"/>
    <cellStyle name="CABEÇALHO 5 2 2 2 4" xfId="9043" xr:uid="{00000000-0005-0000-0000-0000D01E0000}"/>
    <cellStyle name="CABEÇALHO 5 2 2 2 5" xfId="10393" xr:uid="{00000000-0005-0000-0000-0000D11E0000}"/>
    <cellStyle name="CABEÇALHO 5 2 2 2 6" xfId="11409" xr:uid="{00000000-0005-0000-0000-0000D21E0000}"/>
    <cellStyle name="CABEÇALHO 5 2 2 3" xfId="2530" xr:uid="{00000000-0005-0000-0000-0000D31E0000}"/>
    <cellStyle name="CABEÇALHO 5 2 2 3 2" xfId="5410" xr:uid="{00000000-0005-0000-0000-0000D41E0000}"/>
    <cellStyle name="CABEÇALHO 5 2 2 3 3" xfId="7917" xr:uid="{00000000-0005-0000-0000-0000D51E0000}"/>
    <cellStyle name="CABEÇALHO 5 2 2 3 4" xfId="8708" xr:uid="{00000000-0005-0000-0000-0000D61E0000}"/>
    <cellStyle name="CABEÇALHO 5 2 2 3 5" xfId="10355" xr:uid="{00000000-0005-0000-0000-0000D71E0000}"/>
    <cellStyle name="CABEÇALHO 5 2 2 3 6" xfId="8954" xr:uid="{00000000-0005-0000-0000-0000D81E0000}"/>
    <cellStyle name="CABEÇALHO 5 2 2 4" xfId="3928" xr:uid="{00000000-0005-0000-0000-0000D91E0000}"/>
    <cellStyle name="CABEÇALHO 5 2 2 5" xfId="3189" xr:uid="{00000000-0005-0000-0000-0000DA1E0000}"/>
    <cellStyle name="CABEÇALHO 5 2 2 6" xfId="6442" xr:uid="{00000000-0005-0000-0000-0000DB1E0000}"/>
    <cellStyle name="CABEÇALHO 5 2 2 7" xfId="6160" xr:uid="{00000000-0005-0000-0000-0000DC1E0000}"/>
    <cellStyle name="CABEÇALHO 5 2 2 8" xfId="10388" xr:uid="{00000000-0005-0000-0000-0000DD1E0000}"/>
    <cellStyle name="CABEÇALHO 5 2 3" xfId="1185" xr:uid="{00000000-0005-0000-0000-0000DE1E0000}"/>
    <cellStyle name="CABEÇALHO 5 2 3 2" xfId="2327" xr:uid="{00000000-0005-0000-0000-0000DF1E0000}"/>
    <cellStyle name="CABEÇALHO 5 2 3 2 2" xfId="5207" xr:uid="{00000000-0005-0000-0000-0000E01E0000}"/>
    <cellStyle name="CABEÇALHO 5 2 3 2 3" xfId="7283" xr:uid="{00000000-0005-0000-0000-0000E11E0000}"/>
    <cellStyle name="CABEÇALHO 5 2 3 2 4" xfId="8252" xr:uid="{00000000-0005-0000-0000-0000E21E0000}"/>
    <cellStyle name="CABEÇALHO 5 2 3 2 5" xfId="10518" xr:uid="{00000000-0005-0000-0000-0000E31E0000}"/>
    <cellStyle name="CABEÇALHO 5 2 3 2 6" xfId="11327" xr:uid="{00000000-0005-0000-0000-0000E41E0000}"/>
    <cellStyle name="CABEÇALHO 5 2 3 3" xfId="2523" xr:uid="{00000000-0005-0000-0000-0000E51E0000}"/>
    <cellStyle name="CABEÇALHO 5 2 3 3 2" xfId="5403" xr:uid="{00000000-0005-0000-0000-0000E61E0000}"/>
    <cellStyle name="CABEÇALHO 5 2 3 3 3" xfId="6186" xr:uid="{00000000-0005-0000-0000-0000E71E0000}"/>
    <cellStyle name="CABEÇALHO 5 2 3 3 4" xfId="9291" xr:uid="{00000000-0005-0000-0000-0000E81E0000}"/>
    <cellStyle name="CABEÇALHO 5 2 3 3 5" xfId="9663" xr:uid="{00000000-0005-0000-0000-0000E91E0000}"/>
    <cellStyle name="CABEÇALHO 5 2 3 3 6" xfId="7794" xr:uid="{00000000-0005-0000-0000-0000EA1E0000}"/>
    <cellStyle name="CABEÇALHO 5 2 3 4" xfId="4065" xr:uid="{00000000-0005-0000-0000-0000EB1E0000}"/>
    <cellStyle name="CABEÇALHO 5 2 3 5" xfId="2956" xr:uid="{00000000-0005-0000-0000-0000EC1E0000}"/>
    <cellStyle name="CABEÇALHO 5 2 3 6" xfId="6153" xr:uid="{00000000-0005-0000-0000-0000ED1E0000}"/>
    <cellStyle name="CABEÇALHO 5 2 3 7" xfId="7682" xr:uid="{00000000-0005-0000-0000-0000EE1E0000}"/>
    <cellStyle name="CABEÇALHO 5 2 3 8" xfId="11196" xr:uid="{00000000-0005-0000-0000-0000EF1E0000}"/>
    <cellStyle name="CABEÇALHO 5 2 4" xfId="1231" xr:uid="{00000000-0005-0000-0000-0000F01E0000}"/>
    <cellStyle name="CABEÇALHO 5 2 4 2" xfId="2373" xr:uid="{00000000-0005-0000-0000-0000F11E0000}"/>
    <cellStyle name="CABEÇALHO 5 2 4 2 2" xfId="5253" xr:uid="{00000000-0005-0000-0000-0000F21E0000}"/>
    <cellStyle name="CABEÇALHO 5 2 4 2 3" xfId="6991" xr:uid="{00000000-0005-0000-0000-0000F31E0000}"/>
    <cellStyle name="CABEÇALHO 5 2 4 2 4" xfId="8242" xr:uid="{00000000-0005-0000-0000-0000F41E0000}"/>
    <cellStyle name="CABEÇALHO 5 2 4 2 5" xfId="10201" xr:uid="{00000000-0005-0000-0000-0000F51E0000}"/>
    <cellStyle name="CABEÇALHO 5 2 4 2 6" xfId="11308" xr:uid="{00000000-0005-0000-0000-0000F61E0000}"/>
    <cellStyle name="CABEÇALHO 5 2 4 3" xfId="2661" xr:uid="{00000000-0005-0000-0000-0000F71E0000}"/>
    <cellStyle name="CABEÇALHO 5 2 4 3 2" xfId="5541" xr:uid="{00000000-0005-0000-0000-0000F81E0000}"/>
    <cellStyle name="CABEÇALHO 5 2 4 3 3" xfId="7175" xr:uid="{00000000-0005-0000-0000-0000F91E0000}"/>
    <cellStyle name="CABEÇALHO 5 2 4 3 4" xfId="6338" xr:uid="{00000000-0005-0000-0000-0000FA1E0000}"/>
    <cellStyle name="CABEÇALHO 5 2 4 3 5" xfId="9722" xr:uid="{00000000-0005-0000-0000-0000FB1E0000}"/>
    <cellStyle name="CABEÇALHO 5 2 4 3 6" xfId="10869" xr:uid="{00000000-0005-0000-0000-0000FC1E0000}"/>
    <cellStyle name="CABEÇALHO 5 2 4 4" xfId="4111" xr:uid="{00000000-0005-0000-0000-0000FD1E0000}"/>
    <cellStyle name="CABEÇALHO 5 2 4 5" xfId="3090" xr:uid="{00000000-0005-0000-0000-0000FE1E0000}"/>
    <cellStyle name="CABEÇALHO 5 2 4 6" xfId="8203" xr:uid="{00000000-0005-0000-0000-0000FF1E0000}"/>
    <cellStyle name="CABEÇALHO 5 2 4 7" xfId="8467" xr:uid="{00000000-0005-0000-0000-0000001F0000}"/>
    <cellStyle name="CABEÇALHO 5 2 4 8" xfId="10279" xr:uid="{00000000-0005-0000-0000-0000011F0000}"/>
    <cellStyle name="CABEÇALHO 5 2 5" xfId="1236" xr:uid="{00000000-0005-0000-0000-0000021F0000}"/>
    <cellStyle name="CABEÇALHO 5 2 5 2" xfId="2378" xr:uid="{00000000-0005-0000-0000-0000031F0000}"/>
    <cellStyle name="CABEÇALHO 5 2 5 2 2" xfId="5258" xr:uid="{00000000-0005-0000-0000-0000041F0000}"/>
    <cellStyle name="CABEÇALHO 5 2 5 2 3" xfId="7629" xr:uid="{00000000-0005-0000-0000-0000051F0000}"/>
    <cellStyle name="CABEÇALHO 5 2 5 2 4" xfId="9251" xr:uid="{00000000-0005-0000-0000-0000061F0000}"/>
    <cellStyle name="CABEÇALHO 5 2 5 2 5" xfId="10674" xr:uid="{00000000-0005-0000-0000-0000071F0000}"/>
    <cellStyle name="CABEÇALHO 5 2 5 2 6" xfId="10396" xr:uid="{00000000-0005-0000-0000-0000081F0000}"/>
    <cellStyle name="CABEÇALHO 5 2 5 3" xfId="2786" xr:uid="{00000000-0005-0000-0000-0000091F0000}"/>
    <cellStyle name="CABEÇALHO 5 2 5 3 2" xfId="5666" xr:uid="{00000000-0005-0000-0000-00000A1F0000}"/>
    <cellStyle name="CABEÇALHO 5 2 5 3 3" xfId="6076" xr:uid="{00000000-0005-0000-0000-00000B1F0000}"/>
    <cellStyle name="CABEÇALHO 5 2 5 3 4" xfId="9029" xr:uid="{00000000-0005-0000-0000-00000C1F0000}"/>
    <cellStyle name="CABEÇALHO 5 2 5 3 5" xfId="10073" xr:uid="{00000000-0005-0000-0000-00000D1F0000}"/>
    <cellStyle name="CABEÇALHO 5 2 5 3 6" xfId="5852" xr:uid="{00000000-0005-0000-0000-00000E1F0000}"/>
    <cellStyle name="CABEÇALHO 5 2 5 4" xfId="4116" xr:uid="{00000000-0005-0000-0000-00000F1F0000}"/>
    <cellStyle name="CABEÇALHO 5 2 5 5" xfId="3095" xr:uid="{00000000-0005-0000-0000-0000101F0000}"/>
    <cellStyle name="CABEÇALHO 5 2 5 6" xfId="7414" xr:uid="{00000000-0005-0000-0000-0000111F0000}"/>
    <cellStyle name="CABEÇALHO 5 2 5 7" xfId="7403" xr:uid="{00000000-0005-0000-0000-0000121F0000}"/>
    <cellStyle name="CABEÇALHO 5 2 5 8" xfId="11208" xr:uid="{00000000-0005-0000-0000-0000131F0000}"/>
    <cellStyle name="CABEÇALHO 5 2 6" xfId="1234" xr:uid="{00000000-0005-0000-0000-0000141F0000}"/>
    <cellStyle name="CABEÇALHO 5 2 6 2" xfId="2376" xr:uid="{00000000-0005-0000-0000-0000151F0000}"/>
    <cellStyle name="CABEÇALHO 5 2 6 2 2" xfId="5256" xr:uid="{00000000-0005-0000-0000-0000161F0000}"/>
    <cellStyle name="CABEÇALHO 5 2 6 2 3" xfId="6096" xr:uid="{00000000-0005-0000-0000-0000171F0000}"/>
    <cellStyle name="CABEÇALHO 5 2 6 2 4" xfId="8631" xr:uid="{00000000-0005-0000-0000-0000181F0000}"/>
    <cellStyle name="CABEÇALHO 5 2 6 2 5" xfId="9640" xr:uid="{00000000-0005-0000-0000-0000191F0000}"/>
    <cellStyle name="CABEÇALHO 5 2 6 2 6" xfId="11288" xr:uid="{00000000-0005-0000-0000-00001A1F0000}"/>
    <cellStyle name="CABEÇALHO 5 2 6 3" xfId="1376" xr:uid="{00000000-0005-0000-0000-00001B1F0000}"/>
    <cellStyle name="CABEÇALHO 5 2 6 3 2" xfId="4256" xr:uid="{00000000-0005-0000-0000-00001C1F0000}"/>
    <cellStyle name="CABEÇALHO 5 2 6 3 3" xfId="6548" xr:uid="{00000000-0005-0000-0000-00001D1F0000}"/>
    <cellStyle name="CABEÇALHO 5 2 6 3 4" xfId="7422" xr:uid="{00000000-0005-0000-0000-00001E1F0000}"/>
    <cellStyle name="CABEÇALHO 5 2 6 3 5" xfId="5799" xr:uid="{00000000-0005-0000-0000-00001F1F0000}"/>
    <cellStyle name="CABEÇALHO 5 2 6 3 6" xfId="10866" xr:uid="{00000000-0005-0000-0000-0000201F0000}"/>
    <cellStyle name="CABEÇALHO 5 2 6 4" xfId="4114" xr:uid="{00000000-0005-0000-0000-0000211F0000}"/>
    <cellStyle name="CABEÇALHO 5 2 6 5" xfId="3093" xr:uid="{00000000-0005-0000-0000-0000221F0000}"/>
    <cellStyle name="CABEÇALHO 5 2 6 6" xfId="5787" xr:uid="{00000000-0005-0000-0000-0000231F0000}"/>
    <cellStyle name="CABEÇALHO 5 2 6 7" xfId="9604" xr:uid="{00000000-0005-0000-0000-0000241F0000}"/>
    <cellStyle name="CABEÇALHO 5 2 6 8" xfId="6902" xr:uid="{00000000-0005-0000-0000-0000251F0000}"/>
    <cellStyle name="CABEÇALHO 5 2 7" xfId="1713" xr:uid="{00000000-0005-0000-0000-0000261F0000}"/>
    <cellStyle name="CABEÇALHO 5 2 7 2" xfId="4593" xr:uid="{00000000-0005-0000-0000-0000271F0000}"/>
    <cellStyle name="CABEÇALHO 5 2 7 3" xfId="6645" xr:uid="{00000000-0005-0000-0000-0000281F0000}"/>
    <cellStyle name="CABEÇALHO 5 2 7 4" xfId="9138" xr:uid="{00000000-0005-0000-0000-0000291F0000}"/>
    <cellStyle name="CABEÇALHO 5 2 7 5" xfId="10578" xr:uid="{00000000-0005-0000-0000-00002A1F0000}"/>
    <cellStyle name="CABEÇALHO 5 2 7 6" xfId="8531" xr:uid="{00000000-0005-0000-0000-00002B1F0000}"/>
    <cellStyle name="CABEÇALHO 5 2 8" xfId="2831" xr:uid="{00000000-0005-0000-0000-00002C1F0000}"/>
    <cellStyle name="CABEÇALHO 5 2 8 2" xfId="5711" xr:uid="{00000000-0005-0000-0000-00002D1F0000}"/>
    <cellStyle name="CABEÇALHO 5 2 8 3" xfId="6783" xr:uid="{00000000-0005-0000-0000-00002E1F0000}"/>
    <cellStyle name="CABEÇALHO 5 2 8 4" xfId="9077" xr:uid="{00000000-0005-0000-0000-00002F1F0000}"/>
    <cellStyle name="CABEÇALHO 5 2 8 5" xfId="10352" xr:uid="{00000000-0005-0000-0000-0000301F0000}"/>
    <cellStyle name="CABEÇALHO 5 2 8 6" xfId="7962" xr:uid="{00000000-0005-0000-0000-0000311F0000}"/>
    <cellStyle name="CABEÇALHO 5 2 9" xfId="3452" xr:uid="{00000000-0005-0000-0000-0000321F0000}"/>
    <cellStyle name="CABEÇALHO 5 20" xfId="724" xr:uid="{00000000-0005-0000-0000-0000331F0000}"/>
    <cellStyle name="CABEÇALHO 5 20 2" xfId="1866" xr:uid="{00000000-0005-0000-0000-0000341F0000}"/>
    <cellStyle name="CABEÇALHO 5 20 2 2" xfId="4746" xr:uid="{00000000-0005-0000-0000-0000351F0000}"/>
    <cellStyle name="CABEÇALHO 5 20 2 3" xfId="7180" xr:uid="{00000000-0005-0000-0000-0000361F0000}"/>
    <cellStyle name="CABEÇALHO 5 20 2 4" xfId="8291" xr:uid="{00000000-0005-0000-0000-0000371F0000}"/>
    <cellStyle name="CABEÇALHO 5 20 2 5" xfId="10728" xr:uid="{00000000-0005-0000-0000-0000381F0000}"/>
    <cellStyle name="CABEÇALHO 5 20 2 6" xfId="8436" xr:uid="{00000000-0005-0000-0000-0000391F0000}"/>
    <cellStyle name="CABEÇALHO 5 20 3" xfId="2774" xr:uid="{00000000-0005-0000-0000-00003A1F0000}"/>
    <cellStyle name="CABEÇALHO 5 20 3 2" xfId="5654" xr:uid="{00000000-0005-0000-0000-00003B1F0000}"/>
    <cellStyle name="CABEÇALHO 5 20 3 3" xfId="7903" xr:uid="{00000000-0005-0000-0000-00003C1F0000}"/>
    <cellStyle name="CABEÇALHO 5 20 3 4" xfId="9216" xr:uid="{00000000-0005-0000-0000-00003D1F0000}"/>
    <cellStyle name="CABEÇALHO 5 20 3 5" xfId="10725" xr:uid="{00000000-0005-0000-0000-00003E1F0000}"/>
    <cellStyle name="CABEÇALHO 5 20 3 6" xfId="6466" xr:uid="{00000000-0005-0000-0000-00003F1F0000}"/>
    <cellStyle name="CABEÇALHO 5 20 4" xfId="3604" xr:uid="{00000000-0005-0000-0000-0000401F0000}"/>
    <cellStyle name="CABEÇALHO 5 20 5" xfId="6492" xr:uid="{00000000-0005-0000-0000-0000411F0000}"/>
    <cellStyle name="CABEÇALHO 5 20 6" xfId="8576" xr:uid="{00000000-0005-0000-0000-0000421F0000}"/>
    <cellStyle name="CABEÇALHO 5 20 7" xfId="9061" xr:uid="{00000000-0005-0000-0000-0000431F0000}"/>
    <cellStyle name="CABEÇALHO 5 20 8" xfId="10852" xr:uid="{00000000-0005-0000-0000-0000441F0000}"/>
    <cellStyle name="CABEÇALHO 5 21" xfId="1210" xr:uid="{00000000-0005-0000-0000-0000451F0000}"/>
    <cellStyle name="CABEÇALHO 5 21 2" xfId="2352" xr:uid="{00000000-0005-0000-0000-0000461F0000}"/>
    <cellStyle name="CABEÇALHO 5 21 2 2" xfId="5232" xr:uid="{00000000-0005-0000-0000-0000471F0000}"/>
    <cellStyle name="CABEÇALHO 5 21 2 3" xfId="7320" xr:uid="{00000000-0005-0000-0000-0000481F0000}"/>
    <cellStyle name="CABEÇALHO 5 21 2 4" xfId="9434" xr:uid="{00000000-0005-0000-0000-0000491F0000}"/>
    <cellStyle name="CABEÇALHO 5 21 2 5" xfId="9709" xr:uid="{00000000-0005-0000-0000-00004A1F0000}"/>
    <cellStyle name="CABEÇALHO 5 21 2 6" xfId="9082" xr:uid="{00000000-0005-0000-0000-00004B1F0000}"/>
    <cellStyle name="CABEÇALHO 5 21 3" xfId="2543" xr:uid="{00000000-0005-0000-0000-00004C1F0000}"/>
    <cellStyle name="CABEÇALHO 5 21 3 2" xfId="5423" xr:uid="{00000000-0005-0000-0000-00004D1F0000}"/>
    <cellStyle name="CABEÇALHO 5 21 3 3" xfId="7265" xr:uid="{00000000-0005-0000-0000-00004E1F0000}"/>
    <cellStyle name="CABEÇALHO 5 21 3 4" xfId="7484" xr:uid="{00000000-0005-0000-0000-00004F1F0000}"/>
    <cellStyle name="CABEÇALHO 5 21 3 5" xfId="6212" xr:uid="{00000000-0005-0000-0000-0000501F0000}"/>
    <cellStyle name="CABEÇALHO 5 21 3 6" xfId="6451" xr:uid="{00000000-0005-0000-0000-0000511F0000}"/>
    <cellStyle name="CABEÇALHO 5 21 4" xfId="4090" xr:uid="{00000000-0005-0000-0000-0000521F0000}"/>
    <cellStyle name="CABEÇALHO 5 21 5" xfId="2930" xr:uid="{00000000-0005-0000-0000-0000531F0000}"/>
    <cellStyle name="CABEÇALHO 5 21 6" xfId="7803" xr:uid="{00000000-0005-0000-0000-0000541F0000}"/>
    <cellStyle name="CABEÇALHO 5 21 7" xfId="7559" xr:uid="{00000000-0005-0000-0000-0000551F0000}"/>
    <cellStyle name="CABEÇALHO 5 21 8" xfId="10151" xr:uid="{00000000-0005-0000-0000-0000561F0000}"/>
    <cellStyle name="CABEÇALHO 5 22" xfId="1539" xr:uid="{00000000-0005-0000-0000-0000571F0000}"/>
    <cellStyle name="CABEÇALHO 5 22 2" xfId="4419" xr:uid="{00000000-0005-0000-0000-0000581F0000}"/>
    <cellStyle name="CABEÇALHO 5 22 3" xfId="6773" xr:uid="{00000000-0005-0000-0000-0000591F0000}"/>
    <cellStyle name="CABEÇALHO 5 22 4" xfId="8243" xr:uid="{00000000-0005-0000-0000-00005A1F0000}"/>
    <cellStyle name="CABEÇALHO 5 22 5" xfId="8560" xr:uid="{00000000-0005-0000-0000-00005B1F0000}"/>
    <cellStyle name="CABEÇALHO 5 22 6" xfId="11371" xr:uid="{00000000-0005-0000-0000-00005C1F0000}"/>
    <cellStyle name="CABEÇALHO 5 23" xfId="2631" xr:uid="{00000000-0005-0000-0000-00005D1F0000}"/>
    <cellStyle name="CABEÇALHO 5 23 2" xfId="5511" xr:uid="{00000000-0005-0000-0000-00005E1F0000}"/>
    <cellStyle name="CABEÇALHO 5 23 3" xfId="6712" xr:uid="{00000000-0005-0000-0000-00005F1F0000}"/>
    <cellStyle name="CABEÇALHO 5 23 4" xfId="9379" xr:uid="{00000000-0005-0000-0000-0000601F0000}"/>
    <cellStyle name="CABEÇALHO 5 23 5" xfId="10840" xr:uid="{00000000-0005-0000-0000-0000611F0000}"/>
    <cellStyle name="CABEÇALHO 5 23 6" xfId="10996" xr:uid="{00000000-0005-0000-0000-0000621F0000}"/>
    <cellStyle name="CABEÇALHO 5 24" xfId="2647" xr:uid="{00000000-0005-0000-0000-0000631F0000}"/>
    <cellStyle name="CABEÇALHO 5 24 2" xfId="5527" xr:uid="{00000000-0005-0000-0000-0000641F0000}"/>
    <cellStyle name="CABEÇALHO 5 24 3" xfId="6784" xr:uid="{00000000-0005-0000-0000-0000651F0000}"/>
    <cellStyle name="CABEÇALHO 5 24 4" xfId="9219" xr:uid="{00000000-0005-0000-0000-0000661F0000}"/>
    <cellStyle name="CABEÇALHO 5 24 5" xfId="10525" xr:uid="{00000000-0005-0000-0000-0000671F0000}"/>
    <cellStyle name="CABEÇALHO 5 24 6" xfId="9733" xr:uid="{00000000-0005-0000-0000-0000681F0000}"/>
    <cellStyle name="CABEÇALHO 5 25" xfId="3277" xr:uid="{00000000-0005-0000-0000-0000691F0000}"/>
    <cellStyle name="CABEÇALHO 5 26" xfId="5832" xr:uid="{00000000-0005-0000-0000-00006A1F0000}"/>
    <cellStyle name="CABEÇALHO 5 27" xfId="6765" xr:uid="{00000000-0005-0000-0000-00006B1F0000}"/>
    <cellStyle name="CABEÇALHO 5 28" xfId="7991" xr:uid="{00000000-0005-0000-0000-00006C1F0000}"/>
    <cellStyle name="CABEÇALHO 5 29" xfId="9116" xr:uid="{00000000-0005-0000-0000-00006D1F0000}"/>
    <cellStyle name="CABEÇALHO 5 3" xfId="641" xr:uid="{00000000-0005-0000-0000-00006E1F0000}"/>
    <cellStyle name="CABEÇALHO 5 3 10" xfId="5819" xr:uid="{00000000-0005-0000-0000-00006F1F0000}"/>
    <cellStyle name="CABEÇALHO 5 3 11" xfId="7672" xr:uid="{00000000-0005-0000-0000-0000701F0000}"/>
    <cellStyle name="CABEÇALHO 5 3 12" xfId="7544" xr:uid="{00000000-0005-0000-0000-0000711F0000}"/>
    <cellStyle name="CABEÇALHO 5 3 13" xfId="9781" xr:uid="{00000000-0005-0000-0000-0000721F0000}"/>
    <cellStyle name="CABEÇALHO 5 3 2" xfId="1117" xr:uid="{00000000-0005-0000-0000-0000731F0000}"/>
    <cellStyle name="CABEÇALHO 5 3 2 2" xfId="2259" xr:uid="{00000000-0005-0000-0000-0000741F0000}"/>
    <cellStyle name="CABEÇALHO 5 3 2 2 2" xfId="5139" xr:uid="{00000000-0005-0000-0000-0000751F0000}"/>
    <cellStyle name="CABEÇALHO 5 3 2 2 3" xfId="6390" xr:uid="{00000000-0005-0000-0000-0000761F0000}"/>
    <cellStyle name="CABEÇALHO 5 3 2 2 4" xfId="8904" xr:uid="{00000000-0005-0000-0000-0000771F0000}"/>
    <cellStyle name="CABEÇALHO 5 3 2 2 5" xfId="9992" xr:uid="{00000000-0005-0000-0000-0000781F0000}"/>
    <cellStyle name="CABEÇALHO 5 3 2 2 6" xfId="8554" xr:uid="{00000000-0005-0000-0000-0000791F0000}"/>
    <cellStyle name="CABEÇALHO 5 3 2 3" xfId="2576" xr:uid="{00000000-0005-0000-0000-00007A1F0000}"/>
    <cellStyle name="CABEÇALHO 5 3 2 3 2" xfId="5456" xr:uid="{00000000-0005-0000-0000-00007B1F0000}"/>
    <cellStyle name="CABEÇALHO 5 3 2 3 3" xfId="7631" xr:uid="{00000000-0005-0000-0000-00007C1F0000}"/>
    <cellStyle name="CABEÇALHO 5 3 2 3 4" xfId="3112" xr:uid="{00000000-0005-0000-0000-00007D1F0000}"/>
    <cellStyle name="CABEÇALHO 5 3 2 3 5" xfId="9836" xr:uid="{00000000-0005-0000-0000-00007E1F0000}"/>
    <cellStyle name="CABEÇALHO 5 3 2 3 6" xfId="10787" xr:uid="{00000000-0005-0000-0000-00007F1F0000}"/>
    <cellStyle name="CABEÇALHO 5 3 2 4" xfId="3997" xr:uid="{00000000-0005-0000-0000-0000801F0000}"/>
    <cellStyle name="CABEÇALHO 5 3 2 5" xfId="6256" xr:uid="{00000000-0005-0000-0000-0000811F0000}"/>
    <cellStyle name="CABEÇALHO 5 3 2 6" xfId="8364" xr:uid="{00000000-0005-0000-0000-0000821F0000}"/>
    <cellStyle name="CABEÇALHO 5 3 2 7" xfId="7418" xr:uid="{00000000-0005-0000-0000-0000831F0000}"/>
    <cellStyle name="CABEÇALHO 5 3 2 8" xfId="8634" xr:uid="{00000000-0005-0000-0000-0000841F0000}"/>
    <cellStyle name="CABEÇALHO 5 3 3" xfId="772" xr:uid="{00000000-0005-0000-0000-0000851F0000}"/>
    <cellStyle name="CABEÇALHO 5 3 3 2" xfId="1914" xr:uid="{00000000-0005-0000-0000-0000861F0000}"/>
    <cellStyle name="CABEÇALHO 5 3 3 2 2" xfId="4794" xr:uid="{00000000-0005-0000-0000-0000871F0000}"/>
    <cellStyle name="CABEÇALHO 5 3 3 2 3" xfId="6594" xr:uid="{00000000-0005-0000-0000-0000881F0000}"/>
    <cellStyle name="CABEÇALHO 5 3 3 2 4" xfId="9089" xr:uid="{00000000-0005-0000-0000-0000891F0000}"/>
    <cellStyle name="CABEÇALHO 5 3 3 2 5" xfId="10029" xr:uid="{00000000-0005-0000-0000-00008A1F0000}"/>
    <cellStyle name="CABEÇALHO 5 3 3 2 6" xfId="7476" xr:uid="{00000000-0005-0000-0000-00008B1F0000}"/>
    <cellStyle name="CABEÇALHO 5 3 3 3" xfId="2803" xr:uid="{00000000-0005-0000-0000-00008C1F0000}"/>
    <cellStyle name="CABEÇALHO 5 3 3 3 2" xfId="5683" xr:uid="{00000000-0005-0000-0000-00008D1F0000}"/>
    <cellStyle name="CABEÇALHO 5 3 3 3 3" xfId="6386" xr:uid="{00000000-0005-0000-0000-00008E1F0000}"/>
    <cellStyle name="CABEÇALHO 5 3 3 3 4" xfId="9333" xr:uid="{00000000-0005-0000-0000-00008F1F0000}"/>
    <cellStyle name="CABEÇALHO 5 3 3 3 5" xfId="10782" xr:uid="{00000000-0005-0000-0000-0000901F0000}"/>
    <cellStyle name="CABEÇALHO 5 3 3 3 6" xfId="10048" xr:uid="{00000000-0005-0000-0000-0000911F0000}"/>
    <cellStyle name="CABEÇALHO 5 3 3 4" xfId="3652" xr:uid="{00000000-0005-0000-0000-0000921F0000}"/>
    <cellStyle name="CABEÇALHO 5 3 3 5" xfId="6324" xr:uid="{00000000-0005-0000-0000-0000931F0000}"/>
    <cellStyle name="CABEÇALHO 5 3 3 6" xfId="8426" xr:uid="{00000000-0005-0000-0000-0000941F0000}"/>
    <cellStyle name="CABEÇALHO 5 3 3 7" xfId="9171" xr:uid="{00000000-0005-0000-0000-0000951F0000}"/>
    <cellStyle name="CABEÇALHO 5 3 3 8" xfId="10966" xr:uid="{00000000-0005-0000-0000-0000961F0000}"/>
    <cellStyle name="CABEÇALHO 5 3 4" xfId="1257" xr:uid="{00000000-0005-0000-0000-0000971F0000}"/>
    <cellStyle name="CABEÇALHO 5 3 4 2" xfId="2399" xr:uid="{00000000-0005-0000-0000-0000981F0000}"/>
    <cellStyle name="CABEÇALHO 5 3 4 2 2" xfId="5279" xr:uid="{00000000-0005-0000-0000-0000991F0000}"/>
    <cellStyle name="CABEÇALHO 5 3 4 2 3" xfId="7733" xr:uid="{00000000-0005-0000-0000-00009A1F0000}"/>
    <cellStyle name="CABEÇALHO 5 3 4 2 4" xfId="9243" xr:uid="{00000000-0005-0000-0000-00009B1F0000}"/>
    <cellStyle name="CABEÇALHO 5 3 4 2 5" xfId="9721" xr:uid="{00000000-0005-0000-0000-00009C1F0000}"/>
    <cellStyle name="CABEÇALHO 5 3 4 2 6" xfId="6514" xr:uid="{00000000-0005-0000-0000-00009D1F0000}"/>
    <cellStyle name="CABEÇALHO 5 3 4 3" xfId="2511" xr:uid="{00000000-0005-0000-0000-00009E1F0000}"/>
    <cellStyle name="CABEÇALHO 5 3 4 3 2" xfId="5391" xr:uid="{00000000-0005-0000-0000-00009F1F0000}"/>
    <cellStyle name="CABEÇALHO 5 3 4 3 3" xfId="6109" xr:uid="{00000000-0005-0000-0000-0000A01F0000}"/>
    <cellStyle name="CABEÇALHO 5 3 4 3 4" xfId="9256" xr:uid="{00000000-0005-0000-0000-0000A11F0000}"/>
    <cellStyle name="CABEÇALHO 5 3 4 3 5" xfId="10622" xr:uid="{00000000-0005-0000-0000-0000A21F0000}"/>
    <cellStyle name="CABEÇALHO 5 3 4 3 6" xfId="11122" xr:uid="{00000000-0005-0000-0000-0000A31F0000}"/>
    <cellStyle name="CABEÇALHO 5 3 4 4" xfId="4137" xr:uid="{00000000-0005-0000-0000-0000A41F0000}"/>
    <cellStyle name="CABEÇALHO 5 3 4 5" xfId="3119" xr:uid="{00000000-0005-0000-0000-0000A51F0000}"/>
    <cellStyle name="CABEÇALHO 5 3 4 6" xfId="5857" xr:uid="{00000000-0005-0000-0000-0000A61F0000}"/>
    <cellStyle name="CABEÇALHO 5 3 4 7" xfId="8768" xr:uid="{00000000-0005-0000-0000-0000A71F0000}"/>
    <cellStyle name="CABEÇALHO 5 3 4 8" xfId="6259" xr:uid="{00000000-0005-0000-0000-0000A81F0000}"/>
    <cellStyle name="CABEÇALHO 5 3 5" xfId="1290" xr:uid="{00000000-0005-0000-0000-0000A91F0000}"/>
    <cellStyle name="CABEÇALHO 5 3 5 2" xfId="2432" xr:uid="{00000000-0005-0000-0000-0000AA1F0000}"/>
    <cellStyle name="CABEÇALHO 5 3 5 2 2" xfId="5312" xr:uid="{00000000-0005-0000-0000-0000AB1F0000}"/>
    <cellStyle name="CABEÇALHO 5 3 5 2 3" xfId="7758" xr:uid="{00000000-0005-0000-0000-0000AC1F0000}"/>
    <cellStyle name="CABEÇALHO 5 3 5 2 4" xfId="8317" xr:uid="{00000000-0005-0000-0000-0000AD1F0000}"/>
    <cellStyle name="CABEÇALHO 5 3 5 2 5" xfId="9681" xr:uid="{00000000-0005-0000-0000-0000AE1F0000}"/>
    <cellStyle name="CABEÇALHO 5 3 5 2 6" xfId="11615" xr:uid="{00000000-0005-0000-0000-0000AF1F0000}"/>
    <cellStyle name="CABEÇALHO 5 3 5 3" xfId="2491" xr:uid="{00000000-0005-0000-0000-0000B01F0000}"/>
    <cellStyle name="CABEÇALHO 5 3 5 3 2" xfId="5371" xr:uid="{00000000-0005-0000-0000-0000B11F0000}"/>
    <cellStyle name="CABEÇALHO 5 3 5 3 3" xfId="6867" xr:uid="{00000000-0005-0000-0000-0000B21F0000}"/>
    <cellStyle name="CABEÇALHO 5 3 5 3 4" xfId="6261" xr:uid="{00000000-0005-0000-0000-0000B31F0000}"/>
    <cellStyle name="CABEÇALHO 5 3 5 3 5" xfId="9312" xr:uid="{00000000-0005-0000-0000-0000B41F0000}"/>
    <cellStyle name="CABEÇALHO 5 3 5 3 6" xfId="10940" xr:uid="{00000000-0005-0000-0000-0000B51F0000}"/>
    <cellStyle name="CABEÇALHO 5 3 5 4" xfId="4170" xr:uid="{00000000-0005-0000-0000-0000B61F0000}"/>
    <cellStyle name="CABEÇALHO 5 3 5 5" xfId="3036" xr:uid="{00000000-0005-0000-0000-0000B71F0000}"/>
    <cellStyle name="CABEÇALHO 5 3 5 6" xfId="3006" xr:uid="{00000000-0005-0000-0000-0000B81F0000}"/>
    <cellStyle name="CABEÇALHO 5 3 5 7" xfId="9545" xr:uid="{00000000-0005-0000-0000-0000B91F0000}"/>
    <cellStyle name="CABEÇALHO 5 3 5 8" xfId="11210" xr:uid="{00000000-0005-0000-0000-0000BA1F0000}"/>
    <cellStyle name="CABEÇALHO 5 3 6" xfId="1322" xr:uid="{00000000-0005-0000-0000-0000BB1F0000}"/>
    <cellStyle name="CABEÇALHO 5 3 6 2" xfId="2464" xr:uid="{00000000-0005-0000-0000-0000BC1F0000}"/>
    <cellStyle name="CABEÇALHO 5 3 6 2 2" xfId="5344" xr:uid="{00000000-0005-0000-0000-0000BD1F0000}"/>
    <cellStyle name="CABEÇALHO 5 3 6 2 3" xfId="6768" xr:uid="{00000000-0005-0000-0000-0000BE1F0000}"/>
    <cellStyle name="CABEÇALHO 5 3 6 2 4" xfId="8470" xr:uid="{00000000-0005-0000-0000-0000BF1F0000}"/>
    <cellStyle name="CABEÇALHO 5 3 6 2 5" xfId="7112" xr:uid="{00000000-0005-0000-0000-0000C01F0000}"/>
    <cellStyle name="CABEÇALHO 5 3 6 2 6" xfId="10110" xr:uid="{00000000-0005-0000-0000-0000C11F0000}"/>
    <cellStyle name="CABEÇALHO 5 3 6 3" xfId="2693" xr:uid="{00000000-0005-0000-0000-0000C21F0000}"/>
    <cellStyle name="CABEÇALHO 5 3 6 3 2" xfId="5573" xr:uid="{00000000-0005-0000-0000-0000C31F0000}"/>
    <cellStyle name="CABEÇALHO 5 3 6 3 3" xfId="7860" xr:uid="{00000000-0005-0000-0000-0000C41F0000}"/>
    <cellStyle name="CABEÇALHO 5 3 6 3 4" xfId="8722" xr:uid="{00000000-0005-0000-0000-0000C51F0000}"/>
    <cellStyle name="CABEÇALHO 5 3 6 3 5" xfId="10437" xr:uid="{00000000-0005-0000-0000-0000C61F0000}"/>
    <cellStyle name="CABEÇALHO 5 3 6 3 6" xfId="7371" xr:uid="{00000000-0005-0000-0000-0000C71F0000}"/>
    <cellStyle name="CABEÇALHO 5 3 6 4" xfId="4202" xr:uid="{00000000-0005-0000-0000-0000C81F0000}"/>
    <cellStyle name="CABEÇALHO 5 3 6 5" xfId="3139" xr:uid="{00000000-0005-0000-0000-0000C91F0000}"/>
    <cellStyle name="CABEÇALHO 5 3 6 6" xfId="7533" xr:uid="{00000000-0005-0000-0000-0000CA1F0000}"/>
    <cellStyle name="CABEÇALHO 5 3 6 7" xfId="9014" xr:uid="{00000000-0005-0000-0000-0000CB1F0000}"/>
    <cellStyle name="CABEÇALHO 5 3 6 8" xfId="7092" xr:uid="{00000000-0005-0000-0000-0000CC1F0000}"/>
    <cellStyle name="CABEÇALHO 5 3 7" xfId="1782" xr:uid="{00000000-0005-0000-0000-0000CD1F0000}"/>
    <cellStyle name="CABEÇALHO 5 3 7 2" xfId="4662" xr:uid="{00000000-0005-0000-0000-0000CE1F0000}"/>
    <cellStyle name="CABEÇALHO 5 3 7 3" xfId="7172" xr:uid="{00000000-0005-0000-0000-0000CF1F0000}"/>
    <cellStyle name="CABEÇALHO 5 3 7 4" xfId="9489" xr:uid="{00000000-0005-0000-0000-0000D01F0000}"/>
    <cellStyle name="CABEÇALHO 5 3 7 5" xfId="10341" xr:uid="{00000000-0005-0000-0000-0000D11F0000}"/>
    <cellStyle name="CABEÇALHO 5 3 7 6" xfId="6927" xr:uid="{00000000-0005-0000-0000-0000D21F0000}"/>
    <cellStyle name="CABEÇALHO 5 3 8" xfId="2541" xr:uid="{00000000-0005-0000-0000-0000D31F0000}"/>
    <cellStyle name="CABEÇALHO 5 3 8 2" xfId="5421" xr:uid="{00000000-0005-0000-0000-0000D41F0000}"/>
    <cellStyle name="CABEÇALHO 5 3 8 3" xfId="6615" xr:uid="{00000000-0005-0000-0000-0000D51F0000}"/>
    <cellStyle name="CABEÇALHO 5 3 8 4" xfId="8338" xr:uid="{00000000-0005-0000-0000-0000D61F0000}"/>
    <cellStyle name="CABEÇALHO 5 3 8 5" xfId="10628" xr:uid="{00000000-0005-0000-0000-0000D71F0000}"/>
    <cellStyle name="CABEÇALHO 5 3 8 6" xfId="11508" xr:uid="{00000000-0005-0000-0000-0000D81F0000}"/>
    <cellStyle name="CABEÇALHO 5 3 9" xfId="3521" xr:uid="{00000000-0005-0000-0000-0000D91F0000}"/>
    <cellStyle name="CABEÇALHO 5 30" xfId="11313" xr:uid="{00000000-0005-0000-0000-0000DA1F0000}"/>
    <cellStyle name="CABEÇALHO 5 4" xfId="644" xr:uid="{00000000-0005-0000-0000-0000DB1F0000}"/>
    <cellStyle name="CABEÇALHO 5 4 10" xfId="7356" xr:uid="{00000000-0005-0000-0000-0000DC1F0000}"/>
    <cellStyle name="CABEÇALHO 5 4 11" xfId="6418" xr:uid="{00000000-0005-0000-0000-0000DD1F0000}"/>
    <cellStyle name="CABEÇALHO 5 4 12" xfId="8197" xr:uid="{00000000-0005-0000-0000-0000DE1F0000}"/>
    <cellStyle name="CABEÇALHO 5 4 13" xfId="6029" xr:uid="{00000000-0005-0000-0000-0000DF1F0000}"/>
    <cellStyle name="CABEÇALHO 5 4 2" xfId="1120" xr:uid="{00000000-0005-0000-0000-0000E01F0000}"/>
    <cellStyle name="CABEÇALHO 5 4 2 2" xfId="2262" xr:uid="{00000000-0005-0000-0000-0000E11F0000}"/>
    <cellStyle name="CABEÇALHO 5 4 2 2 2" xfId="5142" xr:uid="{00000000-0005-0000-0000-0000E21F0000}"/>
    <cellStyle name="CABEÇALHO 5 4 2 2 3" xfId="7169" xr:uid="{00000000-0005-0000-0000-0000E31F0000}"/>
    <cellStyle name="CABEÇALHO 5 4 2 2 4" xfId="9277" xr:uid="{00000000-0005-0000-0000-0000E41F0000}"/>
    <cellStyle name="CABEÇALHO 5 4 2 2 5" xfId="10222" xr:uid="{00000000-0005-0000-0000-0000E51F0000}"/>
    <cellStyle name="CABEÇALHO 5 4 2 2 6" xfId="9765" xr:uid="{00000000-0005-0000-0000-0000E61F0000}"/>
    <cellStyle name="CABEÇALHO 5 4 2 3" xfId="1439" xr:uid="{00000000-0005-0000-0000-0000E71F0000}"/>
    <cellStyle name="CABEÇALHO 5 4 2 3 2" xfId="4319" xr:uid="{00000000-0005-0000-0000-0000E81F0000}"/>
    <cellStyle name="CABEÇALHO 5 4 2 3 3" xfId="7033" xr:uid="{00000000-0005-0000-0000-0000E91F0000}"/>
    <cellStyle name="CABEÇALHO 5 4 2 3 4" xfId="8489" xr:uid="{00000000-0005-0000-0000-0000EA1F0000}"/>
    <cellStyle name="CABEÇALHO 5 4 2 3 5" xfId="8056" xr:uid="{00000000-0005-0000-0000-0000EB1F0000}"/>
    <cellStyle name="CABEÇALHO 5 4 2 3 6" xfId="11362" xr:uid="{00000000-0005-0000-0000-0000EC1F0000}"/>
    <cellStyle name="CABEÇALHO 5 4 2 4" xfId="4000" xr:uid="{00000000-0005-0000-0000-0000ED1F0000}"/>
    <cellStyle name="CABEÇALHO 5 4 2 5" xfId="6417" xr:uid="{00000000-0005-0000-0000-0000EE1F0000}"/>
    <cellStyle name="CABEÇALHO 5 4 2 6" xfId="8511" xr:uid="{00000000-0005-0000-0000-0000EF1F0000}"/>
    <cellStyle name="CABEÇALHO 5 4 2 7" xfId="8311" xr:uid="{00000000-0005-0000-0000-0000F01F0000}"/>
    <cellStyle name="CABEÇALHO 5 4 2 8" xfId="10988" xr:uid="{00000000-0005-0000-0000-0000F11F0000}"/>
    <cellStyle name="CABEÇALHO 5 4 3" xfId="686" xr:uid="{00000000-0005-0000-0000-0000F21F0000}"/>
    <cellStyle name="CABEÇALHO 5 4 3 2" xfId="1828" xr:uid="{00000000-0005-0000-0000-0000F31F0000}"/>
    <cellStyle name="CABEÇALHO 5 4 3 2 2" xfId="4708" xr:uid="{00000000-0005-0000-0000-0000F41F0000}"/>
    <cellStyle name="CABEÇALHO 5 4 3 2 3" xfId="7840" xr:uid="{00000000-0005-0000-0000-0000F51F0000}"/>
    <cellStyle name="CABEÇALHO 5 4 3 2 4" xfId="6510" xr:uid="{00000000-0005-0000-0000-0000F61F0000}"/>
    <cellStyle name="CABEÇALHO 5 4 3 2 5" xfId="6835" xr:uid="{00000000-0005-0000-0000-0000F71F0000}"/>
    <cellStyle name="CABEÇALHO 5 4 3 2 6" xfId="10238" xr:uid="{00000000-0005-0000-0000-0000F81F0000}"/>
    <cellStyle name="CABEÇALHO 5 4 3 3" xfId="2539" xr:uid="{00000000-0005-0000-0000-0000F91F0000}"/>
    <cellStyle name="CABEÇALHO 5 4 3 3 2" xfId="5419" xr:uid="{00000000-0005-0000-0000-0000FA1F0000}"/>
    <cellStyle name="CABEÇALHO 5 4 3 3 3" xfId="6869" xr:uid="{00000000-0005-0000-0000-0000FB1F0000}"/>
    <cellStyle name="CABEÇALHO 5 4 3 3 4" xfId="9117" xr:uid="{00000000-0005-0000-0000-0000FC1F0000}"/>
    <cellStyle name="CABEÇALHO 5 4 3 3 5" xfId="10781" xr:uid="{00000000-0005-0000-0000-0000FD1F0000}"/>
    <cellStyle name="CABEÇALHO 5 4 3 3 6" xfId="11219" xr:uid="{00000000-0005-0000-0000-0000FE1F0000}"/>
    <cellStyle name="CABEÇALHO 5 4 3 4" xfId="3566" xr:uid="{00000000-0005-0000-0000-0000FF1F0000}"/>
    <cellStyle name="CABEÇALHO 5 4 3 5" xfId="7411" xr:uid="{00000000-0005-0000-0000-000000200000}"/>
    <cellStyle name="CABEÇALHO 5 4 3 6" xfId="6914" xr:uid="{00000000-0005-0000-0000-000001200000}"/>
    <cellStyle name="CABEÇALHO 5 4 3 7" xfId="7386" xr:uid="{00000000-0005-0000-0000-000002200000}"/>
    <cellStyle name="CABEÇALHO 5 4 3 8" xfId="11486" xr:uid="{00000000-0005-0000-0000-000003200000}"/>
    <cellStyle name="CABEÇALHO 5 4 4" xfId="1260" xr:uid="{00000000-0005-0000-0000-000004200000}"/>
    <cellStyle name="CABEÇALHO 5 4 4 2" xfId="2402" xr:uid="{00000000-0005-0000-0000-000005200000}"/>
    <cellStyle name="CABEÇALHO 5 4 4 2 2" xfId="5282" xr:uid="{00000000-0005-0000-0000-000006200000}"/>
    <cellStyle name="CABEÇALHO 5 4 4 2 3" xfId="7281" xr:uid="{00000000-0005-0000-0000-000007200000}"/>
    <cellStyle name="CABEÇALHO 5 4 4 2 4" xfId="8284" xr:uid="{00000000-0005-0000-0000-000008200000}"/>
    <cellStyle name="CABEÇALHO 5 4 4 2 5" xfId="10527" xr:uid="{00000000-0005-0000-0000-000009200000}"/>
    <cellStyle name="CABEÇALHO 5 4 4 2 6" xfId="8955" xr:uid="{00000000-0005-0000-0000-00000A200000}"/>
    <cellStyle name="CABEÇALHO 5 4 4 3" xfId="1458" xr:uid="{00000000-0005-0000-0000-00000B200000}"/>
    <cellStyle name="CABEÇALHO 5 4 4 3 2" xfId="4338" xr:uid="{00000000-0005-0000-0000-00000C200000}"/>
    <cellStyle name="CABEÇALHO 5 4 4 3 3" xfId="8030" xr:uid="{00000000-0005-0000-0000-00000D200000}"/>
    <cellStyle name="CABEÇALHO 5 4 4 3 4" xfId="9437" xr:uid="{00000000-0005-0000-0000-00000E200000}"/>
    <cellStyle name="CABEÇALHO 5 4 4 3 5" xfId="7203" xr:uid="{00000000-0005-0000-0000-00000F200000}"/>
    <cellStyle name="CABEÇALHO 5 4 4 3 6" xfId="11594" xr:uid="{00000000-0005-0000-0000-000010200000}"/>
    <cellStyle name="CABEÇALHO 5 4 4 4" xfId="4140" xr:uid="{00000000-0005-0000-0000-000011200000}"/>
    <cellStyle name="CABEÇALHO 5 4 4 5" xfId="2934" xr:uid="{00000000-0005-0000-0000-000012200000}"/>
    <cellStyle name="CABEÇALHO 5 4 4 6" xfId="6381" xr:uid="{00000000-0005-0000-0000-000013200000}"/>
    <cellStyle name="CABEÇALHO 5 4 4 7" xfId="8138" xr:uid="{00000000-0005-0000-0000-000014200000}"/>
    <cellStyle name="CABEÇALHO 5 4 4 8" xfId="10679" xr:uid="{00000000-0005-0000-0000-000015200000}"/>
    <cellStyle name="CABEÇALHO 5 4 5" xfId="1293" xr:uid="{00000000-0005-0000-0000-000016200000}"/>
    <cellStyle name="CABEÇALHO 5 4 5 2" xfId="2435" xr:uid="{00000000-0005-0000-0000-000017200000}"/>
    <cellStyle name="CABEÇALHO 5 4 5 2 2" xfId="5315" xr:uid="{00000000-0005-0000-0000-000018200000}"/>
    <cellStyle name="CABEÇALHO 5 4 5 2 3" xfId="7725" xr:uid="{00000000-0005-0000-0000-000019200000}"/>
    <cellStyle name="CABEÇALHO 5 4 5 2 4" xfId="9573" xr:uid="{00000000-0005-0000-0000-00001A200000}"/>
    <cellStyle name="CABEÇALHO 5 4 5 2 5" xfId="9708" xr:uid="{00000000-0005-0000-0000-00001B200000}"/>
    <cellStyle name="CABEÇALHO 5 4 5 2 6" xfId="11161" xr:uid="{00000000-0005-0000-0000-00001C200000}"/>
    <cellStyle name="CABEÇALHO 5 4 5 3" xfId="2779" xr:uid="{00000000-0005-0000-0000-00001D200000}"/>
    <cellStyle name="CABEÇALHO 5 4 5 3 2" xfId="5659" xr:uid="{00000000-0005-0000-0000-00001E200000}"/>
    <cellStyle name="CABEÇALHO 5 4 5 3 3" xfId="6667" xr:uid="{00000000-0005-0000-0000-00001F200000}"/>
    <cellStyle name="CABEÇALHO 5 4 5 3 4" xfId="9404" xr:uid="{00000000-0005-0000-0000-000020200000}"/>
    <cellStyle name="CABEÇALHO 5 4 5 3 5" xfId="10588" xr:uid="{00000000-0005-0000-0000-000021200000}"/>
    <cellStyle name="CABEÇALHO 5 4 5 3 6" xfId="11571" xr:uid="{00000000-0005-0000-0000-000022200000}"/>
    <cellStyle name="CABEÇALHO 5 4 5 4" xfId="4173" xr:uid="{00000000-0005-0000-0000-000023200000}"/>
    <cellStyle name="CABEÇALHO 5 4 5 5" xfId="3040" xr:uid="{00000000-0005-0000-0000-000024200000}"/>
    <cellStyle name="CABEÇALHO 5 4 5 6" xfId="3013" xr:uid="{00000000-0005-0000-0000-000025200000}"/>
    <cellStyle name="CABEÇALHO 5 4 5 7" xfId="7449" xr:uid="{00000000-0005-0000-0000-000026200000}"/>
    <cellStyle name="CABEÇALHO 5 4 5 8" xfId="6834" xr:uid="{00000000-0005-0000-0000-000027200000}"/>
    <cellStyle name="CABEÇALHO 5 4 6" xfId="1325" xr:uid="{00000000-0005-0000-0000-000028200000}"/>
    <cellStyle name="CABEÇALHO 5 4 6 2" xfId="2467" xr:uid="{00000000-0005-0000-0000-000029200000}"/>
    <cellStyle name="CABEÇALHO 5 4 6 2 2" xfId="5347" xr:uid="{00000000-0005-0000-0000-00002A200000}"/>
    <cellStyle name="CABEÇALHO 5 4 6 2 3" xfId="8175" xr:uid="{00000000-0005-0000-0000-00002B200000}"/>
    <cellStyle name="CABEÇALHO 5 4 6 2 4" xfId="6934" xr:uid="{00000000-0005-0000-0000-00002C200000}"/>
    <cellStyle name="CABEÇALHO 5 4 6 2 5" xfId="9837" xr:uid="{00000000-0005-0000-0000-00002D200000}"/>
    <cellStyle name="CABEÇALHO 5 4 6 2 6" xfId="8976" xr:uid="{00000000-0005-0000-0000-00002E200000}"/>
    <cellStyle name="CABEÇALHO 5 4 6 3" xfId="2830" xr:uid="{00000000-0005-0000-0000-00002F200000}"/>
    <cellStyle name="CABEÇALHO 5 4 6 3 2" xfId="5710" xr:uid="{00000000-0005-0000-0000-000030200000}"/>
    <cellStyle name="CABEÇALHO 5 4 6 3 3" xfId="6581" xr:uid="{00000000-0005-0000-0000-000031200000}"/>
    <cellStyle name="CABEÇALHO 5 4 6 3 4" xfId="9416" xr:uid="{00000000-0005-0000-0000-000032200000}"/>
    <cellStyle name="CABEÇALHO 5 4 6 3 5" xfId="10681" xr:uid="{00000000-0005-0000-0000-000033200000}"/>
    <cellStyle name="CABEÇALHO 5 4 6 3 6" xfId="9267" xr:uid="{00000000-0005-0000-0000-000034200000}"/>
    <cellStyle name="CABEÇALHO 5 4 6 4" xfId="4205" xr:uid="{00000000-0005-0000-0000-000035200000}"/>
    <cellStyle name="CABEÇALHO 5 4 6 5" xfId="3142" xr:uid="{00000000-0005-0000-0000-000036200000}"/>
    <cellStyle name="CABEÇALHO 5 4 6 6" xfId="6144" xr:uid="{00000000-0005-0000-0000-000037200000}"/>
    <cellStyle name="CABEÇALHO 5 4 6 7" xfId="5962" xr:uid="{00000000-0005-0000-0000-000038200000}"/>
    <cellStyle name="CABEÇALHO 5 4 6 8" xfId="7334" xr:uid="{00000000-0005-0000-0000-000039200000}"/>
    <cellStyle name="CABEÇALHO 5 4 7" xfId="1785" xr:uid="{00000000-0005-0000-0000-00003A200000}"/>
    <cellStyle name="CABEÇALHO 5 4 7 2" xfId="4665" xr:uid="{00000000-0005-0000-0000-00003B200000}"/>
    <cellStyle name="CABEÇALHO 5 4 7 3" xfId="6739" xr:uid="{00000000-0005-0000-0000-00003C200000}"/>
    <cellStyle name="CABEÇALHO 5 4 7 4" xfId="9223" xr:uid="{00000000-0005-0000-0000-00003D200000}"/>
    <cellStyle name="CABEÇALHO 5 4 7 5" xfId="10749" xr:uid="{00000000-0005-0000-0000-00003E200000}"/>
    <cellStyle name="CABEÇALHO 5 4 7 6" xfId="10885" xr:uid="{00000000-0005-0000-0000-00003F200000}"/>
    <cellStyle name="CABEÇALHO 5 4 8" xfId="2703" xr:uid="{00000000-0005-0000-0000-000040200000}"/>
    <cellStyle name="CABEÇALHO 5 4 8 2" xfId="5583" xr:uid="{00000000-0005-0000-0000-000041200000}"/>
    <cellStyle name="CABEÇALHO 5 4 8 3" xfId="7782" xr:uid="{00000000-0005-0000-0000-000042200000}"/>
    <cellStyle name="CABEÇALHO 5 4 8 4" xfId="8216" xr:uid="{00000000-0005-0000-0000-000043200000}"/>
    <cellStyle name="CABEÇALHO 5 4 8 5" xfId="9964" xr:uid="{00000000-0005-0000-0000-000044200000}"/>
    <cellStyle name="CABEÇALHO 5 4 8 6" xfId="9678" xr:uid="{00000000-0005-0000-0000-000045200000}"/>
    <cellStyle name="CABEÇALHO 5 4 9" xfId="3524" xr:uid="{00000000-0005-0000-0000-000046200000}"/>
    <cellStyle name="CABEÇALHO 5 5" xfId="497" xr:uid="{00000000-0005-0000-0000-000047200000}"/>
    <cellStyle name="CABEÇALHO 5 5 10" xfId="6939" xr:uid="{00000000-0005-0000-0000-000048200000}"/>
    <cellStyle name="CABEÇALHO 5 5 11" xfId="7051" xr:uid="{00000000-0005-0000-0000-000049200000}"/>
    <cellStyle name="CABEÇALHO 5 5 12" xfId="10236" xr:uid="{00000000-0005-0000-0000-00004A200000}"/>
    <cellStyle name="CABEÇALHO 5 5 13" xfId="10853" xr:uid="{00000000-0005-0000-0000-00004B200000}"/>
    <cellStyle name="CABEÇALHO 5 5 2" xfId="973" xr:uid="{00000000-0005-0000-0000-00004C200000}"/>
    <cellStyle name="CABEÇALHO 5 5 2 2" xfId="2115" xr:uid="{00000000-0005-0000-0000-00004D200000}"/>
    <cellStyle name="CABEÇALHO 5 5 2 2 2" xfId="4995" xr:uid="{00000000-0005-0000-0000-00004E200000}"/>
    <cellStyle name="CABEÇALHO 5 5 2 2 3" xfId="6675" xr:uid="{00000000-0005-0000-0000-00004F200000}"/>
    <cellStyle name="CABEÇALHO 5 5 2 2 4" xfId="9164" xr:uid="{00000000-0005-0000-0000-000050200000}"/>
    <cellStyle name="CABEÇALHO 5 5 2 2 5" xfId="10482" xr:uid="{00000000-0005-0000-0000-000051200000}"/>
    <cellStyle name="CABEÇALHO 5 5 2 2 6" xfId="10577" xr:uid="{00000000-0005-0000-0000-000052200000}"/>
    <cellStyle name="CABEÇALHO 5 5 2 3" xfId="2719" xr:uid="{00000000-0005-0000-0000-000053200000}"/>
    <cellStyle name="CABEÇALHO 5 5 2 3 2" xfId="5599" xr:uid="{00000000-0005-0000-0000-000054200000}"/>
    <cellStyle name="CABEÇALHO 5 5 2 3 3" xfId="6737" xr:uid="{00000000-0005-0000-0000-000055200000}"/>
    <cellStyle name="CABEÇALHO 5 5 2 3 4" xfId="9589" xr:uid="{00000000-0005-0000-0000-000056200000}"/>
    <cellStyle name="CABEÇALHO 5 5 2 3 5" xfId="7146" xr:uid="{00000000-0005-0000-0000-000057200000}"/>
    <cellStyle name="CABEÇALHO 5 5 2 3 6" xfId="11147" xr:uid="{00000000-0005-0000-0000-000058200000}"/>
    <cellStyle name="CABEÇALHO 5 5 2 4" xfId="3853" xr:uid="{00000000-0005-0000-0000-000059200000}"/>
    <cellStyle name="CABEÇALHO 5 5 2 5" xfId="2915" xr:uid="{00000000-0005-0000-0000-00005A200000}"/>
    <cellStyle name="CABEÇALHO 5 5 2 6" xfId="5987" xr:uid="{00000000-0005-0000-0000-00005B200000}"/>
    <cellStyle name="CABEÇALHO 5 5 2 7" xfId="9439" xr:uid="{00000000-0005-0000-0000-00005C200000}"/>
    <cellStyle name="CABEÇALHO 5 5 2 8" xfId="10183" xr:uid="{00000000-0005-0000-0000-00005D200000}"/>
    <cellStyle name="CABEÇALHO 5 5 3" xfId="1149" xr:uid="{00000000-0005-0000-0000-00005E200000}"/>
    <cellStyle name="CABEÇALHO 5 5 3 2" xfId="2291" xr:uid="{00000000-0005-0000-0000-00005F200000}"/>
    <cellStyle name="CABEÇALHO 5 5 3 2 2" xfId="5171" xr:uid="{00000000-0005-0000-0000-000060200000}"/>
    <cellStyle name="CABEÇALHO 5 5 3 2 3" xfId="7293" xr:uid="{00000000-0005-0000-0000-000061200000}"/>
    <cellStyle name="CABEÇALHO 5 5 3 2 4" xfId="9436" xr:uid="{00000000-0005-0000-0000-000062200000}"/>
    <cellStyle name="CABEÇALHO 5 5 3 2 5" xfId="10520" xr:uid="{00000000-0005-0000-0000-000063200000}"/>
    <cellStyle name="CABEÇALHO 5 5 3 2 6" xfId="11516" xr:uid="{00000000-0005-0000-0000-000064200000}"/>
    <cellStyle name="CABEÇALHO 5 5 3 3" xfId="2593" xr:uid="{00000000-0005-0000-0000-000065200000}"/>
    <cellStyle name="CABEÇALHO 5 5 3 3 2" xfId="5473" xr:uid="{00000000-0005-0000-0000-000066200000}"/>
    <cellStyle name="CABEÇALHO 5 5 3 3 3" xfId="8047" xr:uid="{00000000-0005-0000-0000-000067200000}"/>
    <cellStyle name="CABEÇALHO 5 5 3 3 4" xfId="8743" xr:uid="{00000000-0005-0000-0000-000068200000}"/>
    <cellStyle name="CABEÇALHO 5 5 3 3 5" xfId="10810" xr:uid="{00000000-0005-0000-0000-000069200000}"/>
    <cellStyle name="CABEÇALHO 5 5 3 3 6" xfId="11302" xr:uid="{00000000-0005-0000-0000-00006A200000}"/>
    <cellStyle name="CABEÇALHO 5 5 3 4" xfId="4029" xr:uid="{00000000-0005-0000-0000-00006B200000}"/>
    <cellStyle name="CABEÇALHO 5 5 3 5" xfId="5775" xr:uid="{00000000-0005-0000-0000-00006C200000}"/>
    <cellStyle name="CABEÇALHO 5 5 3 6" xfId="7814" xr:uid="{00000000-0005-0000-0000-00006D200000}"/>
    <cellStyle name="CABEÇALHO 5 5 3 7" xfId="6380" xr:uid="{00000000-0005-0000-0000-00006E200000}"/>
    <cellStyle name="CABEÇALHO 5 5 3 8" xfId="11283" xr:uid="{00000000-0005-0000-0000-00006F200000}"/>
    <cellStyle name="CABEÇALHO 5 5 4" xfId="705" xr:uid="{00000000-0005-0000-0000-000070200000}"/>
    <cellStyle name="CABEÇALHO 5 5 4 2" xfId="1847" xr:uid="{00000000-0005-0000-0000-000071200000}"/>
    <cellStyle name="CABEÇALHO 5 5 4 2 2" xfId="4727" xr:uid="{00000000-0005-0000-0000-000072200000}"/>
    <cellStyle name="CABEÇALHO 5 5 4 2 3" xfId="7301" xr:uid="{00000000-0005-0000-0000-000073200000}"/>
    <cellStyle name="CABEÇALHO 5 5 4 2 4" xfId="9524" xr:uid="{00000000-0005-0000-0000-000074200000}"/>
    <cellStyle name="CABEÇALHO 5 5 4 2 5" xfId="9687" xr:uid="{00000000-0005-0000-0000-000075200000}"/>
    <cellStyle name="CABEÇALHO 5 5 4 2 6" xfId="10848" xr:uid="{00000000-0005-0000-0000-000076200000}"/>
    <cellStyle name="CABEÇALHO 5 5 4 3" xfId="1354" xr:uid="{00000000-0005-0000-0000-000077200000}"/>
    <cellStyle name="CABEÇALHO 5 5 4 3 2" xfId="4234" xr:uid="{00000000-0005-0000-0000-000078200000}"/>
    <cellStyle name="CABEÇALHO 5 5 4 3 3" xfId="7768" xr:uid="{00000000-0005-0000-0000-000079200000}"/>
    <cellStyle name="CABEÇALHO 5 5 4 3 4" xfId="9183" xr:uid="{00000000-0005-0000-0000-00007A200000}"/>
    <cellStyle name="CABEÇALHO 5 5 4 3 5" xfId="10498" xr:uid="{00000000-0005-0000-0000-00007B200000}"/>
    <cellStyle name="CABEÇALHO 5 5 4 3 6" xfId="11238" xr:uid="{00000000-0005-0000-0000-00007C200000}"/>
    <cellStyle name="CABEÇALHO 5 5 4 4" xfId="3585" xr:uid="{00000000-0005-0000-0000-00007D200000}"/>
    <cellStyle name="CABEÇALHO 5 5 4 5" xfId="7130" xr:uid="{00000000-0005-0000-0000-00007E200000}"/>
    <cellStyle name="CABEÇALHO 5 5 4 6" xfId="8849" xr:uid="{00000000-0005-0000-0000-00007F200000}"/>
    <cellStyle name="CABEÇALHO 5 5 4 7" xfId="9803" xr:uid="{00000000-0005-0000-0000-000080200000}"/>
    <cellStyle name="CABEÇALHO 5 5 4 8" xfId="10708" xr:uid="{00000000-0005-0000-0000-000081200000}"/>
    <cellStyle name="CABEÇALHO 5 5 5" xfId="766" xr:uid="{00000000-0005-0000-0000-000082200000}"/>
    <cellStyle name="CABEÇALHO 5 5 5 2" xfId="1908" xr:uid="{00000000-0005-0000-0000-000083200000}"/>
    <cellStyle name="CABEÇALHO 5 5 5 2 2" xfId="4788" xr:uid="{00000000-0005-0000-0000-000084200000}"/>
    <cellStyle name="CABEÇALHO 5 5 5 2 3" xfId="6152" xr:uid="{00000000-0005-0000-0000-000085200000}"/>
    <cellStyle name="CABEÇALHO 5 5 5 2 4" xfId="8685" xr:uid="{00000000-0005-0000-0000-000086200000}"/>
    <cellStyle name="CABEÇALHO 5 5 5 2 5" xfId="10672" xr:uid="{00000000-0005-0000-0000-000087200000}"/>
    <cellStyle name="CABEÇALHO 5 5 5 2 6" xfId="9559" xr:uid="{00000000-0005-0000-0000-000088200000}"/>
    <cellStyle name="CABEÇALHO 5 5 5 3" xfId="2808" xr:uid="{00000000-0005-0000-0000-000089200000}"/>
    <cellStyle name="CABEÇALHO 5 5 5 3 2" xfId="5688" xr:uid="{00000000-0005-0000-0000-00008A200000}"/>
    <cellStyle name="CABEÇALHO 5 5 5 3 3" xfId="7693" xr:uid="{00000000-0005-0000-0000-00008B200000}"/>
    <cellStyle name="CABEÇALHO 5 5 5 3 4" xfId="8472" xr:uid="{00000000-0005-0000-0000-00008C200000}"/>
    <cellStyle name="CABEÇALHO 5 5 5 3 5" xfId="6517" xr:uid="{00000000-0005-0000-0000-00008D200000}"/>
    <cellStyle name="CABEÇALHO 5 5 5 3 6" xfId="10424" xr:uid="{00000000-0005-0000-0000-00008E200000}"/>
    <cellStyle name="CABEÇALHO 5 5 5 4" xfId="3646" xr:uid="{00000000-0005-0000-0000-00008F200000}"/>
    <cellStyle name="CABEÇALHO 5 5 5 5" xfId="7066" xr:uid="{00000000-0005-0000-0000-000090200000}"/>
    <cellStyle name="CABEÇALHO 5 5 5 6" xfId="8790" xr:uid="{00000000-0005-0000-0000-000091200000}"/>
    <cellStyle name="CABEÇALHO 5 5 5 7" xfId="9758" xr:uid="{00000000-0005-0000-0000-000092200000}"/>
    <cellStyle name="CABEÇALHO 5 5 5 8" xfId="10946" xr:uid="{00000000-0005-0000-0000-000093200000}"/>
    <cellStyle name="CABEÇALHO 5 5 6" xfId="1206" xr:uid="{00000000-0005-0000-0000-000094200000}"/>
    <cellStyle name="CABEÇALHO 5 5 6 2" xfId="2348" xr:uid="{00000000-0005-0000-0000-000095200000}"/>
    <cellStyle name="CABEÇALHO 5 5 6 2 2" xfId="5228" xr:uid="{00000000-0005-0000-0000-000096200000}"/>
    <cellStyle name="CABEÇALHO 5 5 6 2 3" xfId="6848" xr:uid="{00000000-0005-0000-0000-000097200000}"/>
    <cellStyle name="CABEÇALHO 5 5 6 2 4" xfId="6722" xr:uid="{00000000-0005-0000-0000-000098200000}"/>
    <cellStyle name="CABEÇALHO 5 5 6 2 5" xfId="10550" xr:uid="{00000000-0005-0000-0000-000099200000}"/>
    <cellStyle name="CABEÇALHO 5 5 6 2 6" xfId="10871" xr:uid="{00000000-0005-0000-0000-00009A200000}"/>
    <cellStyle name="CABEÇALHO 5 5 6 3" xfId="2691" xr:uid="{00000000-0005-0000-0000-00009B200000}"/>
    <cellStyle name="CABEÇALHO 5 5 6 3 2" xfId="5571" xr:uid="{00000000-0005-0000-0000-00009C200000}"/>
    <cellStyle name="CABEÇALHO 5 5 6 3 3" xfId="7279" xr:uid="{00000000-0005-0000-0000-00009D200000}"/>
    <cellStyle name="CABEÇALHO 5 5 6 3 4" xfId="6242" xr:uid="{00000000-0005-0000-0000-00009E200000}"/>
    <cellStyle name="CABEÇALHO 5 5 6 3 5" xfId="8826" xr:uid="{00000000-0005-0000-0000-00009F200000}"/>
    <cellStyle name="CABEÇALHO 5 5 6 3 6" xfId="11605" xr:uid="{00000000-0005-0000-0000-0000A0200000}"/>
    <cellStyle name="CABEÇALHO 5 5 6 4" xfId="4086" xr:uid="{00000000-0005-0000-0000-0000A1200000}"/>
    <cellStyle name="CABEÇALHO 5 5 6 5" xfId="3076" xr:uid="{00000000-0005-0000-0000-0000A2200000}"/>
    <cellStyle name="CABEÇALHO 5 5 6 6" xfId="8088" xr:uid="{00000000-0005-0000-0000-0000A3200000}"/>
    <cellStyle name="CABEÇALHO 5 5 6 7" xfId="6543" xr:uid="{00000000-0005-0000-0000-0000A4200000}"/>
    <cellStyle name="CABEÇALHO 5 5 6 8" xfId="3186" xr:uid="{00000000-0005-0000-0000-0000A5200000}"/>
    <cellStyle name="CABEÇALHO 5 5 7" xfId="1638" xr:uid="{00000000-0005-0000-0000-0000A6200000}"/>
    <cellStyle name="CABEÇALHO 5 5 7 2" xfId="4518" xr:uid="{00000000-0005-0000-0000-0000A7200000}"/>
    <cellStyle name="CABEÇALHO 5 5 7 3" xfId="7869" xr:uid="{00000000-0005-0000-0000-0000A8200000}"/>
    <cellStyle name="CABEÇALHO 5 5 7 4" xfId="9283" xr:uid="{00000000-0005-0000-0000-0000A9200000}"/>
    <cellStyle name="CABEÇALHO 5 5 7 5" xfId="9232" xr:uid="{00000000-0005-0000-0000-0000AA200000}"/>
    <cellStyle name="CABEÇALHO 5 5 7 6" xfId="11625" xr:uid="{00000000-0005-0000-0000-0000AB200000}"/>
    <cellStyle name="CABEÇALHO 5 5 8" xfId="2564" xr:uid="{00000000-0005-0000-0000-0000AC200000}"/>
    <cellStyle name="CABEÇALHO 5 5 8 2" xfId="5444" xr:uid="{00000000-0005-0000-0000-0000AD200000}"/>
    <cellStyle name="CABEÇALHO 5 5 8 3" xfId="7280" xr:uid="{00000000-0005-0000-0000-0000AE200000}"/>
    <cellStyle name="CABEÇALHO 5 5 8 4" xfId="7369" xr:uid="{00000000-0005-0000-0000-0000AF200000}"/>
    <cellStyle name="CABEÇALHO 5 5 8 5" xfId="8408" xr:uid="{00000000-0005-0000-0000-0000B0200000}"/>
    <cellStyle name="CABEÇALHO 5 5 8 6" xfId="11572" xr:uid="{00000000-0005-0000-0000-0000B1200000}"/>
    <cellStyle name="CABEÇALHO 5 5 9" xfId="3377" xr:uid="{00000000-0005-0000-0000-0000B2200000}"/>
    <cellStyle name="CABEÇALHO 5 6" xfId="511" xr:uid="{00000000-0005-0000-0000-0000B3200000}"/>
    <cellStyle name="CABEÇALHO 5 6 10" xfId="7515" xr:uid="{00000000-0005-0000-0000-0000B4200000}"/>
    <cellStyle name="CABEÇALHO 5 6 11" xfId="2972" xr:uid="{00000000-0005-0000-0000-0000B5200000}"/>
    <cellStyle name="CABEÇALHO 5 6 12" xfId="10132" xr:uid="{00000000-0005-0000-0000-0000B6200000}"/>
    <cellStyle name="CABEÇALHO 5 6 13" xfId="9736" xr:uid="{00000000-0005-0000-0000-0000B7200000}"/>
    <cellStyle name="CABEÇALHO 5 6 2" xfId="987" xr:uid="{00000000-0005-0000-0000-0000B8200000}"/>
    <cellStyle name="CABEÇALHO 5 6 2 2" xfId="2129" xr:uid="{00000000-0005-0000-0000-0000B9200000}"/>
    <cellStyle name="CABEÇALHO 5 6 2 2 2" xfId="5009" xr:uid="{00000000-0005-0000-0000-0000BA200000}"/>
    <cellStyle name="CABEÇALHO 5 6 2 2 3" xfId="7756" xr:uid="{00000000-0005-0000-0000-0000BB200000}"/>
    <cellStyle name="CABEÇALHO 5 6 2 2 4" xfId="8280" xr:uid="{00000000-0005-0000-0000-0000BC200000}"/>
    <cellStyle name="CABEÇALHO 5 6 2 2 5" xfId="10740" xr:uid="{00000000-0005-0000-0000-0000BD200000}"/>
    <cellStyle name="CABEÇALHO 5 6 2 2 6" xfId="9771" xr:uid="{00000000-0005-0000-0000-0000BE200000}"/>
    <cellStyle name="CABEÇALHO 5 6 2 3" xfId="2707" xr:uid="{00000000-0005-0000-0000-0000BF200000}"/>
    <cellStyle name="CABEÇALHO 5 6 2 3 2" xfId="5587" xr:uid="{00000000-0005-0000-0000-0000C0200000}"/>
    <cellStyle name="CABEÇALHO 5 6 2 3 3" xfId="6676" xr:uid="{00000000-0005-0000-0000-0000C1200000}"/>
    <cellStyle name="CABEÇALHO 5 6 2 3 4" xfId="8282" xr:uid="{00000000-0005-0000-0000-0000C2200000}"/>
    <cellStyle name="CABEÇALHO 5 6 2 3 5" xfId="10620" xr:uid="{00000000-0005-0000-0000-0000C3200000}"/>
    <cellStyle name="CABEÇALHO 5 6 2 3 6" xfId="6100" xr:uid="{00000000-0005-0000-0000-0000C4200000}"/>
    <cellStyle name="CABEÇALHO 5 6 2 4" xfId="3867" xr:uid="{00000000-0005-0000-0000-0000C5200000}"/>
    <cellStyle name="CABEÇALHO 5 6 2 5" xfId="6031" xr:uid="{00000000-0005-0000-0000-0000C6200000}"/>
    <cellStyle name="CABEÇALHO 5 6 2 6" xfId="8989" xr:uid="{00000000-0005-0000-0000-0000C7200000}"/>
    <cellStyle name="CABEÇALHO 5 6 2 7" xfId="9916" xr:uid="{00000000-0005-0000-0000-0000C8200000}"/>
    <cellStyle name="CABEÇALHO 5 6 2 8" xfId="11528" xr:uid="{00000000-0005-0000-0000-0000C9200000}"/>
    <cellStyle name="CABEÇALHO 5 6 3" xfId="806" xr:uid="{00000000-0005-0000-0000-0000CA200000}"/>
    <cellStyle name="CABEÇALHO 5 6 3 2" xfId="1948" xr:uid="{00000000-0005-0000-0000-0000CB200000}"/>
    <cellStyle name="CABEÇALHO 5 6 3 2 2" xfId="4828" xr:uid="{00000000-0005-0000-0000-0000CC200000}"/>
    <cellStyle name="CABEÇALHO 5 6 3 2 3" xfId="7975" xr:uid="{00000000-0005-0000-0000-0000CD200000}"/>
    <cellStyle name="CABEÇALHO 5 6 3 2 4" xfId="7311" xr:uid="{00000000-0005-0000-0000-0000CE200000}"/>
    <cellStyle name="CABEÇALHO 5 6 3 2 5" xfId="9007" xr:uid="{00000000-0005-0000-0000-0000CF200000}"/>
    <cellStyle name="CABEÇALHO 5 6 3 2 6" xfId="11499" xr:uid="{00000000-0005-0000-0000-0000D0200000}"/>
    <cellStyle name="CABEÇALHO 5 6 3 3" xfId="2704" xr:uid="{00000000-0005-0000-0000-0000D1200000}"/>
    <cellStyle name="CABEÇALHO 5 6 3 3 2" xfId="5584" xr:uid="{00000000-0005-0000-0000-0000D2200000}"/>
    <cellStyle name="CABEÇALHO 5 6 3 3 3" xfId="6709" xr:uid="{00000000-0005-0000-0000-0000D3200000}"/>
    <cellStyle name="CABEÇALHO 5 6 3 3 4" xfId="9347" xr:uid="{00000000-0005-0000-0000-0000D4200000}"/>
    <cellStyle name="CABEÇALHO 5 6 3 3 5" xfId="10838" xr:uid="{00000000-0005-0000-0000-0000D5200000}"/>
    <cellStyle name="CABEÇALHO 5 6 3 3 6" xfId="8370" xr:uid="{00000000-0005-0000-0000-0000D6200000}"/>
    <cellStyle name="CABEÇALHO 5 6 3 4" xfId="3686" xr:uid="{00000000-0005-0000-0000-0000D7200000}"/>
    <cellStyle name="CABEÇALHO 5 6 3 5" xfId="6322" xr:uid="{00000000-0005-0000-0000-0000D8200000}"/>
    <cellStyle name="CABEÇALHO 5 6 3 6" xfId="8424" xr:uid="{00000000-0005-0000-0000-0000D9200000}"/>
    <cellStyle name="CABEÇALHO 5 6 3 7" xfId="7865" xr:uid="{00000000-0005-0000-0000-0000DA200000}"/>
    <cellStyle name="CABEÇALHO 5 6 3 8" xfId="6976" xr:uid="{00000000-0005-0000-0000-0000DB200000}"/>
    <cellStyle name="CABEÇALHO 5 6 4" xfId="1219" xr:uid="{00000000-0005-0000-0000-0000DC200000}"/>
    <cellStyle name="CABEÇALHO 5 6 4 2" xfId="2361" xr:uid="{00000000-0005-0000-0000-0000DD200000}"/>
    <cellStyle name="CABEÇALHO 5 6 4 2 2" xfId="5241" xr:uid="{00000000-0005-0000-0000-0000DE200000}"/>
    <cellStyle name="CABEÇALHO 5 6 4 2 3" xfId="6586" xr:uid="{00000000-0005-0000-0000-0000DF200000}"/>
    <cellStyle name="CABEÇALHO 5 6 4 2 4" xfId="9081" xr:uid="{00000000-0005-0000-0000-0000E0200000}"/>
    <cellStyle name="CABEÇALHO 5 6 4 2 5" xfId="10426" xr:uid="{00000000-0005-0000-0000-0000E1200000}"/>
    <cellStyle name="CABEÇALHO 5 6 4 2 6" xfId="11548" xr:uid="{00000000-0005-0000-0000-0000E2200000}"/>
    <cellStyle name="CABEÇALHO 5 6 4 3" xfId="2837" xr:uid="{00000000-0005-0000-0000-0000E3200000}"/>
    <cellStyle name="CABEÇALHO 5 6 4 3 2" xfId="5717" xr:uid="{00000000-0005-0000-0000-0000E4200000}"/>
    <cellStyle name="CABEÇALHO 5 6 4 3 3" xfId="7985" xr:uid="{00000000-0005-0000-0000-0000E5200000}"/>
    <cellStyle name="CABEÇALHO 5 6 4 3 4" xfId="8651" xr:uid="{00000000-0005-0000-0000-0000E6200000}"/>
    <cellStyle name="CABEÇALHO 5 6 4 3 5" xfId="10083" xr:uid="{00000000-0005-0000-0000-0000E7200000}"/>
    <cellStyle name="CABEÇALHO 5 6 4 3 6" xfId="10196" xr:uid="{00000000-0005-0000-0000-0000E8200000}"/>
    <cellStyle name="CABEÇALHO 5 6 4 4" xfId="4099" xr:uid="{00000000-0005-0000-0000-0000E9200000}"/>
    <cellStyle name="CABEÇALHO 5 6 4 5" xfId="3087" xr:uid="{00000000-0005-0000-0000-0000EA200000}"/>
    <cellStyle name="CABEÇALHO 5 6 4 6" xfId="6944" xr:uid="{00000000-0005-0000-0000-0000EB200000}"/>
    <cellStyle name="CABEÇALHO 5 6 4 7" xfId="8770" xr:uid="{00000000-0005-0000-0000-0000EC200000}"/>
    <cellStyle name="CABEÇALHO 5 6 4 8" xfId="9914" xr:uid="{00000000-0005-0000-0000-0000ED200000}"/>
    <cellStyle name="CABEÇALHO 5 6 5" xfId="1159" xr:uid="{00000000-0005-0000-0000-0000EE200000}"/>
    <cellStyle name="CABEÇALHO 5 6 5 2" xfId="2301" xr:uid="{00000000-0005-0000-0000-0000EF200000}"/>
    <cellStyle name="CABEÇALHO 5 6 5 2 2" xfId="5181" xr:uid="{00000000-0005-0000-0000-0000F0200000}"/>
    <cellStyle name="CABEÇALHO 5 6 5 2 3" xfId="6093" xr:uid="{00000000-0005-0000-0000-0000F1200000}"/>
    <cellStyle name="CABEÇALHO 5 6 5 2 4" xfId="8628" xr:uid="{00000000-0005-0000-0000-0000F2200000}"/>
    <cellStyle name="CABEÇALHO 5 6 5 2 5" xfId="9632" xr:uid="{00000000-0005-0000-0000-0000F3200000}"/>
    <cellStyle name="CABEÇALHO 5 6 5 2 6" xfId="11050" xr:uid="{00000000-0005-0000-0000-0000F4200000}"/>
    <cellStyle name="CABEÇALHO 5 6 5 3" xfId="2793" xr:uid="{00000000-0005-0000-0000-0000F5200000}"/>
    <cellStyle name="CABEÇALHO 5 6 5 3 2" xfId="5673" xr:uid="{00000000-0005-0000-0000-0000F6200000}"/>
    <cellStyle name="CABEÇALHO 5 6 5 3 3" xfId="7618" xr:uid="{00000000-0005-0000-0000-0000F7200000}"/>
    <cellStyle name="CABEÇALHO 5 6 5 3 4" xfId="6983" xr:uid="{00000000-0005-0000-0000-0000F8200000}"/>
    <cellStyle name="CABEÇALHO 5 6 5 3 5" xfId="9848" xr:uid="{00000000-0005-0000-0000-0000F9200000}"/>
    <cellStyle name="CABEÇALHO 5 6 5 3 6" xfId="10414" xr:uid="{00000000-0005-0000-0000-0000FA200000}"/>
    <cellStyle name="CABEÇALHO 5 6 5 4" xfId="4039" xr:uid="{00000000-0005-0000-0000-0000FB200000}"/>
    <cellStyle name="CABEÇALHO 5 6 5 5" xfId="3172" xr:uid="{00000000-0005-0000-0000-0000FC200000}"/>
    <cellStyle name="CABEÇALHO 5 6 5 6" xfId="7378" xr:uid="{00000000-0005-0000-0000-0000FD200000}"/>
    <cellStyle name="CABEÇALHO 5 6 5 7" xfId="8819" xr:uid="{00000000-0005-0000-0000-0000FE200000}"/>
    <cellStyle name="CABEÇALHO 5 6 5 8" xfId="10961" xr:uid="{00000000-0005-0000-0000-0000FF200000}"/>
    <cellStyle name="CABEÇALHO 5 6 6" xfId="1166" xr:uid="{00000000-0005-0000-0000-000000210000}"/>
    <cellStyle name="CABEÇALHO 5 6 6 2" xfId="2308" xr:uid="{00000000-0005-0000-0000-000001210000}"/>
    <cellStyle name="CABEÇALHO 5 6 6 2 2" xfId="5188" xr:uid="{00000000-0005-0000-0000-000002210000}"/>
    <cellStyle name="CABEÇALHO 5 6 6 2 3" xfId="7989" xr:uid="{00000000-0005-0000-0000-000003210000}"/>
    <cellStyle name="CABEÇALHO 5 6 6 2 4" xfId="7103" xr:uid="{00000000-0005-0000-0000-000004210000}"/>
    <cellStyle name="CABEÇALHO 5 6 6 2 5" xfId="6414" xr:uid="{00000000-0005-0000-0000-000005210000}"/>
    <cellStyle name="CABEÇALHO 5 6 6 2 6" xfId="11600" xr:uid="{00000000-0005-0000-0000-000006210000}"/>
    <cellStyle name="CABEÇALHO 5 6 6 3" xfId="2713" xr:uid="{00000000-0005-0000-0000-000007210000}"/>
    <cellStyle name="CABEÇALHO 5 6 6 3 2" xfId="5593" xr:uid="{00000000-0005-0000-0000-000008210000}"/>
    <cellStyle name="CABEÇALHO 5 6 6 3 3" xfId="6539" xr:uid="{00000000-0005-0000-0000-000009210000}"/>
    <cellStyle name="CABEÇALHO 5 6 6 3 4" xfId="9412" xr:uid="{00000000-0005-0000-0000-00000A210000}"/>
    <cellStyle name="CABEÇALHO 5 6 6 3 5" xfId="9691" xr:uid="{00000000-0005-0000-0000-00000B210000}"/>
    <cellStyle name="CABEÇALHO 5 6 6 3 6" xfId="11488" xr:uid="{00000000-0005-0000-0000-00000C210000}"/>
    <cellStyle name="CABEÇALHO 5 6 6 4" xfId="4046" xr:uid="{00000000-0005-0000-0000-00000D210000}"/>
    <cellStyle name="CABEÇALHO 5 6 6 5" xfId="5894" xr:uid="{00000000-0005-0000-0000-00000E210000}"/>
    <cellStyle name="CABEÇALHO 5 6 6 6" xfId="6262" xr:uid="{00000000-0005-0000-0000-00000F210000}"/>
    <cellStyle name="CABEÇALHO 5 6 6 7" xfId="9495" xr:uid="{00000000-0005-0000-0000-000010210000}"/>
    <cellStyle name="CABEÇALHO 5 6 6 8" xfId="9818" xr:uid="{00000000-0005-0000-0000-000011210000}"/>
    <cellStyle name="CABEÇALHO 5 6 7" xfId="1652" xr:uid="{00000000-0005-0000-0000-000012210000}"/>
    <cellStyle name="CABEÇALHO 5 6 7 2" xfId="4532" xr:uid="{00000000-0005-0000-0000-000013210000}"/>
    <cellStyle name="CABEÇALHO 5 6 7 3" xfId="6383" xr:uid="{00000000-0005-0000-0000-000014210000}"/>
    <cellStyle name="CABEÇALHO 5 6 7 4" xfId="7870" xr:uid="{00000000-0005-0000-0000-000015210000}"/>
    <cellStyle name="CABEÇALHO 5 6 7 5" xfId="9237" xr:uid="{00000000-0005-0000-0000-000016210000}"/>
    <cellStyle name="CABEÇALHO 5 6 7 6" xfId="11460" xr:uid="{00000000-0005-0000-0000-000017210000}"/>
    <cellStyle name="CABEÇALHO 5 6 8" xfId="2716" xr:uid="{00000000-0005-0000-0000-000018210000}"/>
    <cellStyle name="CABEÇALHO 5 6 8 2" xfId="5596" xr:uid="{00000000-0005-0000-0000-000019210000}"/>
    <cellStyle name="CABEÇALHO 5 6 8 3" xfId="7170" xr:uid="{00000000-0005-0000-0000-00001A210000}"/>
    <cellStyle name="CABEÇALHO 5 6 8 4" xfId="7887" xr:uid="{00000000-0005-0000-0000-00001B210000}"/>
    <cellStyle name="CABEÇALHO 5 6 8 5" xfId="10678" xr:uid="{00000000-0005-0000-0000-00001C210000}"/>
    <cellStyle name="CABEÇALHO 5 6 8 6" xfId="11649" xr:uid="{00000000-0005-0000-0000-00001D210000}"/>
    <cellStyle name="CABEÇALHO 5 6 9" xfId="3391" xr:uid="{00000000-0005-0000-0000-00001E210000}"/>
    <cellStyle name="CABEÇALHO 5 7" xfId="510" xr:uid="{00000000-0005-0000-0000-00001F210000}"/>
    <cellStyle name="CABEÇALHO 5 7 10" xfId="7076" xr:uid="{00000000-0005-0000-0000-000020210000}"/>
    <cellStyle name="CABEÇALHO 5 7 11" xfId="8799" xr:uid="{00000000-0005-0000-0000-000021210000}"/>
    <cellStyle name="CABEÇALHO 5 7 12" xfId="9767" xr:uid="{00000000-0005-0000-0000-000022210000}"/>
    <cellStyle name="CABEÇALHO 5 7 13" xfId="10978" xr:uid="{00000000-0005-0000-0000-000023210000}"/>
    <cellStyle name="CABEÇALHO 5 7 2" xfId="986" xr:uid="{00000000-0005-0000-0000-000024210000}"/>
    <cellStyle name="CABEÇALHO 5 7 2 2" xfId="2128" xr:uid="{00000000-0005-0000-0000-000025210000}"/>
    <cellStyle name="CABEÇALHO 5 7 2 2 2" xfId="5008" xr:uid="{00000000-0005-0000-0000-000026210000}"/>
    <cellStyle name="CABEÇALHO 5 7 2 2 3" xfId="6811" xr:uid="{00000000-0005-0000-0000-000027210000}"/>
    <cellStyle name="CABEÇALHO 5 7 2 2 4" xfId="5998" xr:uid="{00000000-0005-0000-0000-000028210000}"/>
    <cellStyle name="CABEÇALHO 5 7 2 2 5" xfId="9940" xr:uid="{00000000-0005-0000-0000-000029210000}"/>
    <cellStyle name="CABEÇALHO 5 7 2 2 6" xfId="11226" xr:uid="{00000000-0005-0000-0000-00002A210000}"/>
    <cellStyle name="CABEÇALHO 5 7 2 3" xfId="2524" xr:uid="{00000000-0005-0000-0000-00002B210000}"/>
    <cellStyle name="CABEÇALHO 5 7 2 3 2" xfId="5404" xr:uid="{00000000-0005-0000-0000-00002C210000}"/>
    <cellStyle name="CABEÇALHO 5 7 2 3 3" xfId="7993" xr:uid="{00000000-0005-0000-0000-00002D210000}"/>
    <cellStyle name="CABEÇALHO 5 7 2 3 4" xfId="8716" xr:uid="{00000000-0005-0000-0000-00002E210000}"/>
    <cellStyle name="CABEÇALHO 5 7 2 3 5" xfId="10380" xr:uid="{00000000-0005-0000-0000-00002F210000}"/>
    <cellStyle name="CABEÇALHO 5 7 2 3 6" xfId="11521" xr:uid="{00000000-0005-0000-0000-000030210000}"/>
    <cellStyle name="CABEÇALHO 5 7 2 4" xfId="3866" xr:uid="{00000000-0005-0000-0000-000031210000}"/>
    <cellStyle name="CABEÇALHO 5 7 2 5" xfId="6483" xr:uid="{00000000-0005-0000-0000-000032210000}"/>
    <cellStyle name="CABEÇALHO 5 7 2 6" xfId="8568" xr:uid="{00000000-0005-0000-0000-000033210000}"/>
    <cellStyle name="CABEÇALHO 5 7 2 7" xfId="6603" xr:uid="{00000000-0005-0000-0000-000034210000}"/>
    <cellStyle name="CABEÇALHO 5 7 2 8" xfId="9988" xr:uid="{00000000-0005-0000-0000-000035210000}"/>
    <cellStyle name="CABEÇALHO 5 7 3" xfId="805" xr:uid="{00000000-0005-0000-0000-000036210000}"/>
    <cellStyle name="CABEÇALHO 5 7 3 2" xfId="1947" xr:uid="{00000000-0005-0000-0000-000037210000}"/>
    <cellStyle name="CABEÇALHO 5 7 3 2 2" xfId="4827" xr:uid="{00000000-0005-0000-0000-000038210000}"/>
    <cellStyle name="CABEÇALHO 5 7 3 2 3" xfId="6104" xr:uid="{00000000-0005-0000-0000-000039210000}"/>
    <cellStyle name="CABEÇALHO 5 7 3 2 4" xfId="8638" xr:uid="{00000000-0005-0000-0000-00003A210000}"/>
    <cellStyle name="CABEÇALHO 5 7 3 2 5" xfId="10428" xr:uid="{00000000-0005-0000-0000-00003B210000}"/>
    <cellStyle name="CABEÇALHO 5 7 3 2 6" xfId="11132" xr:uid="{00000000-0005-0000-0000-00003C210000}"/>
    <cellStyle name="CABEÇALHO 5 7 3 3" xfId="2850" xr:uid="{00000000-0005-0000-0000-00003D210000}"/>
    <cellStyle name="CABEÇALHO 5 7 3 3 2" xfId="5730" xr:uid="{00000000-0005-0000-0000-00003E210000}"/>
    <cellStyle name="CABEÇALHO 5 7 3 3 3" xfId="7729" xr:uid="{00000000-0005-0000-0000-00003F210000}"/>
    <cellStyle name="CABEÇALHO 5 7 3 3 4" xfId="6469" xr:uid="{00000000-0005-0000-0000-000040210000}"/>
    <cellStyle name="CABEÇALHO 5 7 3 3 5" xfId="6440" xr:uid="{00000000-0005-0000-0000-000041210000}"/>
    <cellStyle name="CABEÇALHO 5 7 3 3 6" xfId="10141" xr:uid="{00000000-0005-0000-0000-000042210000}"/>
    <cellStyle name="CABEÇALHO 5 7 3 4" xfId="3685" xr:uid="{00000000-0005-0000-0000-000043210000}"/>
    <cellStyle name="CABEÇALHO 5 7 3 5" xfId="7404" xr:uid="{00000000-0005-0000-0000-000044210000}"/>
    <cellStyle name="CABEÇALHO 5 7 3 6" xfId="7495" xr:uid="{00000000-0005-0000-0000-000045210000}"/>
    <cellStyle name="CABEÇALHO 5 7 3 7" xfId="9299" xr:uid="{00000000-0005-0000-0000-000046210000}"/>
    <cellStyle name="CABEÇALHO 5 7 3 8" xfId="11419" xr:uid="{00000000-0005-0000-0000-000047210000}"/>
    <cellStyle name="CABEÇALHO 5 7 4" xfId="1170" xr:uid="{00000000-0005-0000-0000-000048210000}"/>
    <cellStyle name="CABEÇALHO 5 7 4 2" xfId="2312" xr:uid="{00000000-0005-0000-0000-000049210000}"/>
    <cellStyle name="CABEÇALHO 5 7 4 2 2" xfId="5192" xr:uid="{00000000-0005-0000-0000-00004A210000}"/>
    <cellStyle name="CABEÇALHO 5 7 4 2 3" xfId="7445" xr:uid="{00000000-0005-0000-0000-00004B210000}"/>
    <cellStyle name="CABEÇALHO 5 7 4 2 4" xfId="8296" xr:uid="{00000000-0005-0000-0000-00004C210000}"/>
    <cellStyle name="CABEÇALHO 5 7 4 2 5" xfId="10664" xr:uid="{00000000-0005-0000-0000-00004D210000}"/>
    <cellStyle name="CABEÇALHO 5 7 4 2 6" xfId="11586" xr:uid="{00000000-0005-0000-0000-00004E210000}"/>
    <cellStyle name="CABEÇALHO 5 7 4 3" xfId="1444" xr:uid="{00000000-0005-0000-0000-00004F210000}"/>
    <cellStyle name="CABEÇALHO 5 7 4 3 2" xfId="4324" xr:uid="{00000000-0005-0000-0000-000050210000}"/>
    <cellStyle name="CABEÇALHO 5 7 4 3 3" xfId="7617" xr:uid="{00000000-0005-0000-0000-000051210000}"/>
    <cellStyle name="CABEÇALHO 5 7 4 3 4" xfId="9044" xr:uid="{00000000-0005-0000-0000-000052210000}"/>
    <cellStyle name="CABEÇALHO 5 7 4 3 5" xfId="9980" xr:uid="{00000000-0005-0000-0000-000053210000}"/>
    <cellStyle name="CABEÇALHO 5 7 4 3 6" xfId="9881" xr:uid="{00000000-0005-0000-0000-000054210000}"/>
    <cellStyle name="CABEÇALHO 5 7 4 4" xfId="4050" xr:uid="{00000000-0005-0000-0000-000055210000}"/>
    <cellStyle name="CABEÇALHO 5 7 4 5" xfId="3024" xr:uid="{00000000-0005-0000-0000-000056210000}"/>
    <cellStyle name="CABEÇALHO 5 7 4 6" xfId="6714" xr:uid="{00000000-0005-0000-0000-000057210000}"/>
    <cellStyle name="CABEÇALHO 5 7 4 7" xfId="9502" xr:uid="{00000000-0005-0000-0000-000058210000}"/>
    <cellStyle name="CABEÇALHO 5 7 4 8" xfId="11316" xr:uid="{00000000-0005-0000-0000-000059210000}"/>
    <cellStyle name="CABEÇALHO 5 7 5" xfId="1146" xr:uid="{00000000-0005-0000-0000-00005A210000}"/>
    <cellStyle name="CABEÇALHO 5 7 5 2" xfId="2288" xr:uid="{00000000-0005-0000-0000-00005B210000}"/>
    <cellStyle name="CABEÇALHO 5 7 5 2 2" xfId="5168" xr:uid="{00000000-0005-0000-0000-00005C210000}"/>
    <cellStyle name="CABEÇALHO 5 7 5 2 3" xfId="7746" xr:uid="{00000000-0005-0000-0000-00005D210000}"/>
    <cellStyle name="CABEÇALHO 5 7 5 2 4" xfId="9236" xr:uid="{00000000-0005-0000-0000-00005E210000}"/>
    <cellStyle name="CABEÇALHO 5 7 5 2 5" xfId="10602" xr:uid="{00000000-0005-0000-0000-00005F210000}"/>
    <cellStyle name="CABEÇALHO 5 7 5 2 6" xfId="10486" xr:uid="{00000000-0005-0000-0000-000060210000}"/>
    <cellStyle name="CABEÇALHO 5 7 5 3" xfId="2711" xr:uid="{00000000-0005-0000-0000-000061210000}"/>
    <cellStyle name="CABEÇALHO 5 7 5 3 2" xfId="5591" xr:uid="{00000000-0005-0000-0000-000062210000}"/>
    <cellStyle name="CABEÇALHO 5 7 5 3 3" xfId="8004" xr:uid="{00000000-0005-0000-0000-000063210000}"/>
    <cellStyle name="CABEÇALHO 5 7 5 3 4" xfId="9132" xr:uid="{00000000-0005-0000-0000-000064210000}"/>
    <cellStyle name="CABEÇALHO 5 7 5 3 5" xfId="10454" xr:uid="{00000000-0005-0000-0000-000065210000}"/>
    <cellStyle name="CABEÇALHO 5 7 5 3 6" xfId="10599" xr:uid="{00000000-0005-0000-0000-000066210000}"/>
    <cellStyle name="CABEÇALHO 5 7 5 4" xfId="4026" xr:uid="{00000000-0005-0000-0000-000067210000}"/>
    <cellStyle name="CABEÇALHO 5 7 5 5" xfId="3192" xr:uid="{00000000-0005-0000-0000-000068210000}"/>
    <cellStyle name="CABEÇALHO 5 7 5 6" xfId="6932" xr:uid="{00000000-0005-0000-0000-000069210000}"/>
    <cellStyle name="CABEÇALHO 5 7 5 7" xfId="8767" xr:uid="{00000000-0005-0000-0000-00006A210000}"/>
    <cellStyle name="CABEÇALHO 5 7 5 8" xfId="9662" xr:uid="{00000000-0005-0000-0000-00006B210000}"/>
    <cellStyle name="CABEÇALHO 5 7 6" xfId="680" xr:uid="{00000000-0005-0000-0000-00006C210000}"/>
    <cellStyle name="CABEÇALHO 5 7 6 2" xfId="1822" xr:uid="{00000000-0005-0000-0000-00006D210000}"/>
    <cellStyle name="CABEÇALHO 5 7 6 2 2" xfId="4702" xr:uid="{00000000-0005-0000-0000-00006E210000}"/>
    <cellStyle name="CABEÇALHO 5 7 6 2 3" xfId="7830" xr:uid="{00000000-0005-0000-0000-00006F210000}"/>
    <cellStyle name="CABEÇALHO 5 7 6 2 4" xfId="6933" xr:uid="{00000000-0005-0000-0000-000070210000}"/>
    <cellStyle name="CABEÇALHO 5 7 6 2 5" xfId="9953" xr:uid="{00000000-0005-0000-0000-000071210000}"/>
    <cellStyle name="CABEÇALHO 5 7 6 2 6" xfId="10349" xr:uid="{00000000-0005-0000-0000-000072210000}"/>
    <cellStyle name="CABEÇALHO 5 7 6 3" xfId="1464" xr:uid="{00000000-0005-0000-0000-000073210000}"/>
    <cellStyle name="CABEÇALHO 5 7 6 3 2" xfId="4344" xr:uid="{00000000-0005-0000-0000-000074210000}"/>
    <cellStyle name="CABEÇALHO 5 7 6 3 3" xfId="8149" xr:uid="{00000000-0005-0000-0000-000075210000}"/>
    <cellStyle name="CABEÇALHO 5 7 6 3 4" xfId="9550" xr:uid="{00000000-0005-0000-0000-000076210000}"/>
    <cellStyle name="CABEÇALHO 5 7 6 3 5" xfId="10767" xr:uid="{00000000-0005-0000-0000-000077210000}"/>
    <cellStyle name="CABEÇALHO 5 7 6 3 6" xfId="11474" xr:uid="{00000000-0005-0000-0000-000078210000}"/>
    <cellStyle name="CABEÇALHO 5 7 6 4" xfId="3560" xr:uid="{00000000-0005-0000-0000-000079210000}"/>
    <cellStyle name="CABEÇALHO 5 7 6 5" xfId="6270" xr:uid="{00000000-0005-0000-0000-00007A210000}"/>
    <cellStyle name="CABEÇALHO 5 7 6 6" xfId="8380" xr:uid="{00000000-0005-0000-0000-00007B210000}"/>
    <cellStyle name="CABEÇALHO 5 7 6 7" xfId="8977" xr:uid="{00000000-0005-0000-0000-00007C210000}"/>
    <cellStyle name="CABEÇALHO 5 7 6 8" xfId="10434" xr:uid="{00000000-0005-0000-0000-00007D210000}"/>
    <cellStyle name="CABEÇALHO 5 7 7" xfId="1651" xr:uid="{00000000-0005-0000-0000-00007E210000}"/>
    <cellStyle name="CABEÇALHO 5 7 7 2" xfId="4531" xr:uid="{00000000-0005-0000-0000-00007F210000}"/>
    <cellStyle name="CABEÇALHO 5 7 7 3" xfId="7462" xr:uid="{00000000-0005-0000-0000-000080210000}"/>
    <cellStyle name="CABEÇALHO 5 7 7 4" xfId="8898" xr:uid="{00000000-0005-0000-0000-000081210000}"/>
    <cellStyle name="CABEÇALHO 5 7 7 5" xfId="10022" xr:uid="{00000000-0005-0000-0000-000082210000}"/>
    <cellStyle name="CABEÇALHO 5 7 7 6" xfId="10262" xr:uid="{00000000-0005-0000-0000-000083210000}"/>
    <cellStyle name="CABEÇALHO 5 7 8" xfId="2528" xr:uid="{00000000-0005-0000-0000-000084210000}"/>
    <cellStyle name="CABEÇALHO 5 7 8 2" xfId="5408" xr:uid="{00000000-0005-0000-0000-000085210000}"/>
    <cellStyle name="CABEÇALHO 5 7 8 3" xfId="7264" xr:uid="{00000000-0005-0000-0000-000086210000}"/>
    <cellStyle name="CABEÇALHO 5 7 8 4" xfId="5991" xr:uid="{00000000-0005-0000-0000-000087210000}"/>
    <cellStyle name="CABEÇALHO 5 7 8 5" xfId="9571" xr:uid="{00000000-0005-0000-0000-000088210000}"/>
    <cellStyle name="CABEÇALHO 5 7 8 6" xfId="11253" xr:uid="{00000000-0005-0000-0000-000089210000}"/>
    <cellStyle name="CABEÇALHO 5 7 9" xfId="3390" xr:uid="{00000000-0005-0000-0000-00008A210000}"/>
    <cellStyle name="CABEÇALHO 5 8" xfId="656" xr:uid="{00000000-0005-0000-0000-00008B210000}"/>
    <cellStyle name="CABEÇALHO 5 8 10" xfId="6043" xr:uid="{00000000-0005-0000-0000-00008C210000}"/>
    <cellStyle name="CABEÇALHO 5 8 11" xfId="9001" xr:uid="{00000000-0005-0000-0000-00008D210000}"/>
    <cellStyle name="CABEÇALHO 5 8 12" xfId="9928" xr:uid="{00000000-0005-0000-0000-00008E210000}"/>
    <cellStyle name="CABEÇALHO 5 8 13" xfId="11498" xr:uid="{00000000-0005-0000-0000-00008F210000}"/>
    <cellStyle name="CABEÇALHO 5 8 2" xfId="1132" xr:uid="{00000000-0005-0000-0000-000090210000}"/>
    <cellStyle name="CABEÇALHO 5 8 2 2" xfId="2274" xr:uid="{00000000-0005-0000-0000-000091210000}"/>
    <cellStyle name="CABEÇALHO 5 8 2 2 2" xfId="5154" xr:uid="{00000000-0005-0000-0000-000092210000}"/>
    <cellStyle name="CABEÇALHO 5 8 2 2 3" xfId="6205" xr:uid="{00000000-0005-0000-0000-000093210000}"/>
    <cellStyle name="CABEÇALHO 5 8 2 2 4" xfId="8735" xr:uid="{00000000-0005-0000-0000-000094210000}"/>
    <cellStyle name="CABEÇALHO 5 8 2 2 5" xfId="10450" xr:uid="{00000000-0005-0000-0000-000095210000}"/>
    <cellStyle name="CABEÇALHO 5 8 2 2 6" xfId="7635" xr:uid="{00000000-0005-0000-0000-000096210000}"/>
    <cellStyle name="CABEÇALHO 5 8 2 3" xfId="2590" xr:uid="{00000000-0005-0000-0000-000097210000}"/>
    <cellStyle name="CABEÇALHO 5 8 2 3 2" xfId="5470" xr:uid="{00000000-0005-0000-0000-000098210000}"/>
    <cellStyle name="CABEÇALHO 5 8 2 3 3" xfId="6868" xr:uid="{00000000-0005-0000-0000-000099210000}"/>
    <cellStyle name="CABEÇALHO 5 8 2 3 4" xfId="9560" xr:uid="{00000000-0005-0000-0000-00009A210000}"/>
    <cellStyle name="CABEÇALHO 5 8 2 3 5" xfId="10207" xr:uid="{00000000-0005-0000-0000-00009B210000}"/>
    <cellStyle name="CABEÇALHO 5 8 2 3 6" xfId="10971" xr:uid="{00000000-0005-0000-0000-00009C210000}"/>
    <cellStyle name="CABEÇALHO 5 8 2 4" xfId="4012" xr:uid="{00000000-0005-0000-0000-00009D210000}"/>
    <cellStyle name="CABEÇALHO 5 8 2 5" xfId="3170" xr:uid="{00000000-0005-0000-0000-00009E210000}"/>
    <cellStyle name="CABEÇALHO 5 8 2 6" xfId="5808" xr:uid="{00000000-0005-0000-0000-00009F210000}"/>
    <cellStyle name="CABEÇALHO 5 8 2 7" xfId="9499" xr:uid="{00000000-0005-0000-0000-0000A0210000}"/>
    <cellStyle name="CABEÇALHO 5 8 2 8" xfId="11293" xr:uid="{00000000-0005-0000-0000-0000A1210000}"/>
    <cellStyle name="CABEÇALHO 5 8 3" xfId="786" xr:uid="{00000000-0005-0000-0000-0000A2210000}"/>
    <cellStyle name="CABEÇALHO 5 8 3 2" xfId="1928" xr:uid="{00000000-0005-0000-0000-0000A3210000}"/>
    <cellStyle name="CABEÇALHO 5 8 3 2 2" xfId="4808" xr:uid="{00000000-0005-0000-0000-0000A4210000}"/>
    <cellStyle name="CABEÇALHO 5 8 3 2 3" xfId="7675" xr:uid="{00000000-0005-0000-0000-0000A5210000}"/>
    <cellStyle name="CABEÇALHO 5 8 3 2 4" xfId="9565" xr:uid="{00000000-0005-0000-0000-0000A6210000}"/>
    <cellStyle name="CABEÇALHO 5 8 3 2 5" xfId="10721" xr:uid="{00000000-0005-0000-0000-0000A7210000}"/>
    <cellStyle name="CABEÇALHO 5 8 3 2 6" xfId="11250" xr:uid="{00000000-0005-0000-0000-0000A8210000}"/>
    <cellStyle name="CABEÇALHO 5 8 3 3" xfId="2586" xr:uid="{00000000-0005-0000-0000-0000A9210000}"/>
    <cellStyle name="CABEÇALHO 5 8 3 3 2" xfId="5466" xr:uid="{00000000-0005-0000-0000-0000AA210000}"/>
    <cellStyle name="CABEÇALHO 5 8 3 3 3" xfId="6371" xr:uid="{00000000-0005-0000-0000-0000AB210000}"/>
    <cellStyle name="CABEÇALHO 5 8 3 3 4" xfId="8251" xr:uid="{00000000-0005-0000-0000-0000AC210000}"/>
    <cellStyle name="CABEÇALHO 5 8 3 3 5" xfId="10697" xr:uid="{00000000-0005-0000-0000-0000AD210000}"/>
    <cellStyle name="CABEÇALHO 5 8 3 3 6" xfId="11527" xr:uid="{00000000-0005-0000-0000-0000AE210000}"/>
    <cellStyle name="CABEÇALHO 5 8 3 4" xfId="3666" xr:uid="{00000000-0005-0000-0000-0000AF210000}"/>
    <cellStyle name="CABEÇALHO 5 8 3 5" xfId="5977" xr:uid="{00000000-0005-0000-0000-0000B0210000}"/>
    <cellStyle name="CABEÇALHO 5 8 3 6" xfId="8937" xr:uid="{00000000-0005-0000-0000-0000B1210000}"/>
    <cellStyle name="CABEÇALHO 5 8 3 7" xfId="9884" xr:uid="{00000000-0005-0000-0000-0000B2210000}"/>
    <cellStyle name="CABEÇALHO 5 8 3 8" xfId="10375" xr:uid="{00000000-0005-0000-0000-0000B3210000}"/>
    <cellStyle name="CABEÇALHO 5 8 4" xfId="1272" xr:uid="{00000000-0005-0000-0000-0000B4210000}"/>
    <cellStyle name="CABEÇALHO 5 8 4 2" xfId="2414" xr:uid="{00000000-0005-0000-0000-0000B5210000}"/>
    <cellStyle name="CABEÇALHO 5 8 4 2 2" xfId="5294" xr:uid="{00000000-0005-0000-0000-0000B6210000}"/>
    <cellStyle name="CABEÇALHO 5 8 4 2 3" xfId="7665" xr:uid="{00000000-0005-0000-0000-0000B7210000}"/>
    <cellStyle name="CABEÇALHO 5 8 4 2 4" xfId="9296" xr:uid="{00000000-0005-0000-0000-0000B8210000}"/>
    <cellStyle name="CABEÇALHO 5 8 4 2 5" xfId="10713" xr:uid="{00000000-0005-0000-0000-0000B9210000}"/>
    <cellStyle name="CABEÇALHO 5 8 4 2 6" xfId="11415" xr:uid="{00000000-0005-0000-0000-0000BA210000}"/>
    <cellStyle name="CABEÇALHO 5 8 4 3" xfId="1406" xr:uid="{00000000-0005-0000-0000-0000BB210000}"/>
    <cellStyle name="CABEÇALHO 5 8 4 3 2" xfId="4286" xr:uid="{00000000-0005-0000-0000-0000BC210000}"/>
    <cellStyle name="CABEÇALHO 5 8 4 3 3" xfId="6733" xr:uid="{00000000-0005-0000-0000-0000BD210000}"/>
    <cellStyle name="CABEÇALHO 5 8 4 3 4" xfId="8208" xr:uid="{00000000-0005-0000-0000-0000BE210000}"/>
    <cellStyle name="CABEÇALHO 5 8 4 3 5" xfId="9956" xr:uid="{00000000-0005-0000-0000-0000BF210000}"/>
    <cellStyle name="CABEÇALHO 5 8 4 3 6" xfId="10187" xr:uid="{00000000-0005-0000-0000-0000C0210000}"/>
    <cellStyle name="CABEÇALHO 5 8 4 4" xfId="4152" xr:uid="{00000000-0005-0000-0000-0000C1210000}"/>
    <cellStyle name="CABEÇALHO 5 8 4 5" xfId="3196" xr:uid="{00000000-0005-0000-0000-0000C2210000}"/>
    <cellStyle name="CABEÇALHO 5 8 4 6" xfId="6009" xr:uid="{00000000-0005-0000-0000-0000C3210000}"/>
    <cellStyle name="CABEÇALHO 5 8 4 7" xfId="8798" xr:uid="{00000000-0005-0000-0000-0000C4210000}"/>
    <cellStyle name="CABEÇALHO 5 8 4 8" xfId="8787" xr:uid="{00000000-0005-0000-0000-0000C5210000}"/>
    <cellStyle name="CABEÇALHO 5 8 5" xfId="1305" xr:uid="{00000000-0005-0000-0000-0000C6210000}"/>
    <cellStyle name="CABEÇALHO 5 8 5 2" xfId="2447" xr:uid="{00000000-0005-0000-0000-0000C7210000}"/>
    <cellStyle name="CABEÇALHO 5 8 5 2 2" xfId="5327" xr:uid="{00000000-0005-0000-0000-0000C8210000}"/>
    <cellStyle name="CABEÇALHO 5 8 5 2 3" xfId="7184" xr:uid="{00000000-0005-0000-0000-0000C9210000}"/>
    <cellStyle name="CABEÇALHO 5 8 5 2 4" xfId="9239" xr:uid="{00000000-0005-0000-0000-0000CA210000}"/>
    <cellStyle name="CABEÇALHO 5 8 5 2 5" xfId="7514" xr:uid="{00000000-0005-0000-0000-0000CB210000}"/>
    <cellStyle name="CABEÇALHO 5 8 5 2 6" xfId="8500" xr:uid="{00000000-0005-0000-0000-0000CC210000}"/>
    <cellStyle name="CABEÇALHO 5 8 5 3" xfId="2695" xr:uid="{00000000-0005-0000-0000-0000CD210000}"/>
    <cellStyle name="CABEÇALHO 5 8 5 3 2" xfId="5575" xr:uid="{00000000-0005-0000-0000-0000CE210000}"/>
    <cellStyle name="CABEÇALHO 5 8 5 3 3" xfId="6521" xr:uid="{00000000-0005-0000-0000-0000CF210000}"/>
    <cellStyle name="CABEÇALHO 5 8 5 3 4" xfId="9273" xr:uid="{00000000-0005-0000-0000-0000D0210000}"/>
    <cellStyle name="CABEÇALHO 5 8 5 3 5" xfId="10707" xr:uid="{00000000-0005-0000-0000-0000D1210000}"/>
    <cellStyle name="CABEÇALHO 5 8 5 3 6" xfId="11136" xr:uid="{00000000-0005-0000-0000-0000D2210000}"/>
    <cellStyle name="CABEÇALHO 5 8 5 4" xfId="4185" xr:uid="{00000000-0005-0000-0000-0000D3210000}"/>
    <cellStyle name="CABEÇALHO 5 8 5 5" xfId="3131" xr:uid="{00000000-0005-0000-0000-0000D4210000}"/>
    <cellStyle name="CABEÇALHO 5 8 5 6" xfId="6254" xr:uid="{00000000-0005-0000-0000-0000D5210000}"/>
    <cellStyle name="CABEÇALHO 5 8 5 7" xfId="6587" xr:uid="{00000000-0005-0000-0000-0000D6210000}"/>
    <cellStyle name="CABEÇALHO 5 8 5 8" xfId="10925" xr:uid="{00000000-0005-0000-0000-0000D7210000}"/>
    <cellStyle name="CABEÇALHO 5 8 6" xfId="1337" xr:uid="{00000000-0005-0000-0000-0000D8210000}"/>
    <cellStyle name="CABEÇALHO 5 8 6 2" xfId="2479" xr:uid="{00000000-0005-0000-0000-0000D9210000}"/>
    <cellStyle name="CABEÇALHO 5 8 6 2 2" xfId="5359" xr:uid="{00000000-0005-0000-0000-0000DA210000}"/>
    <cellStyle name="CABEÇALHO 5 8 6 2 3" xfId="5919" xr:uid="{00000000-0005-0000-0000-0000DB210000}"/>
    <cellStyle name="CABEÇALHO 5 8 6 2 4" xfId="6339" xr:uid="{00000000-0005-0000-0000-0000DC210000}"/>
    <cellStyle name="CABEÇALHO 5 8 6 2 5" xfId="9400" xr:uid="{00000000-0005-0000-0000-0000DD210000}"/>
    <cellStyle name="CABEÇALHO 5 8 6 2 6" xfId="9704" xr:uid="{00000000-0005-0000-0000-0000DE210000}"/>
    <cellStyle name="CABEÇALHO 5 8 6 3" xfId="2874" xr:uid="{00000000-0005-0000-0000-0000DF210000}"/>
    <cellStyle name="CABEÇALHO 5 8 6 3 2" xfId="5754" xr:uid="{00000000-0005-0000-0000-0000E0210000}"/>
    <cellStyle name="CABEÇALHO 5 8 6 3 3" xfId="3155" xr:uid="{00000000-0005-0000-0000-0000E1210000}"/>
    <cellStyle name="CABEÇALHO 5 8 6 3 4" xfId="7234" xr:uid="{00000000-0005-0000-0000-0000E2210000}"/>
    <cellStyle name="CABEÇALHO 5 8 6 3 5" xfId="9303" xr:uid="{00000000-0005-0000-0000-0000E3210000}"/>
    <cellStyle name="CABEÇALHO 5 8 6 3 6" xfId="11675" xr:uid="{00000000-0005-0000-0000-0000E4210000}"/>
    <cellStyle name="CABEÇALHO 5 8 6 4" xfId="4217" xr:uid="{00000000-0005-0000-0000-0000E5210000}"/>
    <cellStyle name="CABEÇALHO 5 8 6 5" xfId="6614" xr:uid="{00000000-0005-0000-0000-0000E6210000}"/>
    <cellStyle name="CABEÇALHO 5 8 6 6" xfId="5955" xr:uid="{00000000-0005-0000-0000-0000E7210000}"/>
    <cellStyle name="CABEÇALHO 5 8 6 7" xfId="8833" xr:uid="{00000000-0005-0000-0000-0000E8210000}"/>
    <cellStyle name="CABEÇALHO 5 8 6 8" xfId="11124" xr:uid="{00000000-0005-0000-0000-0000E9210000}"/>
    <cellStyle name="CABEÇALHO 5 8 7" xfId="1797" xr:uid="{00000000-0005-0000-0000-0000EA210000}"/>
    <cellStyle name="CABEÇALHO 5 8 7 2" xfId="4677" xr:uid="{00000000-0005-0000-0000-0000EB210000}"/>
    <cellStyle name="CABEÇALHO 5 8 7 3" xfId="6537" xr:uid="{00000000-0005-0000-0000-0000EC210000}"/>
    <cellStyle name="CABEÇALHO 5 8 7 4" xfId="9036" xr:uid="{00000000-0005-0000-0000-0000ED210000}"/>
    <cellStyle name="CABEÇALHO 5 8 7 5" xfId="10017" xr:uid="{00000000-0005-0000-0000-0000EE210000}"/>
    <cellStyle name="CABEÇALHO 5 8 7 6" xfId="10214" xr:uid="{00000000-0005-0000-0000-0000EF210000}"/>
    <cellStyle name="CABEÇALHO 5 8 8" xfId="2764" xr:uid="{00000000-0005-0000-0000-0000F0210000}"/>
    <cellStyle name="CABEÇALHO 5 8 8 2" xfId="5644" xr:uid="{00000000-0005-0000-0000-0000F1210000}"/>
    <cellStyle name="CABEÇALHO 5 8 8 3" xfId="6199" xr:uid="{00000000-0005-0000-0000-0000F2210000}"/>
    <cellStyle name="CABEÇALHO 5 8 8 4" xfId="9511" xr:uid="{00000000-0005-0000-0000-0000F3210000}"/>
    <cellStyle name="CABEÇALHO 5 8 8 5" xfId="10806" xr:uid="{00000000-0005-0000-0000-0000F4210000}"/>
    <cellStyle name="CABEÇALHO 5 8 8 6" xfId="11321" xr:uid="{00000000-0005-0000-0000-0000F5210000}"/>
    <cellStyle name="CABEÇALHO 5 8 9" xfId="3536" xr:uid="{00000000-0005-0000-0000-0000F6210000}"/>
    <cellStyle name="CABEÇALHO 5 9" xfId="655" xr:uid="{00000000-0005-0000-0000-0000F7210000}"/>
    <cellStyle name="CABEÇALHO 5 9 10" xfId="6495" xr:uid="{00000000-0005-0000-0000-0000F8210000}"/>
    <cellStyle name="CABEÇALHO 5 9 11" xfId="8579" xr:uid="{00000000-0005-0000-0000-0000F9210000}"/>
    <cellStyle name="CABEÇALHO 5 9 12" xfId="6448" xr:uid="{00000000-0005-0000-0000-0000FA210000}"/>
    <cellStyle name="CABEÇALHO 5 9 13" xfId="11200" xr:uid="{00000000-0005-0000-0000-0000FB210000}"/>
    <cellStyle name="CABEÇALHO 5 9 2" xfId="1131" xr:uid="{00000000-0005-0000-0000-0000FC210000}"/>
    <cellStyle name="CABEÇALHO 5 9 2 2" xfId="2273" xr:uid="{00000000-0005-0000-0000-0000FD210000}"/>
    <cellStyle name="CABEÇALHO 5 9 2 2 2" xfId="5153" xr:uid="{00000000-0005-0000-0000-0000FE210000}"/>
    <cellStyle name="CABEÇALHO 5 9 2 2 3" xfId="7291" xr:uid="{00000000-0005-0000-0000-0000FF210000}"/>
    <cellStyle name="CABEÇALHO 5 9 2 2 4" xfId="9480" xr:uid="{00000000-0005-0000-0000-000000220000}"/>
    <cellStyle name="CABEÇALHO 5 9 2 2 5" xfId="9713" xr:uid="{00000000-0005-0000-0000-000001220000}"/>
    <cellStyle name="CABEÇALHO 5 9 2 2 6" xfId="11089" xr:uid="{00000000-0005-0000-0000-000002220000}"/>
    <cellStyle name="CABEÇALHO 5 9 2 3" xfId="1447" xr:uid="{00000000-0005-0000-0000-000003220000}"/>
    <cellStyle name="CABEÇALHO 5 9 2 3 2" xfId="4327" xr:uid="{00000000-0005-0000-0000-000004220000}"/>
    <cellStyle name="CABEÇALHO 5 9 2 3 3" xfId="7641" xr:uid="{00000000-0005-0000-0000-000005220000}"/>
    <cellStyle name="CABEÇALHO 5 9 2 3 4" xfId="9066" xr:uid="{00000000-0005-0000-0000-000006220000}"/>
    <cellStyle name="CABEÇALHO 5 9 2 3 5" xfId="10345" xr:uid="{00000000-0005-0000-0000-000007220000}"/>
    <cellStyle name="CABEÇALHO 5 9 2 3 6" xfId="10068" xr:uid="{00000000-0005-0000-0000-000008220000}"/>
    <cellStyle name="CABEÇALHO 5 9 2 4" xfId="4011" xr:uid="{00000000-0005-0000-0000-000009220000}"/>
    <cellStyle name="CABEÇALHO 5 9 2 5" xfId="3056" xr:uid="{00000000-0005-0000-0000-00000A220000}"/>
    <cellStyle name="CABEÇALHO 5 9 2 6" xfId="8093" xr:uid="{00000000-0005-0000-0000-00000B220000}"/>
    <cellStyle name="CABEÇALHO 5 9 2 7" xfId="8725" xr:uid="{00000000-0005-0000-0000-00000C220000}"/>
    <cellStyle name="CABEÇALHO 5 9 2 8" xfId="9193" xr:uid="{00000000-0005-0000-0000-00000D220000}"/>
    <cellStyle name="CABEÇALHO 5 9 3" xfId="785" xr:uid="{00000000-0005-0000-0000-00000E220000}"/>
    <cellStyle name="CABEÇALHO 5 9 3 2" xfId="1927" xr:uid="{00000000-0005-0000-0000-00000F220000}"/>
    <cellStyle name="CABEÇALHO 5 9 3 2 2" xfId="4807" xr:uid="{00000000-0005-0000-0000-000010220000}"/>
    <cellStyle name="CABEÇALHO 5 9 3 2 3" xfId="8164" xr:uid="{00000000-0005-0000-0000-000011220000}"/>
    <cellStyle name="CABEÇALHO 5 9 3 2 4" xfId="7143" xr:uid="{00000000-0005-0000-0000-000012220000}"/>
    <cellStyle name="CABEÇALHO 5 9 3 2 5" xfId="9823" xr:uid="{00000000-0005-0000-0000-000013220000}"/>
    <cellStyle name="CABEÇALHO 5 9 3 2 6" xfId="5885" xr:uid="{00000000-0005-0000-0000-000014220000}"/>
    <cellStyle name="CABEÇALHO 5 9 3 3" xfId="2622" xr:uid="{00000000-0005-0000-0000-000015220000}"/>
    <cellStyle name="CABEÇALHO 5 9 3 3 2" xfId="5502" xr:uid="{00000000-0005-0000-0000-000016220000}"/>
    <cellStyle name="CABEÇALHO 5 9 3 3 3" xfId="6516" xr:uid="{00000000-0005-0000-0000-000017220000}"/>
    <cellStyle name="CABEÇALHO 5 9 3 3 4" xfId="9377" xr:uid="{00000000-0005-0000-0000-000018220000}"/>
    <cellStyle name="CABEÇALHO 5 9 3 3 5" xfId="10717" xr:uid="{00000000-0005-0000-0000-000019220000}"/>
    <cellStyle name="CABEÇALHO 5 9 3 3 6" xfId="11137" xr:uid="{00000000-0005-0000-0000-00001A220000}"/>
    <cellStyle name="CABEÇALHO 5 9 3 4" xfId="3665" xr:uid="{00000000-0005-0000-0000-00001B220000}"/>
    <cellStyle name="CABEÇALHO 5 9 3 5" xfId="6427" xr:uid="{00000000-0005-0000-0000-00001C220000}"/>
    <cellStyle name="CABEÇALHO 5 9 3 6" xfId="8521" xr:uid="{00000000-0005-0000-0000-00001D220000}"/>
    <cellStyle name="CABEÇALHO 5 9 3 7" xfId="5886" xr:uid="{00000000-0005-0000-0000-00001E220000}"/>
    <cellStyle name="CABEÇALHO 5 9 3 8" xfId="11644" xr:uid="{00000000-0005-0000-0000-00001F220000}"/>
    <cellStyle name="CABEÇALHO 5 9 4" xfId="1271" xr:uid="{00000000-0005-0000-0000-000020220000}"/>
    <cellStyle name="CABEÇALHO 5 9 4 2" xfId="2413" xr:uid="{00000000-0005-0000-0000-000021220000}"/>
    <cellStyle name="CABEÇALHO 5 9 4 2 2" xfId="5293" xr:uid="{00000000-0005-0000-0000-000022220000}"/>
    <cellStyle name="CABEÇALHO 5 9 4 2 3" xfId="7884" xr:uid="{00000000-0005-0000-0000-000023220000}"/>
    <cellStyle name="CABEÇALHO 5 9 4 2 4" xfId="2968" xr:uid="{00000000-0005-0000-0000-000024220000}"/>
    <cellStyle name="CABEÇALHO 5 9 4 2 5" xfId="9847" xr:uid="{00000000-0005-0000-0000-000025220000}"/>
    <cellStyle name="CABEÇALHO 5 9 4 2 6" xfId="11204" xr:uid="{00000000-0005-0000-0000-000026220000}"/>
    <cellStyle name="CABEÇALHO 5 9 4 3" xfId="2828" xr:uid="{00000000-0005-0000-0000-000027220000}"/>
    <cellStyle name="CABEÇALHO 5 9 4 3 2" xfId="5708" xr:uid="{00000000-0005-0000-0000-000028220000}"/>
    <cellStyle name="CABEÇALHO 5 9 4 3 3" xfId="8009" xr:uid="{00000000-0005-0000-0000-000029220000}"/>
    <cellStyle name="CABEÇALHO 5 9 4 3 4" xfId="9052" xr:uid="{00000000-0005-0000-0000-00002A220000}"/>
    <cellStyle name="CABEÇALHO 5 9 4 3 5" xfId="10811" xr:uid="{00000000-0005-0000-0000-00002B220000}"/>
    <cellStyle name="CABEÇALHO 5 9 4 3 6" xfId="11017" xr:uid="{00000000-0005-0000-0000-00002C220000}"/>
    <cellStyle name="CABEÇALHO 5 9 4 4" xfId="4151" xr:uid="{00000000-0005-0000-0000-00002D220000}"/>
    <cellStyle name="CABEÇALHO 5 9 4 5" xfId="3218" xr:uid="{00000000-0005-0000-0000-00002E220000}"/>
    <cellStyle name="CABEÇALHO 5 9 4 6" xfId="7332" xr:uid="{00000000-0005-0000-0000-00002F220000}"/>
    <cellStyle name="CABEÇALHO 5 9 4 7" xfId="6051" xr:uid="{00000000-0005-0000-0000-000030220000}"/>
    <cellStyle name="CABEÇALHO 5 9 4 8" xfId="11035" xr:uid="{00000000-0005-0000-0000-000031220000}"/>
    <cellStyle name="CABEÇALHO 5 9 5" xfId="1304" xr:uid="{00000000-0005-0000-0000-000032220000}"/>
    <cellStyle name="CABEÇALHO 5 9 5 2" xfId="2446" xr:uid="{00000000-0005-0000-0000-000033220000}"/>
    <cellStyle name="CABEÇALHO 5 9 5 2 2" xfId="5326" xr:uid="{00000000-0005-0000-0000-000034220000}"/>
    <cellStyle name="CABEÇALHO 5 9 5 2 3" xfId="7829" xr:uid="{00000000-0005-0000-0000-000035220000}"/>
    <cellStyle name="CABEÇALHO 5 9 5 2 4" xfId="8487" xr:uid="{00000000-0005-0000-0000-000036220000}"/>
    <cellStyle name="CABEÇALHO 5 9 5 2 5" xfId="8842" xr:uid="{00000000-0005-0000-0000-000037220000}"/>
    <cellStyle name="CABEÇALHO 5 9 5 2 6" xfId="9674" xr:uid="{00000000-0005-0000-0000-000038220000}"/>
    <cellStyle name="CABEÇALHO 5 9 5 3" xfId="1431" xr:uid="{00000000-0005-0000-0000-000039220000}"/>
    <cellStyle name="CABEÇALHO 5 9 5 3 2" xfId="4311" xr:uid="{00000000-0005-0000-0000-00003A220000}"/>
    <cellStyle name="CABEÇALHO 5 9 5 3 3" xfId="7907" xr:uid="{00000000-0005-0000-0000-00003B220000}"/>
    <cellStyle name="CABEÇALHO 5 9 5 3 4" xfId="9317" xr:uid="{00000000-0005-0000-0000-00003C220000}"/>
    <cellStyle name="CABEÇALHO 5 9 5 3 5" xfId="9668" xr:uid="{00000000-0005-0000-0000-00003D220000}"/>
    <cellStyle name="CABEÇALHO 5 9 5 3 6" xfId="11505" xr:uid="{00000000-0005-0000-0000-00003E220000}"/>
    <cellStyle name="CABEÇALHO 5 9 5 4" xfId="4184" xr:uid="{00000000-0005-0000-0000-00003F220000}"/>
    <cellStyle name="CABEÇALHO 5 9 5 5" xfId="3130" xr:uid="{00000000-0005-0000-0000-000040220000}"/>
    <cellStyle name="CABEÇALHO 5 9 5 6" xfId="7956" xr:uid="{00000000-0005-0000-0000-000041220000}"/>
    <cellStyle name="CABEÇALHO 5 9 5 7" xfId="9202" xr:uid="{00000000-0005-0000-0000-000042220000}"/>
    <cellStyle name="CABEÇALHO 5 9 5 8" xfId="11173" xr:uid="{00000000-0005-0000-0000-000043220000}"/>
    <cellStyle name="CABEÇALHO 5 9 6" xfId="1336" xr:uid="{00000000-0005-0000-0000-000044220000}"/>
    <cellStyle name="CABEÇALHO 5 9 6 2" xfId="2478" xr:uid="{00000000-0005-0000-0000-000045220000}"/>
    <cellStyle name="CABEÇALHO 5 9 6 2 2" xfId="5358" xr:uid="{00000000-0005-0000-0000-000046220000}"/>
    <cellStyle name="CABEÇALHO 5 9 6 2 3" xfId="6372" xr:uid="{00000000-0005-0000-0000-000047220000}"/>
    <cellStyle name="CABEÇALHO 5 9 6 2 4" xfId="8887" xr:uid="{00000000-0005-0000-0000-000048220000}"/>
    <cellStyle name="CABEÇALHO 5 9 6 2 5" xfId="10044" xr:uid="{00000000-0005-0000-0000-000049220000}"/>
    <cellStyle name="CABEÇALHO 5 9 6 2 6" xfId="9844" xr:uid="{00000000-0005-0000-0000-00004A220000}"/>
    <cellStyle name="CABEÇALHO 5 9 6 3" xfId="2873" xr:uid="{00000000-0005-0000-0000-00004B220000}"/>
    <cellStyle name="CABEÇALHO 5 9 6 3 2" xfId="5753" xr:uid="{00000000-0005-0000-0000-00004C220000}"/>
    <cellStyle name="CABEÇALHO 5 9 6 3 3" xfId="3154" xr:uid="{00000000-0005-0000-0000-00004D220000}"/>
    <cellStyle name="CABEÇALHO 5 9 6 3 4" xfId="7009" xr:uid="{00000000-0005-0000-0000-00004E220000}"/>
    <cellStyle name="CABEÇALHO 5 9 6 3 5" xfId="9100" xr:uid="{00000000-0005-0000-0000-00004F220000}"/>
    <cellStyle name="CABEÇALHO 5 9 6 3 6" xfId="11006" xr:uid="{00000000-0005-0000-0000-000050220000}"/>
    <cellStyle name="CABEÇALHO 5 9 6 4" xfId="4216" xr:uid="{00000000-0005-0000-0000-000051220000}"/>
    <cellStyle name="CABEÇALHO 5 9 6 5" xfId="7687" xr:uid="{00000000-0005-0000-0000-000052220000}"/>
    <cellStyle name="CABEÇALHO 5 9 6 6" xfId="9108" xr:uid="{00000000-0005-0000-0000-000053220000}"/>
    <cellStyle name="CABEÇALHO 5 9 6 7" xfId="10416" xr:uid="{00000000-0005-0000-0000-000054220000}"/>
    <cellStyle name="CABEÇALHO 5 9 6 8" xfId="10881" xr:uid="{00000000-0005-0000-0000-000055220000}"/>
    <cellStyle name="CABEÇALHO 5 9 7" xfId="1796" xr:uid="{00000000-0005-0000-0000-000056220000}"/>
    <cellStyle name="CABEÇALHO 5 9 7 2" xfId="4676" xr:uid="{00000000-0005-0000-0000-000057220000}"/>
    <cellStyle name="CABEÇALHO 5 9 7 3" xfId="7608" xr:uid="{00000000-0005-0000-0000-000058220000}"/>
    <cellStyle name="CABEÇALHO 5 9 7 4" xfId="9362" xr:uid="{00000000-0005-0000-0000-000059220000}"/>
    <cellStyle name="CABEÇALHO 5 9 7 5" xfId="9657" xr:uid="{00000000-0005-0000-0000-00005A220000}"/>
    <cellStyle name="CABEÇALHO 5 9 7 6" xfId="11164" xr:uid="{00000000-0005-0000-0000-00005B220000}"/>
    <cellStyle name="CABEÇALHO 5 9 8" xfId="2639" xr:uid="{00000000-0005-0000-0000-00005C220000}"/>
    <cellStyle name="CABEÇALHO 5 9 8 2" xfId="5519" xr:uid="{00000000-0005-0000-0000-00005D220000}"/>
    <cellStyle name="CABEÇALHO 5 9 8 3" xfId="7613" xr:uid="{00000000-0005-0000-0000-00005E220000}"/>
    <cellStyle name="CABEÇALHO 5 9 8 4" xfId="6255" xr:uid="{00000000-0005-0000-0000-00005F220000}"/>
    <cellStyle name="CABEÇALHO 5 9 8 5" xfId="8966" xr:uid="{00000000-0005-0000-0000-000060220000}"/>
    <cellStyle name="CABEÇALHO 5 9 8 6" xfId="10860" xr:uid="{00000000-0005-0000-0000-000061220000}"/>
    <cellStyle name="CABEÇALHO 5 9 9" xfId="3535" xr:uid="{00000000-0005-0000-0000-000062220000}"/>
    <cellStyle name="CABEÇALHO 50" xfId="2896" xr:uid="{00000000-0005-0000-0000-000063220000}"/>
    <cellStyle name="CABEÇALHO 51" xfId="2942" xr:uid="{00000000-0005-0000-0000-000064220000}"/>
    <cellStyle name="CABEÇALHO 52" xfId="6292" xr:uid="{00000000-0005-0000-0000-000065220000}"/>
    <cellStyle name="CABEÇALHO 53" xfId="6333" xr:uid="{00000000-0005-0000-0000-000066220000}"/>
    <cellStyle name="CABEÇALHO 54" xfId="8399" xr:uid="{00000000-0005-0000-0000-000067220000}"/>
    <cellStyle name="CABEÇALHO 55" xfId="8435" xr:uid="{00000000-0005-0000-0000-000068220000}"/>
    <cellStyle name="CABEÇALHO 56" xfId="9300" xr:uid="{00000000-0005-0000-0000-000069220000}"/>
    <cellStyle name="CABEÇALHO 57" xfId="10417" xr:uid="{00000000-0005-0000-0000-00006A220000}"/>
    <cellStyle name="CABEÇALHO 58" xfId="7331" xr:uid="{00000000-0005-0000-0000-00006B220000}"/>
    <cellStyle name="CABEÇALHO 59" xfId="10179" xr:uid="{00000000-0005-0000-0000-00006C220000}"/>
    <cellStyle name="CABEÇALHO 6" xfId="466" xr:uid="{00000000-0005-0000-0000-00006D220000}"/>
    <cellStyle name="CABEÇALHO 6 10" xfId="7049" xr:uid="{00000000-0005-0000-0000-00006E220000}"/>
    <cellStyle name="CABEÇALHO 6 11" xfId="8772" xr:uid="{00000000-0005-0000-0000-00006F220000}"/>
    <cellStyle name="CABEÇALHO 6 12" xfId="9743" xr:uid="{00000000-0005-0000-0000-000070220000}"/>
    <cellStyle name="CABEÇALHO 6 13" xfId="6568" xr:uid="{00000000-0005-0000-0000-000071220000}"/>
    <cellStyle name="CABEÇALHO 6 2" xfId="942" xr:uid="{00000000-0005-0000-0000-000072220000}"/>
    <cellStyle name="CABEÇALHO 6 2 2" xfId="2084" xr:uid="{00000000-0005-0000-0000-000073220000}"/>
    <cellStyle name="CABEÇALHO 6 2 2 2" xfId="4964" xr:uid="{00000000-0005-0000-0000-000074220000}"/>
    <cellStyle name="CABEÇALHO 6 2 2 3" xfId="7461" xr:uid="{00000000-0005-0000-0000-000075220000}"/>
    <cellStyle name="CABEÇALHO 6 2 2 4" xfId="9354" xr:uid="{00000000-0005-0000-0000-000076220000}"/>
    <cellStyle name="CABEÇALHO 6 2 2 5" xfId="10799" xr:uid="{00000000-0005-0000-0000-000077220000}"/>
    <cellStyle name="CABEÇALHO 6 2 2 6" xfId="6002" xr:uid="{00000000-0005-0000-0000-000078220000}"/>
    <cellStyle name="CABEÇALHO 6 2 3" xfId="1366" xr:uid="{00000000-0005-0000-0000-000079220000}"/>
    <cellStyle name="CABEÇALHO 6 2 3 2" xfId="4246" xr:uid="{00000000-0005-0000-0000-00007A220000}"/>
    <cellStyle name="CABEÇALHO 6 2 3 3" xfId="8015" xr:uid="{00000000-0005-0000-0000-00007B220000}"/>
    <cellStyle name="CABEÇALHO 6 2 3 4" xfId="9422" xr:uid="{00000000-0005-0000-0000-00007C220000}"/>
    <cellStyle name="CABEÇALHO 6 2 3 5" xfId="10326" xr:uid="{00000000-0005-0000-0000-00007D220000}"/>
    <cellStyle name="CABEÇALHO 6 2 3 6" xfId="10936" xr:uid="{00000000-0005-0000-0000-00007E220000}"/>
    <cellStyle name="CABEÇALHO 6 2 4" xfId="3822" xr:uid="{00000000-0005-0000-0000-00007F220000}"/>
    <cellStyle name="CABEÇALHO 6 2 5" xfId="6006" xr:uid="{00000000-0005-0000-0000-000080220000}"/>
    <cellStyle name="CABEÇALHO 6 2 6" xfId="8964" xr:uid="{00000000-0005-0000-0000-000081220000}"/>
    <cellStyle name="CABEÇALHO 6 2 7" xfId="9900" xr:uid="{00000000-0005-0000-0000-000082220000}"/>
    <cellStyle name="CABEÇALHO 6 2 8" xfId="6257" xr:uid="{00000000-0005-0000-0000-000083220000}"/>
    <cellStyle name="CABEÇALHO 6 3" xfId="695" xr:uid="{00000000-0005-0000-0000-000084220000}"/>
    <cellStyle name="CABEÇALHO 6 3 2" xfId="1837" xr:uid="{00000000-0005-0000-0000-000085220000}"/>
    <cellStyle name="CABEÇALHO 6 3 2 2" xfId="4717" xr:uid="{00000000-0005-0000-0000-000086220000}"/>
    <cellStyle name="CABEÇALHO 6 3 2 3" xfId="8098" xr:uid="{00000000-0005-0000-0000-000087220000}"/>
    <cellStyle name="CABEÇALHO 6 3 2 4" xfId="8446" xr:uid="{00000000-0005-0000-0000-000088220000}"/>
    <cellStyle name="CABEÇALHO 6 3 2 5" xfId="2974" xr:uid="{00000000-0005-0000-0000-000089220000}"/>
    <cellStyle name="CABEÇALHO 6 3 2 6" xfId="10314" xr:uid="{00000000-0005-0000-0000-00008A220000}"/>
    <cellStyle name="CABEÇALHO 6 3 3" xfId="1538" xr:uid="{00000000-0005-0000-0000-00008B220000}"/>
    <cellStyle name="CABEÇALHO 6 3 3 2" xfId="4418" xr:uid="{00000000-0005-0000-0000-00008C220000}"/>
    <cellStyle name="CABEÇALHO 6 3 3 3" xfId="7089" xr:uid="{00000000-0005-0000-0000-00008D220000}"/>
    <cellStyle name="CABEÇALHO 6 3 3 4" xfId="8543" xr:uid="{00000000-0005-0000-0000-00008E220000}"/>
    <cellStyle name="CABEÇALHO 6 3 3 5" xfId="10019" xr:uid="{00000000-0005-0000-0000-00008F220000}"/>
    <cellStyle name="CABEÇALHO 6 3 3 6" xfId="11342" xr:uid="{00000000-0005-0000-0000-000090220000}"/>
    <cellStyle name="CABEÇALHO 6 3 4" xfId="3575" xr:uid="{00000000-0005-0000-0000-000091220000}"/>
    <cellStyle name="CABEÇALHO 6 3 5" xfId="6910" xr:uid="{00000000-0005-0000-0000-000092220000}"/>
    <cellStyle name="CABEÇALHO 6 3 6" xfId="7217" xr:uid="{00000000-0005-0000-0000-000093220000}"/>
    <cellStyle name="CABEÇALHO 6 3 7" xfId="8756" xr:uid="{00000000-0005-0000-0000-000094220000}"/>
    <cellStyle name="CABEÇALHO 6 3 8" xfId="11014" xr:uid="{00000000-0005-0000-0000-000095220000}"/>
    <cellStyle name="CABEÇALHO 6 4" xfId="1218" xr:uid="{00000000-0005-0000-0000-000096220000}"/>
    <cellStyle name="CABEÇALHO 6 4 2" xfId="2360" xr:uid="{00000000-0005-0000-0000-000097220000}"/>
    <cellStyle name="CABEÇALHO 6 4 2 2" xfId="5240" xr:uid="{00000000-0005-0000-0000-000098220000}"/>
    <cellStyle name="CABEÇALHO 6 4 2 3" xfId="7659" xr:uid="{00000000-0005-0000-0000-000099220000}"/>
    <cellStyle name="CABEÇALHO 6 4 2 4" xfId="9234" xr:uid="{00000000-0005-0000-0000-00009A220000}"/>
    <cellStyle name="CABEÇALHO 6 4 2 5" xfId="10543" xr:uid="{00000000-0005-0000-0000-00009B220000}"/>
    <cellStyle name="CABEÇALHO 6 4 2 6" xfId="11099" xr:uid="{00000000-0005-0000-0000-00009C220000}"/>
    <cellStyle name="CABEÇALHO 6 4 3" xfId="1477" xr:uid="{00000000-0005-0000-0000-00009D220000}"/>
    <cellStyle name="CABEÇALHO 6 4 3 2" xfId="4357" xr:uid="{00000000-0005-0000-0000-00009E220000}"/>
    <cellStyle name="CABEÇALHO 6 4 3 3" xfId="7677" xr:uid="{00000000-0005-0000-0000-00009F220000}"/>
    <cellStyle name="CABEÇALHO 6 4 3 4" xfId="9099" xr:uid="{00000000-0005-0000-0000-0000A0220000}"/>
    <cellStyle name="CABEÇALHO 6 4 3 5" xfId="10572" xr:uid="{00000000-0005-0000-0000-0000A1220000}"/>
    <cellStyle name="CABEÇALHO 6 4 3 6" xfId="10759" xr:uid="{00000000-0005-0000-0000-0000A2220000}"/>
    <cellStyle name="CABEÇALHO 6 4 4" xfId="4098" xr:uid="{00000000-0005-0000-0000-0000A3220000}"/>
    <cellStyle name="CABEÇALHO 6 4 5" xfId="3086" xr:uid="{00000000-0005-0000-0000-0000A4220000}"/>
    <cellStyle name="CABEÇALHO 6 4 6" xfId="6406" xr:uid="{00000000-0005-0000-0000-0000A5220000}"/>
    <cellStyle name="CABEÇALHO 6 4 7" xfId="8352" xr:uid="{00000000-0005-0000-0000-0000A6220000}"/>
    <cellStyle name="CABEÇALHO 6 4 8" xfId="11672" xr:uid="{00000000-0005-0000-0000-0000A7220000}"/>
    <cellStyle name="CABEÇALHO 6 5" xfId="732" xr:uid="{00000000-0005-0000-0000-0000A8220000}"/>
    <cellStyle name="CABEÇALHO 6 5 2" xfId="1874" xr:uid="{00000000-0005-0000-0000-0000A9220000}"/>
    <cellStyle name="CABEÇALHO 6 5 2 2" xfId="4754" xr:uid="{00000000-0005-0000-0000-0000AA220000}"/>
    <cellStyle name="CABEÇALHO 6 5 2 3" xfId="7697" xr:uid="{00000000-0005-0000-0000-0000AB220000}"/>
    <cellStyle name="CABEÇALHO 6 5 2 4" xfId="9322" xr:uid="{00000000-0005-0000-0000-0000AC220000}"/>
    <cellStyle name="CABEÇALHO 6 5 2 5" xfId="10637" xr:uid="{00000000-0005-0000-0000-0000AD220000}"/>
    <cellStyle name="CABEÇALHO 6 5 2 6" xfId="11396" xr:uid="{00000000-0005-0000-0000-0000AE220000}"/>
    <cellStyle name="CABEÇALHO 6 5 3" xfId="2684" xr:uid="{00000000-0005-0000-0000-0000AF220000}"/>
    <cellStyle name="CABEÇALHO 6 5 3 2" xfId="5564" xr:uid="{00000000-0005-0000-0000-0000B0220000}"/>
    <cellStyle name="CABEÇALHO 6 5 3 3" xfId="7875" xr:uid="{00000000-0005-0000-0000-0000B1220000}"/>
    <cellStyle name="CABEÇALHO 6 5 3 4" xfId="9207" xr:uid="{00000000-0005-0000-0000-0000B2220000}"/>
    <cellStyle name="CABEÇALHO 6 5 3 5" xfId="9639" xr:uid="{00000000-0005-0000-0000-0000B3220000}"/>
    <cellStyle name="CABEÇALHO 6 5 3 6" xfId="11016" xr:uid="{00000000-0005-0000-0000-0000B4220000}"/>
    <cellStyle name="CABEÇALHO 6 5 4" xfId="3612" xr:uid="{00000000-0005-0000-0000-0000B5220000}"/>
    <cellStyle name="CABEÇALHO 6 5 5" xfId="7068" xr:uid="{00000000-0005-0000-0000-0000B6220000}"/>
    <cellStyle name="CABEÇALHO 6 5 6" xfId="8792" xr:uid="{00000000-0005-0000-0000-0000B7220000}"/>
    <cellStyle name="CABEÇALHO 6 5 7" xfId="9760" xr:uid="{00000000-0005-0000-0000-0000B8220000}"/>
    <cellStyle name="CABEÇALHO 6 5 8" xfId="9871" xr:uid="{00000000-0005-0000-0000-0000B9220000}"/>
    <cellStyle name="CABEÇALHO 6 6" xfId="770" xr:uid="{00000000-0005-0000-0000-0000BA220000}"/>
    <cellStyle name="CABEÇALHO 6 6 2" xfId="1912" xr:uid="{00000000-0005-0000-0000-0000BB220000}"/>
    <cellStyle name="CABEÇALHO 6 6 2 2" xfId="4792" xr:uid="{00000000-0005-0000-0000-0000BC220000}"/>
    <cellStyle name="CABEÇALHO 6 6 2 3" xfId="8165" xr:uid="{00000000-0005-0000-0000-0000BD220000}"/>
    <cellStyle name="CABEÇALHO 6 6 2 4" xfId="7487" xr:uid="{00000000-0005-0000-0000-0000BE220000}"/>
    <cellStyle name="CABEÇALHO 6 6 2 5" xfId="7550" xr:uid="{00000000-0005-0000-0000-0000BF220000}"/>
    <cellStyle name="CABEÇALHO 6 6 2 6" xfId="8537" xr:uid="{00000000-0005-0000-0000-0000C0220000}"/>
    <cellStyle name="CABEÇALHO 6 6 3" xfId="2752" xr:uid="{00000000-0005-0000-0000-0000C1220000}"/>
    <cellStyle name="CABEÇALHO 6 6 3 2" xfId="5632" xr:uid="{00000000-0005-0000-0000-0000C2220000}"/>
    <cellStyle name="CABEÇALHO 6 6 3 3" xfId="7163" xr:uid="{00000000-0005-0000-0000-0000C3220000}"/>
    <cellStyle name="CABEÇALHO 6 6 3 4" xfId="6940" xr:uid="{00000000-0005-0000-0000-0000C4220000}"/>
    <cellStyle name="CABEÇALHO 6 6 3 5" xfId="9644" xr:uid="{00000000-0005-0000-0000-0000C5220000}"/>
    <cellStyle name="CABEÇALHO 6 6 3 6" xfId="8440" xr:uid="{00000000-0005-0000-0000-0000C6220000}"/>
    <cellStyle name="CABEÇALHO 6 6 4" xfId="3650" xr:uid="{00000000-0005-0000-0000-0000C7220000}"/>
    <cellStyle name="CABEÇALHO 6 6 5" xfId="6966" xr:uid="{00000000-0005-0000-0000-0000C8220000}"/>
    <cellStyle name="CABEÇALHO 6 6 6" xfId="7074" xr:uid="{00000000-0005-0000-0000-0000C9220000}"/>
    <cellStyle name="CABEÇALHO 6 6 7" xfId="10253" xr:uid="{00000000-0005-0000-0000-0000CA220000}"/>
    <cellStyle name="CABEÇALHO 6 6 8" xfId="11542" xr:uid="{00000000-0005-0000-0000-0000CB220000}"/>
    <cellStyle name="CABEÇALHO 6 7" xfId="1607" xr:uid="{00000000-0005-0000-0000-0000CC220000}"/>
    <cellStyle name="CABEÇALHO 6 7 2" xfId="4487" xr:uid="{00000000-0005-0000-0000-0000CD220000}"/>
    <cellStyle name="CABEÇALHO 6 7 3" xfId="6567" xr:uid="{00000000-0005-0000-0000-0000CE220000}"/>
    <cellStyle name="CABEÇALHO 6 7 4" xfId="6282" xr:uid="{00000000-0005-0000-0000-0000CF220000}"/>
    <cellStyle name="CABEÇALHO 6 7 5" xfId="9486" xr:uid="{00000000-0005-0000-0000-0000D0220000}"/>
    <cellStyle name="CABEÇALHO 6 7 6" xfId="11643" xr:uid="{00000000-0005-0000-0000-0000D1220000}"/>
    <cellStyle name="CABEÇALHO 6 8" xfId="2809" xr:uid="{00000000-0005-0000-0000-0000D2220000}"/>
    <cellStyle name="CABEÇALHO 6 8 2" xfId="5689" xr:uid="{00000000-0005-0000-0000-0000D3220000}"/>
    <cellStyle name="CABEÇALHO 6 8 3" xfId="6620" xr:uid="{00000000-0005-0000-0000-0000D4220000}"/>
    <cellStyle name="CABEÇALHO 6 8 4" xfId="9340" xr:uid="{00000000-0005-0000-0000-0000D5220000}"/>
    <cellStyle name="CABEÇALHO 6 8 5" xfId="8544" xr:uid="{00000000-0005-0000-0000-0000D6220000}"/>
    <cellStyle name="CABEÇALHO 6 8 6" xfId="9932" xr:uid="{00000000-0005-0000-0000-0000D7220000}"/>
    <cellStyle name="CABEÇALHO 6 9" xfId="3346" xr:uid="{00000000-0005-0000-0000-0000D8220000}"/>
    <cellStyle name="CABEÇALHO 60" xfId="11400" xr:uid="{00000000-0005-0000-0000-0000D9220000}"/>
    <cellStyle name="CABEÇALHO 7" xfId="477" xr:uid="{00000000-0005-0000-0000-0000DA220000}"/>
    <cellStyle name="CABEÇALHO 7 10" xfId="5854" xr:uid="{00000000-0005-0000-0000-0000DB220000}"/>
    <cellStyle name="CABEÇALHO 7 11" xfId="6250" xr:uid="{00000000-0005-0000-0000-0000DC220000}"/>
    <cellStyle name="CABEÇALHO 7 12" xfId="10284" xr:uid="{00000000-0005-0000-0000-0000DD220000}"/>
    <cellStyle name="CABEÇALHO 7 13" xfId="11107" xr:uid="{00000000-0005-0000-0000-0000DE220000}"/>
    <cellStyle name="CABEÇALHO 7 2" xfId="953" xr:uid="{00000000-0005-0000-0000-0000DF220000}"/>
    <cellStyle name="CABEÇALHO 7 2 2" xfId="2095" xr:uid="{00000000-0005-0000-0000-0000E0220000}"/>
    <cellStyle name="CABEÇALHO 7 2 2 2" xfId="4975" xr:uid="{00000000-0005-0000-0000-0000E1220000}"/>
    <cellStyle name="CABEÇALHO 7 2 2 3" xfId="8075" xr:uid="{00000000-0005-0000-0000-0000E2220000}"/>
    <cellStyle name="CABEÇALHO 7 2 2 4" xfId="6336" xr:uid="{00000000-0005-0000-0000-0000E3220000}"/>
    <cellStyle name="CABEÇALHO 7 2 2 5" xfId="8827" xr:uid="{00000000-0005-0000-0000-0000E4220000}"/>
    <cellStyle name="CABEÇALHO 7 2 2 6" xfId="7267" xr:uid="{00000000-0005-0000-0000-0000E5220000}"/>
    <cellStyle name="CABEÇALHO 7 2 3" xfId="2600" xr:uid="{00000000-0005-0000-0000-0000E6220000}"/>
    <cellStyle name="CABEÇALHO 7 2 3 2" xfId="5480" xr:uid="{00000000-0005-0000-0000-0000E7220000}"/>
    <cellStyle name="CABEÇALHO 7 2 3 3" xfId="7309" xr:uid="{00000000-0005-0000-0000-0000E8220000}"/>
    <cellStyle name="CABEÇALHO 7 2 3 4" xfId="3209" xr:uid="{00000000-0005-0000-0000-0000E9220000}"/>
    <cellStyle name="CABEÇALHO 7 2 3 5" xfId="8501" xr:uid="{00000000-0005-0000-0000-0000EA220000}"/>
    <cellStyle name="CABEÇALHO 7 2 3 6" xfId="11329" xr:uid="{00000000-0005-0000-0000-0000EB220000}"/>
    <cellStyle name="CABEÇALHO 7 2 4" xfId="3833" xr:uid="{00000000-0005-0000-0000-0000EC220000}"/>
    <cellStyle name="CABEÇALHO 7 2 5" xfId="6318" xr:uid="{00000000-0005-0000-0000-0000ED220000}"/>
    <cellStyle name="CABEÇALHO 7 2 6" xfId="8420" xr:uid="{00000000-0005-0000-0000-0000EE220000}"/>
    <cellStyle name="CABEÇALHO 7 2 7" xfId="3048" xr:uid="{00000000-0005-0000-0000-0000EF220000}"/>
    <cellStyle name="CABEÇALHO 7 2 8" xfId="10155" xr:uid="{00000000-0005-0000-0000-0000F0220000}"/>
    <cellStyle name="CABEÇALHO 7 3" xfId="800" xr:uid="{00000000-0005-0000-0000-0000F1220000}"/>
    <cellStyle name="CABEÇALHO 7 3 2" xfId="1942" xr:uid="{00000000-0005-0000-0000-0000F2220000}"/>
    <cellStyle name="CABEÇALHO 7 3 2 2" xfId="4822" xr:uid="{00000000-0005-0000-0000-0000F3220000}"/>
    <cellStyle name="CABEÇALHO 7 3 2 3" xfId="8078" xr:uid="{00000000-0005-0000-0000-0000F4220000}"/>
    <cellStyle name="CABEÇALHO 7 3 2 4" xfId="8473" xr:uid="{00000000-0005-0000-0000-0000F5220000}"/>
    <cellStyle name="CABEÇALHO 7 3 2 5" xfId="8505" xr:uid="{00000000-0005-0000-0000-0000F6220000}"/>
    <cellStyle name="CABEÇALHO 7 3 2 6" xfId="11141" xr:uid="{00000000-0005-0000-0000-0000F7220000}"/>
    <cellStyle name="CABEÇALHO 7 3 3" xfId="1471" xr:uid="{00000000-0005-0000-0000-0000F8220000}"/>
    <cellStyle name="CABEÇALHO 7 3 3 2" xfId="4351" xr:uid="{00000000-0005-0000-0000-0000F9220000}"/>
    <cellStyle name="CABEÇALHO 7 3 3 3" xfId="7474" xr:uid="{00000000-0005-0000-0000-0000FA220000}"/>
    <cellStyle name="CABEÇALHO 7 3 3 4" xfId="8909" xr:uid="{00000000-0005-0000-0000-0000FB220000}"/>
    <cellStyle name="CABEÇALHO 7 3 3 5" xfId="10093" xr:uid="{00000000-0005-0000-0000-0000FC220000}"/>
    <cellStyle name="CABEÇALHO 7 3 3 6" xfId="10975" xr:uid="{00000000-0005-0000-0000-0000FD220000}"/>
    <cellStyle name="CABEÇALHO 7 3 4" xfId="3680" xr:uid="{00000000-0005-0000-0000-0000FE220000}"/>
    <cellStyle name="CABEÇALHO 7 3 5" xfId="7064" xr:uid="{00000000-0005-0000-0000-0000FF220000}"/>
    <cellStyle name="CABEÇALHO 7 3 6" xfId="8788" xr:uid="{00000000-0005-0000-0000-000000230000}"/>
    <cellStyle name="CABEÇALHO 7 3 7" xfId="9756" xr:uid="{00000000-0005-0000-0000-000001230000}"/>
    <cellStyle name="CABEÇALHO 7 3 8" xfId="8400" xr:uid="{00000000-0005-0000-0000-000002230000}"/>
    <cellStyle name="CABEÇALHO 7 4" xfId="1148" xr:uid="{00000000-0005-0000-0000-000003230000}"/>
    <cellStyle name="CABEÇALHO 7 4 2" xfId="2290" xr:uid="{00000000-0005-0000-0000-000004230000}"/>
    <cellStyle name="CABEÇALHO 7 4 2 2" xfId="5170" xr:uid="{00000000-0005-0000-0000-000005230000}"/>
    <cellStyle name="CABEÇALHO 7 4 2 3" xfId="8029" xr:uid="{00000000-0005-0000-0000-000006230000}"/>
    <cellStyle name="CABEÇALHO 7 4 2 4" xfId="7527" xr:uid="{00000000-0005-0000-0000-000007230000}"/>
    <cellStyle name="CABEÇALHO 7 4 2 5" xfId="2991" xr:uid="{00000000-0005-0000-0000-000008230000}"/>
    <cellStyle name="CABEÇALHO 7 4 2 6" xfId="6985" xr:uid="{00000000-0005-0000-0000-000009230000}"/>
    <cellStyle name="CABEÇALHO 7 4 3" xfId="1360" xr:uid="{00000000-0005-0000-0000-00000A230000}"/>
    <cellStyle name="CABEÇALHO 7 4 3 2" xfId="4240" xr:uid="{00000000-0005-0000-0000-00000B230000}"/>
    <cellStyle name="CABEÇALHO 7 4 3 3" xfId="7230" xr:uid="{00000000-0005-0000-0000-00000C230000}"/>
    <cellStyle name="CABEÇALHO 7 4 3 4" xfId="8673" xr:uid="{00000000-0005-0000-0000-00000D230000}"/>
    <cellStyle name="CABEÇALHO 7 4 3 5" xfId="10441" xr:uid="{00000000-0005-0000-0000-00000E230000}"/>
    <cellStyle name="CABEÇALHO 7 4 3 6" xfId="9941" xr:uid="{00000000-0005-0000-0000-00000F230000}"/>
    <cellStyle name="CABEÇALHO 7 4 4" xfId="4028" xr:uid="{00000000-0005-0000-0000-000010230000}"/>
    <cellStyle name="CABEÇALHO 7 4 5" xfId="2893" xr:uid="{00000000-0005-0000-0000-000011230000}"/>
    <cellStyle name="CABEÇALHO 7 4 6" xfId="7653" xr:uid="{00000000-0005-0000-0000-000012230000}"/>
    <cellStyle name="CABEÇALHO 7 4 7" xfId="9259" xr:uid="{00000000-0005-0000-0000-000013230000}"/>
    <cellStyle name="CABEÇALHO 7 4 8" xfId="11207" xr:uid="{00000000-0005-0000-0000-000014230000}"/>
    <cellStyle name="CABEÇALHO 7 5" xfId="690" xr:uid="{00000000-0005-0000-0000-000015230000}"/>
    <cellStyle name="CABEÇALHO 7 5 2" xfId="1832" xr:uid="{00000000-0005-0000-0000-000016230000}"/>
    <cellStyle name="CABEÇALHO 7 5 2 2" xfId="4712" xr:uid="{00000000-0005-0000-0000-000017230000}"/>
    <cellStyle name="CABEÇALHO 7 5 2 3" xfId="7598" xr:uid="{00000000-0005-0000-0000-000018230000}"/>
    <cellStyle name="CABEÇALHO 7 5 2 4" xfId="9507" xr:uid="{00000000-0005-0000-0000-000019230000}"/>
    <cellStyle name="CABEÇALHO 7 5 2 5" xfId="10533" xr:uid="{00000000-0005-0000-0000-00001A230000}"/>
    <cellStyle name="CABEÇALHO 7 5 2 6" xfId="11103" xr:uid="{00000000-0005-0000-0000-00001B230000}"/>
    <cellStyle name="CABEÇALHO 7 5 3" xfId="2678" xr:uid="{00000000-0005-0000-0000-00001C230000}"/>
    <cellStyle name="CABEÇALHO 7 5 3 2" xfId="5558" xr:uid="{00000000-0005-0000-0000-00001D230000}"/>
    <cellStyle name="CABEÇALHO 7 5 3 3" xfId="3144" xr:uid="{00000000-0005-0000-0000-00001E230000}"/>
    <cellStyle name="CABEÇALHO 7 5 3 4" xfId="6015" xr:uid="{00000000-0005-0000-0000-00001F230000}"/>
    <cellStyle name="CABEÇALHO 7 5 3 5" xfId="8779" xr:uid="{00000000-0005-0000-0000-000020230000}"/>
    <cellStyle name="CABEÇALHO 7 5 3 6" xfId="10129" xr:uid="{00000000-0005-0000-0000-000021230000}"/>
    <cellStyle name="CABEÇALHO 7 5 4" xfId="3570" xr:uid="{00000000-0005-0000-0000-000022230000}"/>
    <cellStyle name="CABEÇALHO 7 5 5" xfId="6494" xr:uid="{00000000-0005-0000-0000-000023230000}"/>
    <cellStyle name="CABEÇALHO 7 5 6" xfId="8578" xr:uid="{00000000-0005-0000-0000-000024230000}"/>
    <cellStyle name="CABEÇALHO 7 5 7" xfId="8549" xr:uid="{00000000-0005-0000-0000-000025230000}"/>
    <cellStyle name="CABEÇALHO 7 5 8" xfId="11431" xr:uid="{00000000-0005-0000-0000-000026230000}"/>
    <cellStyle name="CABEÇALHO 7 6" xfId="1223" xr:uid="{00000000-0005-0000-0000-000027230000}"/>
    <cellStyle name="CABEÇALHO 7 6 2" xfId="2365" xr:uid="{00000000-0005-0000-0000-000028230000}"/>
    <cellStyle name="CABEÇALHO 7 6 2 2" xfId="5245" xr:uid="{00000000-0005-0000-0000-000029230000}"/>
    <cellStyle name="CABEÇALHO 7 6 2 3" xfId="7966" xr:uid="{00000000-0005-0000-0000-00002A230000}"/>
    <cellStyle name="CABEÇALHO 7 6 2 4" xfId="6021" xr:uid="{00000000-0005-0000-0000-00002B230000}"/>
    <cellStyle name="CABEÇALHO 7 6 2 5" xfId="7177" xr:uid="{00000000-0005-0000-0000-00002C230000}"/>
    <cellStyle name="CABEÇALHO 7 6 2 6" xfId="11466" xr:uid="{00000000-0005-0000-0000-00002D230000}"/>
    <cellStyle name="CABEÇALHO 7 6 3" xfId="2862" xr:uid="{00000000-0005-0000-0000-00002E230000}"/>
    <cellStyle name="CABEÇALHO 7 6 3 2" xfId="5742" xr:uid="{00000000-0005-0000-0000-00002F230000}"/>
    <cellStyle name="CABEÇALHO 7 6 3 3" xfId="7247" xr:uid="{00000000-0005-0000-0000-000030230000}"/>
    <cellStyle name="CABEÇALHO 7 6 3 4" xfId="6833" xr:uid="{00000000-0005-0000-0000-000031230000}"/>
    <cellStyle name="CABEÇALHO 7 6 3 5" xfId="8983" xr:uid="{00000000-0005-0000-0000-000032230000}"/>
    <cellStyle name="CABEÇALHO 7 6 3 6" xfId="10166" xr:uid="{00000000-0005-0000-0000-000033230000}"/>
    <cellStyle name="CABEÇALHO 7 6 4" xfId="4103" xr:uid="{00000000-0005-0000-0000-000034230000}"/>
    <cellStyle name="CABEÇALHO 7 6 5" xfId="3179" xr:uid="{00000000-0005-0000-0000-000035230000}"/>
    <cellStyle name="CABEÇALHO 7 6 6" xfId="6475" xr:uid="{00000000-0005-0000-0000-000036230000}"/>
    <cellStyle name="CABEÇALHO 7 6 7" xfId="7040" xr:uid="{00000000-0005-0000-0000-000037230000}"/>
    <cellStyle name="CABEÇALHO 7 6 8" xfId="10440" xr:uid="{00000000-0005-0000-0000-000038230000}"/>
    <cellStyle name="CABEÇALHO 7 7" xfId="1618" xr:uid="{00000000-0005-0000-0000-000039230000}"/>
    <cellStyle name="CABEÇALHO 7 7 2" xfId="4498" xr:uid="{00000000-0005-0000-0000-00003A230000}"/>
    <cellStyle name="CABEÇALHO 7 7 3" xfId="6856" xr:uid="{00000000-0005-0000-0000-00003B230000}"/>
    <cellStyle name="CABEÇALHO 7 7 4" xfId="8326" xr:uid="{00000000-0005-0000-0000-00003C230000}"/>
    <cellStyle name="CABEÇALHO 7 7 5" xfId="10193" xr:uid="{00000000-0005-0000-0000-00003D230000}"/>
    <cellStyle name="CABEÇALHO 7 7 6" xfId="10973" xr:uid="{00000000-0005-0000-0000-00003E230000}"/>
    <cellStyle name="CABEÇALHO 7 8" xfId="2698" xr:uid="{00000000-0005-0000-0000-00003F230000}"/>
    <cellStyle name="CABEÇALHO 7 8 2" xfId="5578" xr:uid="{00000000-0005-0000-0000-000040230000}"/>
    <cellStyle name="CABEÇALHO 7 8 3" xfId="7174" xr:uid="{00000000-0005-0000-0000-000041230000}"/>
    <cellStyle name="CABEÇALHO 7 8 4" xfId="7880" xr:uid="{00000000-0005-0000-0000-000042230000}"/>
    <cellStyle name="CABEÇALHO 7 8 5" xfId="10551" xr:uid="{00000000-0005-0000-0000-000043230000}"/>
    <cellStyle name="CABEÇALHO 7 8 6" xfId="11343" xr:uid="{00000000-0005-0000-0000-000044230000}"/>
    <cellStyle name="CABEÇALHO 7 9" xfId="3357" xr:uid="{00000000-0005-0000-0000-000045230000}"/>
    <cellStyle name="CABEÇALHO 8" xfId="649" xr:uid="{00000000-0005-0000-0000-000046230000}"/>
    <cellStyle name="CABEÇALHO 8 10" xfId="5984" xr:uid="{00000000-0005-0000-0000-000047230000}"/>
    <cellStyle name="CABEÇALHO 8 11" xfId="8944" xr:uid="{00000000-0005-0000-0000-000048230000}"/>
    <cellStyle name="CABEÇALHO 8 12" xfId="9891" xr:uid="{00000000-0005-0000-0000-000049230000}"/>
    <cellStyle name="CABEÇALHO 8 13" xfId="10135" xr:uid="{00000000-0005-0000-0000-00004A230000}"/>
    <cellStyle name="CABEÇALHO 8 2" xfId="1125" xr:uid="{00000000-0005-0000-0000-00004B230000}"/>
    <cellStyle name="CABEÇALHO 8 2 2" xfId="2267" xr:uid="{00000000-0005-0000-0000-00004C230000}"/>
    <cellStyle name="CABEÇALHO 8 2 2 2" xfId="5147" xr:uid="{00000000-0005-0000-0000-00004D230000}"/>
    <cellStyle name="CABEÇALHO 8 2 2 3" xfId="7777" xr:uid="{00000000-0005-0000-0000-00004E230000}"/>
    <cellStyle name="CABEÇALHO 8 2 2 4" xfId="9501" xr:uid="{00000000-0005-0000-0000-00004F230000}"/>
    <cellStyle name="CABEÇALHO 8 2 2 5" xfId="10833" xr:uid="{00000000-0005-0000-0000-000050230000}"/>
    <cellStyle name="CABEÇALHO 8 2 2 6" xfId="11420" xr:uid="{00000000-0005-0000-0000-000051230000}"/>
    <cellStyle name="CABEÇALHO 8 2 3" xfId="2673" xr:uid="{00000000-0005-0000-0000-000052230000}"/>
    <cellStyle name="CABEÇALHO 8 2 3 2" xfId="5553" xr:uid="{00000000-0005-0000-0000-000053230000}"/>
    <cellStyle name="CABEÇALHO 8 2 3 3" xfId="6640" xr:uid="{00000000-0005-0000-0000-000054230000}"/>
    <cellStyle name="CABEÇALHO 8 2 3 4" xfId="9538" xr:uid="{00000000-0005-0000-0000-000055230000}"/>
    <cellStyle name="CABEÇALHO 8 2 3 5" xfId="10570" xr:uid="{00000000-0005-0000-0000-000056230000}"/>
    <cellStyle name="CABEÇALHO 8 2 3 6" xfId="11581" xr:uid="{00000000-0005-0000-0000-000057230000}"/>
    <cellStyle name="CABEÇALHO 8 2 4" xfId="4005" xr:uid="{00000000-0005-0000-0000-000058230000}"/>
    <cellStyle name="CABEÇALHO 8 2 5" xfId="7115" xr:uid="{00000000-0005-0000-0000-000059230000}"/>
    <cellStyle name="CABEÇALHO 8 2 6" xfId="8834" xr:uid="{00000000-0005-0000-0000-00005A230000}"/>
    <cellStyle name="CABEÇALHO 8 2 7" xfId="9791" xr:uid="{00000000-0005-0000-0000-00005B230000}"/>
    <cellStyle name="CABEÇALHO 8 2 8" xfId="11095" xr:uid="{00000000-0005-0000-0000-00005C230000}"/>
    <cellStyle name="CABEÇALHO 8 3" xfId="720" xr:uid="{00000000-0005-0000-0000-00005D230000}"/>
    <cellStyle name="CABEÇALHO 8 3 2" xfId="1862" xr:uid="{00000000-0005-0000-0000-00005E230000}"/>
    <cellStyle name="CABEÇALHO 8 3 2 2" xfId="4742" xr:uid="{00000000-0005-0000-0000-00005F230000}"/>
    <cellStyle name="CABEÇALHO 8 3 2 3" xfId="8060" xr:uid="{00000000-0005-0000-0000-000060230000}"/>
    <cellStyle name="CABEÇALHO 8 3 2 4" xfId="6344" xr:uid="{00000000-0005-0000-0000-000061230000}"/>
    <cellStyle name="CABEÇALHO 8 3 2 5" xfId="6634" xr:uid="{00000000-0005-0000-0000-000062230000}"/>
    <cellStyle name="CABEÇALHO 8 3 2 6" xfId="9497" xr:uid="{00000000-0005-0000-0000-000063230000}"/>
    <cellStyle name="CABEÇALHO 8 3 3" xfId="2658" xr:uid="{00000000-0005-0000-0000-000064230000}"/>
    <cellStyle name="CABEÇALHO 8 3 3 2" xfId="5538" xr:uid="{00000000-0005-0000-0000-000065230000}"/>
    <cellStyle name="CABEÇALHO 8 3 3 3" xfId="6533" xr:uid="{00000000-0005-0000-0000-000066230000}"/>
    <cellStyle name="CABEÇALHO 8 3 3 4" xfId="8333" xr:uid="{00000000-0005-0000-0000-000067230000}"/>
    <cellStyle name="CABEÇALHO 8 3 3 5" xfId="10680" xr:uid="{00000000-0005-0000-0000-000068230000}"/>
    <cellStyle name="CABEÇALHO 8 3 3 6" xfId="11640" xr:uid="{00000000-0005-0000-0000-000069230000}"/>
    <cellStyle name="CABEÇALHO 8 3 4" xfId="3600" xr:uid="{00000000-0005-0000-0000-00006A230000}"/>
    <cellStyle name="CABEÇALHO 8 3 5" xfId="7409" xr:uid="{00000000-0005-0000-0000-00006B230000}"/>
    <cellStyle name="CABEÇALHO 8 3 6" xfId="7671" xr:uid="{00000000-0005-0000-0000-00006C230000}"/>
    <cellStyle name="CABEÇALHO 8 3 7" xfId="8111" xr:uid="{00000000-0005-0000-0000-00006D230000}"/>
    <cellStyle name="CABEÇALHO 8 3 8" xfId="11411" xr:uid="{00000000-0005-0000-0000-00006E230000}"/>
    <cellStyle name="CABEÇALHO 8 4" xfId="1265" xr:uid="{00000000-0005-0000-0000-00006F230000}"/>
    <cellStyle name="CABEÇALHO 8 4 2" xfId="2407" xr:uid="{00000000-0005-0000-0000-000070230000}"/>
    <cellStyle name="CABEÇALHO 8 4 2 2" xfId="5287" xr:uid="{00000000-0005-0000-0000-000071230000}"/>
    <cellStyle name="CABEÇALHO 8 4 2 3" xfId="6070" xr:uid="{00000000-0005-0000-0000-000072230000}"/>
    <cellStyle name="CABEÇALHO 8 4 2 4" xfId="7586" xr:uid="{00000000-0005-0000-0000-000073230000}"/>
    <cellStyle name="CABEÇALHO 8 4 2 5" xfId="8804" xr:uid="{00000000-0005-0000-0000-000074230000}"/>
    <cellStyle name="CABEÇALHO 8 4 2 6" xfId="11543" xr:uid="{00000000-0005-0000-0000-000075230000}"/>
    <cellStyle name="CABEÇALHO 8 4 3" xfId="2714" xr:uid="{00000000-0005-0000-0000-000076230000}"/>
    <cellStyle name="CABEÇALHO 8 4 3 2" xfId="5594" xr:uid="{00000000-0005-0000-0000-000077230000}"/>
    <cellStyle name="CABEÇALHO 8 4 3 3" xfId="6085" xr:uid="{00000000-0005-0000-0000-000078230000}"/>
    <cellStyle name="CABEÇALHO 8 4 3 4" xfId="9038" xr:uid="{00000000-0005-0000-0000-000079230000}"/>
    <cellStyle name="CABEÇALHO 8 4 3 5" xfId="10420" xr:uid="{00000000-0005-0000-0000-00007A230000}"/>
    <cellStyle name="CABEÇALHO 8 4 3 6" xfId="6875" xr:uid="{00000000-0005-0000-0000-00007B230000}"/>
    <cellStyle name="CABEÇALHO 8 4 4" xfId="4145" xr:uid="{00000000-0005-0000-0000-00007C230000}"/>
    <cellStyle name="CABEÇALHO 8 4 5" xfId="7178" xr:uid="{00000000-0005-0000-0000-00007D230000}"/>
    <cellStyle name="CABEÇALHO 8 4 6" xfId="8624" xr:uid="{00000000-0005-0000-0000-00007E230000}"/>
    <cellStyle name="CABEÇALHO 8 4 7" xfId="9457" xr:uid="{00000000-0005-0000-0000-00007F230000}"/>
    <cellStyle name="CABEÇALHO 8 4 8" xfId="11232" xr:uid="{00000000-0005-0000-0000-000080230000}"/>
    <cellStyle name="CABEÇALHO 8 5" xfId="1298" xr:uid="{00000000-0005-0000-0000-000081230000}"/>
    <cellStyle name="CABEÇALHO 8 5 2" xfId="2440" xr:uid="{00000000-0005-0000-0000-000082230000}"/>
    <cellStyle name="CABEÇALHO 8 5 2 2" xfId="5320" xr:uid="{00000000-0005-0000-0000-000083230000}"/>
    <cellStyle name="CABEÇALHO 8 5 2 3" xfId="8077" xr:uid="{00000000-0005-0000-0000-000084230000}"/>
    <cellStyle name="CABEÇALHO 8 5 2 4" xfId="6283" xr:uid="{00000000-0005-0000-0000-000085230000}"/>
    <cellStyle name="CABEÇALHO 8 5 2 5" xfId="8654" xr:uid="{00000000-0005-0000-0000-000086230000}"/>
    <cellStyle name="CABEÇALHO 8 5 2 6" xfId="9308" xr:uid="{00000000-0005-0000-0000-000087230000}"/>
    <cellStyle name="CABEÇALHO 8 5 3" xfId="1426" xr:uid="{00000000-0005-0000-0000-000088230000}"/>
    <cellStyle name="CABEÇALHO 8 5 3 2" xfId="4306" xr:uid="{00000000-0005-0000-0000-000089230000}"/>
    <cellStyle name="CABEÇALHO 8 5 3 3" xfId="7775" xr:uid="{00000000-0005-0000-0000-00008A230000}"/>
    <cellStyle name="CABEÇALHO 8 5 3 4" xfId="9189" xr:uid="{00000000-0005-0000-0000-00008B230000}"/>
    <cellStyle name="CABEÇALHO 8 5 3 5" xfId="10505" xr:uid="{00000000-0005-0000-0000-00008C230000}"/>
    <cellStyle name="CABEÇALHO 8 5 3 6" xfId="11118" xr:uid="{00000000-0005-0000-0000-00008D230000}"/>
    <cellStyle name="CABEÇALHO 8 5 4" xfId="4178" xr:uid="{00000000-0005-0000-0000-00008E230000}"/>
    <cellStyle name="CABEÇALHO 8 5 5" xfId="3124" xr:uid="{00000000-0005-0000-0000-00008F230000}"/>
    <cellStyle name="CABEÇALHO 8 5 6" xfId="2995" xr:uid="{00000000-0005-0000-0000-000090230000}"/>
    <cellStyle name="CABEÇALHO 8 5 7" xfId="10842" xr:uid="{00000000-0005-0000-0000-000091230000}"/>
    <cellStyle name="CABEÇALHO 8 5 8" xfId="11041" xr:uid="{00000000-0005-0000-0000-000092230000}"/>
    <cellStyle name="CABEÇALHO 8 6" xfId="1330" xr:uid="{00000000-0005-0000-0000-000093230000}"/>
    <cellStyle name="CABEÇALHO 8 6 2" xfId="2472" xr:uid="{00000000-0005-0000-0000-000094230000}"/>
    <cellStyle name="CABEÇALHO 8 6 2 2" xfId="5352" xr:uid="{00000000-0005-0000-0000-000095230000}"/>
    <cellStyle name="CABEÇALHO 8 6 2 3" xfId="6132" xr:uid="{00000000-0005-0000-0000-000096230000}"/>
    <cellStyle name="CABEÇALHO 8 6 2 4" xfId="8666" xr:uid="{00000000-0005-0000-0000-000097230000}"/>
    <cellStyle name="CABEÇALHO 8 6 2 5" xfId="10412" xr:uid="{00000000-0005-0000-0000-000098230000}"/>
    <cellStyle name="CABEÇALHO 8 6 2 6" xfId="6229" xr:uid="{00000000-0005-0000-0000-000099230000}"/>
    <cellStyle name="CABEÇALHO 8 6 3" xfId="2867" xr:uid="{00000000-0005-0000-0000-00009A230000}"/>
    <cellStyle name="CABEÇALHO 8 6 3 2" xfId="5747" xr:uid="{00000000-0005-0000-0000-00009B230000}"/>
    <cellStyle name="CABEÇALHO 8 6 3 3" xfId="3148" xr:uid="{00000000-0005-0000-0000-00009C230000}"/>
    <cellStyle name="CABEÇALHO 8 6 3 4" xfId="7134" xr:uid="{00000000-0005-0000-0000-00009D230000}"/>
    <cellStyle name="CABEÇALHO 8 6 3 5" xfId="10033" xr:uid="{00000000-0005-0000-0000-00009E230000}"/>
    <cellStyle name="CABEÇALHO 8 6 3 6" xfId="10610" xr:uid="{00000000-0005-0000-0000-00009F230000}"/>
    <cellStyle name="CABEÇALHO 8 6 4" xfId="4210" xr:uid="{00000000-0005-0000-0000-0000A0230000}"/>
    <cellStyle name="CABEÇALHO 8 6 5" xfId="7820" xr:uid="{00000000-0005-0000-0000-0000A1230000}"/>
    <cellStyle name="CABEÇALHO 8 6 6" xfId="9231" xr:uid="{00000000-0005-0000-0000-0000A2230000}"/>
    <cellStyle name="CABEÇALHO 8 6 7" xfId="10368" xr:uid="{00000000-0005-0000-0000-0000A3230000}"/>
    <cellStyle name="CABEÇALHO 8 6 8" xfId="10938" xr:uid="{00000000-0005-0000-0000-0000A4230000}"/>
    <cellStyle name="CABEÇALHO 8 7" xfId="1790" xr:uid="{00000000-0005-0000-0000-0000A5230000}"/>
    <cellStyle name="CABEÇALHO 8 7 2" xfId="4670" xr:uid="{00000000-0005-0000-0000-0000A6230000}"/>
    <cellStyle name="CABEÇALHO 8 7 3" xfId="7747" xr:uid="{00000000-0005-0000-0000-0000A7230000}"/>
    <cellStyle name="CABEÇALHO 8 7 4" xfId="9390" xr:uid="{00000000-0005-0000-0000-0000A8230000}"/>
    <cellStyle name="CABEÇALHO 8 7 5" xfId="9661" xr:uid="{00000000-0005-0000-0000-0000A9230000}"/>
    <cellStyle name="CABEÇALHO 8 7 6" xfId="11634" xr:uid="{00000000-0005-0000-0000-0000AA230000}"/>
    <cellStyle name="CABEÇALHO 8 8" xfId="2841" xr:uid="{00000000-0005-0000-0000-0000AB230000}"/>
    <cellStyle name="CABEÇALHO 8 8 2" xfId="5721" xr:uid="{00000000-0005-0000-0000-0000AC230000}"/>
    <cellStyle name="CABEÇALHO 8 8 3" xfId="8067" xr:uid="{00000000-0005-0000-0000-0000AD230000}"/>
    <cellStyle name="CABEÇALHO 8 8 4" xfId="6294" xr:uid="{00000000-0005-0000-0000-0000AE230000}"/>
    <cellStyle name="CABEÇALHO 8 8 5" xfId="9253" xr:uid="{00000000-0005-0000-0000-0000AF230000}"/>
    <cellStyle name="CABEÇALHO 8 8 6" xfId="6074" xr:uid="{00000000-0005-0000-0000-0000B0230000}"/>
    <cellStyle name="CABEÇALHO 8 9" xfId="3529" xr:uid="{00000000-0005-0000-0000-0000B1230000}"/>
    <cellStyle name="CABEÇALHO 9" xfId="474" xr:uid="{00000000-0005-0000-0000-0000B2230000}"/>
    <cellStyle name="CABEÇALHO 9 10" xfId="7545" xr:uid="{00000000-0005-0000-0000-0000B3230000}"/>
    <cellStyle name="CABEÇALHO 9 11" xfId="6361" xr:uid="{00000000-0005-0000-0000-0000B4230000}"/>
    <cellStyle name="CABEÇALHO 9 12" xfId="10157" xr:uid="{00000000-0005-0000-0000-0000B5230000}"/>
    <cellStyle name="CABEÇALHO 9 13" xfId="11062" xr:uid="{00000000-0005-0000-0000-0000B6230000}"/>
    <cellStyle name="CABEÇALHO 9 2" xfId="950" xr:uid="{00000000-0005-0000-0000-0000B7230000}"/>
    <cellStyle name="CABEÇALHO 9 2 2" xfId="2092" xr:uid="{00000000-0005-0000-0000-0000B8230000}"/>
    <cellStyle name="CABEÇALHO 9 2 2 2" xfId="4972" xr:uid="{00000000-0005-0000-0000-0000B9230000}"/>
    <cellStyle name="CABEÇALHO 9 2 2 3" xfId="7934" xr:uid="{00000000-0005-0000-0000-0000BA230000}"/>
    <cellStyle name="CABEÇALHO 9 2 2 4" xfId="7107" xr:uid="{00000000-0005-0000-0000-0000BB230000}"/>
    <cellStyle name="CABEÇALHO 9 2 2 5" xfId="9834" xr:uid="{00000000-0005-0000-0000-0000BC230000}"/>
    <cellStyle name="CABEÇALHO 9 2 2 6" xfId="10131" xr:uid="{00000000-0005-0000-0000-0000BD230000}"/>
    <cellStyle name="CABEÇALHO 9 2 3" xfId="2736" xr:uid="{00000000-0005-0000-0000-0000BE230000}"/>
    <cellStyle name="CABEÇALHO 9 2 3 2" xfId="5616" xr:uid="{00000000-0005-0000-0000-0000BF230000}"/>
    <cellStyle name="CABEÇALHO 9 2 3 3" xfId="7242" xr:uid="{00000000-0005-0000-0000-0000C0230000}"/>
    <cellStyle name="CABEÇALHO 9 2 3 4" xfId="8457" xr:uid="{00000000-0005-0000-0000-0000C1230000}"/>
    <cellStyle name="CABEÇALHO 9 2 3 5" xfId="8240" xr:uid="{00000000-0005-0000-0000-0000C2230000}"/>
    <cellStyle name="CABEÇALHO 9 2 3 6" xfId="11154" xr:uid="{00000000-0005-0000-0000-0000C3230000}"/>
    <cellStyle name="CABEÇALHO 9 2 4" xfId="3830" xr:uid="{00000000-0005-0000-0000-0000C4230000}"/>
    <cellStyle name="CABEÇALHO 9 2 5" xfId="5972" xr:uid="{00000000-0005-0000-0000-0000C5230000}"/>
    <cellStyle name="CABEÇALHO 9 2 6" xfId="8932" xr:uid="{00000000-0005-0000-0000-0000C6230000}"/>
    <cellStyle name="CABEÇALHO 9 2 7" xfId="9879" xr:uid="{00000000-0005-0000-0000-0000C7230000}"/>
    <cellStyle name="CABEÇALHO 9 2 8" xfId="9332" xr:uid="{00000000-0005-0000-0000-0000C8230000}"/>
    <cellStyle name="CABEÇALHO 9 3" xfId="749" xr:uid="{00000000-0005-0000-0000-0000C9230000}"/>
    <cellStyle name="CABEÇALHO 9 3 2" xfId="1891" xr:uid="{00000000-0005-0000-0000-0000CA230000}"/>
    <cellStyle name="CABEÇALHO 9 3 2 2" xfId="4771" xr:uid="{00000000-0005-0000-0000-0000CB230000}"/>
    <cellStyle name="CABEÇALHO 9 3 2 3" xfId="7868" xr:uid="{00000000-0005-0000-0000-0000CC230000}"/>
    <cellStyle name="CABEÇALHO 9 3 2 4" xfId="7200" xr:uid="{00000000-0005-0000-0000-0000CD230000}"/>
    <cellStyle name="CABEÇALHO 9 3 2 5" xfId="9831" xr:uid="{00000000-0005-0000-0000-0000CE230000}"/>
    <cellStyle name="CABEÇALHO 9 3 2 6" xfId="10043" xr:uid="{00000000-0005-0000-0000-0000CF230000}"/>
    <cellStyle name="CABEÇALHO 9 3 3" xfId="1379" xr:uid="{00000000-0005-0000-0000-0000D0230000}"/>
    <cellStyle name="CABEÇALHO 9 3 3 2" xfId="4259" xr:uid="{00000000-0005-0000-0000-0000D1230000}"/>
    <cellStyle name="CABEÇALHO 9 3 3 3" xfId="6217" xr:uid="{00000000-0005-0000-0000-0000D2230000}"/>
    <cellStyle name="CABEÇALHO 9 3 3 4" xfId="6308" xr:uid="{00000000-0005-0000-0000-0000D3230000}"/>
    <cellStyle name="CABEÇALHO 9 3 3 5" xfId="5936" xr:uid="{00000000-0005-0000-0000-0000D4230000}"/>
    <cellStyle name="CABEÇALHO 9 3 3 6" xfId="11489" xr:uid="{00000000-0005-0000-0000-0000D5230000}"/>
    <cellStyle name="CABEÇALHO 9 3 4" xfId="3629" xr:uid="{00000000-0005-0000-0000-0000D6230000}"/>
    <cellStyle name="CABEÇALHO 9 3 5" xfId="7067" xr:uid="{00000000-0005-0000-0000-0000D7230000}"/>
    <cellStyle name="CABEÇALHO 9 3 6" xfId="8791" xr:uid="{00000000-0005-0000-0000-0000D8230000}"/>
    <cellStyle name="CABEÇALHO 9 3 7" xfId="9759" xr:uid="{00000000-0005-0000-0000-0000D9230000}"/>
    <cellStyle name="CABEÇALHO 9 3 8" xfId="11194" xr:uid="{00000000-0005-0000-0000-0000DA230000}"/>
    <cellStyle name="CABEÇALHO 9 4" xfId="709" xr:uid="{00000000-0005-0000-0000-0000DB230000}"/>
    <cellStyle name="CABEÇALHO 9 4 2" xfId="1851" xr:uid="{00000000-0005-0000-0000-0000DC230000}"/>
    <cellStyle name="CABEÇALHO 9 4 2 2" xfId="4731" xr:uid="{00000000-0005-0000-0000-0000DD230000}"/>
    <cellStyle name="CABEÇALHO 9 4 2 3" xfId="7754" xr:uid="{00000000-0005-0000-0000-0000DE230000}"/>
    <cellStyle name="CABEÇALHO 9 4 2 4" xfId="9395" xr:uid="{00000000-0005-0000-0000-0000DF230000}"/>
    <cellStyle name="CABEÇALHO 9 4 2 5" xfId="10086" xr:uid="{00000000-0005-0000-0000-0000E0230000}"/>
    <cellStyle name="CABEÇALHO 9 4 2 6" xfId="11417" xr:uid="{00000000-0005-0000-0000-0000E1230000}"/>
    <cellStyle name="CABEÇALHO 9 4 3" xfId="2694" xr:uid="{00000000-0005-0000-0000-0000E2230000}"/>
    <cellStyle name="CABEÇALHO 9 4 3 2" xfId="5574" xr:uid="{00000000-0005-0000-0000-0000E3230000}"/>
    <cellStyle name="CABEÇALHO 9 4 3 3" xfId="7592" xr:uid="{00000000-0005-0000-0000-0000E4230000}"/>
    <cellStyle name="CABEÇALHO 9 4 3 4" xfId="6307" xr:uid="{00000000-0005-0000-0000-0000E5230000}"/>
    <cellStyle name="CABEÇALHO 9 4 3 5" xfId="8351" xr:uid="{00000000-0005-0000-0000-0000E6230000}"/>
    <cellStyle name="CABEÇALHO 9 4 3 6" xfId="11515" xr:uid="{00000000-0005-0000-0000-0000E7230000}"/>
    <cellStyle name="CABEÇALHO 9 4 4" xfId="3589" xr:uid="{00000000-0005-0000-0000-0000E8230000}"/>
    <cellStyle name="CABEÇALHO 9 4 5" xfId="5874" xr:uid="{00000000-0005-0000-0000-0000E9230000}"/>
    <cellStyle name="CABEÇALHO 9 4 6" xfId="6878" xr:uid="{00000000-0005-0000-0000-0000EA230000}"/>
    <cellStyle name="CABEÇALHO 9 4 7" xfId="10302" xr:uid="{00000000-0005-0000-0000-0000EB230000}"/>
    <cellStyle name="CABEÇALHO 9 4 8" xfId="5786" xr:uid="{00000000-0005-0000-0000-0000EC230000}"/>
    <cellStyle name="CABEÇALHO 9 5" xfId="1216" xr:uid="{00000000-0005-0000-0000-0000ED230000}"/>
    <cellStyle name="CABEÇALHO 9 5 2" xfId="2358" xr:uid="{00000000-0005-0000-0000-0000EE230000}"/>
    <cellStyle name="CABEÇALHO 9 5 2 2" xfId="5238" xr:uid="{00000000-0005-0000-0000-0000EF230000}"/>
    <cellStyle name="CABEÇALHO 9 5 2 3" xfId="6644" xr:uid="{00000000-0005-0000-0000-0000F0230000}"/>
    <cellStyle name="CABEÇALHO 9 5 2 4" xfId="9137" xr:uid="{00000000-0005-0000-0000-0000F1230000}"/>
    <cellStyle name="CABEÇALHO 9 5 2 5" xfId="10594" xr:uid="{00000000-0005-0000-0000-0000F2230000}"/>
    <cellStyle name="CABEÇALHO 9 5 2 6" xfId="11220" xr:uid="{00000000-0005-0000-0000-0000F3230000}"/>
    <cellStyle name="CABEÇALHO 9 5 3" xfId="2772" xr:uid="{00000000-0005-0000-0000-0000F4230000}"/>
    <cellStyle name="CABEÇALHO 9 5 3 2" xfId="5652" xr:uid="{00000000-0005-0000-0000-0000F5230000}"/>
    <cellStyle name="CABEÇALHO 9 5 3 3" xfId="7804" xr:uid="{00000000-0005-0000-0000-0000F6230000}"/>
    <cellStyle name="CABEÇALHO 9 5 3 4" xfId="8610" xr:uid="{00000000-0005-0000-0000-0000F7230000}"/>
    <cellStyle name="CABEÇALHO 9 5 3 5" xfId="6636" xr:uid="{00000000-0005-0000-0000-0000F8230000}"/>
    <cellStyle name="CABEÇALHO 9 5 3 6" xfId="11088" xr:uid="{00000000-0005-0000-0000-0000F9230000}"/>
    <cellStyle name="CABEÇALHO 9 5 4" xfId="4096" xr:uid="{00000000-0005-0000-0000-0000FA230000}"/>
    <cellStyle name="CABEÇALHO 9 5 5" xfId="3084" xr:uid="{00000000-0005-0000-0000-0000FB230000}"/>
    <cellStyle name="CABEÇALHO 9 5 6" xfId="7045" xr:uid="{00000000-0005-0000-0000-0000FC230000}"/>
    <cellStyle name="CABEÇALHO 9 5 7" xfId="7312" xr:uid="{00000000-0005-0000-0000-0000FD230000}"/>
    <cellStyle name="CABEÇALHO 9 5 8" xfId="11162" xr:uid="{00000000-0005-0000-0000-0000FE230000}"/>
    <cellStyle name="CABEÇALHO 9 6" xfId="1233" xr:uid="{00000000-0005-0000-0000-0000FF230000}"/>
    <cellStyle name="CABEÇALHO 9 6 2" xfId="2375" xr:uid="{00000000-0005-0000-0000-000000240000}"/>
    <cellStyle name="CABEÇALHO 9 6 2 2" xfId="5255" xr:uid="{00000000-0005-0000-0000-000001240000}"/>
    <cellStyle name="CABEÇALHO 9 6 2 3" xfId="7185" xr:uid="{00000000-0005-0000-0000-000002240000}"/>
    <cellStyle name="CABEÇALHO 9 6 2 4" xfId="9407" xr:uid="{00000000-0005-0000-0000-000003240000}"/>
    <cellStyle name="CABEÇALHO 9 6 2 5" xfId="8803" xr:uid="{00000000-0005-0000-0000-000004240000}"/>
    <cellStyle name="CABEÇALHO 9 6 2 6" xfId="11165" xr:uid="{00000000-0005-0000-0000-000005240000}"/>
    <cellStyle name="CABEÇALHO 9 6 3" xfId="2773" xr:uid="{00000000-0005-0000-0000-000006240000}"/>
    <cellStyle name="CABEÇALHO 9 6 3 2" xfId="5653" xr:uid="{00000000-0005-0000-0000-000007240000}"/>
    <cellStyle name="CABEÇALHO 9 6 3 3" xfId="6732" xr:uid="{00000000-0005-0000-0000-000008240000}"/>
    <cellStyle name="CABEÇALHO 9 6 3 4" xfId="9584" xr:uid="{00000000-0005-0000-0000-000009240000}"/>
    <cellStyle name="CABEÇALHO 9 6 3 5" xfId="5830" xr:uid="{00000000-0005-0000-0000-00000A240000}"/>
    <cellStyle name="CABEÇALHO 9 6 3 6" xfId="6459" xr:uid="{00000000-0005-0000-0000-00000B240000}"/>
    <cellStyle name="CABEÇALHO 9 6 4" xfId="4113" xr:uid="{00000000-0005-0000-0000-00000C240000}"/>
    <cellStyle name="CABEÇALHO 9 6 5" xfId="3092" xr:uid="{00000000-0005-0000-0000-00000D240000}"/>
    <cellStyle name="CABEÇALHO 9 6 6" xfId="7385" xr:uid="{00000000-0005-0000-0000-00000E240000}"/>
    <cellStyle name="CABEÇALHO 9 6 7" xfId="3212" xr:uid="{00000000-0005-0000-0000-00000F240000}"/>
    <cellStyle name="CABEÇALHO 9 6 8" xfId="11267" xr:uid="{00000000-0005-0000-0000-000010240000}"/>
    <cellStyle name="CABEÇALHO 9 7" xfId="1615" xr:uid="{00000000-0005-0000-0000-000011240000}"/>
    <cellStyle name="CABEÇALHO 9 7 2" xfId="4495" xr:uid="{00000000-0005-0000-0000-000012240000}"/>
    <cellStyle name="CABEÇALHO 9 7 3" xfId="7434" xr:uid="{00000000-0005-0000-0000-000013240000}"/>
    <cellStyle name="CABEÇALHO 9 7 4" xfId="8870" xr:uid="{00000000-0005-0000-0000-000014240000}"/>
    <cellStyle name="CABEÇALHO 9 7 5" xfId="10037" xr:uid="{00000000-0005-0000-0000-000015240000}"/>
    <cellStyle name="CABEÇALHO 9 7 6" xfId="10558" xr:uid="{00000000-0005-0000-0000-000016240000}"/>
    <cellStyle name="CABEÇALHO 9 8" xfId="2493" xr:uid="{00000000-0005-0000-0000-000017240000}"/>
    <cellStyle name="CABEÇALHO 9 8 2" xfId="5373" xr:uid="{00000000-0005-0000-0000-000018240000}"/>
    <cellStyle name="CABEÇALHO 9 8 3" xfId="6218" xr:uid="{00000000-0005-0000-0000-000019240000}"/>
    <cellStyle name="CABEÇALHO 9 8 4" xfId="8746" xr:uid="{00000000-0005-0000-0000-00001A240000}"/>
    <cellStyle name="CABEÇALHO 9 8 5" xfId="10084" xr:uid="{00000000-0005-0000-0000-00001B240000}"/>
    <cellStyle name="CABEÇALHO 9 8 6" xfId="11485" xr:uid="{00000000-0005-0000-0000-00001C240000}"/>
    <cellStyle name="CABEÇALHO 9 9" xfId="3354" xr:uid="{00000000-0005-0000-0000-00001D240000}"/>
    <cellStyle name="Cálculo 2" xfId="96" xr:uid="{00000000-0005-0000-0000-00001E240000}"/>
    <cellStyle name="Cálculo 2 2" xfId="1173" xr:uid="{00000000-0005-0000-0000-00001F240000}"/>
    <cellStyle name="Cálculo 2 2 2" xfId="2315" xr:uid="{00000000-0005-0000-0000-000020240000}"/>
    <cellStyle name="Cálculo 2 2 2 2" xfId="5195" xr:uid="{00000000-0005-0000-0000-000021240000}"/>
    <cellStyle name="Cálculo 2 2 2 3" xfId="8035" xr:uid="{00000000-0005-0000-0000-000022240000}"/>
    <cellStyle name="Cálculo 2 2 2 4" xfId="7363" xr:uid="{00000000-0005-0000-0000-000023240000}"/>
    <cellStyle name="Cálculo 2 2 2 5" xfId="9688" xr:uid="{00000000-0005-0000-0000-000024240000}"/>
    <cellStyle name="Cálculo 2 2 2 6" xfId="10909" xr:uid="{00000000-0005-0000-0000-000025240000}"/>
    <cellStyle name="Cálculo 2 2 3" xfId="4053" xr:uid="{00000000-0005-0000-0000-000026240000}"/>
    <cellStyle name="Cálculo 2 2 4" xfId="2960" xr:uid="{00000000-0005-0000-0000-000027240000}"/>
    <cellStyle name="Cálculo 2 2 5" xfId="7571" xr:uid="{00000000-0005-0000-0000-000028240000}"/>
    <cellStyle name="Cálculo 2 2 6" xfId="9200" xr:uid="{00000000-0005-0000-0000-000029240000}"/>
    <cellStyle name="Cálculo 2 2 7" xfId="10598" xr:uid="{00000000-0005-0000-0000-00002A240000}"/>
    <cellStyle name="Cálculo 2 3" xfId="1392" xr:uid="{00000000-0005-0000-0000-00002B240000}"/>
    <cellStyle name="Cálculo 2 3 2" xfId="4272" xr:uid="{00000000-0005-0000-0000-00002C240000}"/>
    <cellStyle name="Cálculo 2 3 3" xfId="6872" xr:uid="{00000000-0005-0000-0000-00002D240000}"/>
    <cellStyle name="Cálculo 2 3 4" xfId="8341" xr:uid="{00000000-0005-0000-0000-00002E240000}"/>
    <cellStyle name="Cálculo 2 3 5" xfId="10675" xr:uid="{00000000-0005-0000-0000-00002F240000}"/>
    <cellStyle name="Cálculo 2 3 6" xfId="11131" xr:uid="{00000000-0005-0000-0000-000030240000}"/>
    <cellStyle name="Cálculo 2 4" xfId="6056" xr:uid="{00000000-0005-0000-0000-000031240000}"/>
    <cellStyle name="Cálculo 2 5" xfId="9012" xr:uid="{00000000-0005-0000-0000-000032240000}"/>
    <cellStyle name="Cálculo 2 6" xfId="9937" xr:uid="{00000000-0005-0000-0000-000033240000}"/>
    <cellStyle name="Cálculo 2 7" xfId="11067" xr:uid="{00000000-0005-0000-0000-000034240000}"/>
    <cellStyle name="Célula de Verificação 2" xfId="97" xr:uid="{00000000-0005-0000-0000-000035240000}"/>
    <cellStyle name="Célula Vinculada 2" xfId="98" xr:uid="{00000000-0005-0000-0000-000036240000}"/>
    <cellStyle name="Comma0" xfId="99" xr:uid="{00000000-0005-0000-0000-000037240000}"/>
    <cellStyle name="Data" xfId="100" xr:uid="{00000000-0005-0000-0000-000038240000}"/>
    <cellStyle name="Ênfase1 2" xfId="101" xr:uid="{00000000-0005-0000-0000-000039240000}"/>
    <cellStyle name="Ênfase2 2" xfId="102" xr:uid="{00000000-0005-0000-0000-00003A240000}"/>
    <cellStyle name="Ênfase3 2" xfId="103" xr:uid="{00000000-0005-0000-0000-00003B240000}"/>
    <cellStyle name="Ênfase4 2" xfId="104" xr:uid="{00000000-0005-0000-0000-00003C240000}"/>
    <cellStyle name="Ênfase5 2" xfId="105" xr:uid="{00000000-0005-0000-0000-00003D240000}"/>
    <cellStyle name="Ênfase6 2" xfId="106" xr:uid="{00000000-0005-0000-0000-00003E240000}"/>
    <cellStyle name="Entrada 2" xfId="107" xr:uid="{00000000-0005-0000-0000-00003F240000}"/>
    <cellStyle name="Entrada 2 2" xfId="1237" xr:uid="{00000000-0005-0000-0000-000040240000}"/>
    <cellStyle name="Entrada 2 2 2" xfId="2379" xr:uid="{00000000-0005-0000-0000-000041240000}"/>
    <cellStyle name="Entrada 2 2 2 2" xfId="5259" xr:uid="{00000000-0005-0000-0000-000042240000}"/>
    <cellStyle name="Entrada 2 2 2 3" xfId="6558" xr:uid="{00000000-0005-0000-0000-000043240000}"/>
    <cellStyle name="Entrada 2 2 2 4" xfId="9055" xr:uid="{00000000-0005-0000-0000-000044240000}"/>
    <cellStyle name="Entrada 2 2 2 5" xfId="9975" xr:uid="{00000000-0005-0000-0000-000045240000}"/>
    <cellStyle name="Entrada 2 2 2 6" xfId="11446" xr:uid="{00000000-0005-0000-0000-000046240000}"/>
    <cellStyle name="Entrada 2 2 3" xfId="4117" xr:uid="{00000000-0005-0000-0000-000047240000}"/>
    <cellStyle name="Entrada 2 2 4" xfId="3096" xr:uid="{00000000-0005-0000-0000-000048240000}"/>
    <cellStyle name="Entrada 2 2 5" xfId="7117" xr:uid="{00000000-0005-0000-0000-000049240000}"/>
    <cellStyle name="Entrada 2 2 6" xfId="2973" xr:uid="{00000000-0005-0000-0000-00004A240000}"/>
    <cellStyle name="Entrada 2 2 7" xfId="2997" xr:uid="{00000000-0005-0000-0000-00004B240000}"/>
    <cellStyle name="Entrada 2 3" xfId="1396" xr:uid="{00000000-0005-0000-0000-00004C240000}"/>
    <cellStyle name="Entrada 2 3 2" xfId="4276" xr:uid="{00000000-0005-0000-0000-00004D240000}"/>
    <cellStyle name="Entrada 2 3 3" xfId="7206" xr:uid="{00000000-0005-0000-0000-00004E240000}"/>
    <cellStyle name="Entrada 2 3 4" xfId="8649" xr:uid="{00000000-0005-0000-0000-00004F240000}"/>
    <cellStyle name="Entrada 2 3 5" xfId="10403" xr:uid="{00000000-0005-0000-0000-000050240000}"/>
    <cellStyle name="Entrada 2 3 6" xfId="10539" xr:uid="{00000000-0005-0000-0000-000051240000}"/>
    <cellStyle name="Entrada 2 4" xfId="5956" xr:uid="{00000000-0005-0000-0000-000052240000}"/>
    <cellStyle name="Entrada 2 5" xfId="8921" xr:uid="{00000000-0005-0000-0000-000053240000}"/>
    <cellStyle name="Entrada 2 6" xfId="9868" xr:uid="{00000000-0005-0000-0000-000054240000}"/>
    <cellStyle name="Entrada 2 7" xfId="11300" xr:uid="{00000000-0005-0000-0000-000055240000}"/>
    <cellStyle name="Estilo 1" xfId="163" xr:uid="{00000000-0005-0000-0000-000056240000}"/>
    <cellStyle name="Estilo 2" xfId="164" xr:uid="{00000000-0005-0000-0000-000057240000}"/>
    <cellStyle name="Estilo 3" xfId="165" xr:uid="{00000000-0005-0000-0000-000058240000}"/>
    <cellStyle name="Euro" xfId="6" xr:uid="{00000000-0005-0000-0000-000059240000}"/>
    <cellStyle name="Euro 2" xfId="108" xr:uid="{00000000-0005-0000-0000-00005A240000}"/>
    <cellStyle name="F2" xfId="109" xr:uid="{00000000-0005-0000-0000-00005B240000}"/>
    <cellStyle name="F3" xfId="110" xr:uid="{00000000-0005-0000-0000-00005C240000}"/>
    <cellStyle name="F4" xfId="111" xr:uid="{00000000-0005-0000-0000-00005D240000}"/>
    <cellStyle name="F5" xfId="112" xr:uid="{00000000-0005-0000-0000-00005E240000}"/>
    <cellStyle name="F6" xfId="113" xr:uid="{00000000-0005-0000-0000-00005F240000}"/>
    <cellStyle name="F7" xfId="114" xr:uid="{00000000-0005-0000-0000-000060240000}"/>
    <cellStyle name="F8" xfId="115" xr:uid="{00000000-0005-0000-0000-000061240000}"/>
    <cellStyle name="Fixo" xfId="116" xr:uid="{00000000-0005-0000-0000-000062240000}"/>
    <cellStyle name="Hipervínculo_5a. MEDIÇÃO Maio 2007" xfId="117" xr:uid="{00000000-0005-0000-0000-000063240000}"/>
    <cellStyle name="Incorreto 2" xfId="118" xr:uid="{00000000-0005-0000-0000-000064240000}"/>
    <cellStyle name="Indefinido" xfId="119" xr:uid="{00000000-0005-0000-0000-000065240000}"/>
    <cellStyle name="Moeda" xfId="11688" builtinId="4"/>
    <cellStyle name="Moeda 10" xfId="2889" xr:uid="{00000000-0005-0000-0000-000067240000}"/>
    <cellStyle name="Moeda 11" xfId="11690" xr:uid="{6490D880-0E79-4B1E-9CE5-46711AC9D446}"/>
    <cellStyle name="Moeda 12" xfId="11702" xr:uid="{DA9B8769-06A0-4DAC-939A-BF6D6B2C59C9}"/>
    <cellStyle name="Moeda 2" xfId="7" xr:uid="{00000000-0005-0000-0000-000068240000}"/>
    <cellStyle name="Moeda 2 10" xfId="8" xr:uid="{00000000-0005-0000-0000-000069240000}"/>
    <cellStyle name="Moeda 2 11" xfId="9" xr:uid="{00000000-0005-0000-0000-00006A240000}"/>
    <cellStyle name="Moeda 2 12" xfId="10" xr:uid="{00000000-0005-0000-0000-00006B240000}"/>
    <cellStyle name="Moeda 2 13" xfId="11" xr:uid="{00000000-0005-0000-0000-00006C240000}"/>
    <cellStyle name="Moeda 2 14" xfId="12" xr:uid="{00000000-0005-0000-0000-00006D240000}"/>
    <cellStyle name="Moeda 2 15" xfId="13" xr:uid="{00000000-0005-0000-0000-00006E240000}"/>
    <cellStyle name="Moeda 2 16" xfId="14" xr:uid="{00000000-0005-0000-0000-00006F240000}"/>
    <cellStyle name="Moeda 2 17" xfId="15" xr:uid="{00000000-0005-0000-0000-000070240000}"/>
    <cellStyle name="Moeda 2 18" xfId="16" xr:uid="{00000000-0005-0000-0000-000071240000}"/>
    <cellStyle name="Moeda 2 19" xfId="17" xr:uid="{00000000-0005-0000-0000-000072240000}"/>
    <cellStyle name="Moeda 2 2" xfId="18" xr:uid="{00000000-0005-0000-0000-000073240000}"/>
    <cellStyle name="Moeda 2 20" xfId="19" xr:uid="{00000000-0005-0000-0000-000074240000}"/>
    <cellStyle name="Moeda 2 21" xfId="20" xr:uid="{00000000-0005-0000-0000-000075240000}"/>
    <cellStyle name="Moeda 2 22" xfId="336" xr:uid="{00000000-0005-0000-0000-000076240000}"/>
    <cellStyle name="Moeda 2 23" xfId="11692" xr:uid="{9DF37B5B-ED22-4767-8F73-B150BD965803}"/>
    <cellStyle name="Moeda 2 3" xfId="21" xr:uid="{00000000-0005-0000-0000-000077240000}"/>
    <cellStyle name="Moeda 2 4" xfId="22" xr:uid="{00000000-0005-0000-0000-000078240000}"/>
    <cellStyle name="Moeda 2 5" xfId="23" xr:uid="{00000000-0005-0000-0000-000079240000}"/>
    <cellStyle name="Moeda 2 6" xfId="24" xr:uid="{00000000-0005-0000-0000-00007A240000}"/>
    <cellStyle name="Moeda 2 7" xfId="25" xr:uid="{00000000-0005-0000-0000-00007B240000}"/>
    <cellStyle name="Moeda 2 8" xfId="26" xr:uid="{00000000-0005-0000-0000-00007C240000}"/>
    <cellStyle name="Moeda 2 9" xfId="27" xr:uid="{00000000-0005-0000-0000-00007D240000}"/>
    <cellStyle name="Moeda 3" xfId="28" xr:uid="{00000000-0005-0000-0000-00007E240000}"/>
    <cellStyle name="Moeda 4" xfId="54" xr:uid="{00000000-0005-0000-0000-00007F240000}"/>
    <cellStyle name="Moeda 5" xfId="162" xr:uid="{00000000-0005-0000-0000-000080240000}"/>
    <cellStyle name="Moeda 6" xfId="330" xr:uid="{00000000-0005-0000-0000-000081240000}"/>
    <cellStyle name="Moeda 7" xfId="1144" xr:uid="{00000000-0005-0000-0000-000082240000}"/>
    <cellStyle name="Moeda 7 2" xfId="2286" xr:uid="{00000000-0005-0000-0000-000083240000}"/>
    <cellStyle name="Moeda 7 2 2" xfId="5166" xr:uid="{00000000-0005-0000-0000-000084240000}"/>
    <cellStyle name="Moeda 7 3" xfId="4024" xr:uid="{00000000-0005-0000-0000-000085240000}"/>
    <cellStyle name="Moeda 8" xfId="29" xr:uid="{00000000-0005-0000-0000-000086240000}"/>
    <cellStyle name="Moeda 9" xfId="1809" xr:uid="{00000000-0005-0000-0000-000087240000}"/>
    <cellStyle name="Moeda 9 2" xfId="4689" xr:uid="{00000000-0005-0000-0000-000088240000}"/>
    <cellStyle name="Moeda0" xfId="120" xr:uid="{00000000-0005-0000-0000-000089240000}"/>
    <cellStyle name="mpenho" xfId="121" xr:uid="{00000000-0005-0000-0000-00008A240000}"/>
    <cellStyle name="Neutra 2" xfId="122" xr:uid="{00000000-0005-0000-0000-00008B240000}"/>
    <cellStyle name="Normal" xfId="0" builtinId="0"/>
    <cellStyle name="Normal 10" xfId="55" xr:uid="{00000000-0005-0000-0000-00008D240000}"/>
    <cellStyle name="Normal 10 2" xfId="339" xr:uid="{00000000-0005-0000-0000-00008E240000}"/>
    <cellStyle name="Normal 10 3 4" xfId="396" xr:uid="{00000000-0005-0000-0000-00008F240000}"/>
    <cellStyle name="Normal 11" xfId="123" xr:uid="{00000000-0005-0000-0000-000090240000}"/>
    <cellStyle name="Normal 11 2" xfId="166" xr:uid="{00000000-0005-0000-0000-000091240000}"/>
    <cellStyle name="Normal 11 2 2" xfId="167" xr:uid="{00000000-0005-0000-0000-000092240000}"/>
    <cellStyle name="Normal 11 2 3" xfId="168" xr:uid="{00000000-0005-0000-0000-000093240000}"/>
    <cellStyle name="Normal 11 2 4" xfId="169" xr:uid="{00000000-0005-0000-0000-000094240000}"/>
    <cellStyle name="Normal 11 2 5" xfId="170" xr:uid="{00000000-0005-0000-0000-000095240000}"/>
    <cellStyle name="Normal 11 3" xfId="171" xr:uid="{00000000-0005-0000-0000-000096240000}"/>
    <cellStyle name="Normal 11 3 2" xfId="172" xr:uid="{00000000-0005-0000-0000-000097240000}"/>
    <cellStyle name="Normal 12" xfId="161" xr:uid="{00000000-0005-0000-0000-000098240000}"/>
    <cellStyle name="Normal 12 2" xfId="173" xr:uid="{00000000-0005-0000-0000-000099240000}"/>
    <cellStyle name="Normal 12 3" xfId="331" xr:uid="{00000000-0005-0000-0000-00009A240000}"/>
    <cellStyle name="Normal 13" xfId="174" xr:uid="{00000000-0005-0000-0000-00009B240000}"/>
    <cellStyle name="Normal 14" xfId="175" xr:uid="{00000000-0005-0000-0000-00009C240000}"/>
    <cellStyle name="Normal 15" xfId="176" xr:uid="{00000000-0005-0000-0000-00009D240000}"/>
    <cellStyle name="Normal 16" xfId="177" xr:uid="{00000000-0005-0000-0000-00009E240000}"/>
    <cellStyle name="Normal 17" xfId="178" xr:uid="{00000000-0005-0000-0000-00009F240000}"/>
    <cellStyle name="Normal 18" xfId="179" xr:uid="{00000000-0005-0000-0000-0000A0240000}"/>
    <cellStyle name="Normal 19" xfId="180" xr:uid="{00000000-0005-0000-0000-0000A1240000}"/>
    <cellStyle name="Normal 2" xfId="30" xr:uid="{00000000-0005-0000-0000-0000A2240000}"/>
    <cellStyle name="Normal 2 10" xfId="181" xr:uid="{00000000-0005-0000-0000-0000A3240000}"/>
    <cellStyle name="Normal 2 11" xfId="182" xr:uid="{00000000-0005-0000-0000-0000A4240000}"/>
    <cellStyle name="Normal 2 12" xfId="183" xr:uid="{00000000-0005-0000-0000-0000A5240000}"/>
    <cellStyle name="Normal 2 13" xfId="184" xr:uid="{00000000-0005-0000-0000-0000A6240000}"/>
    <cellStyle name="Normal 2 14" xfId="185" xr:uid="{00000000-0005-0000-0000-0000A7240000}"/>
    <cellStyle name="Normal 2 15" xfId="186" xr:uid="{00000000-0005-0000-0000-0000A8240000}"/>
    <cellStyle name="Normal 2 16" xfId="187" xr:uid="{00000000-0005-0000-0000-0000A9240000}"/>
    <cellStyle name="Normal 2 17" xfId="188" xr:uid="{00000000-0005-0000-0000-0000AA240000}"/>
    <cellStyle name="Normal 2 18" xfId="189" xr:uid="{00000000-0005-0000-0000-0000AB240000}"/>
    <cellStyle name="Normal 2 19" xfId="190" xr:uid="{00000000-0005-0000-0000-0000AC240000}"/>
    <cellStyle name="Normal 2 2" xfId="31" xr:uid="{00000000-0005-0000-0000-0000AD240000}"/>
    <cellStyle name="Normal 2 2 2" xfId="56" xr:uid="{00000000-0005-0000-0000-0000AE240000}"/>
    <cellStyle name="Normal 2 2 3" xfId="124" xr:uid="{00000000-0005-0000-0000-0000AF240000}"/>
    <cellStyle name="Normal 2 2 4" xfId="32" xr:uid="{00000000-0005-0000-0000-0000B0240000}"/>
    <cellStyle name="Normal 2 2 4 2" xfId="33" xr:uid="{00000000-0005-0000-0000-0000B1240000}"/>
    <cellStyle name="Normal 2 2 4 2 2" xfId="57" xr:uid="{00000000-0005-0000-0000-0000B2240000}"/>
    <cellStyle name="Normal 2 2 4 2 3" xfId="58" xr:uid="{00000000-0005-0000-0000-0000B3240000}"/>
    <cellStyle name="Normal 2 2 5" xfId="191" xr:uid="{00000000-0005-0000-0000-0000B4240000}"/>
    <cellStyle name="Normal 2 20" xfId="192" xr:uid="{00000000-0005-0000-0000-0000B5240000}"/>
    <cellStyle name="Normal 2 21" xfId="193" xr:uid="{00000000-0005-0000-0000-0000B6240000}"/>
    <cellStyle name="Normal 2 22" xfId="194" xr:uid="{00000000-0005-0000-0000-0000B7240000}"/>
    <cellStyle name="Normal 2 23" xfId="195" xr:uid="{00000000-0005-0000-0000-0000B8240000}"/>
    <cellStyle name="Normal 2 24" xfId="196" xr:uid="{00000000-0005-0000-0000-0000B9240000}"/>
    <cellStyle name="Normal 2 25" xfId="197" xr:uid="{00000000-0005-0000-0000-0000BA240000}"/>
    <cellStyle name="Normal 2 26" xfId="198" xr:uid="{00000000-0005-0000-0000-0000BB240000}"/>
    <cellStyle name="Normal 2 27" xfId="199" xr:uid="{00000000-0005-0000-0000-0000BC240000}"/>
    <cellStyle name="Normal 2 28" xfId="200" xr:uid="{00000000-0005-0000-0000-0000BD240000}"/>
    <cellStyle name="Normal 2 29" xfId="201" xr:uid="{00000000-0005-0000-0000-0000BE240000}"/>
    <cellStyle name="Normal 2 3" xfId="125" xr:uid="{00000000-0005-0000-0000-0000BF240000}"/>
    <cellStyle name="Normal 2 3 2" xfId="202" xr:uid="{00000000-0005-0000-0000-0000C0240000}"/>
    <cellStyle name="Normal 2 30" xfId="203" xr:uid="{00000000-0005-0000-0000-0000C1240000}"/>
    <cellStyle name="Normal 2 31" xfId="204" xr:uid="{00000000-0005-0000-0000-0000C2240000}"/>
    <cellStyle name="Normal 2 32" xfId="205" xr:uid="{00000000-0005-0000-0000-0000C3240000}"/>
    <cellStyle name="Normal 2 4" xfId="126" xr:uid="{00000000-0005-0000-0000-0000C4240000}"/>
    <cellStyle name="Normal 2 5" xfId="127" xr:uid="{00000000-0005-0000-0000-0000C5240000}"/>
    <cellStyle name="Normal 2 6" xfId="206" xr:uid="{00000000-0005-0000-0000-0000C6240000}"/>
    <cellStyle name="Normal 2 7" xfId="207" xr:uid="{00000000-0005-0000-0000-0000C7240000}"/>
    <cellStyle name="Normal 2 8" xfId="208" xr:uid="{00000000-0005-0000-0000-0000C8240000}"/>
    <cellStyle name="Normal 2 9" xfId="209" xr:uid="{00000000-0005-0000-0000-0000C9240000}"/>
    <cellStyle name="Normal 2_Dados" xfId="210" xr:uid="{00000000-0005-0000-0000-0000CA240000}"/>
    <cellStyle name="Normal 20" xfId="211" xr:uid="{00000000-0005-0000-0000-0000CB240000}"/>
    <cellStyle name="Normal 21" xfId="212" xr:uid="{00000000-0005-0000-0000-0000CC240000}"/>
    <cellStyle name="Normal 22" xfId="213" xr:uid="{00000000-0005-0000-0000-0000CD240000}"/>
    <cellStyle name="Normal 23" xfId="214" xr:uid="{00000000-0005-0000-0000-0000CE240000}"/>
    <cellStyle name="Normal 24" xfId="215" xr:uid="{00000000-0005-0000-0000-0000CF240000}"/>
    <cellStyle name="Normal 25" xfId="335" xr:uid="{00000000-0005-0000-0000-0000D0240000}"/>
    <cellStyle name="Normal 26" xfId="59" xr:uid="{00000000-0005-0000-0000-0000D1240000}"/>
    <cellStyle name="Normal 27" xfId="216" xr:uid="{00000000-0005-0000-0000-0000D2240000}"/>
    <cellStyle name="Normal 28" xfId="217" xr:uid="{00000000-0005-0000-0000-0000D3240000}"/>
    <cellStyle name="Normal 29" xfId="218" xr:uid="{00000000-0005-0000-0000-0000D4240000}"/>
    <cellStyle name="Normal 3" xfId="34" xr:uid="{00000000-0005-0000-0000-0000D5240000}"/>
    <cellStyle name="Normal 3 2" xfId="35" xr:uid="{00000000-0005-0000-0000-0000D6240000}"/>
    <cellStyle name="Normal 3 2 2" xfId="219" xr:uid="{00000000-0005-0000-0000-0000D7240000}"/>
    <cellStyle name="Normal 3 2 3" xfId="11695" xr:uid="{5B0FF64B-0AC6-4CA5-9CE9-2046D9536E87}"/>
    <cellStyle name="Normal 3 3" xfId="128" xr:uid="{00000000-0005-0000-0000-0000D8240000}"/>
    <cellStyle name="Normal 3 3 2" xfId="220" xr:uid="{00000000-0005-0000-0000-0000D9240000}"/>
    <cellStyle name="Normal 3 4" xfId="221" xr:uid="{00000000-0005-0000-0000-0000DA240000}"/>
    <cellStyle name="Normal 3 5" xfId="222" xr:uid="{00000000-0005-0000-0000-0000DB240000}"/>
    <cellStyle name="Normal 3 6" xfId="223" xr:uid="{00000000-0005-0000-0000-0000DC240000}"/>
    <cellStyle name="Normal 3 7" xfId="224" xr:uid="{00000000-0005-0000-0000-0000DD240000}"/>
    <cellStyle name="Normal 3 8" xfId="11693" xr:uid="{1A38F8C7-4405-4B8B-9C20-2BC3F2114827}"/>
    <cellStyle name="Normal 3_14ª MED. TY" xfId="225" xr:uid="{00000000-0005-0000-0000-0000DE240000}"/>
    <cellStyle name="Normal 30" xfId="2887" xr:uid="{00000000-0005-0000-0000-0000DF240000}"/>
    <cellStyle name="Normal 31" xfId="226" xr:uid="{00000000-0005-0000-0000-0000E0240000}"/>
    <cellStyle name="Normal 32" xfId="11689" xr:uid="{AE703F57-98B1-4E73-A40F-2BD0BCE91DC4}"/>
    <cellStyle name="Normal 33" xfId="11701" xr:uid="{7F851E53-4FA2-49D4-B763-4FEF702D0D5C}"/>
    <cellStyle name="Normal 38" xfId="60" xr:uid="{00000000-0005-0000-0000-0000E1240000}"/>
    <cellStyle name="Normal 4" xfId="1" xr:uid="{00000000-0005-0000-0000-0000E2240000}"/>
    <cellStyle name="Normal 4 10 2" xfId="11698" xr:uid="{5E0EC928-12A9-4226-9CDC-4B3D9A196829}"/>
    <cellStyle name="Normal 4 11 2 2" xfId="11697" xr:uid="{DE9A5C4F-D4C2-4E34-8861-B849633E48C4}"/>
    <cellStyle name="Normal 4 11 2 4" xfId="11700" xr:uid="{E7DCCCD0-6857-47CF-8696-9B8432CFC09B}"/>
    <cellStyle name="Normal 4 2" xfId="61" xr:uid="{00000000-0005-0000-0000-0000E3240000}"/>
    <cellStyle name="Normal 4 7 2 2 2 2" xfId="11699" xr:uid="{25562E73-C6CA-4F49-B14A-7EC1946AF1B6}"/>
    <cellStyle name="Normal 4 7 2 2 2 5" xfId="11696" xr:uid="{020A6DF0-25CC-4474-B429-01B885C80DA8}"/>
    <cellStyle name="Normal 5" xfId="36" xr:uid="{00000000-0005-0000-0000-0000E4240000}"/>
    <cellStyle name="Normal 5 2" xfId="62" xr:uid="{00000000-0005-0000-0000-0000E5240000}"/>
    <cellStyle name="Normal 6" xfId="3" xr:uid="{00000000-0005-0000-0000-0000E6240000}"/>
    <cellStyle name="Normal 6 2" xfId="129" xr:uid="{00000000-0005-0000-0000-0000E7240000}"/>
    <cellStyle name="Normal 6 3" xfId="227" xr:uid="{00000000-0005-0000-0000-0000E8240000}"/>
    <cellStyle name="Normal 6 4" xfId="228" xr:uid="{00000000-0005-0000-0000-0000E9240000}"/>
    <cellStyle name="Normal 6 5" xfId="332" xr:uid="{00000000-0005-0000-0000-0000EA240000}"/>
    <cellStyle name="Normal 6 6" xfId="463" xr:uid="{00000000-0005-0000-0000-0000EB240000}"/>
    <cellStyle name="Normal 7" xfId="37" xr:uid="{00000000-0005-0000-0000-0000EC240000}"/>
    <cellStyle name="Normal 7 2" xfId="229" xr:uid="{00000000-0005-0000-0000-0000ED240000}"/>
    <cellStyle name="Normal 7 3" xfId="230" xr:uid="{00000000-0005-0000-0000-0000EE240000}"/>
    <cellStyle name="Normal 7 4" xfId="231" xr:uid="{00000000-0005-0000-0000-0000EF240000}"/>
    <cellStyle name="Normal 8" xfId="63" xr:uid="{00000000-0005-0000-0000-0000F0240000}"/>
    <cellStyle name="Normal 8 2" xfId="329" xr:uid="{00000000-0005-0000-0000-0000F1240000}"/>
    <cellStyle name="Normal 9" xfId="64" xr:uid="{00000000-0005-0000-0000-0000F2240000}"/>
    <cellStyle name="Normal 9 2" xfId="232" xr:uid="{00000000-0005-0000-0000-0000F3240000}"/>
    <cellStyle name="Normal_Orçamento BR-101" xfId="11691" xr:uid="{1F2C697C-3377-4806-B274-97E104B8BE80}"/>
    <cellStyle name="Normal_PLANILHA e RESUMO ORIGINAL (MEDIÇÃO)" xfId="328" xr:uid="{00000000-0005-0000-0000-0000F4240000}"/>
    <cellStyle name="Nota 2" xfId="130" xr:uid="{00000000-0005-0000-0000-0000F5240000}"/>
    <cellStyle name="Nota 2 2" xfId="711" xr:uid="{00000000-0005-0000-0000-0000F6240000}"/>
    <cellStyle name="Nota 2 2 2" xfId="1853" xr:uid="{00000000-0005-0000-0000-0000F7240000}"/>
    <cellStyle name="Nota 2 2 2 2" xfId="4733" xr:uid="{00000000-0005-0000-0000-0000F8240000}"/>
    <cellStyle name="Nota 2 2 2 3" xfId="7839" xr:uid="{00000000-0005-0000-0000-0000F9240000}"/>
    <cellStyle name="Nota 2 2 2 4" xfId="7532" xr:uid="{00000000-0005-0000-0000-0000FA240000}"/>
    <cellStyle name="Nota 2 2 2 5" xfId="8891" xr:uid="{00000000-0005-0000-0000-0000FB240000}"/>
    <cellStyle name="Nota 2 2 2 6" xfId="11663" xr:uid="{00000000-0005-0000-0000-0000FC240000}"/>
    <cellStyle name="Nota 2 2 3" xfId="3591" xr:uid="{00000000-0005-0000-0000-0000FD240000}"/>
    <cellStyle name="Nota 2 2 4" xfId="3001" xr:uid="{00000000-0005-0000-0000-0000FE240000}"/>
    <cellStyle name="Nota 2 2 5" xfId="6299" xr:uid="{00000000-0005-0000-0000-0000FF240000}"/>
    <cellStyle name="Nota 2 2 6" xfId="9127" xr:uid="{00000000-0005-0000-0000-000000250000}"/>
    <cellStyle name="Nota 2 2 7" xfId="10113" xr:uid="{00000000-0005-0000-0000-000001250000}"/>
    <cellStyle name="Nota 2 3" xfId="1402" xr:uid="{00000000-0005-0000-0000-000002250000}"/>
    <cellStyle name="Nota 2 3 2" xfId="4282" xr:uid="{00000000-0005-0000-0000-000003250000}"/>
    <cellStyle name="Nota 2 3 3" xfId="7958" xr:uid="{00000000-0005-0000-0000-000004250000}"/>
    <cellStyle name="Nota 2 3 4" xfId="9369" xr:uid="{00000000-0005-0000-0000-000005250000}"/>
    <cellStyle name="Nota 2 3 5" xfId="10190" xr:uid="{00000000-0005-0000-0000-000006250000}"/>
    <cellStyle name="Nota 2 3 6" xfId="9325" xr:uid="{00000000-0005-0000-0000-000007250000}"/>
    <cellStyle name="Nota 2 4" xfId="6468" xr:uid="{00000000-0005-0000-0000-000008250000}"/>
    <cellStyle name="Nota 2 5" xfId="8555" xr:uid="{00000000-0005-0000-0000-000009250000}"/>
    <cellStyle name="Nota 2 6" xfId="7535" xr:uid="{00000000-0005-0000-0000-00000A250000}"/>
    <cellStyle name="Nota 2 7" xfId="10892" xr:uid="{00000000-0005-0000-0000-00000B250000}"/>
    <cellStyle name="Nota 3" xfId="131" xr:uid="{00000000-0005-0000-0000-00000C250000}"/>
    <cellStyle name="Percentual" xfId="132" xr:uid="{00000000-0005-0000-0000-00000D250000}"/>
    <cellStyle name="Ponto" xfId="133" xr:uid="{00000000-0005-0000-0000-00000E250000}"/>
    <cellStyle name="Porcentagem" xfId="334" builtinId="5"/>
    <cellStyle name="Porcentagem 10" xfId="11703" xr:uid="{C7B4FDAF-EEE8-49CE-9F66-B118C659E246}"/>
    <cellStyle name="Porcentagem 2" xfId="38" xr:uid="{00000000-0005-0000-0000-000010250000}"/>
    <cellStyle name="Porcentagem 2 2" xfId="65" xr:uid="{00000000-0005-0000-0000-000011250000}"/>
    <cellStyle name="Porcentagem 3" xfId="39" xr:uid="{00000000-0005-0000-0000-000012250000}"/>
    <cellStyle name="Porcentagem 4" xfId="66" xr:uid="{00000000-0005-0000-0000-000013250000}"/>
    <cellStyle name="Porcentagem 5" xfId="134" xr:uid="{00000000-0005-0000-0000-000014250000}"/>
    <cellStyle name="Porcentagem 6" xfId="135" xr:uid="{00000000-0005-0000-0000-000015250000}"/>
    <cellStyle name="Porcentagem 6 2" xfId="136" xr:uid="{00000000-0005-0000-0000-000016250000}"/>
    <cellStyle name="Porcentagem 7" xfId="137" xr:uid="{00000000-0005-0000-0000-000017250000}"/>
    <cellStyle name="Porcentagem 8" xfId="2890" xr:uid="{00000000-0005-0000-0000-000018250000}"/>
    <cellStyle name="Porcentagem 9" xfId="11694" xr:uid="{DCE5AF56-1C12-4276-91FD-D4C6E075C16F}"/>
    <cellStyle name="Preenchimento Texto" xfId="138" xr:uid="{00000000-0005-0000-0000-000019250000}"/>
    <cellStyle name="Preenchimento Texto 2" xfId="3021" xr:uid="{00000000-0005-0000-0000-00001A250000}"/>
    <cellStyle name="Preenchimento Texto 3" xfId="7201" xr:uid="{00000000-0005-0000-0000-00001B250000}"/>
    <cellStyle name="Preenchimento Texto Travada" xfId="139" xr:uid="{00000000-0005-0000-0000-00001C250000}"/>
    <cellStyle name="Preenchimento Texto Travada 2" xfId="3022" xr:uid="{00000000-0005-0000-0000-00001D250000}"/>
    <cellStyle name="Preenchimento Texto Travada 3" xfId="7737" xr:uid="{00000000-0005-0000-0000-00001E250000}"/>
    <cellStyle name="Saída 2" xfId="140" xr:uid="{00000000-0005-0000-0000-00001F250000}"/>
    <cellStyle name="Saída 2 2" xfId="1248" xr:uid="{00000000-0005-0000-0000-000020250000}"/>
    <cellStyle name="Saída 2 2 2" xfId="2390" xr:uid="{00000000-0005-0000-0000-000021250000}"/>
    <cellStyle name="Saída 2 2 2 2" xfId="5270" xr:uid="{00000000-0005-0000-0000-000022250000}"/>
    <cellStyle name="Saída 2 2 2 3" xfId="6876" xr:uid="{00000000-0005-0000-0000-000023250000}"/>
    <cellStyle name="Saída 2 2 2 4" xfId="6415" xr:uid="{00000000-0005-0000-0000-000024250000}"/>
    <cellStyle name="Saída 2 2 2 5" xfId="10553" xr:uid="{00000000-0005-0000-0000-000025250000}"/>
    <cellStyle name="Saída 2 2 2 6" xfId="10859" xr:uid="{00000000-0005-0000-0000-000026250000}"/>
    <cellStyle name="Saída 2 2 3" xfId="4128" xr:uid="{00000000-0005-0000-0000-000027250000}"/>
    <cellStyle name="Saída 2 2 4" xfId="3101" xr:uid="{00000000-0005-0000-0000-000028250000}"/>
    <cellStyle name="Saída 2 2 5" xfId="7215" xr:uid="{00000000-0005-0000-0000-000029250000}"/>
    <cellStyle name="Saída 2 2 6" xfId="7539" xr:uid="{00000000-0005-0000-0000-00002A250000}"/>
    <cellStyle name="Saída 2 2 7" xfId="9006" xr:uid="{00000000-0005-0000-0000-00002B250000}"/>
    <cellStyle name="Saída 2 3" xfId="1408" xr:uid="{00000000-0005-0000-0000-00002C250000}"/>
    <cellStyle name="Saída 2 3 2" xfId="4288" xr:uid="{00000000-0005-0000-0000-00002D250000}"/>
    <cellStyle name="Saída 2 3 3" xfId="7774" xr:uid="{00000000-0005-0000-0000-00002E250000}"/>
    <cellStyle name="Saída 2 3 4" xfId="9188" xr:uid="{00000000-0005-0000-0000-00002F250000}"/>
    <cellStyle name="Saída 2 3 5" xfId="10504" xr:uid="{00000000-0005-0000-0000-000030250000}"/>
    <cellStyle name="Saída 2 3 6" xfId="11114" xr:uid="{00000000-0005-0000-0000-000031250000}"/>
    <cellStyle name="Saída 2 4" xfId="3023" xr:uid="{00000000-0005-0000-0000-000032250000}"/>
    <cellStyle name="Saída 2 5" xfId="6360" xr:uid="{00000000-0005-0000-0000-000033250000}"/>
    <cellStyle name="Saída 2 6" xfId="8458" xr:uid="{00000000-0005-0000-0000-000034250000}"/>
    <cellStyle name="Saída 2 7" xfId="6458" xr:uid="{00000000-0005-0000-0000-000035250000}"/>
    <cellStyle name="Saída 2 8" xfId="11380" xr:uid="{00000000-0005-0000-0000-000036250000}"/>
    <cellStyle name="Separador de m" xfId="141" xr:uid="{00000000-0005-0000-0000-000037250000}"/>
    <cellStyle name="Separador de milhares 10" xfId="67" xr:uid="{00000000-0005-0000-0000-000038250000}"/>
    <cellStyle name="Separador de milhares 11" xfId="233" xr:uid="{00000000-0005-0000-0000-000039250000}"/>
    <cellStyle name="Separador de milhares 11 2" xfId="362" xr:uid="{00000000-0005-0000-0000-00003A250000}"/>
    <cellStyle name="Separador de milhares 11 2 2" xfId="427" xr:uid="{00000000-0005-0000-0000-00003B250000}"/>
    <cellStyle name="Separador de milhares 11 2 2 2" xfId="601" xr:uid="{00000000-0005-0000-0000-00003C250000}"/>
    <cellStyle name="Separador de milhares 11 2 2 2 2" xfId="1077" xr:uid="{00000000-0005-0000-0000-00003D250000}"/>
    <cellStyle name="Separador de milhares 11 2 2 2 2 2" xfId="2219" xr:uid="{00000000-0005-0000-0000-00003E250000}"/>
    <cellStyle name="Separador de milhares 11 2 2 2 2 2 2" xfId="5099" xr:uid="{00000000-0005-0000-0000-00003F250000}"/>
    <cellStyle name="Separador de milhares 11 2 2 2 2 3" xfId="3957" xr:uid="{00000000-0005-0000-0000-000040250000}"/>
    <cellStyle name="Separador de milhares 11 2 2 2 3" xfId="1742" xr:uid="{00000000-0005-0000-0000-000041250000}"/>
    <cellStyle name="Separador de milhares 11 2 2 2 3 2" xfId="4622" xr:uid="{00000000-0005-0000-0000-000042250000}"/>
    <cellStyle name="Separador de milhares 11 2 2 2 4" xfId="3481" xr:uid="{00000000-0005-0000-0000-000043250000}"/>
    <cellStyle name="Separador de milhares 11 2 2 3" xfId="904" xr:uid="{00000000-0005-0000-0000-000044250000}"/>
    <cellStyle name="Separador de milhares 11 2 2 3 2" xfId="2046" xr:uid="{00000000-0005-0000-0000-000045250000}"/>
    <cellStyle name="Separador de milhares 11 2 2 3 2 2" xfId="4926" xr:uid="{00000000-0005-0000-0000-000046250000}"/>
    <cellStyle name="Separador de milhares 11 2 2 3 3" xfId="3784" xr:uid="{00000000-0005-0000-0000-000047250000}"/>
    <cellStyle name="Separador de milhares 11 2 2 4" xfId="1569" xr:uid="{00000000-0005-0000-0000-000048250000}"/>
    <cellStyle name="Separador de milhares 11 2 2 4 2" xfId="4449" xr:uid="{00000000-0005-0000-0000-000049250000}"/>
    <cellStyle name="Separador de milhares 11 2 2 5" xfId="3307" xr:uid="{00000000-0005-0000-0000-00004A250000}"/>
    <cellStyle name="Separador de milhares 11 2 3" xfId="538" xr:uid="{00000000-0005-0000-0000-00004B250000}"/>
    <cellStyle name="Separador de milhares 11 2 3 2" xfId="1014" xr:uid="{00000000-0005-0000-0000-00004C250000}"/>
    <cellStyle name="Separador de milhares 11 2 3 2 2" xfId="2156" xr:uid="{00000000-0005-0000-0000-00004D250000}"/>
    <cellStyle name="Separador de milhares 11 2 3 2 2 2" xfId="5036" xr:uid="{00000000-0005-0000-0000-00004E250000}"/>
    <cellStyle name="Separador de milhares 11 2 3 2 3" xfId="3894" xr:uid="{00000000-0005-0000-0000-00004F250000}"/>
    <cellStyle name="Separador de milhares 11 2 3 3" xfId="1679" xr:uid="{00000000-0005-0000-0000-000050250000}"/>
    <cellStyle name="Separador de milhares 11 2 3 3 2" xfId="4559" xr:uid="{00000000-0005-0000-0000-000051250000}"/>
    <cellStyle name="Separador de milhares 11 2 3 4" xfId="3418" xr:uid="{00000000-0005-0000-0000-000052250000}"/>
    <cellStyle name="Separador de milhares 11 2 4" xfId="840" xr:uid="{00000000-0005-0000-0000-000053250000}"/>
    <cellStyle name="Separador de milhares 11 2 4 2" xfId="1982" xr:uid="{00000000-0005-0000-0000-000054250000}"/>
    <cellStyle name="Separador de milhares 11 2 4 2 2" xfId="4862" xr:uid="{00000000-0005-0000-0000-000055250000}"/>
    <cellStyle name="Separador de milhares 11 2 4 3" xfId="3720" xr:uid="{00000000-0005-0000-0000-000056250000}"/>
    <cellStyle name="Separador de milhares 11 2 5" xfId="1504" xr:uid="{00000000-0005-0000-0000-000057250000}"/>
    <cellStyle name="Separador de milhares 11 2 5 2" xfId="4384" xr:uid="{00000000-0005-0000-0000-000058250000}"/>
    <cellStyle name="Separador de milhares 11 2 6" xfId="3242" xr:uid="{00000000-0005-0000-0000-000059250000}"/>
    <cellStyle name="Separador de milhares 12" xfId="234" xr:uid="{00000000-0005-0000-0000-00005A250000}"/>
    <cellStyle name="Separador de milhares 12 2" xfId="363" xr:uid="{00000000-0005-0000-0000-00005B250000}"/>
    <cellStyle name="Separador de milhares 12 2 2" xfId="428" xr:uid="{00000000-0005-0000-0000-00005C250000}"/>
    <cellStyle name="Separador de milhares 12 2 2 2" xfId="602" xr:uid="{00000000-0005-0000-0000-00005D250000}"/>
    <cellStyle name="Separador de milhares 12 2 2 2 2" xfId="1078" xr:uid="{00000000-0005-0000-0000-00005E250000}"/>
    <cellStyle name="Separador de milhares 12 2 2 2 2 2" xfId="2220" xr:uid="{00000000-0005-0000-0000-00005F250000}"/>
    <cellStyle name="Separador de milhares 12 2 2 2 2 2 2" xfId="5100" xr:uid="{00000000-0005-0000-0000-000060250000}"/>
    <cellStyle name="Separador de milhares 12 2 2 2 2 3" xfId="3958" xr:uid="{00000000-0005-0000-0000-000061250000}"/>
    <cellStyle name="Separador de milhares 12 2 2 2 3" xfId="1743" xr:uid="{00000000-0005-0000-0000-000062250000}"/>
    <cellStyle name="Separador de milhares 12 2 2 2 3 2" xfId="4623" xr:uid="{00000000-0005-0000-0000-000063250000}"/>
    <cellStyle name="Separador de milhares 12 2 2 2 4" xfId="3482" xr:uid="{00000000-0005-0000-0000-000064250000}"/>
    <cellStyle name="Separador de milhares 12 2 2 3" xfId="905" xr:uid="{00000000-0005-0000-0000-000065250000}"/>
    <cellStyle name="Separador de milhares 12 2 2 3 2" xfId="2047" xr:uid="{00000000-0005-0000-0000-000066250000}"/>
    <cellStyle name="Separador de milhares 12 2 2 3 2 2" xfId="4927" xr:uid="{00000000-0005-0000-0000-000067250000}"/>
    <cellStyle name="Separador de milhares 12 2 2 3 3" xfId="3785" xr:uid="{00000000-0005-0000-0000-000068250000}"/>
    <cellStyle name="Separador de milhares 12 2 2 4" xfId="1570" xr:uid="{00000000-0005-0000-0000-000069250000}"/>
    <cellStyle name="Separador de milhares 12 2 2 4 2" xfId="4450" xr:uid="{00000000-0005-0000-0000-00006A250000}"/>
    <cellStyle name="Separador de milhares 12 2 2 5" xfId="3308" xr:uid="{00000000-0005-0000-0000-00006B250000}"/>
    <cellStyle name="Separador de milhares 12 2 3" xfId="539" xr:uid="{00000000-0005-0000-0000-00006C250000}"/>
    <cellStyle name="Separador de milhares 12 2 3 2" xfId="1015" xr:uid="{00000000-0005-0000-0000-00006D250000}"/>
    <cellStyle name="Separador de milhares 12 2 3 2 2" xfId="2157" xr:uid="{00000000-0005-0000-0000-00006E250000}"/>
    <cellStyle name="Separador de milhares 12 2 3 2 2 2" xfId="5037" xr:uid="{00000000-0005-0000-0000-00006F250000}"/>
    <cellStyle name="Separador de milhares 12 2 3 2 3" xfId="3895" xr:uid="{00000000-0005-0000-0000-000070250000}"/>
    <cellStyle name="Separador de milhares 12 2 3 3" xfId="1680" xr:uid="{00000000-0005-0000-0000-000071250000}"/>
    <cellStyle name="Separador de milhares 12 2 3 3 2" xfId="4560" xr:uid="{00000000-0005-0000-0000-000072250000}"/>
    <cellStyle name="Separador de milhares 12 2 3 4" xfId="3419" xr:uid="{00000000-0005-0000-0000-000073250000}"/>
    <cellStyle name="Separador de milhares 12 2 4" xfId="841" xr:uid="{00000000-0005-0000-0000-000074250000}"/>
    <cellStyle name="Separador de milhares 12 2 4 2" xfId="1983" xr:uid="{00000000-0005-0000-0000-000075250000}"/>
    <cellStyle name="Separador de milhares 12 2 4 2 2" xfId="4863" xr:uid="{00000000-0005-0000-0000-000076250000}"/>
    <cellStyle name="Separador de milhares 12 2 4 3" xfId="3721" xr:uid="{00000000-0005-0000-0000-000077250000}"/>
    <cellStyle name="Separador de milhares 12 2 5" xfId="1505" xr:uid="{00000000-0005-0000-0000-000078250000}"/>
    <cellStyle name="Separador de milhares 12 2 5 2" xfId="4385" xr:uid="{00000000-0005-0000-0000-000079250000}"/>
    <cellStyle name="Separador de milhares 12 2 6" xfId="3243" xr:uid="{00000000-0005-0000-0000-00007A250000}"/>
    <cellStyle name="Separador de milhares 12 3" xfId="401" xr:uid="{00000000-0005-0000-0000-00007B250000}"/>
    <cellStyle name="Separador de milhares 12 3 2" xfId="576" xr:uid="{00000000-0005-0000-0000-00007C250000}"/>
    <cellStyle name="Separador de milhares 12 3 2 2" xfId="1052" xr:uid="{00000000-0005-0000-0000-00007D250000}"/>
    <cellStyle name="Separador de milhares 12 3 2 2 2" xfId="2194" xr:uid="{00000000-0005-0000-0000-00007E250000}"/>
    <cellStyle name="Separador de milhares 12 3 2 2 2 2" xfId="5074" xr:uid="{00000000-0005-0000-0000-00007F250000}"/>
    <cellStyle name="Separador de milhares 12 3 2 2 3" xfId="3932" xr:uid="{00000000-0005-0000-0000-000080250000}"/>
    <cellStyle name="Separador de milhares 12 3 2 3" xfId="1717" xr:uid="{00000000-0005-0000-0000-000081250000}"/>
    <cellStyle name="Separador de milhares 12 3 2 3 2" xfId="4597" xr:uid="{00000000-0005-0000-0000-000082250000}"/>
    <cellStyle name="Separador de milhares 12 3 2 4" xfId="3456" xr:uid="{00000000-0005-0000-0000-000083250000}"/>
    <cellStyle name="Separador de milhares 12 3 3" xfId="878" xr:uid="{00000000-0005-0000-0000-000084250000}"/>
    <cellStyle name="Separador de milhares 12 3 3 2" xfId="2020" xr:uid="{00000000-0005-0000-0000-000085250000}"/>
    <cellStyle name="Separador de milhares 12 3 3 2 2" xfId="4900" xr:uid="{00000000-0005-0000-0000-000086250000}"/>
    <cellStyle name="Separador de milhares 12 3 3 3" xfId="3758" xr:uid="{00000000-0005-0000-0000-000087250000}"/>
    <cellStyle name="Separador de milhares 12 3 4" xfId="1543" xr:uid="{00000000-0005-0000-0000-000088250000}"/>
    <cellStyle name="Separador de milhares 12 3 4 2" xfId="4423" xr:uid="{00000000-0005-0000-0000-000089250000}"/>
    <cellStyle name="Separador de milhares 12 3 5" xfId="3281" xr:uid="{00000000-0005-0000-0000-00008A250000}"/>
    <cellStyle name="Separador de milhares 12 4" xfId="500" xr:uid="{00000000-0005-0000-0000-00008B250000}"/>
    <cellStyle name="Separador de milhares 12 4 2" xfId="976" xr:uid="{00000000-0005-0000-0000-00008C250000}"/>
    <cellStyle name="Separador de milhares 12 4 2 2" xfId="2118" xr:uid="{00000000-0005-0000-0000-00008D250000}"/>
    <cellStyle name="Separador de milhares 12 4 2 2 2" xfId="4998" xr:uid="{00000000-0005-0000-0000-00008E250000}"/>
    <cellStyle name="Separador de milhares 12 4 2 3" xfId="3856" xr:uid="{00000000-0005-0000-0000-00008F250000}"/>
    <cellStyle name="Separador de milhares 12 4 3" xfId="1641" xr:uid="{00000000-0005-0000-0000-000090250000}"/>
    <cellStyle name="Separador de milhares 12 4 3 2" xfId="4521" xr:uid="{00000000-0005-0000-0000-000091250000}"/>
    <cellStyle name="Separador de milhares 12 4 4" xfId="3380" xr:uid="{00000000-0005-0000-0000-000092250000}"/>
    <cellStyle name="Separador de milhares 12 5" xfId="765" xr:uid="{00000000-0005-0000-0000-000093250000}"/>
    <cellStyle name="Separador de milhares 12 5 2" xfId="1907" xr:uid="{00000000-0005-0000-0000-000094250000}"/>
    <cellStyle name="Separador de milhares 12 5 2 2" xfId="4787" xr:uid="{00000000-0005-0000-0000-000095250000}"/>
    <cellStyle name="Separador de milhares 12 5 3" xfId="3645" xr:uid="{00000000-0005-0000-0000-000096250000}"/>
    <cellStyle name="Separador de milhares 12 6" xfId="1446" xr:uid="{00000000-0005-0000-0000-000097250000}"/>
    <cellStyle name="Separador de milhares 12 6 2" xfId="4326" xr:uid="{00000000-0005-0000-0000-000098250000}"/>
    <cellStyle name="Separador de milhares 12 7" xfId="3116" xr:uid="{00000000-0005-0000-0000-000099250000}"/>
    <cellStyle name="Separador de milhares 13" xfId="235" xr:uid="{00000000-0005-0000-0000-00009A250000}"/>
    <cellStyle name="Separador de milhares 13 2" xfId="364" xr:uid="{00000000-0005-0000-0000-00009B250000}"/>
    <cellStyle name="Separador de milhares 13 2 2" xfId="429" xr:uid="{00000000-0005-0000-0000-00009C250000}"/>
    <cellStyle name="Separador de milhares 13 2 2 2" xfId="603" xr:uid="{00000000-0005-0000-0000-00009D250000}"/>
    <cellStyle name="Separador de milhares 13 2 2 2 2" xfId="1079" xr:uid="{00000000-0005-0000-0000-00009E250000}"/>
    <cellStyle name="Separador de milhares 13 2 2 2 2 2" xfId="2221" xr:uid="{00000000-0005-0000-0000-00009F250000}"/>
    <cellStyle name="Separador de milhares 13 2 2 2 2 2 2" xfId="5101" xr:uid="{00000000-0005-0000-0000-0000A0250000}"/>
    <cellStyle name="Separador de milhares 13 2 2 2 2 3" xfId="3959" xr:uid="{00000000-0005-0000-0000-0000A1250000}"/>
    <cellStyle name="Separador de milhares 13 2 2 2 3" xfId="1744" xr:uid="{00000000-0005-0000-0000-0000A2250000}"/>
    <cellStyle name="Separador de milhares 13 2 2 2 3 2" xfId="4624" xr:uid="{00000000-0005-0000-0000-0000A3250000}"/>
    <cellStyle name="Separador de milhares 13 2 2 2 4" xfId="3483" xr:uid="{00000000-0005-0000-0000-0000A4250000}"/>
    <cellStyle name="Separador de milhares 13 2 2 3" xfId="906" xr:uid="{00000000-0005-0000-0000-0000A5250000}"/>
    <cellStyle name="Separador de milhares 13 2 2 3 2" xfId="2048" xr:uid="{00000000-0005-0000-0000-0000A6250000}"/>
    <cellStyle name="Separador de milhares 13 2 2 3 2 2" xfId="4928" xr:uid="{00000000-0005-0000-0000-0000A7250000}"/>
    <cellStyle name="Separador de milhares 13 2 2 3 3" xfId="3786" xr:uid="{00000000-0005-0000-0000-0000A8250000}"/>
    <cellStyle name="Separador de milhares 13 2 2 4" xfId="1571" xr:uid="{00000000-0005-0000-0000-0000A9250000}"/>
    <cellStyle name="Separador de milhares 13 2 2 4 2" xfId="4451" xr:uid="{00000000-0005-0000-0000-0000AA250000}"/>
    <cellStyle name="Separador de milhares 13 2 2 5" xfId="3309" xr:uid="{00000000-0005-0000-0000-0000AB250000}"/>
    <cellStyle name="Separador de milhares 13 2 3" xfId="540" xr:uid="{00000000-0005-0000-0000-0000AC250000}"/>
    <cellStyle name="Separador de milhares 13 2 3 2" xfId="1016" xr:uid="{00000000-0005-0000-0000-0000AD250000}"/>
    <cellStyle name="Separador de milhares 13 2 3 2 2" xfId="2158" xr:uid="{00000000-0005-0000-0000-0000AE250000}"/>
    <cellStyle name="Separador de milhares 13 2 3 2 2 2" xfId="5038" xr:uid="{00000000-0005-0000-0000-0000AF250000}"/>
    <cellStyle name="Separador de milhares 13 2 3 2 3" xfId="3896" xr:uid="{00000000-0005-0000-0000-0000B0250000}"/>
    <cellStyle name="Separador de milhares 13 2 3 3" xfId="1681" xr:uid="{00000000-0005-0000-0000-0000B1250000}"/>
    <cellStyle name="Separador de milhares 13 2 3 3 2" xfId="4561" xr:uid="{00000000-0005-0000-0000-0000B2250000}"/>
    <cellStyle name="Separador de milhares 13 2 3 4" xfId="3420" xr:uid="{00000000-0005-0000-0000-0000B3250000}"/>
    <cellStyle name="Separador de milhares 13 2 4" xfId="842" xr:uid="{00000000-0005-0000-0000-0000B4250000}"/>
    <cellStyle name="Separador de milhares 13 2 4 2" xfId="1984" xr:uid="{00000000-0005-0000-0000-0000B5250000}"/>
    <cellStyle name="Separador de milhares 13 2 4 2 2" xfId="4864" xr:uid="{00000000-0005-0000-0000-0000B6250000}"/>
    <cellStyle name="Separador de milhares 13 2 4 3" xfId="3722" xr:uid="{00000000-0005-0000-0000-0000B7250000}"/>
    <cellStyle name="Separador de milhares 13 2 5" xfId="1506" xr:uid="{00000000-0005-0000-0000-0000B8250000}"/>
    <cellStyle name="Separador de milhares 13 2 5 2" xfId="4386" xr:uid="{00000000-0005-0000-0000-0000B9250000}"/>
    <cellStyle name="Separador de milhares 13 2 6" xfId="3244" xr:uid="{00000000-0005-0000-0000-0000BA250000}"/>
    <cellStyle name="Separador de milhares 14" xfId="40" xr:uid="{00000000-0005-0000-0000-0000BB250000}"/>
    <cellStyle name="Separador de milhares 15" xfId="236" xr:uid="{00000000-0005-0000-0000-0000BC250000}"/>
    <cellStyle name="Separador de milhares 16" xfId="237" xr:uid="{00000000-0005-0000-0000-0000BD250000}"/>
    <cellStyle name="Separador de milhares 17" xfId="238" xr:uid="{00000000-0005-0000-0000-0000BE250000}"/>
    <cellStyle name="Separador de milhares 18" xfId="239" xr:uid="{00000000-0005-0000-0000-0000BF250000}"/>
    <cellStyle name="Separador de milhares 19" xfId="240" xr:uid="{00000000-0005-0000-0000-0000C0250000}"/>
    <cellStyle name="Separador de milhares 2" xfId="41" xr:uid="{00000000-0005-0000-0000-0000C1250000}"/>
    <cellStyle name="Separador de milhares 2 10" xfId="241" xr:uid="{00000000-0005-0000-0000-0000C2250000}"/>
    <cellStyle name="Separador de milhares 2 11" xfId="242" xr:uid="{00000000-0005-0000-0000-0000C3250000}"/>
    <cellStyle name="Separador de milhares 2 12" xfId="243" xr:uid="{00000000-0005-0000-0000-0000C4250000}"/>
    <cellStyle name="Separador de milhares 2 13" xfId="244" xr:uid="{00000000-0005-0000-0000-0000C5250000}"/>
    <cellStyle name="Separador de milhares 2 14" xfId="245" xr:uid="{00000000-0005-0000-0000-0000C6250000}"/>
    <cellStyle name="Separador de milhares 2 15" xfId="246" xr:uid="{00000000-0005-0000-0000-0000C7250000}"/>
    <cellStyle name="Separador de milhares 2 16" xfId="247" xr:uid="{00000000-0005-0000-0000-0000C8250000}"/>
    <cellStyle name="Separador de milhares 2 17" xfId="248" xr:uid="{00000000-0005-0000-0000-0000C9250000}"/>
    <cellStyle name="Separador de milhares 2 18" xfId="249" xr:uid="{00000000-0005-0000-0000-0000CA250000}"/>
    <cellStyle name="Separador de milhares 2 19" xfId="250" xr:uid="{00000000-0005-0000-0000-0000CB250000}"/>
    <cellStyle name="Separador de milhares 2 2" xfId="42" xr:uid="{00000000-0005-0000-0000-0000CC250000}"/>
    <cellStyle name="Separador de milhares 2 2 10" xfId="251" xr:uid="{00000000-0005-0000-0000-0000CD250000}"/>
    <cellStyle name="Separador de milhares 2 2 11" xfId="343" xr:uid="{00000000-0005-0000-0000-0000CE250000}"/>
    <cellStyle name="Separador de milhares 2 2 11 2" xfId="408" xr:uid="{00000000-0005-0000-0000-0000CF250000}"/>
    <cellStyle name="Separador de milhares 2 2 11 2 2" xfId="582" xr:uid="{00000000-0005-0000-0000-0000D0250000}"/>
    <cellStyle name="Separador de milhares 2 2 11 2 2 2" xfId="1058" xr:uid="{00000000-0005-0000-0000-0000D1250000}"/>
    <cellStyle name="Separador de milhares 2 2 11 2 2 2 2" xfId="2200" xr:uid="{00000000-0005-0000-0000-0000D2250000}"/>
    <cellStyle name="Separador de milhares 2 2 11 2 2 2 2 2" xfId="5080" xr:uid="{00000000-0005-0000-0000-0000D3250000}"/>
    <cellStyle name="Separador de milhares 2 2 11 2 2 2 3" xfId="3938" xr:uid="{00000000-0005-0000-0000-0000D4250000}"/>
    <cellStyle name="Separador de milhares 2 2 11 2 2 3" xfId="1723" xr:uid="{00000000-0005-0000-0000-0000D5250000}"/>
    <cellStyle name="Separador de milhares 2 2 11 2 2 3 2" xfId="4603" xr:uid="{00000000-0005-0000-0000-0000D6250000}"/>
    <cellStyle name="Separador de milhares 2 2 11 2 2 4" xfId="3462" xr:uid="{00000000-0005-0000-0000-0000D7250000}"/>
    <cellStyle name="Separador de milhares 2 2 11 2 3" xfId="885" xr:uid="{00000000-0005-0000-0000-0000D8250000}"/>
    <cellStyle name="Separador de milhares 2 2 11 2 3 2" xfId="2027" xr:uid="{00000000-0005-0000-0000-0000D9250000}"/>
    <cellStyle name="Separador de milhares 2 2 11 2 3 2 2" xfId="4907" xr:uid="{00000000-0005-0000-0000-0000DA250000}"/>
    <cellStyle name="Separador de milhares 2 2 11 2 3 3" xfId="3765" xr:uid="{00000000-0005-0000-0000-0000DB250000}"/>
    <cellStyle name="Separador de milhares 2 2 11 2 4" xfId="1550" xr:uid="{00000000-0005-0000-0000-0000DC250000}"/>
    <cellStyle name="Separador de milhares 2 2 11 2 4 2" xfId="4430" xr:uid="{00000000-0005-0000-0000-0000DD250000}"/>
    <cellStyle name="Separador de milhares 2 2 11 2 5" xfId="3288" xr:uid="{00000000-0005-0000-0000-0000DE250000}"/>
    <cellStyle name="Separador de milhares 2 2 11 3" xfId="519" xr:uid="{00000000-0005-0000-0000-0000DF250000}"/>
    <cellStyle name="Separador de milhares 2 2 11 3 2" xfId="995" xr:uid="{00000000-0005-0000-0000-0000E0250000}"/>
    <cellStyle name="Separador de milhares 2 2 11 3 2 2" xfId="2137" xr:uid="{00000000-0005-0000-0000-0000E1250000}"/>
    <cellStyle name="Separador de milhares 2 2 11 3 2 2 2" xfId="5017" xr:uid="{00000000-0005-0000-0000-0000E2250000}"/>
    <cellStyle name="Separador de milhares 2 2 11 3 2 3" xfId="3875" xr:uid="{00000000-0005-0000-0000-0000E3250000}"/>
    <cellStyle name="Separador de milhares 2 2 11 3 3" xfId="1660" xr:uid="{00000000-0005-0000-0000-0000E4250000}"/>
    <cellStyle name="Separador de milhares 2 2 11 3 3 2" xfId="4540" xr:uid="{00000000-0005-0000-0000-0000E5250000}"/>
    <cellStyle name="Separador de milhares 2 2 11 3 4" xfId="3399" xr:uid="{00000000-0005-0000-0000-0000E6250000}"/>
    <cellStyle name="Separador de milhares 2 2 11 4" xfId="821" xr:uid="{00000000-0005-0000-0000-0000E7250000}"/>
    <cellStyle name="Separador de milhares 2 2 11 4 2" xfId="1963" xr:uid="{00000000-0005-0000-0000-0000E8250000}"/>
    <cellStyle name="Separador de milhares 2 2 11 4 2 2" xfId="4843" xr:uid="{00000000-0005-0000-0000-0000E9250000}"/>
    <cellStyle name="Separador de milhares 2 2 11 4 3" xfId="3701" xr:uid="{00000000-0005-0000-0000-0000EA250000}"/>
    <cellStyle name="Separador de milhares 2 2 11 5" xfId="1485" xr:uid="{00000000-0005-0000-0000-0000EB250000}"/>
    <cellStyle name="Separador de milhares 2 2 11 5 2" xfId="4365" xr:uid="{00000000-0005-0000-0000-0000EC250000}"/>
    <cellStyle name="Separador de milhares 2 2 11 6" xfId="3223" xr:uid="{00000000-0005-0000-0000-0000ED250000}"/>
    <cellStyle name="Separador de milhares 2 2 2" xfId="142" xr:uid="{00000000-0005-0000-0000-0000EE250000}"/>
    <cellStyle name="Separador de milhares 2 2 2 2" xfId="356" xr:uid="{00000000-0005-0000-0000-0000EF250000}"/>
    <cellStyle name="Separador de milhares 2 2 2 2 2" xfId="421" xr:uid="{00000000-0005-0000-0000-0000F0250000}"/>
    <cellStyle name="Separador de milhares 2 2 2 2 2 2" xfId="595" xr:uid="{00000000-0005-0000-0000-0000F1250000}"/>
    <cellStyle name="Separador de milhares 2 2 2 2 2 2 2" xfId="1071" xr:uid="{00000000-0005-0000-0000-0000F2250000}"/>
    <cellStyle name="Separador de milhares 2 2 2 2 2 2 2 2" xfId="2213" xr:uid="{00000000-0005-0000-0000-0000F3250000}"/>
    <cellStyle name="Separador de milhares 2 2 2 2 2 2 2 2 2" xfId="5093" xr:uid="{00000000-0005-0000-0000-0000F4250000}"/>
    <cellStyle name="Separador de milhares 2 2 2 2 2 2 2 3" xfId="3951" xr:uid="{00000000-0005-0000-0000-0000F5250000}"/>
    <cellStyle name="Separador de milhares 2 2 2 2 2 2 3" xfId="1736" xr:uid="{00000000-0005-0000-0000-0000F6250000}"/>
    <cellStyle name="Separador de milhares 2 2 2 2 2 2 3 2" xfId="4616" xr:uid="{00000000-0005-0000-0000-0000F7250000}"/>
    <cellStyle name="Separador de milhares 2 2 2 2 2 2 4" xfId="3475" xr:uid="{00000000-0005-0000-0000-0000F8250000}"/>
    <cellStyle name="Separador de milhares 2 2 2 2 2 3" xfId="898" xr:uid="{00000000-0005-0000-0000-0000F9250000}"/>
    <cellStyle name="Separador de milhares 2 2 2 2 2 3 2" xfId="2040" xr:uid="{00000000-0005-0000-0000-0000FA250000}"/>
    <cellStyle name="Separador de milhares 2 2 2 2 2 3 2 2" xfId="4920" xr:uid="{00000000-0005-0000-0000-0000FB250000}"/>
    <cellStyle name="Separador de milhares 2 2 2 2 2 3 3" xfId="3778" xr:uid="{00000000-0005-0000-0000-0000FC250000}"/>
    <cellStyle name="Separador de milhares 2 2 2 2 2 4" xfId="1563" xr:uid="{00000000-0005-0000-0000-0000FD250000}"/>
    <cellStyle name="Separador de milhares 2 2 2 2 2 4 2" xfId="4443" xr:uid="{00000000-0005-0000-0000-0000FE250000}"/>
    <cellStyle name="Separador de milhares 2 2 2 2 2 5" xfId="3301" xr:uid="{00000000-0005-0000-0000-0000FF250000}"/>
    <cellStyle name="Separador de milhares 2 2 2 2 3" xfId="532" xr:uid="{00000000-0005-0000-0000-000000260000}"/>
    <cellStyle name="Separador de milhares 2 2 2 2 3 2" xfId="1008" xr:uid="{00000000-0005-0000-0000-000001260000}"/>
    <cellStyle name="Separador de milhares 2 2 2 2 3 2 2" xfId="2150" xr:uid="{00000000-0005-0000-0000-000002260000}"/>
    <cellStyle name="Separador de milhares 2 2 2 2 3 2 2 2" xfId="5030" xr:uid="{00000000-0005-0000-0000-000003260000}"/>
    <cellStyle name="Separador de milhares 2 2 2 2 3 2 3" xfId="3888" xr:uid="{00000000-0005-0000-0000-000004260000}"/>
    <cellStyle name="Separador de milhares 2 2 2 2 3 3" xfId="1673" xr:uid="{00000000-0005-0000-0000-000005260000}"/>
    <cellStyle name="Separador de milhares 2 2 2 2 3 3 2" xfId="4553" xr:uid="{00000000-0005-0000-0000-000006260000}"/>
    <cellStyle name="Separador de milhares 2 2 2 2 3 4" xfId="3412" xr:uid="{00000000-0005-0000-0000-000007260000}"/>
    <cellStyle name="Separador de milhares 2 2 2 2 4" xfId="834" xr:uid="{00000000-0005-0000-0000-000008260000}"/>
    <cellStyle name="Separador de milhares 2 2 2 2 4 2" xfId="1976" xr:uid="{00000000-0005-0000-0000-000009260000}"/>
    <cellStyle name="Separador de milhares 2 2 2 2 4 2 2" xfId="4856" xr:uid="{00000000-0005-0000-0000-00000A260000}"/>
    <cellStyle name="Separador de milhares 2 2 2 2 4 3" xfId="3714" xr:uid="{00000000-0005-0000-0000-00000B260000}"/>
    <cellStyle name="Separador de milhares 2 2 2 2 5" xfId="1498" xr:uid="{00000000-0005-0000-0000-00000C260000}"/>
    <cellStyle name="Separador de milhares 2 2 2 2 5 2" xfId="4378" xr:uid="{00000000-0005-0000-0000-00000D260000}"/>
    <cellStyle name="Separador de milhares 2 2 2 2 6" xfId="3236" xr:uid="{00000000-0005-0000-0000-00000E260000}"/>
    <cellStyle name="Separador de milhares 2 2 3" xfId="252" xr:uid="{00000000-0005-0000-0000-00000F260000}"/>
    <cellStyle name="Separador de milhares 2 2 4" xfId="253" xr:uid="{00000000-0005-0000-0000-000010260000}"/>
    <cellStyle name="Separador de milhares 2 2 5" xfId="254" xr:uid="{00000000-0005-0000-0000-000011260000}"/>
    <cellStyle name="Separador de milhares 2 2 6" xfId="255" xr:uid="{00000000-0005-0000-0000-000012260000}"/>
    <cellStyle name="Separador de milhares 2 2 6 2" xfId="256" xr:uid="{00000000-0005-0000-0000-000013260000}"/>
    <cellStyle name="Separador de milhares 2 2 6 3" xfId="365" xr:uid="{00000000-0005-0000-0000-000014260000}"/>
    <cellStyle name="Separador de milhares 2 2 6 3 2" xfId="430" xr:uid="{00000000-0005-0000-0000-000015260000}"/>
    <cellStyle name="Separador de milhares 2 2 6 3 2 2" xfId="604" xr:uid="{00000000-0005-0000-0000-000016260000}"/>
    <cellStyle name="Separador de milhares 2 2 6 3 2 2 2" xfId="1080" xr:uid="{00000000-0005-0000-0000-000017260000}"/>
    <cellStyle name="Separador de milhares 2 2 6 3 2 2 2 2" xfId="2222" xr:uid="{00000000-0005-0000-0000-000018260000}"/>
    <cellStyle name="Separador de milhares 2 2 6 3 2 2 2 2 2" xfId="5102" xr:uid="{00000000-0005-0000-0000-000019260000}"/>
    <cellStyle name="Separador de milhares 2 2 6 3 2 2 2 3" xfId="3960" xr:uid="{00000000-0005-0000-0000-00001A260000}"/>
    <cellStyle name="Separador de milhares 2 2 6 3 2 2 3" xfId="1745" xr:uid="{00000000-0005-0000-0000-00001B260000}"/>
    <cellStyle name="Separador de milhares 2 2 6 3 2 2 3 2" xfId="4625" xr:uid="{00000000-0005-0000-0000-00001C260000}"/>
    <cellStyle name="Separador de milhares 2 2 6 3 2 2 4" xfId="3484" xr:uid="{00000000-0005-0000-0000-00001D260000}"/>
    <cellStyle name="Separador de milhares 2 2 6 3 2 3" xfId="907" xr:uid="{00000000-0005-0000-0000-00001E260000}"/>
    <cellStyle name="Separador de milhares 2 2 6 3 2 3 2" xfId="2049" xr:uid="{00000000-0005-0000-0000-00001F260000}"/>
    <cellStyle name="Separador de milhares 2 2 6 3 2 3 2 2" xfId="4929" xr:uid="{00000000-0005-0000-0000-000020260000}"/>
    <cellStyle name="Separador de milhares 2 2 6 3 2 3 3" xfId="3787" xr:uid="{00000000-0005-0000-0000-000021260000}"/>
    <cellStyle name="Separador de milhares 2 2 6 3 2 4" xfId="1572" xr:uid="{00000000-0005-0000-0000-000022260000}"/>
    <cellStyle name="Separador de milhares 2 2 6 3 2 4 2" xfId="4452" xr:uid="{00000000-0005-0000-0000-000023260000}"/>
    <cellStyle name="Separador de milhares 2 2 6 3 2 5" xfId="3310" xr:uid="{00000000-0005-0000-0000-000024260000}"/>
    <cellStyle name="Separador de milhares 2 2 6 3 3" xfId="541" xr:uid="{00000000-0005-0000-0000-000025260000}"/>
    <cellStyle name="Separador de milhares 2 2 6 3 3 2" xfId="1017" xr:uid="{00000000-0005-0000-0000-000026260000}"/>
    <cellStyle name="Separador de milhares 2 2 6 3 3 2 2" xfId="2159" xr:uid="{00000000-0005-0000-0000-000027260000}"/>
    <cellStyle name="Separador de milhares 2 2 6 3 3 2 2 2" xfId="5039" xr:uid="{00000000-0005-0000-0000-000028260000}"/>
    <cellStyle name="Separador de milhares 2 2 6 3 3 2 3" xfId="3897" xr:uid="{00000000-0005-0000-0000-000029260000}"/>
    <cellStyle name="Separador de milhares 2 2 6 3 3 3" xfId="1682" xr:uid="{00000000-0005-0000-0000-00002A260000}"/>
    <cellStyle name="Separador de milhares 2 2 6 3 3 3 2" xfId="4562" xr:uid="{00000000-0005-0000-0000-00002B260000}"/>
    <cellStyle name="Separador de milhares 2 2 6 3 3 4" xfId="3421" xr:uid="{00000000-0005-0000-0000-00002C260000}"/>
    <cellStyle name="Separador de milhares 2 2 6 3 4" xfId="843" xr:uid="{00000000-0005-0000-0000-00002D260000}"/>
    <cellStyle name="Separador de milhares 2 2 6 3 4 2" xfId="1985" xr:uid="{00000000-0005-0000-0000-00002E260000}"/>
    <cellStyle name="Separador de milhares 2 2 6 3 4 2 2" xfId="4865" xr:uid="{00000000-0005-0000-0000-00002F260000}"/>
    <cellStyle name="Separador de milhares 2 2 6 3 4 3" xfId="3723" xr:uid="{00000000-0005-0000-0000-000030260000}"/>
    <cellStyle name="Separador de milhares 2 2 6 3 5" xfId="1507" xr:uid="{00000000-0005-0000-0000-000031260000}"/>
    <cellStyle name="Separador de milhares 2 2 6 3 5 2" xfId="4387" xr:uid="{00000000-0005-0000-0000-000032260000}"/>
    <cellStyle name="Separador de milhares 2 2 6 3 6" xfId="3245" xr:uid="{00000000-0005-0000-0000-000033260000}"/>
    <cellStyle name="Separador de milhares 2 2 7" xfId="257" xr:uid="{00000000-0005-0000-0000-000034260000}"/>
    <cellStyle name="Separador de milhares 2 2 7 2" xfId="258" xr:uid="{00000000-0005-0000-0000-000035260000}"/>
    <cellStyle name="Separador de milhares 2 2 8" xfId="259" xr:uid="{00000000-0005-0000-0000-000036260000}"/>
    <cellStyle name="Separador de milhares 2 2 8 2" xfId="366" xr:uid="{00000000-0005-0000-0000-000037260000}"/>
    <cellStyle name="Separador de milhares 2 2 8 2 2" xfId="431" xr:uid="{00000000-0005-0000-0000-000038260000}"/>
    <cellStyle name="Separador de milhares 2 2 8 2 2 2" xfId="605" xr:uid="{00000000-0005-0000-0000-000039260000}"/>
    <cellStyle name="Separador de milhares 2 2 8 2 2 2 2" xfId="1081" xr:uid="{00000000-0005-0000-0000-00003A260000}"/>
    <cellStyle name="Separador de milhares 2 2 8 2 2 2 2 2" xfId="2223" xr:uid="{00000000-0005-0000-0000-00003B260000}"/>
    <cellStyle name="Separador de milhares 2 2 8 2 2 2 2 2 2" xfId="5103" xr:uid="{00000000-0005-0000-0000-00003C260000}"/>
    <cellStyle name="Separador de milhares 2 2 8 2 2 2 2 3" xfId="3961" xr:uid="{00000000-0005-0000-0000-00003D260000}"/>
    <cellStyle name="Separador de milhares 2 2 8 2 2 2 3" xfId="1746" xr:uid="{00000000-0005-0000-0000-00003E260000}"/>
    <cellStyle name="Separador de milhares 2 2 8 2 2 2 3 2" xfId="4626" xr:uid="{00000000-0005-0000-0000-00003F260000}"/>
    <cellStyle name="Separador de milhares 2 2 8 2 2 2 4" xfId="3485" xr:uid="{00000000-0005-0000-0000-000040260000}"/>
    <cellStyle name="Separador de milhares 2 2 8 2 2 3" xfId="908" xr:uid="{00000000-0005-0000-0000-000041260000}"/>
    <cellStyle name="Separador de milhares 2 2 8 2 2 3 2" xfId="2050" xr:uid="{00000000-0005-0000-0000-000042260000}"/>
    <cellStyle name="Separador de milhares 2 2 8 2 2 3 2 2" xfId="4930" xr:uid="{00000000-0005-0000-0000-000043260000}"/>
    <cellStyle name="Separador de milhares 2 2 8 2 2 3 3" xfId="3788" xr:uid="{00000000-0005-0000-0000-000044260000}"/>
    <cellStyle name="Separador de milhares 2 2 8 2 2 4" xfId="1573" xr:uid="{00000000-0005-0000-0000-000045260000}"/>
    <cellStyle name="Separador de milhares 2 2 8 2 2 4 2" xfId="4453" xr:uid="{00000000-0005-0000-0000-000046260000}"/>
    <cellStyle name="Separador de milhares 2 2 8 2 2 5" xfId="3311" xr:uid="{00000000-0005-0000-0000-000047260000}"/>
    <cellStyle name="Separador de milhares 2 2 8 2 3" xfId="542" xr:uid="{00000000-0005-0000-0000-000048260000}"/>
    <cellStyle name="Separador de milhares 2 2 8 2 3 2" xfId="1018" xr:uid="{00000000-0005-0000-0000-000049260000}"/>
    <cellStyle name="Separador de milhares 2 2 8 2 3 2 2" xfId="2160" xr:uid="{00000000-0005-0000-0000-00004A260000}"/>
    <cellStyle name="Separador de milhares 2 2 8 2 3 2 2 2" xfId="5040" xr:uid="{00000000-0005-0000-0000-00004B260000}"/>
    <cellStyle name="Separador de milhares 2 2 8 2 3 2 3" xfId="3898" xr:uid="{00000000-0005-0000-0000-00004C260000}"/>
    <cellStyle name="Separador de milhares 2 2 8 2 3 3" xfId="1683" xr:uid="{00000000-0005-0000-0000-00004D260000}"/>
    <cellStyle name="Separador de milhares 2 2 8 2 3 3 2" xfId="4563" xr:uid="{00000000-0005-0000-0000-00004E260000}"/>
    <cellStyle name="Separador de milhares 2 2 8 2 3 4" xfId="3422" xr:uid="{00000000-0005-0000-0000-00004F260000}"/>
    <cellStyle name="Separador de milhares 2 2 8 2 4" xfId="844" xr:uid="{00000000-0005-0000-0000-000050260000}"/>
    <cellStyle name="Separador de milhares 2 2 8 2 4 2" xfId="1986" xr:uid="{00000000-0005-0000-0000-000051260000}"/>
    <cellStyle name="Separador de milhares 2 2 8 2 4 2 2" xfId="4866" xr:uid="{00000000-0005-0000-0000-000052260000}"/>
    <cellStyle name="Separador de milhares 2 2 8 2 4 3" xfId="3724" xr:uid="{00000000-0005-0000-0000-000053260000}"/>
    <cellStyle name="Separador de milhares 2 2 8 2 5" xfId="1508" xr:uid="{00000000-0005-0000-0000-000054260000}"/>
    <cellStyle name="Separador de milhares 2 2 8 2 5 2" xfId="4388" xr:uid="{00000000-0005-0000-0000-000055260000}"/>
    <cellStyle name="Separador de milhares 2 2 8 2 6" xfId="3246" xr:uid="{00000000-0005-0000-0000-000056260000}"/>
    <cellStyle name="Separador de milhares 2 2 9" xfId="260" xr:uid="{00000000-0005-0000-0000-000057260000}"/>
    <cellStyle name="Separador de milhares 2 2_14ª MED. TY" xfId="261" xr:uid="{00000000-0005-0000-0000-000058260000}"/>
    <cellStyle name="Separador de milhares 2 20" xfId="262" xr:uid="{00000000-0005-0000-0000-000059260000}"/>
    <cellStyle name="Separador de milhares 2 21" xfId="263" xr:uid="{00000000-0005-0000-0000-00005A260000}"/>
    <cellStyle name="Separador de milhares 2 22" xfId="264" xr:uid="{00000000-0005-0000-0000-00005B260000}"/>
    <cellStyle name="Separador de milhares 2 23" xfId="265" xr:uid="{00000000-0005-0000-0000-00005C260000}"/>
    <cellStyle name="Separador de milhares 2 24" xfId="266" xr:uid="{00000000-0005-0000-0000-00005D260000}"/>
    <cellStyle name="Separador de milhares 2 25" xfId="267" xr:uid="{00000000-0005-0000-0000-00005E260000}"/>
    <cellStyle name="Separador de milhares 2 26" xfId="268" xr:uid="{00000000-0005-0000-0000-00005F260000}"/>
    <cellStyle name="Separador de milhares 2 27" xfId="269" xr:uid="{00000000-0005-0000-0000-000060260000}"/>
    <cellStyle name="Separador de milhares 2 28" xfId="270" xr:uid="{00000000-0005-0000-0000-000061260000}"/>
    <cellStyle name="Separador de milhares 2 29" xfId="271" xr:uid="{00000000-0005-0000-0000-000062260000}"/>
    <cellStyle name="Separador de milhares 2 3" xfId="68" xr:uid="{00000000-0005-0000-0000-000063260000}"/>
    <cellStyle name="Separador de milhares 2 3 2" xfId="272" xr:uid="{00000000-0005-0000-0000-000064260000}"/>
    <cellStyle name="Separador de milhares 2 3 2 2" xfId="367" xr:uid="{00000000-0005-0000-0000-000065260000}"/>
    <cellStyle name="Separador de milhares 2 3 2 2 2" xfId="432" xr:uid="{00000000-0005-0000-0000-000066260000}"/>
    <cellStyle name="Separador de milhares 2 3 2 2 2 2" xfId="606" xr:uid="{00000000-0005-0000-0000-000067260000}"/>
    <cellStyle name="Separador de milhares 2 3 2 2 2 2 2" xfId="1082" xr:uid="{00000000-0005-0000-0000-000068260000}"/>
    <cellStyle name="Separador de milhares 2 3 2 2 2 2 2 2" xfId="2224" xr:uid="{00000000-0005-0000-0000-000069260000}"/>
    <cellStyle name="Separador de milhares 2 3 2 2 2 2 2 2 2" xfId="5104" xr:uid="{00000000-0005-0000-0000-00006A260000}"/>
    <cellStyle name="Separador de milhares 2 3 2 2 2 2 2 3" xfId="3962" xr:uid="{00000000-0005-0000-0000-00006B260000}"/>
    <cellStyle name="Separador de milhares 2 3 2 2 2 2 3" xfId="1747" xr:uid="{00000000-0005-0000-0000-00006C260000}"/>
    <cellStyle name="Separador de milhares 2 3 2 2 2 2 3 2" xfId="4627" xr:uid="{00000000-0005-0000-0000-00006D260000}"/>
    <cellStyle name="Separador de milhares 2 3 2 2 2 2 4" xfId="3486" xr:uid="{00000000-0005-0000-0000-00006E260000}"/>
    <cellStyle name="Separador de milhares 2 3 2 2 2 3" xfId="909" xr:uid="{00000000-0005-0000-0000-00006F260000}"/>
    <cellStyle name="Separador de milhares 2 3 2 2 2 3 2" xfId="2051" xr:uid="{00000000-0005-0000-0000-000070260000}"/>
    <cellStyle name="Separador de milhares 2 3 2 2 2 3 2 2" xfId="4931" xr:uid="{00000000-0005-0000-0000-000071260000}"/>
    <cellStyle name="Separador de milhares 2 3 2 2 2 3 3" xfId="3789" xr:uid="{00000000-0005-0000-0000-000072260000}"/>
    <cellStyle name="Separador de milhares 2 3 2 2 2 4" xfId="1574" xr:uid="{00000000-0005-0000-0000-000073260000}"/>
    <cellStyle name="Separador de milhares 2 3 2 2 2 4 2" xfId="4454" xr:uid="{00000000-0005-0000-0000-000074260000}"/>
    <cellStyle name="Separador de milhares 2 3 2 2 2 5" xfId="3312" xr:uid="{00000000-0005-0000-0000-000075260000}"/>
    <cellStyle name="Separador de milhares 2 3 2 2 3" xfId="543" xr:uid="{00000000-0005-0000-0000-000076260000}"/>
    <cellStyle name="Separador de milhares 2 3 2 2 3 2" xfId="1019" xr:uid="{00000000-0005-0000-0000-000077260000}"/>
    <cellStyle name="Separador de milhares 2 3 2 2 3 2 2" xfId="2161" xr:uid="{00000000-0005-0000-0000-000078260000}"/>
    <cellStyle name="Separador de milhares 2 3 2 2 3 2 2 2" xfId="5041" xr:uid="{00000000-0005-0000-0000-000079260000}"/>
    <cellStyle name="Separador de milhares 2 3 2 2 3 2 3" xfId="3899" xr:uid="{00000000-0005-0000-0000-00007A260000}"/>
    <cellStyle name="Separador de milhares 2 3 2 2 3 3" xfId="1684" xr:uid="{00000000-0005-0000-0000-00007B260000}"/>
    <cellStyle name="Separador de milhares 2 3 2 2 3 3 2" xfId="4564" xr:uid="{00000000-0005-0000-0000-00007C260000}"/>
    <cellStyle name="Separador de milhares 2 3 2 2 3 4" xfId="3423" xr:uid="{00000000-0005-0000-0000-00007D260000}"/>
    <cellStyle name="Separador de milhares 2 3 2 2 4" xfId="845" xr:uid="{00000000-0005-0000-0000-00007E260000}"/>
    <cellStyle name="Separador de milhares 2 3 2 2 4 2" xfId="1987" xr:uid="{00000000-0005-0000-0000-00007F260000}"/>
    <cellStyle name="Separador de milhares 2 3 2 2 4 2 2" xfId="4867" xr:uid="{00000000-0005-0000-0000-000080260000}"/>
    <cellStyle name="Separador de milhares 2 3 2 2 4 3" xfId="3725" xr:uid="{00000000-0005-0000-0000-000081260000}"/>
    <cellStyle name="Separador de milhares 2 3 2 2 5" xfId="1509" xr:uid="{00000000-0005-0000-0000-000082260000}"/>
    <cellStyle name="Separador de milhares 2 3 2 2 5 2" xfId="4389" xr:uid="{00000000-0005-0000-0000-000083260000}"/>
    <cellStyle name="Separador de milhares 2 3 2 2 6" xfId="3247" xr:uid="{00000000-0005-0000-0000-000084260000}"/>
    <cellStyle name="Separador de milhares 2 3 2 3" xfId="402" xr:uid="{00000000-0005-0000-0000-000085260000}"/>
    <cellStyle name="Separador de milhares 2 3 2 3 2" xfId="577" xr:uid="{00000000-0005-0000-0000-000086260000}"/>
    <cellStyle name="Separador de milhares 2 3 2 3 2 2" xfId="1053" xr:uid="{00000000-0005-0000-0000-000087260000}"/>
    <cellStyle name="Separador de milhares 2 3 2 3 2 2 2" xfId="2195" xr:uid="{00000000-0005-0000-0000-000088260000}"/>
    <cellStyle name="Separador de milhares 2 3 2 3 2 2 2 2" xfId="5075" xr:uid="{00000000-0005-0000-0000-000089260000}"/>
    <cellStyle name="Separador de milhares 2 3 2 3 2 2 3" xfId="3933" xr:uid="{00000000-0005-0000-0000-00008A260000}"/>
    <cellStyle name="Separador de milhares 2 3 2 3 2 3" xfId="1718" xr:uid="{00000000-0005-0000-0000-00008B260000}"/>
    <cellStyle name="Separador de milhares 2 3 2 3 2 3 2" xfId="4598" xr:uid="{00000000-0005-0000-0000-00008C260000}"/>
    <cellStyle name="Separador de milhares 2 3 2 3 2 4" xfId="3457" xr:uid="{00000000-0005-0000-0000-00008D260000}"/>
    <cellStyle name="Separador de milhares 2 3 2 3 3" xfId="879" xr:uid="{00000000-0005-0000-0000-00008E260000}"/>
    <cellStyle name="Separador de milhares 2 3 2 3 3 2" xfId="2021" xr:uid="{00000000-0005-0000-0000-00008F260000}"/>
    <cellStyle name="Separador de milhares 2 3 2 3 3 2 2" xfId="4901" xr:uid="{00000000-0005-0000-0000-000090260000}"/>
    <cellStyle name="Separador de milhares 2 3 2 3 3 3" xfId="3759" xr:uid="{00000000-0005-0000-0000-000091260000}"/>
    <cellStyle name="Separador de milhares 2 3 2 3 4" xfId="1544" xr:uid="{00000000-0005-0000-0000-000092260000}"/>
    <cellStyle name="Separador de milhares 2 3 2 3 4 2" xfId="4424" xr:uid="{00000000-0005-0000-0000-000093260000}"/>
    <cellStyle name="Separador de milhares 2 3 2 3 5" xfId="3282" xr:uid="{00000000-0005-0000-0000-000094260000}"/>
    <cellStyle name="Separador de milhares 2 3 2 4" xfId="507" xr:uid="{00000000-0005-0000-0000-000095260000}"/>
    <cellStyle name="Separador de milhares 2 3 2 4 2" xfId="983" xr:uid="{00000000-0005-0000-0000-000096260000}"/>
    <cellStyle name="Separador de milhares 2 3 2 4 2 2" xfId="2125" xr:uid="{00000000-0005-0000-0000-000097260000}"/>
    <cellStyle name="Separador de milhares 2 3 2 4 2 2 2" xfId="5005" xr:uid="{00000000-0005-0000-0000-000098260000}"/>
    <cellStyle name="Separador de milhares 2 3 2 4 2 3" xfId="3863" xr:uid="{00000000-0005-0000-0000-000099260000}"/>
    <cellStyle name="Separador de milhares 2 3 2 4 3" xfId="1648" xr:uid="{00000000-0005-0000-0000-00009A260000}"/>
    <cellStyle name="Separador de milhares 2 3 2 4 3 2" xfId="4528" xr:uid="{00000000-0005-0000-0000-00009B260000}"/>
    <cellStyle name="Separador de milhares 2 3 2 4 4" xfId="3387" xr:uid="{00000000-0005-0000-0000-00009C260000}"/>
    <cellStyle name="Separador de milhares 2 3 2 5" xfId="779" xr:uid="{00000000-0005-0000-0000-00009D260000}"/>
    <cellStyle name="Separador de milhares 2 3 2 5 2" xfId="1921" xr:uid="{00000000-0005-0000-0000-00009E260000}"/>
    <cellStyle name="Separador de milhares 2 3 2 5 2 2" xfId="4801" xr:uid="{00000000-0005-0000-0000-00009F260000}"/>
    <cellStyle name="Separador de milhares 2 3 2 5 3" xfId="3659" xr:uid="{00000000-0005-0000-0000-0000A0260000}"/>
    <cellStyle name="Separador de milhares 2 3 2 6" xfId="1455" xr:uid="{00000000-0005-0000-0000-0000A1260000}"/>
    <cellStyle name="Separador de milhares 2 3 2 6 2" xfId="4335" xr:uid="{00000000-0005-0000-0000-0000A2260000}"/>
    <cellStyle name="Separador de milhares 2 3 2 7" xfId="3153" xr:uid="{00000000-0005-0000-0000-0000A3260000}"/>
    <cellStyle name="Separador de milhares 2 3 3" xfId="352" xr:uid="{00000000-0005-0000-0000-0000A4260000}"/>
    <cellStyle name="Separador de milhares 2 3 3 2" xfId="417" xr:uid="{00000000-0005-0000-0000-0000A5260000}"/>
    <cellStyle name="Separador de milhares 2 3 3 2 2" xfId="591" xr:uid="{00000000-0005-0000-0000-0000A6260000}"/>
    <cellStyle name="Separador de milhares 2 3 3 2 2 2" xfId="1067" xr:uid="{00000000-0005-0000-0000-0000A7260000}"/>
    <cellStyle name="Separador de milhares 2 3 3 2 2 2 2" xfId="2209" xr:uid="{00000000-0005-0000-0000-0000A8260000}"/>
    <cellStyle name="Separador de milhares 2 3 3 2 2 2 2 2" xfId="5089" xr:uid="{00000000-0005-0000-0000-0000A9260000}"/>
    <cellStyle name="Separador de milhares 2 3 3 2 2 2 3" xfId="3947" xr:uid="{00000000-0005-0000-0000-0000AA260000}"/>
    <cellStyle name="Separador de milhares 2 3 3 2 2 3" xfId="1732" xr:uid="{00000000-0005-0000-0000-0000AB260000}"/>
    <cellStyle name="Separador de milhares 2 3 3 2 2 3 2" xfId="4612" xr:uid="{00000000-0005-0000-0000-0000AC260000}"/>
    <cellStyle name="Separador de milhares 2 3 3 2 2 4" xfId="3471" xr:uid="{00000000-0005-0000-0000-0000AD260000}"/>
    <cellStyle name="Separador de milhares 2 3 3 2 3" xfId="894" xr:uid="{00000000-0005-0000-0000-0000AE260000}"/>
    <cellStyle name="Separador de milhares 2 3 3 2 3 2" xfId="2036" xr:uid="{00000000-0005-0000-0000-0000AF260000}"/>
    <cellStyle name="Separador de milhares 2 3 3 2 3 2 2" xfId="4916" xr:uid="{00000000-0005-0000-0000-0000B0260000}"/>
    <cellStyle name="Separador de milhares 2 3 3 2 3 3" xfId="3774" xr:uid="{00000000-0005-0000-0000-0000B1260000}"/>
    <cellStyle name="Separador de milhares 2 3 3 2 4" xfId="1559" xr:uid="{00000000-0005-0000-0000-0000B2260000}"/>
    <cellStyle name="Separador de milhares 2 3 3 2 4 2" xfId="4439" xr:uid="{00000000-0005-0000-0000-0000B3260000}"/>
    <cellStyle name="Separador de milhares 2 3 3 2 5" xfId="3297" xr:uid="{00000000-0005-0000-0000-0000B4260000}"/>
    <cellStyle name="Separador de milhares 2 3 3 3" xfId="528" xr:uid="{00000000-0005-0000-0000-0000B5260000}"/>
    <cellStyle name="Separador de milhares 2 3 3 3 2" xfId="1004" xr:uid="{00000000-0005-0000-0000-0000B6260000}"/>
    <cellStyle name="Separador de milhares 2 3 3 3 2 2" xfId="2146" xr:uid="{00000000-0005-0000-0000-0000B7260000}"/>
    <cellStyle name="Separador de milhares 2 3 3 3 2 2 2" xfId="5026" xr:uid="{00000000-0005-0000-0000-0000B8260000}"/>
    <cellStyle name="Separador de milhares 2 3 3 3 2 3" xfId="3884" xr:uid="{00000000-0005-0000-0000-0000B9260000}"/>
    <cellStyle name="Separador de milhares 2 3 3 3 3" xfId="1669" xr:uid="{00000000-0005-0000-0000-0000BA260000}"/>
    <cellStyle name="Separador de milhares 2 3 3 3 3 2" xfId="4549" xr:uid="{00000000-0005-0000-0000-0000BB260000}"/>
    <cellStyle name="Separador de milhares 2 3 3 3 4" xfId="3408" xr:uid="{00000000-0005-0000-0000-0000BC260000}"/>
    <cellStyle name="Separador de milhares 2 3 3 4" xfId="830" xr:uid="{00000000-0005-0000-0000-0000BD260000}"/>
    <cellStyle name="Separador de milhares 2 3 3 4 2" xfId="1972" xr:uid="{00000000-0005-0000-0000-0000BE260000}"/>
    <cellStyle name="Separador de milhares 2 3 3 4 2 2" xfId="4852" xr:uid="{00000000-0005-0000-0000-0000BF260000}"/>
    <cellStyle name="Separador de milhares 2 3 3 4 3" xfId="3710" xr:uid="{00000000-0005-0000-0000-0000C0260000}"/>
    <cellStyle name="Separador de milhares 2 3 3 5" xfId="1494" xr:uid="{00000000-0005-0000-0000-0000C1260000}"/>
    <cellStyle name="Separador de milhares 2 3 3 5 2" xfId="4374" xr:uid="{00000000-0005-0000-0000-0000C2260000}"/>
    <cellStyle name="Separador de milhares 2 3 3 6" xfId="3232" xr:uid="{00000000-0005-0000-0000-0000C3260000}"/>
    <cellStyle name="Separador de milhares 2 3 4" xfId="400" xr:uid="{00000000-0005-0000-0000-0000C4260000}"/>
    <cellStyle name="Separador de milhares 2 3 4 2" xfId="575" xr:uid="{00000000-0005-0000-0000-0000C5260000}"/>
    <cellStyle name="Separador de milhares 2 3 4 2 2" xfId="1051" xr:uid="{00000000-0005-0000-0000-0000C6260000}"/>
    <cellStyle name="Separador de milhares 2 3 4 2 2 2" xfId="2193" xr:uid="{00000000-0005-0000-0000-0000C7260000}"/>
    <cellStyle name="Separador de milhares 2 3 4 2 2 2 2" xfId="5073" xr:uid="{00000000-0005-0000-0000-0000C8260000}"/>
    <cellStyle name="Separador de milhares 2 3 4 2 2 3" xfId="3931" xr:uid="{00000000-0005-0000-0000-0000C9260000}"/>
    <cellStyle name="Separador de milhares 2 3 4 2 3" xfId="1716" xr:uid="{00000000-0005-0000-0000-0000CA260000}"/>
    <cellStyle name="Separador de milhares 2 3 4 2 3 2" xfId="4596" xr:uid="{00000000-0005-0000-0000-0000CB260000}"/>
    <cellStyle name="Separador de milhares 2 3 4 2 4" xfId="3455" xr:uid="{00000000-0005-0000-0000-0000CC260000}"/>
    <cellStyle name="Separador de milhares 2 3 4 3" xfId="877" xr:uid="{00000000-0005-0000-0000-0000CD260000}"/>
    <cellStyle name="Separador de milhares 2 3 4 3 2" xfId="2019" xr:uid="{00000000-0005-0000-0000-0000CE260000}"/>
    <cellStyle name="Separador de milhares 2 3 4 3 2 2" xfId="4899" xr:uid="{00000000-0005-0000-0000-0000CF260000}"/>
    <cellStyle name="Separador de milhares 2 3 4 3 3" xfId="3757" xr:uid="{00000000-0005-0000-0000-0000D0260000}"/>
    <cellStyle name="Separador de milhares 2 3 4 4" xfId="1542" xr:uid="{00000000-0005-0000-0000-0000D1260000}"/>
    <cellStyle name="Separador de milhares 2 3 4 4 2" xfId="4422" xr:uid="{00000000-0005-0000-0000-0000D2260000}"/>
    <cellStyle name="Separador de milhares 2 3 4 5" xfId="3280" xr:uid="{00000000-0005-0000-0000-0000D3260000}"/>
    <cellStyle name="Separador de milhares 2 3 5" xfId="482" xr:uid="{00000000-0005-0000-0000-0000D4260000}"/>
    <cellStyle name="Separador de milhares 2 3 5 2" xfId="958" xr:uid="{00000000-0005-0000-0000-0000D5260000}"/>
    <cellStyle name="Separador de milhares 2 3 5 2 2" xfId="2100" xr:uid="{00000000-0005-0000-0000-0000D6260000}"/>
    <cellStyle name="Separador de milhares 2 3 5 2 2 2" xfId="4980" xr:uid="{00000000-0005-0000-0000-0000D7260000}"/>
    <cellStyle name="Separador de milhares 2 3 5 2 3" xfId="3838" xr:uid="{00000000-0005-0000-0000-0000D8260000}"/>
    <cellStyle name="Separador de milhares 2 3 5 3" xfId="1623" xr:uid="{00000000-0005-0000-0000-0000D9260000}"/>
    <cellStyle name="Separador de milhares 2 3 5 3 2" xfId="4503" xr:uid="{00000000-0005-0000-0000-0000DA260000}"/>
    <cellStyle name="Separador de milhares 2 3 5 4" xfId="3362" xr:uid="{00000000-0005-0000-0000-0000DB260000}"/>
    <cellStyle name="Separador de milhares 2 3 6" xfId="692" xr:uid="{00000000-0005-0000-0000-0000DC260000}"/>
    <cellStyle name="Separador de milhares 2 3 6 2" xfId="1834" xr:uid="{00000000-0005-0000-0000-0000DD260000}"/>
    <cellStyle name="Separador de milhares 2 3 6 2 2" xfId="4714" xr:uid="{00000000-0005-0000-0000-0000DE260000}"/>
    <cellStyle name="Separador de milhares 2 3 6 3" xfId="3572" xr:uid="{00000000-0005-0000-0000-0000DF260000}"/>
    <cellStyle name="Separador de milhares 2 3 7" xfId="1382" xr:uid="{00000000-0005-0000-0000-0000E0260000}"/>
    <cellStyle name="Separador de milhares 2 3 7 2" xfId="4262" xr:uid="{00000000-0005-0000-0000-0000E1260000}"/>
    <cellStyle name="Separador de milhares 2 3 8" xfId="2957" xr:uid="{00000000-0005-0000-0000-0000E2260000}"/>
    <cellStyle name="Separador de milhares 2 30" xfId="342" xr:uid="{00000000-0005-0000-0000-0000E3260000}"/>
    <cellStyle name="Separador de milhares 2 30 2" xfId="407" xr:uid="{00000000-0005-0000-0000-0000E4260000}"/>
    <cellStyle name="Separador de milhares 2 30 2 2" xfId="581" xr:uid="{00000000-0005-0000-0000-0000E5260000}"/>
    <cellStyle name="Separador de milhares 2 30 2 2 2" xfId="1057" xr:uid="{00000000-0005-0000-0000-0000E6260000}"/>
    <cellStyle name="Separador de milhares 2 30 2 2 2 2" xfId="2199" xr:uid="{00000000-0005-0000-0000-0000E7260000}"/>
    <cellStyle name="Separador de milhares 2 30 2 2 2 2 2" xfId="5079" xr:uid="{00000000-0005-0000-0000-0000E8260000}"/>
    <cellStyle name="Separador de milhares 2 30 2 2 2 3" xfId="3937" xr:uid="{00000000-0005-0000-0000-0000E9260000}"/>
    <cellStyle name="Separador de milhares 2 30 2 2 3" xfId="1722" xr:uid="{00000000-0005-0000-0000-0000EA260000}"/>
    <cellStyle name="Separador de milhares 2 30 2 2 3 2" xfId="4602" xr:uid="{00000000-0005-0000-0000-0000EB260000}"/>
    <cellStyle name="Separador de milhares 2 30 2 2 4" xfId="3461" xr:uid="{00000000-0005-0000-0000-0000EC260000}"/>
    <cellStyle name="Separador de milhares 2 30 2 3" xfId="884" xr:uid="{00000000-0005-0000-0000-0000ED260000}"/>
    <cellStyle name="Separador de milhares 2 30 2 3 2" xfId="2026" xr:uid="{00000000-0005-0000-0000-0000EE260000}"/>
    <cellStyle name="Separador de milhares 2 30 2 3 2 2" xfId="4906" xr:uid="{00000000-0005-0000-0000-0000EF260000}"/>
    <cellStyle name="Separador de milhares 2 30 2 3 3" xfId="3764" xr:uid="{00000000-0005-0000-0000-0000F0260000}"/>
    <cellStyle name="Separador de milhares 2 30 2 4" xfId="1549" xr:uid="{00000000-0005-0000-0000-0000F1260000}"/>
    <cellStyle name="Separador de milhares 2 30 2 4 2" xfId="4429" xr:uid="{00000000-0005-0000-0000-0000F2260000}"/>
    <cellStyle name="Separador de milhares 2 30 2 5" xfId="3287" xr:uid="{00000000-0005-0000-0000-0000F3260000}"/>
    <cellStyle name="Separador de milhares 2 30 3" xfId="518" xr:uid="{00000000-0005-0000-0000-0000F4260000}"/>
    <cellStyle name="Separador de milhares 2 30 3 2" xfId="994" xr:uid="{00000000-0005-0000-0000-0000F5260000}"/>
    <cellStyle name="Separador de milhares 2 30 3 2 2" xfId="2136" xr:uid="{00000000-0005-0000-0000-0000F6260000}"/>
    <cellStyle name="Separador de milhares 2 30 3 2 2 2" xfId="5016" xr:uid="{00000000-0005-0000-0000-0000F7260000}"/>
    <cellStyle name="Separador de milhares 2 30 3 2 3" xfId="3874" xr:uid="{00000000-0005-0000-0000-0000F8260000}"/>
    <cellStyle name="Separador de milhares 2 30 3 3" xfId="1659" xr:uid="{00000000-0005-0000-0000-0000F9260000}"/>
    <cellStyle name="Separador de milhares 2 30 3 3 2" xfId="4539" xr:uid="{00000000-0005-0000-0000-0000FA260000}"/>
    <cellStyle name="Separador de milhares 2 30 3 4" xfId="3398" xr:uid="{00000000-0005-0000-0000-0000FB260000}"/>
    <cellStyle name="Separador de milhares 2 30 4" xfId="820" xr:uid="{00000000-0005-0000-0000-0000FC260000}"/>
    <cellStyle name="Separador de milhares 2 30 4 2" xfId="1962" xr:uid="{00000000-0005-0000-0000-0000FD260000}"/>
    <cellStyle name="Separador de milhares 2 30 4 2 2" xfId="4842" xr:uid="{00000000-0005-0000-0000-0000FE260000}"/>
    <cellStyle name="Separador de milhares 2 30 4 3" xfId="3700" xr:uid="{00000000-0005-0000-0000-0000FF260000}"/>
    <cellStyle name="Separador de milhares 2 30 5" xfId="1484" xr:uid="{00000000-0005-0000-0000-000000270000}"/>
    <cellStyle name="Separador de milhares 2 30 5 2" xfId="4364" xr:uid="{00000000-0005-0000-0000-000001270000}"/>
    <cellStyle name="Separador de milhares 2 30 6" xfId="3222" xr:uid="{00000000-0005-0000-0000-000002270000}"/>
    <cellStyle name="Separador de milhares 2 4" xfId="143" xr:uid="{00000000-0005-0000-0000-000003270000}"/>
    <cellStyle name="Separador de milhares 2 4 10" xfId="273" xr:uid="{00000000-0005-0000-0000-000004270000}"/>
    <cellStyle name="Separador de milhares 2 4 10 2" xfId="368" xr:uid="{00000000-0005-0000-0000-000005270000}"/>
    <cellStyle name="Separador de milhares 2 4 10 2 2" xfId="433" xr:uid="{00000000-0005-0000-0000-000006270000}"/>
    <cellStyle name="Separador de milhares 2 4 10 2 2 2" xfId="607" xr:uid="{00000000-0005-0000-0000-000007270000}"/>
    <cellStyle name="Separador de milhares 2 4 10 2 2 2 2" xfId="1083" xr:uid="{00000000-0005-0000-0000-000008270000}"/>
    <cellStyle name="Separador de milhares 2 4 10 2 2 2 2 2" xfId="2225" xr:uid="{00000000-0005-0000-0000-000009270000}"/>
    <cellStyle name="Separador de milhares 2 4 10 2 2 2 2 2 2" xfId="5105" xr:uid="{00000000-0005-0000-0000-00000A270000}"/>
    <cellStyle name="Separador de milhares 2 4 10 2 2 2 2 3" xfId="3963" xr:uid="{00000000-0005-0000-0000-00000B270000}"/>
    <cellStyle name="Separador de milhares 2 4 10 2 2 2 3" xfId="1748" xr:uid="{00000000-0005-0000-0000-00000C270000}"/>
    <cellStyle name="Separador de milhares 2 4 10 2 2 2 3 2" xfId="4628" xr:uid="{00000000-0005-0000-0000-00000D270000}"/>
    <cellStyle name="Separador de milhares 2 4 10 2 2 2 4" xfId="3487" xr:uid="{00000000-0005-0000-0000-00000E270000}"/>
    <cellStyle name="Separador de milhares 2 4 10 2 2 3" xfId="910" xr:uid="{00000000-0005-0000-0000-00000F270000}"/>
    <cellStyle name="Separador de milhares 2 4 10 2 2 3 2" xfId="2052" xr:uid="{00000000-0005-0000-0000-000010270000}"/>
    <cellStyle name="Separador de milhares 2 4 10 2 2 3 2 2" xfId="4932" xr:uid="{00000000-0005-0000-0000-000011270000}"/>
    <cellStyle name="Separador de milhares 2 4 10 2 2 3 3" xfId="3790" xr:uid="{00000000-0005-0000-0000-000012270000}"/>
    <cellStyle name="Separador de milhares 2 4 10 2 2 4" xfId="1575" xr:uid="{00000000-0005-0000-0000-000013270000}"/>
    <cellStyle name="Separador de milhares 2 4 10 2 2 4 2" xfId="4455" xr:uid="{00000000-0005-0000-0000-000014270000}"/>
    <cellStyle name="Separador de milhares 2 4 10 2 2 5" xfId="3313" xr:uid="{00000000-0005-0000-0000-000015270000}"/>
    <cellStyle name="Separador de milhares 2 4 10 2 3" xfId="544" xr:uid="{00000000-0005-0000-0000-000016270000}"/>
    <cellStyle name="Separador de milhares 2 4 10 2 3 2" xfId="1020" xr:uid="{00000000-0005-0000-0000-000017270000}"/>
    <cellStyle name="Separador de milhares 2 4 10 2 3 2 2" xfId="2162" xr:uid="{00000000-0005-0000-0000-000018270000}"/>
    <cellStyle name="Separador de milhares 2 4 10 2 3 2 2 2" xfId="5042" xr:uid="{00000000-0005-0000-0000-000019270000}"/>
    <cellStyle name="Separador de milhares 2 4 10 2 3 2 3" xfId="3900" xr:uid="{00000000-0005-0000-0000-00001A270000}"/>
    <cellStyle name="Separador de milhares 2 4 10 2 3 3" xfId="1685" xr:uid="{00000000-0005-0000-0000-00001B270000}"/>
    <cellStyle name="Separador de milhares 2 4 10 2 3 3 2" xfId="4565" xr:uid="{00000000-0005-0000-0000-00001C270000}"/>
    <cellStyle name="Separador de milhares 2 4 10 2 3 4" xfId="3424" xr:uid="{00000000-0005-0000-0000-00001D270000}"/>
    <cellStyle name="Separador de milhares 2 4 10 2 4" xfId="846" xr:uid="{00000000-0005-0000-0000-00001E270000}"/>
    <cellStyle name="Separador de milhares 2 4 10 2 4 2" xfId="1988" xr:uid="{00000000-0005-0000-0000-00001F270000}"/>
    <cellStyle name="Separador de milhares 2 4 10 2 4 2 2" xfId="4868" xr:uid="{00000000-0005-0000-0000-000020270000}"/>
    <cellStyle name="Separador de milhares 2 4 10 2 4 3" xfId="3726" xr:uid="{00000000-0005-0000-0000-000021270000}"/>
    <cellStyle name="Separador de milhares 2 4 10 2 5" xfId="1510" xr:uid="{00000000-0005-0000-0000-000022270000}"/>
    <cellStyle name="Separador de milhares 2 4 10 2 5 2" xfId="4390" xr:uid="{00000000-0005-0000-0000-000023270000}"/>
    <cellStyle name="Separador de milhares 2 4 10 2 6" xfId="3248" xr:uid="{00000000-0005-0000-0000-000024270000}"/>
    <cellStyle name="Separador de milhares 2 4 11" xfId="274" xr:uid="{00000000-0005-0000-0000-000025270000}"/>
    <cellStyle name="Separador de milhares 2 4 11 2" xfId="369" xr:uid="{00000000-0005-0000-0000-000026270000}"/>
    <cellStyle name="Separador de milhares 2 4 11 2 2" xfId="434" xr:uid="{00000000-0005-0000-0000-000027270000}"/>
    <cellStyle name="Separador de milhares 2 4 11 2 2 2" xfId="608" xr:uid="{00000000-0005-0000-0000-000028270000}"/>
    <cellStyle name="Separador de milhares 2 4 11 2 2 2 2" xfId="1084" xr:uid="{00000000-0005-0000-0000-000029270000}"/>
    <cellStyle name="Separador de milhares 2 4 11 2 2 2 2 2" xfId="2226" xr:uid="{00000000-0005-0000-0000-00002A270000}"/>
    <cellStyle name="Separador de milhares 2 4 11 2 2 2 2 2 2" xfId="5106" xr:uid="{00000000-0005-0000-0000-00002B270000}"/>
    <cellStyle name="Separador de milhares 2 4 11 2 2 2 2 3" xfId="3964" xr:uid="{00000000-0005-0000-0000-00002C270000}"/>
    <cellStyle name="Separador de milhares 2 4 11 2 2 2 3" xfId="1749" xr:uid="{00000000-0005-0000-0000-00002D270000}"/>
    <cellStyle name="Separador de milhares 2 4 11 2 2 2 3 2" xfId="4629" xr:uid="{00000000-0005-0000-0000-00002E270000}"/>
    <cellStyle name="Separador de milhares 2 4 11 2 2 2 4" xfId="3488" xr:uid="{00000000-0005-0000-0000-00002F270000}"/>
    <cellStyle name="Separador de milhares 2 4 11 2 2 3" xfId="911" xr:uid="{00000000-0005-0000-0000-000030270000}"/>
    <cellStyle name="Separador de milhares 2 4 11 2 2 3 2" xfId="2053" xr:uid="{00000000-0005-0000-0000-000031270000}"/>
    <cellStyle name="Separador de milhares 2 4 11 2 2 3 2 2" xfId="4933" xr:uid="{00000000-0005-0000-0000-000032270000}"/>
    <cellStyle name="Separador de milhares 2 4 11 2 2 3 3" xfId="3791" xr:uid="{00000000-0005-0000-0000-000033270000}"/>
    <cellStyle name="Separador de milhares 2 4 11 2 2 4" xfId="1576" xr:uid="{00000000-0005-0000-0000-000034270000}"/>
    <cellStyle name="Separador de milhares 2 4 11 2 2 4 2" xfId="4456" xr:uid="{00000000-0005-0000-0000-000035270000}"/>
    <cellStyle name="Separador de milhares 2 4 11 2 2 5" xfId="3314" xr:uid="{00000000-0005-0000-0000-000036270000}"/>
    <cellStyle name="Separador de milhares 2 4 11 2 3" xfId="545" xr:uid="{00000000-0005-0000-0000-000037270000}"/>
    <cellStyle name="Separador de milhares 2 4 11 2 3 2" xfId="1021" xr:uid="{00000000-0005-0000-0000-000038270000}"/>
    <cellStyle name="Separador de milhares 2 4 11 2 3 2 2" xfId="2163" xr:uid="{00000000-0005-0000-0000-000039270000}"/>
    <cellStyle name="Separador de milhares 2 4 11 2 3 2 2 2" xfId="5043" xr:uid="{00000000-0005-0000-0000-00003A270000}"/>
    <cellStyle name="Separador de milhares 2 4 11 2 3 2 3" xfId="3901" xr:uid="{00000000-0005-0000-0000-00003B270000}"/>
    <cellStyle name="Separador de milhares 2 4 11 2 3 3" xfId="1686" xr:uid="{00000000-0005-0000-0000-00003C270000}"/>
    <cellStyle name="Separador de milhares 2 4 11 2 3 3 2" xfId="4566" xr:uid="{00000000-0005-0000-0000-00003D270000}"/>
    <cellStyle name="Separador de milhares 2 4 11 2 3 4" xfId="3425" xr:uid="{00000000-0005-0000-0000-00003E270000}"/>
    <cellStyle name="Separador de milhares 2 4 11 2 4" xfId="847" xr:uid="{00000000-0005-0000-0000-00003F270000}"/>
    <cellStyle name="Separador de milhares 2 4 11 2 4 2" xfId="1989" xr:uid="{00000000-0005-0000-0000-000040270000}"/>
    <cellStyle name="Separador de milhares 2 4 11 2 4 2 2" xfId="4869" xr:uid="{00000000-0005-0000-0000-000041270000}"/>
    <cellStyle name="Separador de milhares 2 4 11 2 4 3" xfId="3727" xr:uid="{00000000-0005-0000-0000-000042270000}"/>
    <cellStyle name="Separador de milhares 2 4 11 2 5" xfId="1511" xr:uid="{00000000-0005-0000-0000-000043270000}"/>
    <cellStyle name="Separador de milhares 2 4 11 2 5 2" xfId="4391" xr:uid="{00000000-0005-0000-0000-000044270000}"/>
    <cellStyle name="Separador de milhares 2 4 11 2 6" xfId="3249" xr:uid="{00000000-0005-0000-0000-000045270000}"/>
    <cellStyle name="Separador de milhares 2 4 12" xfId="275" xr:uid="{00000000-0005-0000-0000-000046270000}"/>
    <cellStyle name="Separador de milhares 2 4 12 2" xfId="370" xr:uid="{00000000-0005-0000-0000-000047270000}"/>
    <cellStyle name="Separador de milhares 2 4 12 2 2" xfId="435" xr:uid="{00000000-0005-0000-0000-000048270000}"/>
    <cellStyle name="Separador de milhares 2 4 12 2 2 2" xfId="609" xr:uid="{00000000-0005-0000-0000-000049270000}"/>
    <cellStyle name="Separador de milhares 2 4 12 2 2 2 2" xfId="1085" xr:uid="{00000000-0005-0000-0000-00004A270000}"/>
    <cellStyle name="Separador de milhares 2 4 12 2 2 2 2 2" xfId="2227" xr:uid="{00000000-0005-0000-0000-00004B270000}"/>
    <cellStyle name="Separador de milhares 2 4 12 2 2 2 2 2 2" xfId="5107" xr:uid="{00000000-0005-0000-0000-00004C270000}"/>
    <cellStyle name="Separador de milhares 2 4 12 2 2 2 2 3" xfId="3965" xr:uid="{00000000-0005-0000-0000-00004D270000}"/>
    <cellStyle name="Separador de milhares 2 4 12 2 2 2 3" xfId="1750" xr:uid="{00000000-0005-0000-0000-00004E270000}"/>
    <cellStyle name="Separador de milhares 2 4 12 2 2 2 3 2" xfId="4630" xr:uid="{00000000-0005-0000-0000-00004F270000}"/>
    <cellStyle name="Separador de milhares 2 4 12 2 2 2 4" xfId="3489" xr:uid="{00000000-0005-0000-0000-000050270000}"/>
    <cellStyle name="Separador de milhares 2 4 12 2 2 3" xfId="912" xr:uid="{00000000-0005-0000-0000-000051270000}"/>
    <cellStyle name="Separador de milhares 2 4 12 2 2 3 2" xfId="2054" xr:uid="{00000000-0005-0000-0000-000052270000}"/>
    <cellStyle name="Separador de milhares 2 4 12 2 2 3 2 2" xfId="4934" xr:uid="{00000000-0005-0000-0000-000053270000}"/>
    <cellStyle name="Separador de milhares 2 4 12 2 2 3 3" xfId="3792" xr:uid="{00000000-0005-0000-0000-000054270000}"/>
    <cellStyle name="Separador de milhares 2 4 12 2 2 4" xfId="1577" xr:uid="{00000000-0005-0000-0000-000055270000}"/>
    <cellStyle name="Separador de milhares 2 4 12 2 2 4 2" xfId="4457" xr:uid="{00000000-0005-0000-0000-000056270000}"/>
    <cellStyle name="Separador de milhares 2 4 12 2 2 5" xfId="3315" xr:uid="{00000000-0005-0000-0000-000057270000}"/>
    <cellStyle name="Separador de milhares 2 4 12 2 3" xfId="546" xr:uid="{00000000-0005-0000-0000-000058270000}"/>
    <cellStyle name="Separador de milhares 2 4 12 2 3 2" xfId="1022" xr:uid="{00000000-0005-0000-0000-000059270000}"/>
    <cellStyle name="Separador de milhares 2 4 12 2 3 2 2" xfId="2164" xr:uid="{00000000-0005-0000-0000-00005A270000}"/>
    <cellStyle name="Separador de milhares 2 4 12 2 3 2 2 2" xfId="5044" xr:uid="{00000000-0005-0000-0000-00005B270000}"/>
    <cellStyle name="Separador de milhares 2 4 12 2 3 2 3" xfId="3902" xr:uid="{00000000-0005-0000-0000-00005C270000}"/>
    <cellStyle name="Separador de milhares 2 4 12 2 3 3" xfId="1687" xr:uid="{00000000-0005-0000-0000-00005D270000}"/>
    <cellStyle name="Separador de milhares 2 4 12 2 3 3 2" xfId="4567" xr:uid="{00000000-0005-0000-0000-00005E270000}"/>
    <cellStyle name="Separador de milhares 2 4 12 2 3 4" xfId="3426" xr:uid="{00000000-0005-0000-0000-00005F270000}"/>
    <cellStyle name="Separador de milhares 2 4 12 2 4" xfId="848" xr:uid="{00000000-0005-0000-0000-000060270000}"/>
    <cellStyle name="Separador de milhares 2 4 12 2 4 2" xfId="1990" xr:uid="{00000000-0005-0000-0000-000061270000}"/>
    <cellStyle name="Separador de milhares 2 4 12 2 4 2 2" xfId="4870" xr:uid="{00000000-0005-0000-0000-000062270000}"/>
    <cellStyle name="Separador de milhares 2 4 12 2 4 3" xfId="3728" xr:uid="{00000000-0005-0000-0000-000063270000}"/>
    <cellStyle name="Separador de milhares 2 4 12 2 5" xfId="1512" xr:uid="{00000000-0005-0000-0000-000064270000}"/>
    <cellStyle name="Separador de milhares 2 4 12 2 5 2" xfId="4392" xr:uid="{00000000-0005-0000-0000-000065270000}"/>
    <cellStyle name="Separador de milhares 2 4 12 2 6" xfId="3250" xr:uid="{00000000-0005-0000-0000-000066270000}"/>
    <cellStyle name="Separador de milhares 2 4 13" xfId="357" xr:uid="{00000000-0005-0000-0000-000067270000}"/>
    <cellStyle name="Separador de milhares 2 4 13 2" xfId="422" xr:uid="{00000000-0005-0000-0000-000068270000}"/>
    <cellStyle name="Separador de milhares 2 4 13 2 2" xfId="596" xr:uid="{00000000-0005-0000-0000-000069270000}"/>
    <cellStyle name="Separador de milhares 2 4 13 2 2 2" xfId="1072" xr:uid="{00000000-0005-0000-0000-00006A270000}"/>
    <cellStyle name="Separador de milhares 2 4 13 2 2 2 2" xfId="2214" xr:uid="{00000000-0005-0000-0000-00006B270000}"/>
    <cellStyle name="Separador de milhares 2 4 13 2 2 2 2 2" xfId="5094" xr:uid="{00000000-0005-0000-0000-00006C270000}"/>
    <cellStyle name="Separador de milhares 2 4 13 2 2 2 3" xfId="3952" xr:uid="{00000000-0005-0000-0000-00006D270000}"/>
    <cellStyle name="Separador de milhares 2 4 13 2 2 3" xfId="1737" xr:uid="{00000000-0005-0000-0000-00006E270000}"/>
    <cellStyle name="Separador de milhares 2 4 13 2 2 3 2" xfId="4617" xr:uid="{00000000-0005-0000-0000-00006F270000}"/>
    <cellStyle name="Separador de milhares 2 4 13 2 2 4" xfId="3476" xr:uid="{00000000-0005-0000-0000-000070270000}"/>
    <cellStyle name="Separador de milhares 2 4 13 2 3" xfId="899" xr:uid="{00000000-0005-0000-0000-000071270000}"/>
    <cellStyle name="Separador de milhares 2 4 13 2 3 2" xfId="2041" xr:uid="{00000000-0005-0000-0000-000072270000}"/>
    <cellStyle name="Separador de milhares 2 4 13 2 3 2 2" xfId="4921" xr:uid="{00000000-0005-0000-0000-000073270000}"/>
    <cellStyle name="Separador de milhares 2 4 13 2 3 3" xfId="3779" xr:uid="{00000000-0005-0000-0000-000074270000}"/>
    <cellStyle name="Separador de milhares 2 4 13 2 4" xfId="1564" xr:uid="{00000000-0005-0000-0000-000075270000}"/>
    <cellStyle name="Separador de milhares 2 4 13 2 4 2" xfId="4444" xr:uid="{00000000-0005-0000-0000-000076270000}"/>
    <cellStyle name="Separador de milhares 2 4 13 2 5" xfId="3302" xr:uid="{00000000-0005-0000-0000-000077270000}"/>
    <cellStyle name="Separador de milhares 2 4 13 3" xfId="533" xr:uid="{00000000-0005-0000-0000-000078270000}"/>
    <cellStyle name="Separador de milhares 2 4 13 3 2" xfId="1009" xr:uid="{00000000-0005-0000-0000-000079270000}"/>
    <cellStyle name="Separador de milhares 2 4 13 3 2 2" xfId="2151" xr:uid="{00000000-0005-0000-0000-00007A270000}"/>
    <cellStyle name="Separador de milhares 2 4 13 3 2 2 2" xfId="5031" xr:uid="{00000000-0005-0000-0000-00007B270000}"/>
    <cellStyle name="Separador de milhares 2 4 13 3 2 3" xfId="3889" xr:uid="{00000000-0005-0000-0000-00007C270000}"/>
    <cellStyle name="Separador de milhares 2 4 13 3 3" xfId="1674" xr:uid="{00000000-0005-0000-0000-00007D270000}"/>
    <cellStyle name="Separador de milhares 2 4 13 3 3 2" xfId="4554" xr:uid="{00000000-0005-0000-0000-00007E270000}"/>
    <cellStyle name="Separador de milhares 2 4 13 3 4" xfId="3413" xr:uid="{00000000-0005-0000-0000-00007F270000}"/>
    <cellStyle name="Separador de milhares 2 4 13 4" xfId="835" xr:uid="{00000000-0005-0000-0000-000080270000}"/>
    <cellStyle name="Separador de milhares 2 4 13 4 2" xfId="1977" xr:uid="{00000000-0005-0000-0000-000081270000}"/>
    <cellStyle name="Separador de milhares 2 4 13 4 2 2" xfId="4857" xr:uid="{00000000-0005-0000-0000-000082270000}"/>
    <cellStyle name="Separador de milhares 2 4 13 4 3" xfId="3715" xr:uid="{00000000-0005-0000-0000-000083270000}"/>
    <cellStyle name="Separador de milhares 2 4 13 5" xfId="1499" xr:uid="{00000000-0005-0000-0000-000084270000}"/>
    <cellStyle name="Separador de milhares 2 4 13 5 2" xfId="4379" xr:uid="{00000000-0005-0000-0000-000085270000}"/>
    <cellStyle name="Separador de milhares 2 4 13 6" xfId="3237" xr:uid="{00000000-0005-0000-0000-000086270000}"/>
    <cellStyle name="Separador de milhares 2 4 2" xfId="276" xr:uid="{00000000-0005-0000-0000-000087270000}"/>
    <cellStyle name="Separador de milhares 2 4 2 2" xfId="371" xr:uid="{00000000-0005-0000-0000-000088270000}"/>
    <cellStyle name="Separador de milhares 2 4 2 2 2" xfId="436" xr:uid="{00000000-0005-0000-0000-000089270000}"/>
    <cellStyle name="Separador de milhares 2 4 2 2 2 2" xfId="610" xr:uid="{00000000-0005-0000-0000-00008A270000}"/>
    <cellStyle name="Separador de milhares 2 4 2 2 2 2 2" xfId="1086" xr:uid="{00000000-0005-0000-0000-00008B270000}"/>
    <cellStyle name="Separador de milhares 2 4 2 2 2 2 2 2" xfId="2228" xr:uid="{00000000-0005-0000-0000-00008C270000}"/>
    <cellStyle name="Separador de milhares 2 4 2 2 2 2 2 2 2" xfId="5108" xr:uid="{00000000-0005-0000-0000-00008D270000}"/>
    <cellStyle name="Separador de milhares 2 4 2 2 2 2 2 3" xfId="3966" xr:uid="{00000000-0005-0000-0000-00008E270000}"/>
    <cellStyle name="Separador de milhares 2 4 2 2 2 2 3" xfId="1751" xr:uid="{00000000-0005-0000-0000-00008F270000}"/>
    <cellStyle name="Separador de milhares 2 4 2 2 2 2 3 2" xfId="4631" xr:uid="{00000000-0005-0000-0000-000090270000}"/>
    <cellStyle name="Separador de milhares 2 4 2 2 2 2 4" xfId="3490" xr:uid="{00000000-0005-0000-0000-000091270000}"/>
    <cellStyle name="Separador de milhares 2 4 2 2 2 3" xfId="913" xr:uid="{00000000-0005-0000-0000-000092270000}"/>
    <cellStyle name="Separador de milhares 2 4 2 2 2 3 2" xfId="2055" xr:uid="{00000000-0005-0000-0000-000093270000}"/>
    <cellStyle name="Separador de milhares 2 4 2 2 2 3 2 2" xfId="4935" xr:uid="{00000000-0005-0000-0000-000094270000}"/>
    <cellStyle name="Separador de milhares 2 4 2 2 2 3 3" xfId="3793" xr:uid="{00000000-0005-0000-0000-000095270000}"/>
    <cellStyle name="Separador de milhares 2 4 2 2 2 4" xfId="1578" xr:uid="{00000000-0005-0000-0000-000096270000}"/>
    <cellStyle name="Separador de milhares 2 4 2 2 2 4 2" xfId="4458" xr:uid="{00000000-0005-0000-0000-000097270000}"/>
    <cellStyle name="Separador de milhares 2 4 2 2 2 5" xfId="3316" xr:uid="{00000000-0005-0000-0000-000098270000}"/>
    <cellStyle name="Separador de milhares 2 4 2 2 3" xfId="547" xr:uid="{00000000-0005-0000-0000-000099270000}"/>
    <cellStyle name="Separador de milhares 2 4 2 2 3 2" xfId="1023" xr:uid="{00000000-0005-0000-0000-00009A270000}"/>
    <cellStyle name="Separador de milhares 2 4 2 2 3 2 2" xfId="2165" xr:uid="{00000000-0005-0000-0000-00009B270000}"/>
    <cellStyle name="Separador de milhares 2 4 2 2 3 2 2 2" xfId="5045" xr:uid="{00000000-0005-0000-0000-00009C270000}"/>
    <cellStyle name="Separador de milhares 2 4 2 2 3 2 3" xfId="3903" xr:uid="{00000000-0005-0000-0000-00009D270000}"/>
    <cellStyle name="Separador de milhares 2 4 2 2 3 3" xfId="1688" xr:uid="{00000000-0005-0000-0000-00009E270000}"/>
    <cellStyle name="Separador de milhares 2 4 2 2 3 3 2" xfId="4568" xr:uid="{00000000-0005-0000-0000-00009F270000}"/>
    <cellStyle name="Separador de milhares 2 4 2 2 3 4" xfId="3427" xr:uid="{00000000-0005-0000-0000-0000A0270000}"/>
    <cellStyle name="Separador de milhares 2 4 2 2 4" xfId="849" xr:uid="{00000000-0005-0000-0000-0000A1270000}"/>
    <cellStyle name="Separador de milhares 2 4 2 2 4 2" xfId="1991" xr:uid="{00000000-0005-0000-0000-0000A2270000}"/>
    <cellStyle name="Separador de milhares 2 4 2 2 4 2 2" xfId="4871" xr:uid="{00000000-0005-0000-0000-0000A3270000}"/>
    <cellStyle name="Separador de milhares 2 4 2 2 4 3" xfId="3729" xr:uid="{00000000-0005-0000-0000-0000A4270000}"/>
    <cellStyle name="Separador de milhares 2 4 2 2 5" xfId="1513" xr:uid="{00000000-0005-0000-0000-0000A5270000}"/>
    <cellStyle name="Separador de milhares 2 4 2 2 5 2" xfId="4393" xr:uid="{00000000-0005-0000-0000-0000A6270000}"/>
    <cellStyle name="Separador de milhares 2 4 2 2 6" xfId="3251" xr:uid="{00000000-0005-0000-0000-0000A7270000}"/>
    <cellStyle name="Separador de milhares 2 4 3" xfId="277" xr:uid="{00000000-0005-0000-0000-0000A8270000}"/>
    <cellStyle name="Separador de milhares 2 4 3 2" xfId="372" xr:uid="{00000000-0005-0000-0000-0000A9270000}"/>
    <cellStyle name="Separador de milhares 2 4 3 2 2" xfId="437" xr:uid="{00000000-0005-0000-0000-0000AA270000}"/>
    <cellStyle name="Separador de milhares 2 4 3 2 2 2" xfId="611" xr:uid="{00000000-0005-0000-0000-0000AB270000}"/>
    <cellStyle name="Separador de milhares 2 4 3 2 2 2 2" xfId="1087" xr:uid="{00000000-0005-0000-0000-0000AC270000}"/>
    <cellStyle name="Separador de milhares 2 4 3 2 2 2 2 2" xfId="2229" xr:uid="{00000000-0005-0000-0000-0000AD270000}"/>
    <cellStyle name="Separador de milhares 2 4 3 2 2 2 2 2 2" xfId="5109" xr:uid="{00000000-0005-0000-0000-0000AE270000}"/>
    <cellStyle name="Separador de milhares 2 4 3 2 2 2 2 3" xfId="3967" xr:uid="{00000000-0005-0000-0000-0000AF270000}"/>
    <cellStyle name="Separador de milhares 2 4 3 2 2 2 3" xfId="1752" xr:uid="{00000000-0005-0000-0000-0000B0270000}"/>
    <cellStyle name="Separador de milhares 2 4 3 2 2 2 3 2" xfId="4632" xr:uid="{00000000-0005-0000-0000-0000B1270000}"/>
    <cellStyle name="Separador de milhares 2 4 3 2 2 2 4" xfId="3491" xr:uid="{00000000-0005-0000-0000-0000B2270000}"/>
    <cellStyle name="Separador de milhares 2 4 3 2 2 3" xfId="914" xr:uid="{00000000-0005-0000-0000-0000B3270000}"/>
    <cellStyle name="Separador de milhares 2 4 3 2 2 3 2" xfId="2056" xr:uid="{00000000-0005-0000-0000-0000B4270000}"/>
    <cellStyle name="Separador de milhares 2 4 3 2 2 3 2 2" xfId="4936" xr:uid="{00000000-0005-0000-0000-0000B5270000}"/>
    <cellStyle name="Separador de milhares 2 4 3 2 2 3 3" xfId="3794" xr:uid="{00000000-0005-0000-0000-0000B6270000}"/>
    <cellStyle name="Separador de milhares 2 4 3 2 2 4" xfId="1579" xr:uid="{00000000-0005-0000-0000-0000B7270000}"/>
    <cellStyle name="Separador de milhares 2 4 3 2 2 4 2" xfId="4459" xr:uid="{00000000-0005-0000-0000-0000B8270000}"/>
    <cellStyle name="Separador de milhares 2 4 3 2 2 5" xfId="3317" xr:uid="{00000000-0005-0000-0000-0000B9270000}"/>
    <cellStyle name="Separador de milhares 2 4 3 2 3" xfId="548" xr:uid="{00000000-0005-0000-0000-0000BA270000}"/>
    <cellStyle name="Separador de milhares 2 4 3 2 3 2" xfId="1024" xr:uid="{00000000-0005-0000-0000-0000BB270000}"/>
    <cellStyle name="Separador de milhares 2 4 3 2 3 2 2" xfId="2166" xr:uid="{00000000-0005-0000-0000-0000BC270000}"/>
    <cellStyle name="Separador de milhares 2 4 3 2 3 2 2 2" xfId="5046" xr:uid="{00000000-0005-0000-0000-0000BD270000}"/>
    <cellStyle name="Separador de milhares 2 4 3 2 3 2 3" xfId="3904" xr:uid="{00000000-0005-0000-0000-0000BE270000}"/>
    <cellStyle name="Separador de milhares 2 4 3 2 3 3" xfId="1689" xr:uid="{00000000-0005-0000-0000-0000BF270000}"/>
    <cellStyle name="Separador de milhares 2 4 3 2 3 3 2" xfId="4569" xr:uid="{00000000-0005-0000-0000-0000C0270000}"/>
    <cellStyle name="Separador de milhares 2 4 3 2 3 4" xfId="3428" xr:uid="{00000000-0005-0000-0000-0000C1270000}"/>
    <cellStyle name="Separador de milhares 2 4 3 2 4" xfId="850" xr:uid="{00000000-0005-0000-0000-0000C2270000}"/>
    <cellStyle name="Separador de milhares 2 4 3 2 4 2" xfId="1992" xr:uid="{00000000-0005-0000-0000-0000C3270000}"/>
    <cellStyle name="Separador de milhares 2 4 3 2 4 2 2" xfId="4872" xr:uid="{00000000-0005-0000-0000-0000C4270000}"/>
    <cellStyle name="Separador de milhares 2 4 3 2 4 3" xfId="3730" xr:uid="{00000000-0005-0000-0000-0000C5270000}"/>
    <cellStyle name="Separador de milhares 2 4 3 2 5" xfId="1514" xr:uid="{00000000-0005-0000-0000-0000C6270000}"/>
    <cellStyle name="Separador de milhares 2 4 3 2 5 2" xfId="4394" xr:uid="{00000000-0005-0000-0000-0000C7270000}"/>
    <cellStyle name="Separador de milhares 2 4 3 2 6" xfId="3252" xr:uid="{00000000-0005-0000-0000-0000C8270000}"/>
    <cellStyle name="Separador de milhares 2 4 4" xfId="278" xr:uid="{00000000-0005-0000-0000-0000C9270000}"/>
    <cellStyle name="Separador de milhares 2 4 4 2" xfId="373" xr:uid="{00000000-0005-0000-0000-0000CA270000}"/>
    <cellStyle name="Separador de milhares 2 4 4 2 2" xfId="438" xr:uid="{00000000-0005-0000-0000-0000CB270000}"/>
    <cellStyle name="Separador de milhares 2 4 4 2 2 2" xfId="612" xr:uid="{00000000-0005-0000-0000-0000CC270000}"/>
    <cellStyle name="Separador de milhares 2 4 4 2 2 2 2" xfId="1088" xr:uid="{00000000-0005-0000-0000-0000CD270000}"/>
    <cellStyle name="Separador de milhares 2 4 4 2 2 2 2 2" xfId="2230" xr:uid="{00000000-0005-0000-0000-0000CE270000}"/>
    <cellStyle name="Separador de milhares 2 4 4 2 2 2 2 2 2" xfId="5110" xr:uid="{00000000-0005-0000-0000-0000CF270000}"/>
    <cellStyle name="Separador de milhares 2 4 4 2 2 2 2 3" xfId="3968" xr:uid="{00000000-0005-0000-0000-0000D0270000}"/>
    <cellStyle name="Separador de milhares 2 4 4 2 2 2 3" xfId="1753" xr:uid="{00000000-0005-0000-0000-0000D1270000}"/>
    <cellStyle name="Separador de milhares 2 4 4 2 2 2 3 2" xfId="4633" xr:uid="{00000000-0005-0000-0000-0000D2270000}"/>
    <cellStyle name="Separador de milhares 2 4 4 2 2 2 4" xfId="3492" xr:uid="{00000000-0005-0000-0000-0000D3270000}"/>
    <cellStyle name="Separador de milhares 2 4 4 2 2 3" xfId="915" xr:uid="{00000000-0005-0000-0000-0000D4270000}"/>
    <cellStyle name="Separador de milhares 2 4 4 2 2 3 2" xfId="2057" xr:uid="{00000000-0005-0000-0000-0000D5270000}"/>
    <cellStyle name="Separador de milhares 2 4 4 2 2 3 2 2" xfId="4937" xr:uid="{00000000-0005-0000-0000-0000D6270000}"/>
    <cellStyle name="Separador de milhares 2 4 4 2 2 3 3" xfId="3795" xr:uid="{00000000-0005-0000-0000-0000D7270000}"/>
    <cellStyle name="Separador de milhares 2 4 4 2 2 4" xfId="1580" xr:uid="{00000000-0005-0000-0000-0000D8270000}"/>
    <cellStyle name="Separador de milhares 2 4 4 2 2 4 2" xfId="4460" xr:uid="{00000000-0005-0000-0000-0000D9270000}"/>
    <cellStyle name="Separador de milhares 2 4 4 2 2 5" xfId="3318" xr:uid="{00000000-0005-0000-0000-0000DA270000}"/>
    <cellStyle name="Separador de milhares 2 4 4 2 3" xfId="549" xr:uid="{00000000-0005-0000-0000-0000DB270000}"/>
    <cellStyle name="Separador de milhares 2 4 4 2 3 2" xfId="1025" xr:uid="{00000000-0005-0000-0000-0000DC270000}"/>
    <cellStyle name="Separador de milhares 2 4 4 2 3 2 2" xfId="2167" xr:uid="{00000000-0005-0000-0000-0000DD270000}"/>
    <cellStyle name="Separador de milhares 2 4 4 2 3 2 2 2" xfId="5047" xr:uid="{00000000-0005-0000-0000-0000DE270000}"/>
    <cellStyle name="Separador de milhares 2 4 4 2 3 2 3" xfId="3905" xr:uid="{00000000-0005-0000-0000-0000DF270000}"/>
    <cellStyle name="Separador de milhares 2 4 4 2 3 3" xfId="1690" xr:uid="{00000000-0005-0000-0000-0000E0270000}"/>
    <cellStyle name="Separador de milhares 2 4 4 2 3 3 2" xfId="4570" xr:uid="{00000000-0005-0000-0000-0000E1270000}"/>
    <cellStyle name="Separador de milhares 2 4 4 2 3 4" xfId="3429" xr:uid="{00000000-0005-0000-0000-0000E2270000}"/>
    <cellStyle name="Separador de milhares 2 4 4 2 4" xfId="851" xr:uid="{00000000-0005-0000-0000-0000E3270000}"/>
    <cellStyle name="Separador de milhares 2 4 4 2 4 2" xfId="1993" xr:uid="{00000000-0005-0000-0000-0000E4270000}"/>
    <cellStyle name="Separador de milhares 2 4 4 2 4 2 2" xfId="4873" xr:uid="{00000000-0005-0000-0000-0000E5270000}"/>
    <cellStyle name="Separador de milhares 2 4 4 2 4 3" xfId="3731" xr:uid="{00000000-0005-0000-0000-0000E6270000}"/>
    <cellStyle name="Separador de milhares 2 4 4 2 5" xfId="1515" xr:uid="{00000000-0005-0000-0000-0000E7270000}"/>
    <cellStyle name="Separador de milhares 2 4 4 2 5 2" xfId="4395" xr:uid="{00000000-0005-0000-0000-0000E8270000}"/>
    <cellStyle name="Separador de milhares 2 4 4 2 6" xfId="3253" xr:uid="{00000000-0005-0000-0000-0000E9270000}"/>
    <cellStyle name="Separador de milhares 2 4 5" xfId="279" xr:uid="{00000000-0005-0000-0000-0000EA270000}"/>
    <cellStyle name="Separador de milhares 2 4 5 2" xfId="374" xr:uid="{00000000-0005-0000-0000-0000EB270000}"/>
    <cellStyle name="Separador de milhares 2 4 5 2 2" xfId="439" xr:uid="{00000000-0005-0000-0000-0000EC270000}"/>
    <cellStyle name="Separador de milhares 2 4 5 2 2 2" xfId="613" xr:uid="{00000000-0005-0000-0000-0000ED270000}"/>
    <cellStyle name="Separador de milhares 2 4 5 2 2 2 2" xfId="1089" xr:uid="{00000000-0005-0000-0000-0000EE270000}"/>
    <cellStyle name="Separador de milhares 2 4 5 2 2 2 2 2" xfId="2231" xr:uid="{00000000-0005-0000-0000-0000EF270000}"/>
    <cellStyle name="Separador de milhares 2 4 5 2 2 2 2 2 2" xfId="5111" xr:uid="{00000000-0005-0000-0000-0000F0270000}"/>
    <cellStyle name="Separador de milhares 2 4 5 2 2 2 2 3" xfId="3969" xr:uid="{00000000-0005-0000-0000-0000F1270000}"/>
    <cellStyle name="Separador de milhares 2 4 5 2 2 2 3" xfId="1754" xr:uid="{00000000-0005-0000-0000-0000F2270000}"/>
    <cellStyle name="Separador de milhares 2 4 5 2 2 2 3 2" xfId="4634" xr:uid="{00000000-0005-0000-0000-0000F3270000}"/>
    <cellStyle name="Separador de milhares 2 4 5 2 2 2 4" xfId="3493" xr:uid="{00000000-0005-0000-0000-0000F4270000}"/>
    <cellStyle name="Separador de milhares 2 4 5 2 2 3" xfId="916" xr:uid="{00000000-0005-0000-0000-0000F5270000}"/>
    <cellStyle name="Separador de milhares 2 4 5 2 2 3 2" xfId="2058" xr:uid="{00000000-0005-0000-0000-0000F6270000}"/>
    <cellStyle name="Separador de milhares 2 4 5 2 2 3 2 2" xfId="4938" xr:uid="{00000000-0005-0000-0000-0000F7270000}"/>
    <cellStyle name="Separador de milhares 2 4 5 2 2 3 3" xfId="3796" xr:uid="{00000000-0005-0000-0000-0000F8270000}"/>
    <cellStyle name="Separador de milhares 2 4 5 2 2 4" xfId="1581" xr:uid="{00000000-0005-0000-0000-0000F9270000}"/>
    <cellStyle name="Separador de milhares 2 4 5 2 2 4 2" xfId="4461" xr:uid="{00000000-0005-0000-0000-0000FA270000}"/>
    <cellStyle name="Separador de milhares 2 4 5 2 2 5" xfId="3319" xr:uid="{00000000-0005-0000-0000-0000FB270000}"/>
    <cellStyle name="Separador de milhares 2 4 5 2 3" xfId="550" xr:uid="{00000000-0005-0000-0000-0000FC270000}"/>
    <cellStyle name="Separador de milhares 2 4 5 2 3 2" xfId="1026" xr:uid="{00000000-0005-0000-0000-0000FD270000}"/>
    <cellStyle name="Separador de milhares 2 4 5 2 3 2 2" xfId="2168" xr:uid="{00000000-0005-0000-0000-0000FE270000}"/>
    <cellStyle name="Separador de milhares 2 4 5 2 3 2 2 2" xfId="5048" xr:uid="{00000000-0005-0000-0000-0000FF270000}"/>
    <cellStyle name="Separador de milhares 2 4 5 2 3 2 3" xfId="3906" xr:uid="{00000000-0005-0000-0000-000000280000}"/>
    <cellStyle name="Separador de milhares 2 4 5 2 3 3" xfId="1691" xr:uid="{00000000-0005-0000-0000-000001280000}"/>
    <cellStyle name="Separador de milhares 2 4 5 2 3 3 2" xfId="4571" xr:uid="{00000000-0005-0000-0000-000002280000}"/>
    <cellStyle name="Separador de milhares 2 4 5 2 3 4" xfId="3430" xr:uid="{00000000-0005-0000-0000-000003280000}"/>
    <cellStyle name="Separador de milhares 2 4 5 2 4" xfId="852" xr:uid="{00000000-0005-0000-0000-000004280000}"/>
    <cellStyle name="Separador de milhares 2 4 5 2 4 2" xfId="1994" xr:uid="{00000000-0005-0000-0000-000005280000}"/>
    <cellStyle name="Separador de milhares 2 4 5 2 4 2 2" xfId="4874" xr:uid="{00000000-0005-0000-0000-000006280000}"/>
    <cellStyle name="Separador de milhares 2 4 5 2 4 3" xfId="3732" xr:uid="{00000000-0005-0000-0000-000007280000}"/>
    <cellStyle name="Separador de milhares 2 4 5 2 5" xfId="1516" xr:uid="{00000000-0005-0000-0000-000008280000}"/>
    <cellStyle name="Separador de milhares 2 4 5 2 5 2" xfId="4396" xr:uid="{00000000-0005-0000-0000-000009280000}"/>
    <cellStyle name="Separador de milhares 2 4 5 2 6" xfId="3254" xr:uid="{00000000-0005-0000-0000-00000A280000}"/>
    <cellStyle name="Separador de milhares 2 4 6" xfId="280" xr:uid="{00000000-0005-0000-0000-00000B280000}"/>
    <cellStyle name="Separador de milhares 2 4 6 2" xfId="375" xr:uid="{00000000-0005-0000-0000-00000C280000}"/>
    <cellStyle name="Separador de milhares 2 4 6 2 2" xfId="440" xr:uid="{00000000-0005-0000-0000-00000D280000}"/>
    <cellStyle name="Separador de milhares 2 4 6 2 2 2" xfId="614" xr:uid="{00000000-0005-0000-0000-00000E280000}"/>
    <cellStyle name="Separador de milhares 2 4 6 2 2 2 2" xfId="1090" xr:uid="{00000000-0005-0000-0000-00000F280000}"/>
    <cellStyle name="Separador de milhares 2 4 6 2 2 2 2 2" xfId="2232" xr:uid="{00000000-0005-0000-0000-000010280000}"/>
    <cellStyle name="Separador de milhares 2 4 6 2 2 2 2 2 2" xfId="5112" xr:uid="{00000000-0005-0000-0000-000011280000}"/>
    <cellStyle name="Separador de milhares 2 4 6 2 2 2 2 3" xfId="3970" xr:uid="{00000000-0005-0000-0000-000012280000}"/>
    <cellStyle name="Separador de milhares 2 4 6 2 2 2 3" xfId="1755" xr:uid="{00000000-0005-0000-0000-000013280000}"/>
    <cellStyle name="Separador de milhares 2 4 6 2 2 2 3 2" xfId="4635" xr:uid="{00000000-0005-0000-0000-000014280000}"/>
    <cellStyle name="Separador de milhares 2 4 6 2 2 2 4" xfId="3494" xr:uid="{00000000-0005-0000-0000-000015280000}"/>
    <cellStyle name="Separador de milhares 2 4 6 2 2 3" xfId="917" xr:uid="{00000000-0005-0000-0000-000016280000}"/>
    <cellStyle name="Separador de milhares 2 4 6 2 2 3 2" xfId="2059" xr:uid="{00000000-0005-0000-0000-000017280000}"/>
    <cellStyle name="Separador de milhares 2 4 6 2 2 3 2 2" xfId="4939" xr:uid="{00000000-0005-0000-0000-000018280000}"/>
    <cellStyle name="Separador de milhares 2 4 6 2 2 3 3" xfId="3797" xr:uid="{00000000-0005-0000-0000-000019280000}"/>
    <cellStyle name="Separador de milhares 2 4 6 2 2 4" xfId="1582" xr:uid="{00000000-0005-0000-0000-00001A280000}"/>
    <cellStyle name="Separador de milhares 2 4 6 2 2 4 2" xfId="4462" xr:uid="{00000000-0005-0000-0000-00001B280000}"/>
    <cellStyle name="Separador de milhares 2 4 6 2 2 5" xfId="3320" xr:uid="{00000000-0005-0000-0000-00001C280000}"/>
    <cellStyle name="Separador de milhares 2 4 6 2 3" xfId="551" xr:uid="{00000000-0005-0000-0000-00001D280000}"/>
    <cellStyle name="Separador de milhares 2 4 6 2 3 2" xfId="1027" xr:uid="{00000000-0005-0000-0000-00001E280000}"/>
    <cellStyle name="Separador de milhares 2 4 6 2 3 2 2" xfId="2169" xr:uid="{00000000-0005-0000-0000-00001F280000}"/>
    <cellStyle name="Separador de milhares 2 4 6 2 3 2 2 2" xfId="5049" xr:uid="{00000000-0005-0000-0000-000020280000}"/>
    <cellStyle name="Separador de milhares 2 4 6 2 3 2 3" xfId="3907" xr:uid="{00000000-0005-0000-0000-000021280000}"/>
    <cellStyle name="Separador de milhares 2 4 6 2 3 3" xfId="1692" xr:uid="{00000000-0005-0000-0000-000022280000}"/>
    <cellStyle name="Separador de milhares 2 4 6 2 3 3 2" xfId="4572" xr:uid="{00000000-0005-0000-0000-000023280000}"/>
    <cellStyle name="Separador de milhares 2 4 6 2 3 4" xfId="3431" xr:uid="{00000000-0005-0000-0000-000024280000}"/>
    <cellStyle name="Separador de milhares 2 4 6 2 4" xfId="853" xr:uid="{00000000-0005-0000-0000-000025280000}"/>
    <cellStyle name="Separador de milhares 2 4 6 2 4 2" xfId="1995" xr:uid="{00000000-0005-0000-0000-000026280000}"/>
    <cellStyle name="Separador de milhares 2 4 6 2 4 2 2" xfId="4875" xr:uid="{00000000-0005-0000-0000-000027280000}"/>
    <cellStyle name="Separador de milhares 2 4 6 2 4 3" xfId="3733" xr:uid="{00000000-0005-0000-0000-000028280000}"/>
    <cellStyle name="Separador de milhares 2 4 6 2 5" xfId="1517" xr:uid="{00000000-0005-0000-0000-000029280000}"/>
    <cellStyle name="Separador de milhares 2 4 6 2 5 2" xfId="4397" xr:uid="{00000000-0005-0000-0000-00002A280000}"/>
    <cellStyle name="Separador de milhares 2 4 6 2 6" xfId="3255" xr:uid="{00000000-0005-0000-0000-00002B280000}"/>
    <cellStyle name="Separador de milhares 2 4 7" xfId="281" xr:uid="{00000000-0005-0000-0000-00002C280000}"/>
    <cellStyle name="Separador de milhares 2 4 7 2" xfId="376" xr:uid="{00000000-0005-0000-0000-00002D280000}"/>
    <cellStyle name="Separador de milhares 2 4 7 2 2" xfId="441" xr:uid="{00000000-0005-0000-0000-00002E280000}"/>
    <cellStyle name="Separador de milhares 2 4 7 2 2 2" xfId="615" xr:uid="{00000000-0005-0000-0000-00002F280000}"/>
    <cellStyle name="Separador de milhares 2 4 7 2 2 2 2" xfId="1091" xr:uid="{00000000-0005-0000-0000-000030280000}"/>
    <cellStyle name="Separador de milhares 2 4 7 2 2 2 2 2" xfId="2233" xr:uid="{00000000-0005-0000-0000-000031280000}"/>
    <cellStyle name="Separador de milhares 2 4 7 2 2 2 2 2 2" xfId="5113" xr:uid="{00000000-0005-0000-0000-000032280000}"/>
    <cellStyle name="Separador de milhares 2 4 7 2 2 2 2 3" xfId="3971" xr:uid="{00000000-0005-0000-0000-000033280000}"/>
    <cellStyle name="Separador de milhares 2 4 7 2 2 2 3" xfId="1756" xr:uid="{00000000-0005-0000-0000-000034280000}"/>
    <cellStyle name="Separador de milhares 2 4 7 2 2 2 3 2" xfId="4636" xr:uid="{00000000-0005-0000-0000-000035280000}"/>
    <cellStyle name="Separador de milhares 2 4 7 2 2 2 4" xfId="3495" xr:uid="{00000000-0005-0000-0000-000036280000}"/>
    <cellStyle name="Separador de milhares 2 4 7 2 2 3" xfId="918" xr:uid="{00000000-0005-0000-0000-000037280000}"/>
    <cellStyle name="Separador de milhares 2 4 7 2 2 3 2" xfId="2060" xr:uid="{00000000-0005-0000-0000-000038280000}"/>
    <cellStyle name="Separador de milhares 2 4 7 2 2 3 2 2" xfId="4940" xr:uid="{00000000-0005-0000-0000-000039280000}"/>
    <cellStyle name="Separador de milhares 2 4 7 2 2 3 3" xfId="3798" xr:uid="{00000000-0005-0000-0000-00003A280000}"/>
    <cellStyle name="Separador de milhares 2 4 7 2 2 4" xfId="1583" xr:uid="{00000000-0005-0000-0000-00003B280000}"/>
    <cellStyle name="Separador de milhares 2 4 7 2 2 4 2" xfId="4463" xr:uid="{00000000-0005-0000-0000-00003C280000}"/>
    <cellStyle name="Separador de milhares 2 4 7 2 2 5" xfId="3321" xr:uid="{00000000-0005-0000-0000-00003D280000}"/>
    <cellStyle name="Separador de milhares 2 4 7 2 3" xfId="552" xr:uid="{00000000-0005-0000-0000-00003E280000}"/>
    <cellStyle name="Separador de milhares 2 4 7 2 3 2" xfId="1028" xr:uid="{00000000-0005-0000-0000-00003F280000}"/>
    <cellStyle name="Separador de milhares 2 4 7 2 3 2 2" xfId="2170" xr:uid="{00000000-0005-0000-0000-000040280000}"/>
    <cellStyle name="Separador de milhares 2 4 7 2 3 2 2 2" xfId="5050" xr:uid="{00000000-0005-0000-0000-000041280000}"/>
    <cellStyle name="Separador de milhares 2 4 7 2 3 2 3" xfId="3908" xr:uid="{00000000-0005-0000-0000-000042280000}"/>
    <cellStyle name="Separador de milhares 2 4 7 2 3 3" xfId="1693" xr:uid="{00000000-0005-0000-0000-000043280000}"/>
    <cellStyle name="Separador de milhares 2 4 7 2 3 3 2" xfId="4573" xr:uid="{00000000-0005-0000-0000-000044280000}"/>
    <cellStyle name="Separador de milhares 2 4 7 2 3 4" xfId="3432" xr:uid="{00000000-0005-0000-0000-000045280000}"/>
    <cellStyle name="Separador de milhares 2 4 7 2 4" xfId="854" xr:uid="{00000000-0005-0000-0000-000046280000}"/>
    <cellStyle name="Separador de milhares 2 4 7 2 4 2" xfId="1996" xr:uid="{00000000-0005-0000-0000-000047280000}"/>
    <cellStyle name="Separador de milhares 2 4 7 2 4 2 2" xfId="4876" xr:uid="{00000000-0005-0000-0000-000048280000}"/>
    <cellStyle name="Separador de milhares 2 4 7 2 4 3" xfId="3734" xr:uid="{00000000-0005-0000-0000-000049280000}"/>
    <cellStyle name="Separador de milhares 2 4 7 2 5" xfId="1518" xr:uid="{00000000-0005-0000-0000-00004A280000}"/>
    <cellStyle name="Separador de milhares 2 4 7 2 5 2" xfId="4398" xr:uid="{00000000-0005-0000-0000-00004B280000}"/>
    <cellStyle name="Separador de milhares 2 4 7 2 6" xfId="3256" xr:uid="{00000000-0005-0000-0000-00004C280000}"/>
    <cellStyle name="Separador de milhares 2 4 8" xfId="282" xr:uid="{00000000-0005-0000-0000-00004D280000}"/>
    <cellStyle name="Separador de milhares 2 4 8 2" xfId="377" xr:uid="{00000000-0005-0000-0000-00004E280000}"/>
    <cellStyle name="Separador de milhares 2 4 8 2 2" xfId="442" xr:uid="{00000000-0005-0000-0000-00004F280000}"/>
    <cellStyle name="Separador de milhares 2 4 8 2 2 2" xfId="616" xr:uid="{00000000-0005-0000-0000-000050280000}"/>
    <cellStyle name="Separador de milhares 2 4 8 2 2 2 2" xfId="1092" xr:uid="{00000000-0005-0000-0000-000051280000}"/>
    <cellStyle name="Separador de milhares 2 4 8 2 2 2 2 2" xfId="2234" xr:uid="{00000000-0005-0000-0000-000052280000}"/>
    <cellStyle name="Separador de milhares 2 4 8 2 2 2 2 2 2" xfId="5114" xr:uid="{00000000-0005-0000-0000-000053280000}"/>
    <cellStyle name="Separador de milhares 2 4 8 2 2 2 2 3" xfId="3972" xr:uid="{00000000-0005-0000-0000-000054280000}"/>
    <cellStyle name="Separador de milhares 2 4 8 2 2 2 3" xfId="1757" xr:uid="{00000000-0005-0000-0000-000055280000}"/>
    <cellStyle name="Separador de milhares 2 4 8 2 2 2 3 2" xfId="4637" xr:uid="{00000000-0005-0000-0000-000056280000}"/>
    <cellStyle name="Separador de milhares 2 4 8 2 2 2 4" xfId="3496" xr:uid="{00000000-0005-0000-0000-000057280000}"/>
    <cellStyle name="Separador de milhares 2 4 8 2 2 3" xfId="919" xr:uid="{00000000-0005-0000-0000-000058280000}"/>
    <cellStyle name="Separador de milhares 2 4 8 2 2 3 2" xfId="2061" xr:uid="{00000000-0005-0000-0000-000059280000}"/>
    <cellStyle name="Separador de milhares 2 4 8 2 2 3 2 2" xfId="4941" xr:uid="{00000000-0005-0000-0000-00005A280000}"/>
    <cellStyle name="Separador de milhares 2 4 8 2 2 3 3" xfId="3799" xr:uid="{00000000-0005-0000-0000-00005B280000}"/>
    <cellStyle name="Separador de milhares 2 4 8 2 2 4" xfId="1584" xr:uid="{00000000-0005-0000-0000-00005C280000}"/>
    <cellStyle name="Separador de milhares 2 4 8 2 2 4 2" xfId="4464" xr:uid="{00000000-0005-0000-0000-00005D280000}"/>
    <cellStyle name="Separador de milhares 2 4 8 2 2 5" xfId="3322" xr:uid="{00000000-0005-0000-0000-00005E280000}"/>
    <cellStyle name="Separador de milhares 2 4 8 2 3" xfId="553" xr:uid="{00000000-0005-0000-0000-00005F280000}"/>
    <cellStyle name="Separador de milhares 2 4 8 2 3 2" xfId="1029" xr:uid="{00000000-0005-0000-0000-000060280000}"/>
    <cellStyle name="Separador de milhares 2 4 8 2 3 2 2" xfId="2171" xr:uid="{00000000-0005-0000-0000-000061280000}"/>
    <cellStyle name="Separador de milhares 2 4 8 2 3 2 2 2" xfId="5051" xr:uid="{00000000-0005-0000-0000-000062280000}"/>
    <cellStyle name="Separador de milhares 2 4 8 2 3 2 3" xfId="3909" xr:uid="{00000000-0005-0000-0000-000063280000}"/>
    <cellStyle name="Separador de milhares 2 4 8 2 3 3" xfId="1694" xr:uid="{00000000-0005-0000-0000-000064280000}"/>
    <cellStyle name="Separador de milhares 2 4 8 2 3 3 2" xfId="4574" xr:uid="{00000000-0005-0000-0000-000065280000}"/>
    <cellStyle name="Separador de milhares 2 4 8 2 3 4" xfId="3433" xr:uid="{00000000-0005-0000-0000-000066280000}"/>
    <cellStyle name="Separador de milhares 2 4 8 2 4" xfId="855" xr:uid="{00000000-0005-0000-0000-000067280000}"/>
    <cellStyle name="Separador de milhares 2 4 8 2 4 2" xfId="1997" xr:uid="{00000000-0005-0000-0000-000068280000}"/>
    <cellStyle name="Separador de milhares 2 4 8 2 4 2 2" xfId="4877" xr:uid="{00000000-0005-0000-0000-000069280000}"/>
    <cellStyle name="Separador de milhares 2 4 8 2 4 3" xfId="3735" xr:uid="{00000000-0005-0000-0000-00006A280000}"/>
    <cellStyle name="Separador de milhares 2 4 8 2 5" xfId="1519" xr:uid="{00000000-0005-0000-0000-00006B280000}"/>
    <cellStyle name="Separador de milhares 2 4 8 2 5 2" xfId="4399" xr:uid="{00000000-0005-0000-0000-00006C280000}"/>
    <cellStyle name="Separador de milhares 2 4 8 2 6" xfId="3257" xr:uid="{00000000-0005-0000-0000-00006D280000}"/>
    <cellStyle name="Separador de milhares 2 4 9" xfId="283" xr:uid="{00000000-0005-0000-0000-00006E280000}"/>
    <cellStyle name="Separador de milhares 2 4 9 2" xfId="378" xr:uid="{00000000-0005-0000-0000-00006F280000}"/>
    <cellStyle name="Separador de milhares 2 4 9 2 2" xfId="443" xr:uid="{00000000-0005-0000-0000-000070280000}"/>
    <cellStyle name="Separador de milhares 2 4 9 2 2 2" xfId="617" xr:uid="{00000000-0005-0000-0000-000071280000}"/>
    <cellStyle name="Separador de milhares 2 4 9 2 2 2 2" xfId="1093" xr:uid="{00000000-0005-0000-0000-000072280000}"/>
    <cellStyle name="Separador de milhares 2 4 9 2 2 2 2 2" xfId="2235" xr:uid="{00000000-0005-0000-0000-000073280000}"/>
    <cellStyle name="Separador de milhares 2 4 9 2 2 2 2 2 2" xfId="5115" xr:uid="{00000000-0005-0000-0000-000074280000}"/>
    <cellStyle name="Separador de milhares 2 4 9 2 2 2 2 3" xfId="3973" xr:uid="{00000000-0005-0000-0000-000075280000}"/>
    <cellStyle name="Separador de milhares 2 4 9 2 2 2 3" xfId="1758" xr:uid="{00000000-0005-0000-0000-000076280000}"/>
    <cellStyle name="Separador de milhares 2 4 9 2 2 2 3 2" xfId="4638" xr:uid="{00000000-0005-0000-0000-000077280000}"/>
    <cellStyle name="Separador de milhares 2 4 9 2 2 2 4" xfId="3497" xr:uid="{00000000-0005-0000-0000-000078280000}"/>
    <cellStyle name="Separador de milhares 2 4 9 2 2 3" xfId="920" xr:uid="{00000000-0005-0000-0000-000079280000}"/>
    <cellStyle name="Separador de milhares 2 4 9 2 2 3 2" xfId="2062" xr:uid="{00000000-0005-0000-0000-00007A280000}"/>
    <cellStyle name="Separador de milhares 2 4 9 2 2 3 2 2" xfId="4942" xr:uid="{00000000-0005-0000-0000-00007B280000}"/>
    <cellStyle name="Separador de milhares 2 4 9 2 2 3 3" xfId="3800" xr:uid="{00000000-0005-0000-0000-00007C280000}"/>
    <cellStyle name="Separador de milhares 2 4 9 2 2 4" xfId="1585" xr:uid="{00000000-0005-0000-0000-00007D280000}"/>
    <cellStyle name="Separador de milhares 2 4 9 2 2 4 2" xfId="4465" xr:uid="{00000000-0005-0000-0000-00007E280000}"/>
    <cellStyle name="Separador de milhares 2 4 9 2 2 5" xfId="3323" xr:uid="{00000000-0005-0000-0000-00007F280000}"/>
    <cellStyle name="Separador de milhares 2 4 9 2 3" xfId="554" xr:uid="{00000000-0005-0000-0000-000080280000}"/>
    <cellStyle name="Separador de milhares 2 4 9 2 3 2" xfId="1030" xr:uid="{00000000-0005-0000-0000-000081280000}"/>
    <cellStyle name="Separador de milhares 2 4 9 2 3 2 2" xfId="2172" xr:uid="{00000000-0005-0000-0000-000082280000}"/>
    <cellStyle name="Separador de milhares 2 4 9 2 3 2 2 2" xfId="5052" xr:uid="{00000000-0005-0000-0000-000083280000}"/>
    <cellStyle name="Separador de milhares 2 4 9 2 3 2 3" xfId="3910" xr:uid="{00000000-0005-0000-0000-000084280000}"/>
    <cellStyle name="Separador de milhares 2 4 9 2 3 3" xfId="1695" xr:uid="{00000000-0005-0000-0000-000085280000}"/>
    <cellStyle name="Separador de milhares 2 4 9 2 3 3 2" xfId="4575" xr:uid="{00000000-0005-0000-0000-000086280000}"/>
    <cellStyle name="Separador de milhares 2 4 9 2 3 4" xfId="3434" xr:uid="{00000000-0005-0000-0000-000087280000}"/>
    <cellStyle name="Separador de milhares 2 4 9 2 4" xfId="856" xr:uid="{00000000-0005-0000-0000-000088280000}"/>
    <cellStyle name="Separador de milhares 2 4 9 2 4 2" xfId="1998" xr:uid="{00000000-0005-0000-0000-000089280000}"/>
    <cellStyle name="Separador de milhares 2 4 9 2 4 2 2" xfId="4878" xr:uid="{00000000-0005-0000-0000-00008A280000}"/>
    <cellStyle name="Separador de milhares 2 4 9 2 4 3" xfId="3736" xr:uid="{00000000-0005-0000-0000-00008B280000}"/>
    <cellStyle name="Separador de milhares 2 4 9 2 5" xfId="1520" xr:uid="{00000000-0005-0000-0000-00008C280000}"/>
    <cellStyle name="Separador de milhares 2 4 9 2 5 2" xfId="4400" xr:uid="{00000000-0005-0000-0000-00008D280000}"/>
    <cellStyle name="Separador de milhares 2 4 9 2 6" xfId="3258" xr:uid="{00000000-0005-0000-0000-00008E280000}"/>
    <cellStyle name="Separador de milhares 2 5" xfId="144" xr:uid="{00000000-0005-0000-0000-00008F280000}"/>
    <cellStyle name="Separador de milhares 2 5 2" xfId="358" xr:uid="{00000000-0005-0000-0000-000090280000}"/>
    <cellStyle name="Separador de milhares 2 5 2 2" xfId="423" xr:uid="{00000000-0005-0000-0000-000091280000}"/>
    <cellStyle name="Separador de milhares 2 5 2 2 2" xfId="597" xr:uid="{00000000-0005-0000-0000-000092280000}"/>
    <cellStyle name="Separador de milhares 2 5 2 2 2 2" xfId="1073" xr:uid="{00000000-0005-0000-0000-000093280000}"/>
    <cellStyle name="Separador de milhares 2 5 2 2 2 2 2" xfId="2215" xr:uid="{00000000-0005-0000-0000-000094280000}"/>
    <cellStyle name="Separador de milhares 2 5 2 2 2 2 2 2" xfId="5095" xr:uid="{00000000-0005-0000-0000-000095280000}"/>
    <cellStyle name="Separador de milhares 2 5 2 2 2 2 3" xfId="3953" xr:uid="{00000000-0005-0000-0000-000096280000}"/>
    <cellStyle name="Separador de milhares 2 5 2 2 2 3" xfId="1738" xr:uid="{00000000-0005-0000-0000-000097280000}"/>
    <cellStyle name="Separador de milhares 2 5 2 2 2 3 2" xfId="4618" xr:uid="{00000000-0005-0000-0000-000098280000}"/>
    <cellStyle name="Separador de milhares 2 5 2 2 2 4" xfId="3477" xr:uid="{00000000-0005-0000-0000-000099280000}"/>
    <cellStyle name="Separador de milhares 2 5 2 2 3" xfId="900" xr:uid="{00000000-0005-0000-0000-00009A280000}"/>
    <cellStyle name="Separador de milhares 2 5 2 2 3 2" xfId="2042" xr:uid="{00000000-0005-0000-0000-00009B280000}"/>
    <cellStyle name="Separador de milhares 2 5 2 2 3 2 2" xfId="4922" xr:uid="{00000000-0005-0000-0000-00009C280000}"/>
    <cellStyle name="Separador de milhares 2 5 2 2 3 3" xfId="3780" xr:uid="{00000000-0005-0000-0000-00009D280000}"/>
    <cellStyle name="Separador de milhares 2 5 2 2 4" xfId="1565" xr:uid="{00000000-0005-0000-0000-00009E280000}"/>
    <cellStyle name="Separador de milhares 2 5 2 2 4 2" xfId="4445" xr:uid="{00000000-0005-0000-0000-00009F280000}"/>
    <cellStyle name="Separador de milhares 2 5 2 2 5" xfId="3303" xr:uid="{00000000-0005-0000-0000-0000A0280000}"/>
    <cellStyle name="Separador de milhares 2 5 2 3" xfId="534" xr:uid="{00000000-0005-0000-0000-0000A1280000}"/>
    <cellStyle name="Separador de milhares 2 5 2 3 2" xfId="1010" xr:uid="{00000000-0005-0000-0000-0000A2280000}"/>
    <cellStyle name="Separador de milhares 2 5 2 3 2 2" xfId="2152" xr:uid="{00000000-0005-0000-0000-0000A3280000}"/>
    <cellStyle name="Separador de milhares 2 5 2 3 2 2 2" xfId="5032" xr:uid="{00000000-0005-0000-0000-0000A4280000}"/>
    <cellStyle name="Separador de milhares 2 5 2 3 2 3" xfId="3890" xr:uid="{00000000-0005-0000-0000-0000A5280000}"/>
    <cellStyle name="Separador de milhares 2 5 2 3 3" xfId="1675" xr:uid="{00000000-0005-0000-0000-0000A6280000}"/>
    <cellStyle name="Separador de milhares 2 5 2 3 3 2" xfId="4555" xr:uid="{00000000-0005-0000-0000-0000A7280000}"/>
    <cellStyle name="Separador de milhares 2 5 2 3 4" xfId="3414" xr:uid="{00000000-0005-0000-0000-0000A8280000}"/>
    <cellStyle name="Separador de milhares 2 5 2 4" xfId="836" xr:uid="{00000000-0005-0000-0000-0000A9280000}"/>
    <cellStyle name="Separador de milhares 2 5 2 4 2" xfId="1978" xr:uid="{00000000-0005-0000-0000-0000AA280000}"/>
    <cellStyle name="Separador de milhares 2 5 2 4 2 2" xfId="4858" xr:uid="{00000000-0005-0000-0000-0000AB280000}"/>
    <cellStyle name="Separador de milhares 2 5 2 4 3" xfId="3716" xr:uid="{00000000-0005-0000-0000-0000AC280000}"/>
    <cellStyle name="Separador de milhares 2 5 2 5" xfId="1500" xr:uid="{00000000-0005-0000-0000-0000AD280000}"/>
    <cellStyle name="Separador de milhares 2 5 2 5 2" xfId="4380" xr:uid="{00000000-0005-0000-0000-0000AE280000}"/>
    <cellStyle name="Separador de milhares 2 5 2 6" xfId="3238" xr:uid="{00000000-0005-0000-0000-0000AF280000}"/>
    <cellStyle name="Separador de milhares 2 6" xfId="145" xr:uid="{00000000-0005-0000-0000-0000B0280000}"/>
    <cellStyle name="Separador de milhares 2 6 2" xfId="284" xr:uid="{00000000-0005-0000-0000-0000B1280000}"/>
    <cellStyle name="Separador de milhares 2 6 2 2" xfId="379" xr:uid="{00000000-0005-0000-0000-0000B2280000}"/>
    <cellStyle name="Separador de milhares 2 6 2 2 2" xfId="444" xr:uid="{00000000-0005-0000-0000-0000B3280000}"/>
    <cellStyle name="Separador de milhares 2 6 2 2 2 2" xfId="618" xr:uid="{00000000-0005-0000-0000-0000B4280000}"/>
    <cellStyle name="Separador de milhares 2 6 2 2 2 2 2" xfId="1094" xr:uid="{00000000-0005-0000-0000-0000B5280000}"/>
    <cellStyle name="Separador de milhares 2 6 2 2 2 2 2 2" xfId="2236" xr:uid="{00000000-0005-0000-0000-0000B6280000}"/>
    <cellStyle name="Separador de milhares 2 6 2 2 2 2 2 2 2" xfId="5116" xr:uid="{00000000-0005-0000-0000-0000B7280000}"/>
    <cellStyle name="Separador de milhares 2 6 2 2 2 2 2 3" xfId="3974" xr:uid="{00000000-0005-0000-0000-0000B8280000}"/>
    <cellStyle name="Separador de milhares 2 6 2 2 2 2 3" xfId="1759" xr:uid="{00000000-0005-0000-0000-0000B9280000}"/>
    <cellStyle name="Separador de milhares 2 6 2 2 2 2 3 2" xfId="4639" xr:uid="{00000000-0005-0000-0000-0000BA280000}"/>
    <cellStyle name="Separador de milhares 2 6 2 2 2 2 4" xfId="3498" xr:uid="{00000000-0005-0000-0000-0000BB280000}"/>
    <cellStyle name="Separador de milhares 2 6 2 2 2 3" xfId="921" xr:uid="{00000000-0005-0000-0000-0000BC280000}"/>
    <cellStyle name="Separador de milhares 2 6 2 2 2 3 2" xfId="2063" xr:uid="{00000000-0005-0000-0000-0000BD280000}"/>
    <cellStyle name="Separador de milhares 2 6 2 2 2 3 2 2" xfId="4943" xr:uid="{00000000-0005-0000-0000-0000BE280000}"/>
    <cellStyle name="Separador de milhares 2 6 2 2 2 3 3" xfId="3801" xr:uid="{00000000-0005-0000-0000-0000BF280000}"/>
    <cellStyle name="Separador de milhares 2 6 2 2 2 4" xfId="1586" xr:uid="{00000000-0005-0000-0000-0000C0280000}"/>
    <cellStyle name="Separador de milhares 2 6 2 2 2 4 2" xfId="4466" xr:uid="{00000000-0005-0000-0000-0000C1280000}"/>
    <cellStyle name="Separador de milhares 2 6 2 2 2 5" xfId="3324" xr:uid="{00000000-0005-0000-0000-0000C2280000}"/>
    <cellStyle name="Separador de milhares 2 6 2 2 3" xfId="555" xr:uid="{00000000-0005-0000-0000-0000C3280000}"/>
    <cellStyle name="Separador de milhares 2 6 2 2 3 2" xfId="1031" xr:uid="{00000000-0005-0000-0000-0000C4280000}"/>
    <cellStyle name="Separador de milhares 2 6 2 2 3 2 2" xfId="2173" xr:uid="{00000000-0005-0000-0000-0000C5280000}"/>
    <cellStyle name="Separador de milhares 2 6 2 2 3 2 2 2" xfId="5053" xr:uid="{00000000-0005-0000-0000-0000C6280000}"/>
    <cellStyle name="Separador de milhares 2 6 2 2 3 2 3" xfId="3911" xr:uid="{00000000-0005-0000-0000-0000C7280000}"/>
    <cellStyle name="Separador de milhares 2 6 2 2 3 3" xfId="1696" xr:uid="{00000000-0005-0000-0000-0000C8280000}"/>
    <cellStyle name="Separador de milhares 2 6 2 2 3 3 2" xfId="4576" xr:uid="{00000000-0005-0000-0000-0000C9280000}"/>
    <cellStyle name="Separador de milhares 2 6 2 2 3 4" xfId="3435" xr:uid="{00000000-0005-0000-0000-0000CA280000}"/>
    <cellStyle name="Separador de milhares 2 6 2 2 4" xfId="857" xr:uid="{00000000-0005-0000-0000-0000CB280000}"/>
    <cellStyle name="Separador de milhares 2 6 2 2 4 2" xfId="1999" xr:uid="{00000000-0005-0000-0000-0000CC280000}"/>
    <cellStyle name="Separador de milhares 2 6 2 2 4 2 2" xfId="4879" xr:uid="{00000000-0005-0000-0000-0000CD280000}"/>
    <cellStyle name="Separador de milhares 2 6 2 2 4 3" xfId="3737" xr:uid="{00000000-0005-0000-0000-0000CE280000}"/>
    <cellStyle name="Separador de milhares 2 6 2 2 5" xfId="1521" xr:uid="{00000000-0005-0000-0000-0000CF280000}"/>
    <cellStyle name="Separador de milhares 2 6 2 2 5 2" xfId="4401" xr:uid="{00000000-0005-0000-0000-0000D0280000}"/>
    <cellStyle name="Separador de milhares 2 6 2 2 6" xfId="3259" xr:uid="{00000000-0005-0000-0000-0000D1280000}"/>
    <cellStyle name="Separador de milhares 2 6 3" xfId="285" xr:uid="{00000000-0005-0000-0000-0000D2280000}"/>
    <cellStyle name="Separador de milhares 2 6 3 2" xfId="380" xr:uid="{00000000-0005-0000-0000-0000D3280000}"/>
    <cellStyle name="Separador de milhares 2 6 3 2 2" xfId="445" xr:uid="{00000000-0005-0000-0000-0000D4280000}"/>
    <cellStyle name="Separador de milhares 2 6 3 2 2 2" xfId="619" xr:uid="{00000000-0005-0000-0000-0000D5280000}"/>
    <cellStyle name="Separador de milhares 2 6 3 2 2 2 2" xfId="1095" xr:uid="{00000000-0005-0000-0000-0000D6280000}"/>
    <cellStyle name="Separador de milhares 2 6 3 2 2 2 2 2" xfId="2237" xr:uid="{00000000-0005-0000-0000-0000D7280000}"/>
    <cellStyle name="Separador de milhares 2 6 3 2 2 2 2 2 2" xfId="5117" xr:uid="{00000000-0005-0000-0000-0000D8280000}"/>
    <cellStyle name="Separador de milhares 2 6 3 2 2 2 2 3" xfId="3975" xr:uid="{00000000-0005-0000-0000-0000D9280000}"/>
    <cellStyle name="Separador de milhares 2 6 3 2 2 2 3" xfId="1760" xr:uid="{00000000-0005-0000-0000-0000DA280000}"/>
    <cellStyle name="Separador de milhares 2 6 3 2 2 2 3 2" xfId="4640" xr:uid="{00000000-0005-0000-0000-0000DB280000}"/>
    <cellStyle name="Separador de milhares 2 6 3 2 2 2 4" xfId="3499" xr:uid="{00000000-0005-0000-0000-0000DC280000}"/>
    <cellStyle name="Separador de milhares 2 6 3 2 2 3" xfId="922" xr:uid="{00000000-0005-0000-0000-0000DD280000}"/>
    <cellStyle name="Separador de milhares 2 6 3 2 2 3 2" xfId="2064" xr:uid="{00000000-0005-0000-0000-0000DE280000}"/>
    <cellStyle name="Separador de milhares 2 6 3 2 2 3 2 2" xfId="4944" xr:uid="{00000000-0005-0000-0000-0000DF280000}"/>
    <cellStyle name="Separador de milhares 2 6 3 2 2 3 3" xfId="3802" xr:uid="{00000000-0005-0000-0000-0000E0280000}"/>
    <cellStyle name="Separador de milhares 2 6 3 2 2 4" xfId="1587" xr:uid="{00000000-0005-0000-0000-0000E1280000}"/>
    <cellStyle name="Separador de milhares 2 6 3 2 2 4 2" xfId="4467" xr:uid="{00000000-0005-0000-0000-0000E2280000}"/>
    <cellStyle name="Separador de milhares 2 6 3 2 2 5" xfId="3325" xr:uid="{00000000-0005-0000-0000-0000E3280000}"/>
    <cellStyle name="Separador de milhares 2 6 3 2 3" xfId="556" xr:uid="{00000000-0005-0000-0000-0000E4280000}"/>
    <cellStyle name="Separador de milhares 2 6 3 2 3 2" xfId="1032" xr:uid="{00000000-0005-0000-0000-0000E5280000}"/>
    <cellStyle name="Separador de milhares 2 6 3 2 3 2 2" xfId="2174" xr:uid="{00000000-0005-0000-0000-0000E6280000}"/>
    <cellStyle name="Separador de milhares 2 6 3 2 3 2 2 2" xfId="5054" xr:uid="{00000000-0005-0000-0000-0000E7280000}"/>
    <cellStyle name="Separador de milhares 2 6 3 2 3 2 3" xfId="3912" xr:uid="{00000000-0005-0000-0000-0000E8280000}"/>
    <cellStyle name="Separador de milhares 2 6 3 2 3 3" xfId="1697" xr:uid="{00000000-0005-0000-0000-0000E9280000}"/>
    <cellStyle name="Separador de milhares 2 6 3 2 3 3 2" xfId="4577" xr:uid="{00000000-0005-0000-0000-0000EA280000}"/>
    <cellStyle name="Separador de milhares 2 6 3 2 3 4" xfId="3436" xr:uid="{00000000-0005-0000-0000-0000EB280000}"/>
    <cellStyle name="Separador de milhares 2 6 3 2 4" xfId="858" xr:uid="{00000000-0005-0000-0000-0000EC280000}"/>
    <cellStyle name="Separador de milhares 2 6 3 2 4 2" xfId="2000" xr:uid="{00000000-0005-0000-0000-0000ED280000}"/>
    <cellStyle name="Separador de milhares 2 6 3 2 4 2 2" xfId="4880" xr:uid="{00000000-0005-0000-0000-0000EE280000}"/>
    <cellStyle name="Separador de milhares 2 6 3 2 4 3" xfId="3738" xr:uid="{00000000-0005-0000-0000-0000EF280000}"/>
    <cellStyle name="Separador de milhares 2 6 3 2 5" xfId="1522" xr:uid="{00000000-0005-0000-0000-0000F0280000}"/>
    <cellStyle name="Separador de milhares 2 6 3 2 5 2" xfId="4402" xr:uid="{00000000-0005-0000-0000-0000F1280000}"/>
    <cellStyle name="Separador de milhares 2 6 3 2 6" xfId="3260" xr:uid="{00000000-0005-0000-0000-0000F2280000}"/>
    <cellStyle name="Separador de milhares 2 6 4" xfId="359" xr:uid="{00000000-0005-0000-0000-0000F3280000}"/>
    <cellStyle name="Separador de milhares 2 6 4 2" xfId="424" xr:uid="{00000000-0005-0000-0000-0000F4280000}"/>
    <cellStyle name="Separador de milhares 2 6 4 2 2" xfId="598" xr:uid="{00000000-0005-0000-0000-0000F5280000}"/>
    <cellStyle name="Separador de milhares 2 6 4 2 2 2" xfId="1074" xr:uid="{00000000-0005-0000-0000-0000F6280000}"/>
    <cellStyle name="Separador de milhares 2 6 4 2 2 2 2" xfId="2216" xr:uid="{00000000-0005-0000-0000-0000F7280000}"/>
    <cellStyle name="Separador de milhares 2 6 4 2 2 2 2 2" xfId="5096" xr:uid="{00000000-0005-0000-0000-0000F8280000}"/>
    <cellStyle name="Separador de milhares 2 6 4 2 2 2 3" xfId="3954" xr:uid="{00000000-0005-0000-0000-0000F9280000}"/>
    <cellStyle name="Separador de milhares 2 6 4 2 2 3" xfId="1739" xr:uid="{00000000-0005-0000-0000-0000FA280000}"/>
    <cellStyle name="Separador de milhares 2 6 4 2 2 3 2" xfId="4619" xr:uid="{00000000-0005-0000-0000-0000FB280000}"/>
    <cellStyle name="Separador de milhares 2 6 4 2 2 4" xfId="3478" xr:uid="{00000000-0005-0000-0000-0000FC280000}"/>
    <cellStyle name="Separador de milhares 2 6 4 2 3" xfId="901" xr:uid="{00000000-0005-0000-0000-0000FD280000}"/>
    <cellStyle name="Separador de milhares 2 6 4 2 3 2" xfId="2043" xr:uid="{00000000-0005-0000-0000-0000FE280000}"/>
    <cellStyle name="Separador de milhares 2 6 4 2 3 2 2" xfId="4923" xr:uid="{00000000-0005-0000-0000-0000FF280000}"/>
    <cellStyle name="Separador de milhares 2 6 4 2 3 3" xfId="3781" xr:uid="{00000000-0005-0000-0000-000000290000}"/>
    <cellStyle name="Separador de milhares 2 6 4 2 4" xfId="1566" xr:uid="{00000000-0005-0000-0000-000001290000}"/>
    <cellStyle name="Separador de milhares 2 6 4 2 4 2" xfId="4446" xr:uid="{00000000-0005-0000-0000-000002290000}"/>
    <cellStyle name="Separador de milhares 2 6 4 2 5" xfId="3304" xr:uid="{00000000-0005-0000-0000-000003290000}"/>
    <cellStyle name="Separador de milhares 2 6 4 3" xfId="535" xr:uid="{00000000-0005-0000-0000-000004290000}"/>
    <cellStyle name="Separador de milhares 2 6 4 3 2" xfId="1011" xr:uid="{00000000-0005-0000-0000-000005290000}"/>
    <cellStyle name="Separador de milhares 2 6 4 3 2 2" xfId="2153" xr:uid="{00000000-0005-0000-0000-000006290000}"/>
    <cellStyle name="Separador de milhares 2 6 4 3 2 2 2" xfId="5033" xr:uid="{00000000-0005-0000-0000-000007290000}"/>
    <cellStyle name="Separador de milhares 2 6 4 3 2 3" xfId="3891" xr:uid="{00000000-0005-0000-0000-000008290000}"/>
    <cellStyle name="Separador de milhares 2 6 4 3 3" xfId="1676" xr:uid="{00000000-0005-0000-0000-000009290000}"/>
    <cellStyle name="Separador de milhares 2 6 4 3 3 2" xfId="4556" xr:uid="{00000000-0005-0000-0000-00000A290000}"/>
    <cellStyle name="Separador de milhares 2 6 4 3 4" xfId="3415" xr:uid="{00000000-0005-0000-0000-00000B290000}"/>
    <cellStyle name="Separador de milhares 2 6 4 4" xfId="837" xr:uid="{00000000-0005-0000-0000-00000C290000}"/>
    <cellStyle name="Separador de milhares 2 6 4 4 2" xfId="1979" xr:uid="{00000000-0005-0000-0000-00000D290000}"/>
    <cellStyle name="Separador de milhares 2 6 4 4 2 2" xfId="4859" xr:uid="{00000000-0005-0000-0000-00000E290000}"/>
    <cellStyle name="Separador de milhares 2 6 4 4 3" xfId="3717" xr:uid="{00000000-0005-0000-0000-00000F290000}"/>
    <cellStyle name="Separador de milhares 2 6 4 5" xfId="1501" xr:uid="{00000000-0005-0000-0000-000010290000}"/>
    <cellStyle name="Separador de milhares 2 6 4 5 2" xfId="4381" xr:uid="{00000000-0005-0000-0000-000011290000}"/>
    <cellStyle name="Separador de milhares 2 6 4 6" xfId="3239" xr:uid="{00000000-0005-0000-0000-000012290000}"/>
    <cellStyle name="Separador de milhares 2 7" xfId="286" xr:uid="{00000000-0005-0000-0000-000013290000}"/>
    <cellStyle name="Separador de milhares 2 7 2" xfId="287" xr:uid="{00000000-0005-0000-0000-000014290000}"/>
    <cellStyle name="Separador de milhares 2 7 3" xfId="381" xr:uid="{00000000-0005-0000-0000-000015290000}"/>
    <cellStyle name="Separador de milhares 2 7 3 2" xfId="446" xr:uid="{00000000-0005-0000-0000-000016290000}"/>
    <cellStyle name="Separador de milhares 2 7 3 2 2" xfId="620" xr:uid="{00000000-0005-0000-0000-000017290000}"/>
    <cellStyle name="Separador de milhares 2 7 3 2 2 2" xfId="1096" xr:uid="{00000000-0005-0000-0000-000018290000}"/>
    <cellStyle name="Separador de milhares 2 7 3 2 2 2 2" xfId="2238" xr:uid="{00000000-0005-0000-0000-000019290000}"/>
    <cellStyle name="Separador de milhares 2 7 3 2 2 2 2 2" xfId="5118" xr:uid="{00000000-0005-0000-0000-00001A290000}"/>
    <cellStyle name="Separador de milhares 2 7 3 2 2 2 3" xfId="3976" xr:uid="{00000000-0005-0000-0000-00001B290000}"/>
    <cellStyle name="Separador de milhares 2 7 3 2 2 3" xfId="1761" xr:uid="{00000000-0005-0000-0000-00001C290000}"/>
    <cellStyle name="Separador de milhares 2 7 3 2 2 3 2" xfId="4641" xr:uid="{00000000-0005-0000-0000-00001D290000}"/>
    <cellStyle name="Separador de milhares 2 7 3 2 2 4" xfId="3500" xr:uid="{00000000-0005-0000-0000-00001E290000}"/>
    <cellStyle name="Separador de milhares 2 7 3 2 3" xfId="923" xr:uid="{00000000-0005-0000-0000-00001F290000}"/>
    <cellStyle name="Separador de milhares 2 7 3 2 3 2" xfId="2065" xr:uid="{00000000-0005-0000-0000-000020290000}"/>
    <cellStyle name="Separador de milhares 2 7 3 2 3 2 2" xfId="4945" xr:uid="{00000000-0005-0000-0000-000021290000}"/>
    <cellStyle name="Separador de milhares 2 7 3 2 3 3" xfId="3803" xr:uid="{00000000-0005-0000-0000-000022290000}"/>
    <cellStyle name="Separador de milhares 2 7 3 2 4" xfId="1588" xr:uid="{00000000-0005-0000-0000-000023290000}"/>
    <cellStyle name="Separador de milhares 2 7 3 2 4 2" xfId="4468" xr:uid="{00000000-0005-0000-0000-000024290000}"/>
    <cellStyle name="Separador de milhares 2 7 3 2 5" xfId="3326" xr:uid="{00000000-0005-0000-0000-000025290000}"/>
    <cellStyle name="Separador de milhares 2 7 3 3" xfId="557" xr:uid="{00000000-0005-0000-0000-000026290000}"/>
    <cellStyle name="Separador de milhares 2 7 3 3 2" xfId="1033" xr:uid="{00000000-0005-0000-0000-000027290000}"/>
    <cellStyle name="Separador de milhares 2 7 3 3 2 2" xfId="2175" xr:uid="{00000000-0005-0000-0000-000028290000}"/>
    <cellStyle name="Separador de milhares 2 7 3 3 2 2 2" xfId="5055" xr:uid="{00000000-0005-0000-0000-000029290000}"/>
    <cellStyle name="Separador de milhares 2 7 3 3 2 3" xfId="3913" xr:uid="{00000000-0005-0000-0000-00002A290000}"/>
    <cellStyle name="Separador de milhares 2 7 3 3 3" xfId="1698" xr:uid="{00000000-0005-0000-0000-00002B290000}"/>
    <cellStyle name="Separador de milhares 2 7 3 3 3 2" xfId="4578" xr:uid="{00000000-0005-0000-0000-00002C290000}"/>
    <cellStyle name="Separador de milhares 2 7 3 3 4" xfId="3437" xr:uid="{00000000-0005-0000-0000-00002D290000}"/>
    <cellStyle name="Separador de milhares 2 7 3 4" xfId="859" xr:uid="{00000000-0005-0000-0000-00002E290000}"/>
    <cellStyle name="Separador de milhares 2 7 3 4 2" xfId="2001" xr:uid="{00000000-0005-0000-0000-00002F290000}"/>
    <cellStyle name="Separador de milhares 2 7 3 4 2 2" xfId="4881" xr:uid="{00000000-0005-0000-0000-000030290000}"/>
    <cellStyle name="Separador de milhares 2 7 3 4 3" xfId="3739" xr:uid="{00000000-0005-0000-0000-000031290000}"/>
    <cellStyle name="Separador de milhares 2 7 3 5" xfId="1523" xr:uid="{00000000-0005-0000-0000-000032290000}"/>
    <cellStyle name="Separador de milhares 2 7 3 5 2" xfId="4403" xr:uid="{00000000-0005-0000-0000-000033290000}"/>
    <cellStyle name="Separador de milhares 2 7 3 6" xfId="3261" xr:uid="{00000000-0005-0000-0000-000034290000}"/>
    <cellStyle name="Separador de milhares 2 8" xfId="288" xr:uid="{00000000-0005-0000-0000-000035290000}"/>
    <cellStyle name="Separador de milhares 2 9" xfId="289" xr:uid="{00000000-0005-0000-0000-000036290000}"/>
    <cellStyle name="Separador de milhares 2_10ª MP DER" xfId="43" xr:uid="{00000000-0005-0000-0000-000037290000}"/>
    <cellStyle name="Separador de milhares 20" xfId="290" xr:uid="{00000000-0005-0000-0000-000038290000}"/>
    <cellStyle name="Separador de milhares 21" xfId="291" xr:uid="{00000000-0005-0000-0000-000039290000}"/>
    <cellStyle name="Separador de milhares 22" xfId="292" xr:uid="{00000000-0005-0000-0000-00003A290000}"/>
    <cellStyle name="Separador de milhares 23" xfId="293" xr:uid="{00000000-0005-0000-0000-00003B290000}"/>
    <cellStyle name="Separador de milhares 24" xfId="294" xr:uid="{00000000-0005-0000-0000-00003C290000}"/>
    <cellStyle name="Separador de milhares 25" xfId="295" xr:uid="{00000000-0005-0000-0000-00003D290000}"/>
    <cellStyle name="Separador de milhares 26" xfId="296" xr:uid="{00000000-0005-0000-0000-00003E290000}"/>
    <cellStyle name="Separador de milhares 27" xfId="297" xr:uid="{00000000-0005-0000-0000-00003F290000}"/>
    <cellStyle name="Separador de milhares 28" xfId="298" xr:uid="{00000000-0005-0000-0000-000040290000}"/>
    <cellStyle name="Separador de milhares 29" xfId="299" xr:uid="{00000000-0005-0000-0000-000041290000}"/>
    <cellStyle name="Separador de milhares 3" xfId="44" xr:uid="{00000000-0005-0000-0000-000042290000}"/>
    <cellStyle name="Separador de milhares 3 13" xfId="338" xr:uid="{00000000-0005-0000-0000-000043290000}"/>
    <cellStyle name="Separador de milhares 3 2" xfId="69" xr:uid="{00000000-0005-0000-0000-000044290000}"/>
    <cellStyle name="Separador de milhares 3 2 2" xfId="300" xr:uid="{00000000-0005-0000-0000-000045290000}"/>
    <cellStyle name="Separador de milhares 3 2 2 2" xfId="382" xr:uid="{00000000-0005-0000-0000-000046290000}"/>
    <cellStyle name="Separador de milhares 3 2 2 2 2" xfId="447" xr:uid="{00000000-0005-0000-0000-000047290000}"/>
    <cellStyle name="Separador de milhares 3 2 2 2 2 2" xfId="621" xr:uid="{00000000-0005-0000-0000-000048290000}"/>
    <cellStyle name="Separador de milhares 3 2 2 2 2 2 2" xfId="1097" xr:uid="{00000000-0005-0000-0000-000049290000}"/>
    <cellStyle name="Separador de milhares 3 2 2 2 2 2 2 2" xfId="2239" xr:uid="{00000000-0005-0000-0000-00004A290000}"/>
    <cellStyle name="Separador de milhares 3 2 2 2 2 2 2 2 2" xfId="5119" xr:uid="{00000000-0005-0000-0000-00004B290000}"/>
    <cellStyle name="Separador de milhares 3 2 2 2 2 2 2 3" xfId="3977" xr:uid="{00000000-0005-0000-0000-00004C290000}"/>
    <cellStyle name="Separador de milhares 3 2 2 2 2 2 3" xfId="1762" xr:uid="{00000000-0005-0000-0000-00004D290000}"/>
    <cellStyle name="Separador de milhares 3 2 2 2 2 2 3 2" xfId="4642" xr:uid="{00000000-0005-0000-0000-00004E290000}"/>
    <cellStyle name="Separador de milhares 3 2 2 2 2 2 4" xfId="3501" xr:uid="{00000000-0005-0000-0000-00004F290000}"/>
    <cellStyle name="Separador de milhares 3 2 2 2 2 3" xfId="924" xr:uid="{00000000-0005-0000-0000-000050290000}"/>
    <cellStyle name="Separador de milhares 3 2 2 2 2 3 2" xfId="2066" xr:uid="{00000000-0005-0000-0000-000051290000}"/>
    <cellStyle name="Separador de milhares 3 2 2 2 2 3 2 2" xfId="4946" xr:uid="{00000000-0005-0000-0000-000052290000}"/>
    <cellStyle name="Separador de milhares 3 2 2 2 2 3 3" xfId="3804" xr:uid="{00000000-0005-0000-0000-000053290000}"/>
    <cellStyle name="Separador de milhares 3 2 2 2 2 4" xfId="1589" xr:uid="{00000000-0005-0000-0000-000054290000}"/>
    <cellStyle name="Separador de milhares 3 2 2 2 2 4 2" xfId="4469" xr:uid="{00000000-0005-0000-0000-000055290000}"/>
    <cellStyle name="Separador de milhares 3 2 2 2 2 5" xfId="3327" xr:uid="{00000000-0005-0000-0000-000056290000}"/>
    <cellStyle name="Separador de milhares 3 2 2 2 3" xfId="558" xr:uid="{00000000-0005-0000-0000-000057290000}"/>
    <cellStyle name="Separador de milhares 3 2 2 2 3 2" xfId="1034" xr:uid="{00000000-0005-0000-0000-000058290000}"/>
    <cellStyle name="Separador de milhares 3 2 2 2 3 2 2" xfId="2176" xr:uid="{00000000-0005-0000-0000-000059290000}"/>
    <cellStyle name="Separador de milhares 3 2 2 2 3 2 2 2" xfId="5056" xr:uid="{00000000-0005-0000-0000-00005A290000}"/>
    <cellStyle name="Separador de milhares 3 2 2 2 3 2 3" xfId="3914" xr:uid="{00000000-0005-0000-0000-00005B290000}"/>
    <cellStyle name="Separador de milhares 3 2 2 2 3 3" xfId="1699" xr:uid="{00000000-0005-0000-0000-00005C290000}"/>
    <cellStyle name="Separador de milhares 3 2 2 2 3 3 2" xfId="4579" xr:uid="{00000000-0005-0000-0000-00005D290000}"/>
    <cellStyle name="Separador de milhares 3 2 2 2 3 4" xfId="3438" xr:uid="{00000000-0005-0000-0000-00005E290000}"/>
    <cellStyle name="Separador de milhares 3 2 2 2 4" xfId="860" xr:uid="{00000000-0005-0000-0000-00005F290000}"/>
    <cellStyle name="Separador de milhares 3 2 2 2 4 2" xfId="2002" xr:uid="{00000000-0005-0000-0000-000060290000}"/>
    <cellStyle name="Separador de milhares 3 2 2 2 4 2 2" xfId="4882" xr:uid="{00000000-0005-0000-0000-000061290000}"/>
    <cellStyle name="Separador de milhares 3 2 2 2 4 3" xfId="3740" xr:uid="{00000000-0005-0000-0000-000062290000}"/>
    <cellStyle name="Separador de milhares 3 2 2 2 5" xfId="1524" xr:uid="{00000000-0005-0000-0000-000063290000}"/>
    <cellStyle name="Separador de milhares 3 2 2 2 5 2" xfId="4404" xr:uid="{00000000-0005-0000-0000-000064290000}"/>
    <cellStyle name="Separador de milhares 3 2 2 2 6" xfId="3262" xr:uid="{00000000-0005-0000-0000-000065290000}"/>
    <cellStyle name="Separador de milhares 3 2 3" xfId="353" xr:uid="{00000000-0005-0000-0000-000066290000}"/>
    <cellStyle name="Separador de milhares 3 2 3 2" xfId="418" xr:uid="{00000000-0005-0000-0000-000067290000}"/>
    <cellStyle name="Separador de milhares 3 2 3 2 2" xfId="592" xr:uid="{00000000-0005-0000-0000-000068290000}"/>
    <cellStyle name="Separador de milhares 3 2 3 2 2 2" xfId="1068" xr:uid="{00000000-0005-0000-0000-000069290000}"/>
    <cellStyle name="Separador de milhares 3 2 3 2 2 2 2" xfId="2210" xr:uid="{00000000-0005-0000-0000-00006A290000}"/>
    <cellStyle name="Separador de milhares 3 2 3 2 2 2 2 2" xfId="5090" xr:uid="{00000000-0005-0000-0000-00006B290000}"/>
    <cellStyle name="Separador de milhares 3 2 3 2 2 2 3" xfId="3948" xr:uid="{00000000-0005-0000-0000-00006C290000}"/>
    <cellStyle name="Separador de milhares 3 2 3 2 2 3" xfId="1733" xr:uid="{00000000-0005-0000-0000-00006D290000}"/>
    <cellStyle name="Separador de milhares 3 2 3 2 2 3 2" xfId="4613" xr:uid="{00000000-0005-0000-0000-00006E290000}"/>
    <cellStyle name="Separador de milhares 3 2 3 2 2 4" xfId="3472" xr:uid="{00000000-0005-0000-0000-00006F290000}"/>
    <cellStyle name="Separador de milhares 3 2 3 2 3" xfId="895" xr:uid="{00000000-0005-0000-0000-000070290000}"/>
    <cellStyle name="Separador de milhares 3 2 3 2 3 2" xfId="2037" xr:uid="{00000000-0005-0000-0000-000071290000}"/>
    <cellStyle name="Separador de milhares 3 2 3 2 3 2 2" xfId="4917" xr:uid="{00000000-0005-0000-0000-000072290000}"/>
    <cellStyle name="Separador de milhares 3 2 3 2 3 3" xfId="3775" xr:uid="{00000000-0005-0000-0000-000073290000}"/>
    <cellStyle name="Separador de milhares 3 2 3 2 4" xfId="1560" xr:uid="{00000000-0005-0000-0000-000074290000}"/>
    <cellStyle name="Separador de milhares 3 2 3 2 4 2" xfId="4440" xr:uid="{00000000-0005-0000-0000-000075290000}"/>
    <cellStyle name="Separador de milhares 3 2 3 2 5" xfId="3298" xr:uid="{00000000-0005-0000-0000-000076290000}"/>
    <cellStyle name="Separador de milhares 3 2 3 3" xfId="529" xr:uid="{00000000-0005-0000-0000-000077290000}"/>
    <cellStyle name="Separador de milhares 3 2 3 3 2" xfId="1005" xr:uid="{00000000-0005-0000-0000-000078290000}"/>
    <cellStyle name="Separador de milhares 3 2 3 3 2 2" xfId="2147" xr:uid="{00000000-0005-0000-0000-000079290000}"/>
    <cellStyle name="Separador de milhares 3 2 3 3 2 2 2" xfId="5027" xr:uid="{00000000-0005-0000-0000-00007A290000}"/>
    <cellStyle name="Separador de milhares 3 2 3 3 2 3" xfId="3885" xr:uid="{00000000-0005-0000-0000-00007B290000}"/>
    <cellStyle name="Separador de milhares 3 2 3 3 3" xfId="1670" xr:uid="{00000000-0005-0000-0000-00007C290000}"/>
    <cellStyle name="Separador de milhares 3 2 3 3 3 2" xfId="4550" xr:uid="{00000000-0005-0000-0000-00007D290000}"/>
    <cellStyle name="Separador de milhares 3 2 3 3 4" xfId="3409" xr:uid="{00000000-0005-0000-0000-00007E290000}"/>
    <cellStyle name="Separador de milhares 3 2 3 4" xfId="831" xr:uid="{00000000-0005-0000-0000-00007F290000}"/>
    <cellStyle name="Separador de milhares 3 2 3 4 2" xfId="1973" xr:uid="{00000000-0005-0000-0000-000080290000}"/>
    <cellStyle name="Separador de milhares 3 2 3 4 2 2" xfId="4853" xr:uid="{00000000-0005-0000-0000-000081290000}"/>
    <cellStyle name="Separador de milhares 3 2 3 4 3" xfId="3711" xr:uid="{00000000-0005-0000-0000-000082290000}"/>
    <cellStyle name="Separador de milhares 3 2 3 5" xfId="1495" xr:uid="{00000000-0005-0000-0000-000083290000}"/>
    <cellStyle name="Separador de milhares 3 2 3 5 2" xfId="4375" xr:uid="{00000000-0005-0000-0000-000084290000}"/>
    <cellStyle name="Separador de milhares 3 2 3 6" xfId="3233" xr:uid="{00000000-0005-0000-0000-000085290000}"/>
    <cellStyle name="Separador de milhares 3 3" xfId="146" xr:uid="{00000000-0005-0000-0000-000086290000}"/>
    <cellStyle name="Separador de milhares 3 3 2" xfId="301" xr:uid="{00000000-0005-0000-0000-000087290000}"/>
    <cellStyle name="Separador de milhares 3 3 3" xfId="360" xr:uid="{00000000-0005-0000-0000-000088290000}"/>
    <cellStyle name="Separador de milhares 3 3 3 2" xfId="425" xr:uid="{00000000-0005-0000-0000-000089290000}"/>
    <cellStyle name="Separador de milhares 3 3 3 2 2" xfId="599" xr:uid="{00000000-0005-0000-0000-00008A290000}"/>
    <cellStyle name="Separador de milhares 3 3 3 2 2 2" xfId="1075" xr:uid="{00000000-0005-0000-0000-00008B290000}"/>
    <cellStyle name="Separador de milhares 3 3 3 2 2 2 2" xfId="2217" xr:uid="{00000000-0005-0000-0000-00008C290000}"/>
    <cellStyle name="Separador de milhares 3 3 3 2 2 2 2 2" xfId="5097" xr:uid="{00000000-0005-0000-0000-00008D290000}"/>
    <cellStyle name="Separador de milhares 3 3 3 2 2 2 3" xfId="3955" xr:uid="{00000000-0005-0000-0000-00008E290000}"/>
    <cellStyle name="Separador de milhares 3 3 3 2 2 3" xfId="1740" xr:uid="{00000000-0005-0000-0000-00008F290000}"/>
    <cellStyle name="Separador de milhares 3 3 3 2 2 3 2" xfId="4620" xr:uid="{00000000-0005-0000-0000-000090290000}"/>
    <cellStyle name="Separador de milhares 3 3 3 2 2 4" xfId="3479" xr:uid="{00000000-0005-0000-0000-000091290000}"/>
    <cellStyle name="Separador de milhares 3 3 3 2 3" xfId="902" xr:uid="{00000000-0005-0000-0000-000092290000}"/>
    <cellStyle name="Separador de milhares 3 3 3 2 3 2" xfId="2044" xr:uid="{00000000-0005-0000-0000-000093290000}"/>
    <cellStyle name="Separador de milhares 3 3 3 2 3 2 2" xfId="4924" xr:uid="{00000000-0005-0000-0000-000094290000}"/>
    <cellStyle name="Separador de milhares 3 3 3 2 3 3" xfId="3782" xr:uid="{00000000-0005-0000-0000-000095290000}"/>
    <cellStyle name="Separador de milhares 3 3 3 2 4" xfId="1567" xr:uid="{00000000-0005-0000-0000-000096290000}"/>
    <cellStyle name="Separador de milhares 3 3 3 2 4 2" xfId="4447" xr:uid="{00000000-0005-0000-0000-000097290000}"/>
    <cellStyle name="Separador de milhares 3 3 3 2 5" xfId="3305" xr:uid="{00000000-0005-0000-0000-000098290000}"/>
    <cellStyle name="Separador de milhares 3 3 3 3" xfId="536" xr:uid="{00000000-0005-0000-0000-000099290000}"/>
    <cellStyle name="Separador de milhares 3 3 3 3 2" xfId="1012" xr:uid="{00000000-0005-0000-0000-00009A290000}"/>
    <cellStyle name="Separador de milhares 3 3 3 3 2 2" xfId="2154" xr:uid="{00000000-0005-0000-0000-00009B290000}"/>
    <cellStyle name="Separador de milhares 3 3 3 3 2 2 2" xfId="5034" xr:uid="{00000000-0005-0000-0000-00009C290000}"/>
    <cellStyle name="Separador de milhares 3 3 3 3 2 3" xfId="3892" xr:uid="{00000000-0005-0000-0000-00009D290000}"/>
    <cellStyle name="Separador de milhares 3 3 3 3 3" xfId="1677" xr:uid="{00000000-0005-0000-0000-00009E290000}"/>
    <cellStyle name="Separador de milhares 3 3 3 3 3 2" xfId="4557" xr:uid="{00000000-0005-0000-0000-00009F290000}"/>
    <cellStyle name="Separador de milhares 3 3 3 3 4" xfId="3416" xr:uid="{00000000-0005-0000-0000-0000A0290000}"/>
    <cellStyle name="Separador de milhares 3 3 3 4" xfId="838" xr:uid="{00000000-0005-0000-0000-0000A1290000}"/>
    <cellStyle name="Separador de milhares 3 3 3 4 2" xfId="1980" xr:uid="{00000000-0005-0000-0000-0000A2290000}"/>
    <cellStyle name="Separador de milhares 3 3 3 4 2 2" xfId="4860" xr:uid="{00000000-0005-0000-0000-0000A3290000}"/>
    <cellStyle name="Separador de milhares 3 3 3 4 3" xfId="3718" xr:uid="{00000000-0005-0000-0000-0000A4290000}"/>
    <cellStyle name="Separador de milhares 3 3 3 5" xfId="1502" xr:uid="{00000000-0005-0000-0000-0000A5290000}"/>
    <cellStyle name="Separador de milhares 3 3 3 5 2" xfId="4382" xr:uid="{00000000-0005-0000-0000-0000A6290000}"/>
    <cellStyle name="Separador de milhares 3 3 3 6" xfId="3240" xr:uid="{00000000-0005-0000-0000-0000A7290000}"/>
    <cellStyle name="Separador de milhares 3 4" xfId="302" xr:uid="{00000000-0005-0000-0000-0000A8290000}"/>
    <cellStyle name="Separador de milhares 3 5" xfId="303" xr:uid="{00000000-0005-0000-0000-0000A9290000}"/>
    <cellStyle name="Separador de milhares 3 5 2" xfId="383" xr:uid="{00000000-0005-0000-0000-0000AA290000}"/>
    <cellStyle name="Separador de milhares 3 5 2 2" xfId="448" xr:uid="{00000000-0005-0000-0000-0000AB290000}"/>
    <cellStyle name="Separador de milhares 3 5 2 2 2" xfId="622" xr:uid="{00000000-0005-0000-0000-0000AC290000}"/>
    <cellStyle name="Separador de milhares 3 5 2 2 2 2" xfId="1098" xr:uid="{00000000-0005-0000-0000-0000AD290000}"/>
    <cellStyle name="Separador de milhares 3 5 2 2 2 2 2" xfId="2240" xr:uid="{00000000-0005-0000-0000-0000AE290000}"/>
    <cellStyle name="Separador de milhares 3 5 2 2 2 2 2 2" xfId="5120" xr:uid="{00000000-0005-0000-0000-0000AF290000}"/>
    <cellStyle name="Separador de milhares 3 5 2 2 2 2 3" xfId="3978" xr:uid="{00000000-0005-0000-0000-0000B0290000}"/>
    <cellStyle name="Separador de milhares 3 5 2 2 2 3" xfId="1763" xr:uid="{00000000-0005-0000-0000-0000B1290000}"/>
    <cellStyle name="Separador de milhares 3 5 2 2 2 3 2" xfId="4643" xr:uid="{00000000-0005-0000-0000-0000B2290000}"/>
    <cellStyle name="Separador de milhares 3 5 2 2 2 4" xfId="3502" xr:uid="{00000000-0005-0000-0000-0000B3290000}"/>
    <cellStyle name="Separador de milhares 3 5 2 2 3" xfId="925" xr:uid="{00000000-0005-0000-0000-0000B4290000}"/>
    <cellStyle name="Separador de milhares 3 5 2 2 3 2" xfId="2067" xr:uid="{00000000-0005-0000-0000-0000B5290000}"/>
    <cellStyle name="Separador de milhares 3 5 2 2 3 2 2" xfId="4947" xr:uid="{00000000-0005-0000-0000-0000B6290000}"/>
    <cellStyle name="Separador de milhares 3 5 2 2 3 3" xfId="3805" xr:uid="{00000000-0005-0000-0000-0000B7290000}"/>
    <cellStyle name="Separador de milhares 3 5 2 2 4" xfId="1590" xr:uid="{00000000-0005-0000-0000-0000B8290000}"/>
    <cellStyle name="Separador de milhares 3 5 2 2 4 2" xfId="4470" xr:uid="{00000000-0005-0000-0000-0000B9290000}"/>
    <cellStyle name="Separador de milhares 3 5 2 2 5" xfId="3328" xr:uid="{00000000-0005-0000-0000-0000BA290000}"/>
    <cellStyle name="Separador de milhares 3 5 2 3" xfId="559" xr:uid="{00000000-0005-0000-0000-0000BB290000}"/>
    <cellStyle name="Separador de milhares 3 5 2 3 2" xfId="1035" xr:uid="{00000000-0005-0000-0000-0000BC290000}"/>
    <cellStyle name="Separador de milhares 3 5 2 3 2 2" xfId="2177" xr:uid="{00000000-0005-0000-0000-0000BD290000}"/>
    <cellStyle name="Separador de milhares 3 5 2 3 2 2 2" xfId="5057" xr:uid="{00000000-0005-0000-0000-0000BE290000}"/>
    <cellStyle name="Separador de milhares 3 5 2 3 2 3" xfId="3915" xr:uid="{00000000-0005-0000-0000-0000BF290000}"/>
    <cellStyle name="Separador de milhares 3 5 2 3 3" xfId="1700" xr:uid="{00000000-0005-0000-0000-0000C0290000}"/>
    <cellStyle name="Separador de milhares 3 5 2 3 3 2" xfId="4580" xr:uid="{00000000-0005-0000-0000-0000C1290000}"/>
    <cellStyle name="Separador de milhares 3 5 2 3 4" xfId="3439" xr:uid="{00000000-0005-0000-0000-0000C2290000}"/>
    <cellStyle name="Separador de milhares 3 5 2 4" xfId="861" xr:uid="{00000000-0005-0000-0000-0000C3290000}"/>
    <cellStyle name="Separador de milhares 3 5 2 4 2" xfId="2003" xr:uid="{00000000-0005-0000-0000-0000C4290000}"/>
    <cellStyle name="Separador de milhares 3 5 2 4 2 2" xfId="4883" xr:uid="{00000000-0005-0000-0000-0000C5290000}"/>
    <cellStyle name="Separador de milhares 3 5 2 4 3" xfId="3741" xr:uid="{00000000-0005-0000-0000-0000C6290000}"/>
    <cellStyle name="Separador de milhares 3 5 2 5" xfId="1525" xr:uid="{00000000-0005-0000-0000-0000C7290000}"/>
    <cellStyle name="Separador de milhares 3 5 2 5 2" xfId="4405" xr:uid="{00000000-0005-0000-0000-0000C8290000}"/>
    <cellStyle name="Separador de milhares 3 5 2 6" xfId="3263" xr:uid="{00000000-0005-0000-0000-0000C9290000}"/>
    <cellStyle name="Separador de milhares 3 6" xfId="337" xr:uid="{00000000-0005-0000-0000-0000CA290000}"/>
    <cellStyle name="Separador de milhares 3 7" xfId="344" xr:uid="{00000000-0005-0000-0000-0000CB290000}"/>
    <cellStyle name="Separador de milhares 3 7 2" xfId="409" xr:uid="{00000000-0005-0000-0000-0000CC290000}"/>
    <cellStyle name="Separador de milhares 3 7 2 2" xfId="583" xr:uid="{00000000-0005-0000-0000-0000CD290000}"/>
    <cellStyle name="Separador de milhares 3 7 2 2 2" xfId="1059" xr:uid="{00000000-0005-0000-0000-0000CE290000}"/>
    <cellStyle name="Separador de milhares 3 7 2 2 2 2" xfId="2201" xr:uid="{00000000-0005-0000-0000-0000CF290000}"/>
    <cellStyle name="Separador de milhares 3 7 2 2 2 2 2" xfId="5081" xr:uid="{00000000-0005-0000-0000-0000D0290000}"/>
    <cellStyle name="Separador de milhares 3 7 2 2 2 3" xfId="3939" xr:uid="{00000000-0005-0000-0000-0000D1290000}"/>
    <cellStyle name="Separador de milhares 3 7 2 2 3" xfId="1724" xr:uid="{00000000-0005-0000-0000-0000D2290000}"/>
    <cellStyle name="Separador de milhares 3 7 2 2 3 2" xfId="4604" xr:uid="{00000000-0005-0000-0000-0000D3290000}"/>
    <cellStyle name="Separador de milhares 3 7 2 2 4" xfId="3463" xr:uid="{00000000-0005-0000-0000-0000D4290000}"/>
    <cellStyle name="Separador de milhares 3 7 2 3" xfId="886" xr:uid="{00000000-0005-0000-0000-0000D5290000}"/>
    <cellStyle name="Separador de milhares 3 7 2 3 2" xfId="2028" xr:uid="{00000000-0005-0000-0000-0000D6290000}"/>
    <cellStyle name="Separador de milhares 3 7 2 3 2 2" xfId="4908" xr:uid="{00000000-0005-0000-0000-0000D7290000}"/>
    <cellStyle name="Separador de milhares 3 7 2 3 3" xfId="3766" xr:uid="{00000000-0005-0000-0000-0000D8290000}"/>
    <cellStyle name="Separador de milhares 3 7 2 4" xfId="1551" xr:uid="{00000000-0005-0000-0000-0000D9290000}"/>
    <cellStyle name="Separador de milhares 3 7 2 4 2" xfId="4431" xr:uid="{00000000-0005-0000-0000-0000DA290000}"/>
    <cellStyle name="Separador de milhares 3 7 2 5" xfId="3289" xr:uid="{00000000-0005-0000-0000-0000DB290000}"/>
    <cellStyle name="Separador de milhares 3 7 3" xfId="520" xr:uid="{00000000-0005-0000-0000-0000DC290000}"/>
    <cellStyle name="Separador de milhares 3 7 3 2" xfId="996" xr:uid="{00000000-0005-0000-0000-0000DD290000}"/>
    <cellStyle name="Separador de milhares 3 7 3 2 2" xfId="2138" xr:uid="{00000000-0005-0000-0000-0000DE290000}"/>
    <cellStyle name="Separador de milhares 3 7 3 2 2 2" xfId="5018" xr:uid="{00000000-0005-0000-0000-0000DF290000}"/>
    <cellStyle name="Separador de milhares 3 7 3 2 3" xfId="3876" xr:uid="{00000000-0005-0000-0000-0000E0290000}"/>
    <cellStyle name="Separador de milhares 3 7 3 3" xfId="1661" xr:uid="{00000000-0005-0000-0000-0000E1290000}"/>
    <cellStyle name="Separador de milhares 3 7 3 3 2" xfId="4541" xr:uid="{00000000-0005-0000-0000-0000E2290000}"/>
    <cellStyle name="Separador de milhares 3 7 3 4" xfId="3400" xr:uid="{00000000-0005-0000-0000-0000E3290000}"/>
    <cellStyle name="Separador de milhares 3 7 4" xfId="822" xr:uid="{00000000-0005-0000-0000-0000E4290000}"/>
    <cellStyle name="Separador de milhares 3 7 4 2" xfId="1964" xr:uid="{00000000-0005-0000-0000-0000E5290000}"/>
    <cellStyle name="Separador de milhares 3 7 4 2 2" xfId="4844" xr:uid="{00000000-0005-0000-0000-0000E6290000}"/>
    <cellStyle name="Separador de milhares 3 7 4 3" xfId="3702" xr:uid="{00000000-0005-0000-0000-0000E7290000}"/>
    <cellStyle name="Separador de milhares 3 7 5" xfId="1486" xr:uid="{00000000-0005-0000-0000-0000E8290000}"/>
    <cellStyle name="Separador de milhares 3 7 5 2" xfId="4366" xr:uid="{00000000-0005-0000-0000-0000E9290000}"/>
    <cellStyle name="Separador de milhares 3 7 6" xfId="3224" xr:uid="{00000000-0005-0000-0000-0000EA290000}"/>
    <cellStyle name="Separador de milhares 3_14ª MED. TY" xfId="304" xr:uid="{00000000-0005-0000-0000-0000EB290000}"/>
    <cellStyle name="Separador de milhares 30" xfId="305" xr:uid="{00000000-0005-0000-0000-0000EC290000}"/>
    <cellStyle name="Separador de milhares 31" xfId="306" xr:uid="{00000000-0005-0000-0000-0000ED290000}"/>
    <cellStyle name="Separador de milhares 32" xfId="307" xr:uid="{00000000-0005-0000-0000-0000EE290000}"/>
    <cellStyle name="Separador de milhares 33" xfId="308" xr:uid="{00000000-0005-0000-0000-0000EF290000}"/>
    <cellStyle name="Separador de milhares 34" xfId="309" xr:uid="{00000000-0005-0000-0000-0000F0290000}"/>
    <cellStyle name="Separador de milhares 35" xfId="310" xr:uid="{00000000-0005-0000-0000-0000F1290000}"/>
    <cellStyle name="Separador de milhares 36" xfId="311" xr:uid="{00000000-0005-0000-0000-0000F2290000}"/>
    <cellStyle name="Separador de milhares 37" xfId="312" xr:uid="{00000000-0005-0000-0000-0000F3290000}"/>
    <cellStyle name="Separador de milhares 4" xfId="2" xr:uid="{00000000-0005-0000-0000-0000F4290000}"/>
    <cellStyle name="Separador de milhares 4 2" xfId="70" xr:uid="{00000000-0005-0000-0000-0000F5290000}"/>
    <cellStyle name="Separador de milhares 4 2 2" xfId="354" xr:uid="{00000000-0005-0000-0000-0000F6290000}"/>
    <cellStyle name="Separador de milhares 4 2 2 2" xfId="419" xr:uid="{00000000-0005-0000-0000-0000F7290000}"/>
    <cellStyle name="Separador de milhares 4 2 2 2 2" xfId="593" xr:uid="{00000000-0005-0000-0000-0000F8290000}"/>
    <cellStyle name="Separador de milhares 4 2 2 2 2 2" xfId="1069" xr:uid="{00000000-0005-0000-0000-0000F9290000}"/>
    <cellStyle name="Separador de milhares 4 2 2 2 2 2 2" xfId="2211" xr:uid="{00000000-0005-0000-0000-0000FA290000}"/>
    <cellStyle name="Separador de milhares 4 2 2 2 2 2 2 2" xfId="5091" xr:uid="{00000000-0005-0000-0000-0000FB290000}"/>
    <cellStyle name="Separador de milhares 4 2 2 2 2 2 3" xfId="3949" xr:uid="{00000000-0005-0000-0000-0000FC290000}"/>
    <cellStyle name="Separador de milhares 4 2 2 2 2 3" xfId="1734" xr:uid="{00000000-0005-0000-0000-0000FD290000}"/>
    <cellStyle name="Separador de milhares 4 2 2 2 2 3 2" xfId="4614" xr:uid="{00000000-0005-0000-0000-0000FE290000}"/>
    <cellStyle name="Separador de milhares 4 2 2 2 2 4" xfId="3473" xr:uid="{00000000-0005-0000-0000-0000FF290000}"/>
    <cellStyle name="Separador de milhares 4 2 2 2 3" xfId="896" xr:uid="{00000000-0005-0000-0000-0000002A0000}"/>
    <cellStyle name="Separador de milhares 4 2 2 2 3 2" xfId="2038" xr:uid="{00000000-0005-0000-0000-0000012A0000}"/>
    <cellStyle name="Separador de milhares 4 2 2 2 3 2 2" xfId="4918" xr:uid="{00000000-0005-0000-0000-0000022A0000}"/>
    <cellStyle name="Separador de milhares 4 2 2 2 3 3" xfId="3776" xr:uid="{00000000-0005-0000-0000-0000032A0000}"/>
    <cellStyle name="Separador de milhares 4 2 2 2 4" xfId="1561" xr:uid="{00000000-0005-0000-0000-0000042A0000}"/>
    <cellStyle name="Separador de milhares 4 2 2 2 4 2" xfId="4441" xr:uid="{00000000-0005-0000-0000-0000052A0000}"/>
    <cellStyle name="Separador de milhares 4 2 2 2 5" xfId="3299" xr:uid="{00000000-0005-0000-0000-0000062A0000}"/>
    <cellStyle name="Separador de milhares 4 2 2 3" xfId="530" xr:uid="{00000000-0005-0000-0000-0000072A0000}"/>
    <cellStyle name="Separador de milhares 4 2 2 3 2" xfId="1006" xr:uid="{00000000-0005-0000-0000-0000082A0000}"/>
    <cellStyle name="Separador de milhares 4 2 2 3 2 2" xfId="2148" xr:uid="{00000000-0005-0000-0000-0000092A0000}"/>
    <cellStyle name="Separador de milhares 4 2 2 3 2 2 2" xfId="5028" xr:uid="{00000000-0005-0000-0000-00000A2A0000}"/>
    <cellStyle name="Separador de milhares 4 2 2 3 2 3" xfId="3886" xr:uid="{00000000-0005-0000-0000-00000B2A0000}"/>
    <cellStyle name="Separador de milhares 4 2 2 3 3" xfId="1671" xr:uid="{00000000-0005-0000-0000-00000C2A0000}"/>
    <cellStyle name="Separador de milhares 4 2 2 3 3 2" xfId="4551" xr:uid="{00000000-0005-0000-0000-00000D2A0000}"/>
    <cellStyle name="Separador de milhares 4 2 2 3 4" xfId="3410" xr:uid="{00000000-0005-0000-0000-00000E2A0000}"/>
    <cellStyle name="Separador de milhares 4 2 2 4" xfId="832" xr:uid="{00000000-0005-0000-0000-00000F2A0000}"/>
    <cellStyle name="Separador de milhares 4 2 2 4 2" xfId="1974" xr:uid="{00000000-0005-0000-0000-0000102A0000}"/>
    <cellStyle name="Separador de milhares 4 2 2 4 2 2" xfId="4854" xr:uid="{00000000-0005-0000-0000-0000112A0000}"/>
    <cellStyle name="Separador de milhares 4 2 2 4 3" xfId="3712" xr:uid="{00000000-0005-0000-0000-0000122A0000}"/>
    <cellStyle name="Separador de milhares 4 2 2 5" xfId="1496" xr:uid="{00000000-0005-0000-0000-0000132A0000}"/>
    <cellStyle name="Separador de milhares 4 2 2 5 2" xfId="4376" xr:uid="{00000000-0005-0000-0000-0000142A0000}"/>
    <cellStyle name="Separador de milhares 4 2 2 6" xfId="3234" xr:uid="{00000000-0005-0000-0000-0000152A0000}"/>
    <cellStyle name="Separador de milhares 4 3" xfId="340" xr:uid="{00000000-0005-0000-0000-0000162A0000}"/>
    <cellStyle name="Separador de milhares 4 3 2" xfId="405" xr:uid="{00000000-0005-0000-0000-0000172A0000}"/>
    <cellStyle name="Separador de milhares 4 3 2 2" xfId="580" xr:uid="{00000000-0005-0000-0000-0000182A0000}"/>
    <cellStyle name="Separador de milhares 4 3 2 2 2" xfId="1056" xr:uid="{00000000-0005-0000-0000-0000192A0000}"/>
    <cellStyle name="Separador de milhares 4 3 2 2 2 2" xfId="2198" xr:uid="{00000000-0005-0000-0000-00001A2A0000}"/>
    <cellStyle name="Separador de milhares 4 3 2 2 2 2 2" xfId="5078" xr:uid="{00000000-0005-0000-0000-00001B2A0000}"/>
    <cellStyle name="Separador de milhares 4 3 2 2 2 3" xfId="3936" xr:uid="{00000000-0005-0000-0000-00001C2A0000}"/>
    <cellStyle name="Separador de milhares 4 3 2 2 3" xfId="1721" xr:uid="{00000000-0005-0000-0000-00001D2A0000}"/>
    <cellStyle name="Separador de milhares 4 3 2 2 3 2" xfId="4601" xr:uid="{00000000-0005-0000-0000-00001E2A0000}"/>
    <cellStyle name="Separador de milhares 4 3 2 2 4" xfId="3460" xr:uid="{00000000-0005-0000-0000-00001F2A0000}"/>
    <cellStyle name="Separador de milhares 4 3 2 3" xfId="882" xr:uid="{00000000-0005-0000-0000-0000202A0000}"/>
    <cellStyle name="Separador de milhares 4 3 2 3 2" xfId="2024" xr:uid="{00000000-0005-0000-0000-0000212A0000}"/>
    <cellStyle name="Separador de milhares 4 3 2 3 2 2" xfId="4904" xr:uid="{00000000-0005-0000-0000-0000222A0000}"/>
    <cellStyle name="Separador de milhares 4 3 2 3 3" xfId="3762" xr:uid="{00000000-0005-0000-0000-0000232A0000}"/>
    <cellStyle name="Separador de milhares 4 3 2 4" xfId="1547" xr:uid="{00000000-0005-0000-0000-0000242A0000}"/>
    <cellStyle name="Separador de milhares 4 3 2 4 2" xfId="4427" xr:uid="{00000000-0005-0000-0000-0000252A0000}"/>
    <cellStyle name="Separador de milhares 4 3 2 5" xfId="3285" xr:uid="{00000000-0005-0000-0000-0000262A0000}"/>
    <cellStyle name="Separador de milhares 4 3 3" xfId="517" xr:uid="{00000000-0005-0000-0000-0000272A0000}"/>
    <cellStyle name="Separador de milhares 4 3 3 2" xfId="993" xr:uid="{00000000-0005-0000-0000-0000282A0000}"/>
    <cellStyle name="Separador de milhares 4 3 3 2 2" xfId="2135" xr:uid="{00000000-0005-0000-0000-0000292A0000}"/>
    <cellStyle name="Separador de milhares 4 3 3 2 2 2" xfId="5015" xr:uid="{00000000-0005-0000-0000-00002A2A0000}"/>
    <cellStyle name="Separador de milhares 4 3 3 2 3" xfId="3873" xr:uid="{00000000-0005-0000-0000-00002B2A0000}"/>
    <cellStyle name="Separador de milhares 4 3 3 3" xfId="1658" xr:uid="{00000000-0005-0000-0000-00002C2A0000}"/>
    <cellStyle name="Separador de milhares 4 3 3 3 2" xfId="4538" xr:uid="{00000000-0005-0000-0000-00002D2A0000}"/>
    <cellStyle name="Separador de milhares 4 3 3 4" xfId="3397" xr:uid="{00000000-0005-0000-0000-00002E2A0000}"/>
    <cellStyle name="Separador de milhares 4 3 4" xfId="818" xr:uid="{00000000-0005-0000-0000-00002F2A0000}"/>
    <cellStyle name="Separador de milhares 4 3 4 2" xfId="1960" xr:uid="{00000000-0005-0000-0000-0000302A0000}"/>
    <cellStyle name="Separador de milhares 4 3 4 2 2" xfId="4840" xr:uid="{00000000-0005-0000-0000-0000312A0000}"/>
    <cellStyle name="Separador de milhares 4 3 4 3" xfId="3698" xr:uid="{00000000-0005-0000-0000-0000322A0000}"/>
    <cellStyle name="Separador de milhares 4 3 5" xfId="1482" xr:uid="{00000000-0005-0000-0000-0000332A0000}"/>
    <cellStyle name="Separador de milhares 4 3 5 2" xfId="4362" xr:uid="{00000000-0005-0000-0000-0000342A0000}"/>
    <cellStyle name="Separador de milhares 4 3 6" xfId="3220" xr:uid="{00000000-0005-0000-0000-0000352A0000}"/>
    <cellStyle name="Separador de milhares 5" xfId="45" xr:uid="{00000000-0005-0000-0000-0000362A0000}"/>
    <cellStyle name="Separador de milhares 5 2" xfId="71" xr:uid="{00000000-0005-0000-0000-0000372A0000}"/>
    <cellStyle name="Separador de milhares 5 2 2" xfId="355" xr:uid="{00000000-0005-0000-0000-0000382A0000}"/>
    <cellStyle name="Separador de milhares 5 2 2 2" xfId="420" xr:uid="{00000000-0005-0000-0000-0000392A0000}"/>
    <cellStyle name="Separador de milhares 5 2 2 2 2" xfId="594" xr:uid="{00000000-0005-0000-0000-00003A2A0000}"/>
    <cellStyle name="Separador de milhares 5 2 2 2 2 2" xfId="1070" xr:uid="{00000000-0005-0000-0000-00003B2A0000}"/>
    <cellStyle name="Separador de milhares 5 2 2 2 2 2 2" xfId="2212" xr:uid="{00000000-0005-0000-0000-00003C2A0000}"/>
    <cellStyle name="Separador de milhares 5 2 2 2 2 2 2 2" xfId="5092" xr:uid="{00000000-0005-0000-0000-00003D2A0000}"/>
    <cellStyle name="Separador de milhares 5 2 2 2 2 2 3" xfId="3950" xr:uid="{00000000-0005-0000-0000-00003E2A0000}"/>
    <cellStyle name="Separador de milhares 5 2 2 2 2 3" xfId="1735" xr:uid="{00000000-0005-0000-0000-00003F2A0000}"/>
    <cellStyle name="Separador de milhares 5 2 2 2 2 3 2" xfId="4615" xr:uid="{00000000-0005-0000-0000-0000402A0000}"/>
    <cellStyle name="Separador de milhares 5 2 2 2 2 4" xfId="3474" xr:uid="{00000000-0005-0000-0000-0000412A0000}"/>
    <cellStyle name="Separador de milhares 5 2 2 2 3" xfId="897" xr:uid="{00000000-0005-0000-0000-0000422A0000}"/>
    <cellStyle name="Separador de milhares 5 2 2 2 3 2" xfId="2039" xr:uid="{00000000-0005-0000-0000-0000432A0000}"/>
    <cellStyle name="Separador de milhares 5 2 2 2 3 2 2" xfId="4919" xr:uid="{00000000-0005-0000-0000-0000442A0000}"/>
    <cellStyle name="Separador de milhares 5 2 2 2 3 3" xfId="3777" xr:uid="{00000000-0005-0000-0000-0000452A0000}"/>
    <cellStyle name="Separador de milhares 5 2 2 2 4" xfId="1562" xr:uid="{00000000-0005-0000-0000-0000462A0000}"/>
    <cellStyle name="Separador de milhares 5 2 2 2 4 2" xfId="4442" xr:uid="{00000000-0005-0000-0000-0000472A0000}"/>
    <cellStyle name="Separador de milhares 5 2 2 2 5" xfId="3300" xr:uid="{00000000-0005-0000-0000-0000482A0000}"/>
    <cellStyle name="Separador de milhares 5 2 2 3" xfId="531" xr:uid="{00000000-0005-0000-0000-0000492A0000}"/>
    <cellStyle name="Separador de milhares 5 2 2 3 2" xfId="1007" xr:uid="{00000000-0005-0000-0000-00004A2A0000}"/>
    <cellStyle name="Separador de milhares 5 2 2 3 2 2" xfId="2149" xr:uid="{00000000-0005-0000-0000-00004B2A0000}"/>
    <cellStyle name="Separador de milhares 5 2 2 3 2 2 2" xfId="5029" xr:uid="{00000000-0005-0000-0000-00004C2A0000}"/>
    <cellStyle name="Separador de milhares 5 2 2 3 2 3" xfId="3887" xr:uid="{00000000-0005-0000-0000-00004D2A0000}"/>
    <cellStyle name="Separador de milhares 5 2 2 3 3" xfId="1672" xr:uid="{00000000-0005-0000-0000-00004E2A0000}"/>
    <cellStyle name="Separador de milhares 5 2 2 3 3 2" xfId="4552" xr:uid="{00000000-0005-0000-0000-00004F2A0000}"/>
    <cellStyle name="Separador de milhares 5 2 2 3 4" xfId="3411" xr:uid="{00000000-0005-0000-0000-0000502A0000}"/>
    <cellStyle name="Separador de milhares 5 2 2 4" xfId="833" xr:uid="{00000000-0005-0000-0000-0000512A0000}"/>
    <cellStyle name="Separador de milhares 5 2 2 4 2" xfId="1975" xr:uid="{00000000-0005-0000-0000-0000522A0000}"/>
    <cellStyle name="Separador de milhares 5 2 2 4 2 2" xfId="4855" xr:uid="{00000000-0005-0000-0000-0000532A0000}"/>
    <cellStyle name="Separador de milhares 5 2 2 4 3" xfId="3713" xr:uid="{00000000-0005-0000-0000-0000542A0000}"/>
    <cellStyle name="Separador de milhares 5 2 2 5" xfId="1497" xr:uid="{00000000-0005-0000-0000-0000552A0000}"/>
    <cellStyle name="Separador de milhares 5 2 2 5 2" xfId="4377" xr:uid="{00000000-0005-0000-0000-0000562A0000}"/>
    <cellStyle name="Separador de milhares 5 2 2 6" xfId="3235" xr:uid="{00000000-0005-0000-0000-0000572A0000}"/>
    <cellStyle name="Separador de milhares 5 3" xfId="72" xr:uid="{00000000-0005-0000-0000-0000582A0000}"/>
    <cellStyle name="Separador de milhares 5 4" xfId="345" xr:uid="{00000000-0005-0000-0000-0000592A0000}"/>
    <cellStyle name="Separador de milhares 5 4 2" xfId="410" xr:uid="{00000000-0005-0000-0000-00005A2A0000}"/>
    <cellStyle name="Separador de milhares 5 4 2 2" xfId="584" xr:uid="{00000000-0005-0000-0000-00005B2A0000}"/>
    <cellStyle name="Separador de milhares 5 4 2 2 2" xfId="1060" xr:uid="{00000000-0005-0000-0000-00005C2A0000}"/>
    <cellStyle name="Separador de milhares 5 4 2 2 2 2" xfId="2202" xr:uid="{00000000-0005-0000-0000-00005D2A0000}"/>
    <cellStyle name="Separador de milhares 5 4 2 2 2 2 2" xfId="5082" xr:uid="{00000000-0005-0000-0000-00005E2A0000}"/>
    <cellStyle name="Separador de milhares 5 4 2 2 2 3" xfId="3940" xr:uid="{00000000-0005-0000-0000-00005F2A0000}"/>
    <cellStyle name="Separador de milhares 5 4 2 2 3" xfId="1725" xr:uid="{00000000-0005-0000-0000-0000602A0000}"/>
    <cellStyle name="Separador de milhares 5 4 2 2 3 2" xfId="4605" xr:uid="{00000000-0005-0000-0000-0000612A0000}"/>
    <cellStyle name="Separador de milhares 5 4 2 2 4" xfId="3464" xr:uid="{00000000-0005-0000-0000-0000622A0000}"/>
    <cellStyle name="Separador de milhares 5 4 2 3" xfId="887" xr:uid="{00000000-0005-0000-0000-0000632A0000}"/>
    <cellStyle name="Separador de milhares 5 4 2 3 2" xfId="2029" xr:uid="{00000000-0005-0000-0000-0000642A0000}"/>
    <cellStyle name="Separador de milhares 5 4 2 3 2 2" xfId="4909" xr:uid="{00000000-0005-0000-0000-0000652A0000}"/>
    <cellStyle name="Separador de milhares 5 4 2 3 3" xfId="3767" xr:uid="{00000000-0005-0000-0000-0000662A0000}"/>
    <cellStyle name="Separador de milhares 5 4 2 4" xfId="1552" xr:uid="{00000000-0005-0000-0000-0000672A0000}"/>
    <cellStyle name="Separador de milhares 5 4 2 4 2" xfId="4432" xr:uid="{00000000-0005-0000-0000-0000682A0000}"/>
    <cellStyle name="Separador de milhares 5 4 2 5" xfId="3290" xr:uid="{00000000-0005-0000-0000-0000692A0000}"/>
    <cellStyle name="Separador de milhares 5 4 3" xfId="521" xr:uid="{00000000-0005-0000-0000-00006A2A0000}"/>
    <cellStyle name="Separador de milhares 5 4 3 2" xfId="997" xr:uid="{00000000-0005-0000-0000-00006B2A0000}"/>
    <cellStyle name="Separador de milhares 5 4 3 2 2" xfId="2139" xr:uid="{00000000-0005-0000-0000-00006C2A0000}"/>
    <cellStyle name="Separador de milhares 5 4 3 2 2 2" xfId="5019" xr:uid="{00000000-0005-0000-0000-00006D2A0000}"/>
    <cellStyle name="Separador de milhares 5 4 3 2 3" xfId="3877" xr:uid="{00000000-0005-0000-0000-00006E2A0000}"/>
    <cellStyle name="Separador de milhares 5 4 3 3" xfId="1662" xr:uid="{00000000-0005-0000-0000-00006F2A0000}"/>
    <cellStyle name="Separador de milhares 5 4 3 3 2" xfId="4542" xr:uid="{00000000-0005-0000-0000-0000702A0000}"/>
    <cellStyle name="Separador de milhares 5 4 3 4" xfId="3401" xr:uid="{00000000-0005-0000-0000-0000712A0000}"/>
    <cellStyle name="Separador de milhares 5 4 4" xfId="823" xr:uid="{00000000-0005-0000-0000-0000722A0000}"/>
    <cellStyle name="Separador de milhares 5 4 4 2" xfId="1965" xr:uid="{00000000-0005-0000-0000-0000732A0000}"/>
    <cellStyle name="Separador de milhares 5 4 4 2 2" xfId="4845" xr:uid="{00000000-0005-0000-0000-0000742A0000}"/>
    <cellStyle name="Separador de milhares 5 4 4 3" xfId="3703" xr:uid="{00000000-0005-0000-0000-0000752A0000}"/>
    <cellStyle name="Separador de milhares 5 4 5" xfId="1487" xr:uid="{00000000-0005-0000-0000-0000762A0000}"/>
    <cellStyle name="Separador de milhares 5 4 5 2" xfId="4367" xr:uid="{00000000-0005-0000-0000-0000772A0000}"/>
    <cellStyle name="Separador de milhares 5 4 6" xfId="3225" xr:uid="{00000000-0005-0000-0000-0000782A0000}"/>
    <cellStyle name="Separador de milhares 5 5" xfId="398" xr:uid="{00000000-0005-0000-0000-0000792A0000}"/>
    <cellStyle name="Separador de milhares 5 5 2" xfId="573" xr:uid="{00000000-0005-0000-0000-00007A2A0000}"/>
    <cellStyle name="Separador de milhares 5 5 2 2" xfId="1049" xr:uid="{00000000-0005-0000-0000-00007B2A0000}"/>
    <cellStyle name="Separador de milhares 5 5 2 2 2" xfId="2191" xr:uid="{00000000-0005-0000-0000-00007C2A0000}"/>
    <cellStyle name="Separador de milhares 5 5 2 2 2 2" xfId="5071" xr:uid="{00000000-0005-0000-0000-00007D2A0000}"/>
    <cellStyle name="Separador de milhares 5 5 2 2 3" xfId="3929" xr:uid="{00000000-0005-0000-0000-00007E2A0000}"/>
    <cellStyle name="Separador de milhares 5 5 2 3" xfId="1714" xr:uid="{00000000-0005-0000-0000-00007F2A0000}"/>
    <cellStyle name="Separador de milhares 5 5 2 3 2" xfId="4594" xr:uid="{00000000-0005-0000-0000-0000802A0000}"/>
    <cellStyle name="Separador de milhares 5 5 2 4" xfId="3453" xr:uid="{00000000-0005-0000-0000-0000812A0000}"/>
    <cellStyle name="Separador de milhares 5 5 3" xfId="875" xr:uid="{00000000-0005-0000-0000-0000822A0000}"/>
    <cellStyle name="Separador de milhares 5 5 3 2" xfId="2017" xr:uid="{00000000-0005-0000-0000-0000832A0000}"/>
    <cellStyle name="Separador de milhares 5 5 3 2 2" xfId="4897" xr:uid="{00000000-0005-0000-0000-0000842A0000}"/>
    <cellStyle name="Separador de milhares 5 5 3 3" xfId="3755" xr:uid="{00000000-0005-0000-0000-0000852A0000}"/>
    <cellStyle name="Separador de milhares 5 5 4" xfId="1540" xr:uid="{00000000-0005-0000-0000-0000862A0000}"/>
    <cellStyle name="Separador de milhares 5 5 4 2" xfId="4420" xr:uid="{00000000-0005-0000-0000-0000872A0000}"/>
    <cellStyle name="Separador de milhares 5 5 5" xfId="3278" xr:uid="{00000000-0005-0000-0000-0000882A0000}"/>
    <cellStyle name="Separador de milhares 5 6" xfId="473" xr:uid="{00000000-0005-0000-0000-0000892A0000}"/>
    <cellStyle name="Separador de milhares 5 6 2" xfId="949" xr:uid="{00000000-0005-0000-0000-00008A2A0000}"/>
    <cellStyle name="Separador de milhares 5 6 2 2" xfId="2091" xr:uid="{00000000-0005-0000-0000-00008B2A0000}"/>
    <cellStyle name="Separador de milhares 5 6 2 2 2" xfId="4971" xr:uid="{00000000-0005-0000-0000-00008C2A0000}"/>
    <cellStyle name="Separador de milhares 5 6 2 3" xfId="3829" xr:uid="{00000000-0005-0000-0000-00008D2A0000}"/>
    <cellStyle name="Separador de milhares 5 6 3" xfId="1614" xr:uid="{00000000-0005-0000-0000-00008E2A0000}"/>
    <cellStyle name="Separador de milhares 5 6 3 2" xfId="4494" xr:uid="{00000000-0005-0000-0000-00008F2A0000}"/>
    <cellStyle name="Separador de milhares 5 6 4" xfId="3353" xr:uid="{00000000-0005-0000-0000-0000902A0000}"/>
    <cellStyle name="Separador de milhares 5 7" xfId="682" xr:uid="{00000000-0005-0000-0000-0000912A0000}"/>
    <cellStyle name="Separador de milhares 5 7 2" xfId="1824" xr:uid="{00000000-0005-0000-0000-0000922A0000}"/>
    <cellStyle name="Separador de milhares 5 7 2 2" xfId="4704" xr:uid="{00000000-0005-0000-0000-0000932A0000}"/>
    <cellStyle name="Separador de milhares 5 7 3" xfId="3562" xr:uid="{00000000-0005-0000-0000-0000942A0000}"/>
    <cellStyle name="Separador de milhares 5 8" xfId="1368" xr:uid="{00000000-0005-0000-0000-0000952A0000}"/>
    <cellStyle name="Separador de milhares 5 8 2" xfId="4248" xr:uid="{00000000-0005-0000-0000-0000962A0000}"/>
    <cellStyle name="Separador de milhares 5 9" xfId="2935" xr:uid="{00000000-0005-0000-0000-0000972A0000}"/>
    <cellStyle name="Separador de milhares 6" xfId="46" xr:uid="{00000000-0005-0000-0000-0000982A0000}"/>
    <cellStyle name="Separador de milhares 6 2" xfId="47" xr:uid="{00000000-0005-0000-0000-0000992A0000}"/>
    <cellStyle name="Separador de milhares 6 2 2" xfId="347" xr:uid="{00000000-0005-0000-0000-00009A2A0000}"/>
    <cellStyle name="Separador de milhares 6 2 2 2" xfId="412" xr:uid="{00000000-0005-0000-0000-00009B2A0000}"/>
    <cellStyle name="Separador de milhares 6 2 2 2 2" xfId="586" xr:uid="{00000000-0005-0000-0000-00009C2A0000}"/>
    <cellStyle name="Separador de milhares 6 2 2 2 2 2" xfId="1062" xr:uid="{00000000-0005-0000-0000-00009D2A0000}"/>
    <cellStyle name="Separador de milhares 6 2 2 2 2 2 2" xfId="2204" xr:uid="{00000000-0005-0000-0000-00009E2A0000}"/>
    <cellStyle name="Separador de milhares 6 2 2 2 2 2 2 2" xfId="5084" xr:uid="{00000000-0005-0000-0000-00009F2A0000}"/>
    <cellStyle name="Separador de milhares 6 2 2 2 2 2 3" xfId="3942" xr:uid="{00000000-0005-0000-0000-0000A02A0000}"/>
    <cellStyle name="Separador de milhares 6 2 2 2 2 3" xfId="1727" xr:uid="{00000000-0005-0000-0000-0000A12A0000}"/>
    <cellStyle name="Separador de milhares 6 2 2 2 2 3 2" xfId="4607" xr:uid="{00000000-0005-0000-0000-0000A22A0000}"/>
    <cellStyle name="Separador de milhares 6 2 2 2 2 4" xfId="3466" xr:uid="{00000000-0005-0000-0000-0000A32A0000}"/>
    <cellStyle name="Separador de milhares 6 2 2 2 3" xfId="889" xr:uid="{00000000-0005-0000-0000-0000A42A0000}"/>
    <cellStyle name="Separador de milhares 6 2 2 2 3 2" xfId="2031" xr:uid="{00000000-0005-0000-0000-0000A52A0000}"/>
    <cellStyle name="Separador de milhares 6 2 2 2 3 2 2" xfId="4911" xr:uid="{00000000-0005-0000-0000-0000A62A0000}"/>
    <cellStyle name="Separador de milhares 6 2 2 2 3 3" xfId="3769" xr:uid="{00000000-0005-0000-0000-0000A72A0000}"/>
    <cellStyle name="Separador de milhares 6 2 2 2 4" xfId="1554" xr:uid="{00000000-0005-0000-0000-0000A82A0000}"/>
    <cellStyle name="Separador de milhares 6 2 2 2 4 2" xfId="4434" xr:uid="{00000000-0005-0000-0000-0000A92A0000}"/>
    <cellStyle name="Separador de milhares 6 2 2 2 5" xfId="3292" xr:uid="{00000000-0005-0000-0000-0000AA2A0000}"/>
    <cellStyle name="Separador de milhares 6 2 2 3" xfId="523" xr:uid="{00000000-0005-0000-0000-0000AB2A0000}"/>
    <cellStyle name="Separador de milhares 6 2 2 3 2" xfId="999" xr:uid="{00000000-0005-0000-0000-0000AC2A0000}"/>
    <cellStyle name="Separador de milhares 6 2 2 3 2 2" xfId="2141" xr:uid="{00000000-0005-0000-0000-0000AD2A0000}"/>
    <cellStyle name="Separador de milhares 6 2 2 3 2 2 2" xfId="5021" xr:uid="{00000000-0005-0000-0000-0000AE2A0000}"/>
    <cellStyle name="Separador de milhares 6 2 2 3 2 3" xfId="3879" xr:uid="{00000000-0005-0000-0000-0000AF2A0000}"/>
    <cellStyle name="Separador de milhares 6 2 2 3 3" xfId="1664" xr:uid="{00000000-0005-0000-0000-0000B02A0000}"/>
    <cellStyle name="Separador de milhares 6 2 2 3 3 2" xfId="4544" xr:uid="{00000000-0005-0000-0000-0000B12A0000}"/>
    <cellStyle name="Separador de milhares 6 2 2 3 4" xfId="3403" xr:uid="{00000000-0005-0000-0000-0000B22A0000}"/>
    <cellStyle name="Separador de milhares 6 2 2 4" xfId="825" xr:uid="{00000000-0005-0000-0000-0000B32A0000}"/>
    <cellStyle name="Separador de milhares 6 2 2 4 2" xfId="1967" xr:uid="{00000000-0005-0000-0000-0000B42A0000}"/>
    <cellStyle name="Separador de milhares 6 2 2 4 2 2" xfId="4847" xr:uid="{00000000-0005-0000-0000-0000B52A0000}"/>
    <cellStyle name="Separador de milhares 6 2 2 4 3" xfId="3705" xr:uid="{00000000-0005-0000-0000-0000B62A0000}"/>
    <cellStyle name="Separador de milhares 6 2 2 5" xfId="1489" xr:uid="{00000000-0005-0000-0000-0000B72A0000}"/>
    <cellStyle name="Separador de milhares 6 2 2 5 2" xfId="4369" xr:uid="{00000000-0005-0000-0000-0000B82A0000}"/>
    <cellStyle name="Separador de milhares 6 2 2 6" xfId="3227" xr:uid="{00000000-0005-0000-0000-0000B92A0000}"/>
    <cellStyle name="Separador de milhares 6 3" xfId="313" xr:uid="{00000000-0005-0000-0000-0000BA2A0000}"/>
    <cellStyle name="Separador de milhares 6 3 2" xfId="384" xr:uid="{00000000-0005-0000-0000-0000BB2A0000}"/>
    <cellStyle name="Separador de milhares 6 3 2 2" xfId="449" xr:uid="{00000000-0005-0000-0000-0000BC2A0000}"/>
    <cellStyle name="Separador de milhares 6 3 2 2 2" xfId="623" xr:uid="{00000000-0005-0000-0000-0000BD2A0000}"/>
    <cellStyle name="Separador de milhares 6 3 2 2 2 2" xfId="1099" xr:uid="{00000000-0005-0000-0000-0000BE2A0000}"/>
    <cellStyle name="Separador de milhares 6 3 2 2 2 2 2" xfId="2241" xr:uid="{00000000-0005-0000-0000-0000BF2A0000}"/>
    <cellStyle name="Separador de milhares 6 3 2 2 2 2 2 2" xfId="5121" xr:uid="{00000000-0005-0000-0000-0000C02A0000}"/>
    <cellStyle name="Separador de milhares 6 3 2 2 2 2 3" xfId="3979" xr:uid="{00000000-0005-0000-0000-0000C12A0000}"/>
    <cellStyle name="Separador de milhares 6 3 2 2 2 3" xfId="1764" xr:uid="{00000000-0005-0000-0000-0000C22A0000}"/>
    <cellStyle name="Separador de milhares 6 3 2 2 2 3 2" xfId="4644" xr:uid="{00000000-0005-0000-0000-0000C32A0000}"/>
    <cellStyle name="Separador de milhares 6 3 2 2 2 4" xfId="3503" xr:uid="{00000000-0005-0000-0000-0000C42A0000}"/>
    <cellStyle name="Separador de milhares 6 3 2 2 3" xfId="926" xr:uid="{00000000-0005-0000-0000-0000C52A0000}"/>
    <cellStyle name="Separador de milhares 6 3 2 2 3 2" xfId="2068" xr:uid="{00000000-0005-0000-0000-0000C62A0000}"/>
    <cellStyle name="Separador de milhares 6 3 2 2 3 2 2" xfId="4948" xr:uid="{00000000-0005-0000-0000-0000C72A0000}"/>
    <cellStyle name="Separador de milhares 6 3 2 2 3 3" xfId="3806" xr:uid="{00000000-0005-0000-0000-0000C82A0000}"/>
    <cellStyle name="Separador de milhares 6 3 2 2 4" xfId="1591" xr:uid="{00000000-0005-0000-0000-0000C92A0000}"/>
    <cellStyle name="Separador de milhares 6 3 2 2 4 2" xfId="4471" xr:uid="{00000000-0005-0000-0000-0000CA2A0000}"/>
    <cellStyle name="Separador de milhares 6 3 2 2 5" xfId="3329" xr:uid="{00000000-0005-0000-0000-0000CB2A0000}"/>
    <cellStyle name="Separador de milhares 6 3 2 3" xfId="560" xr:uid="{00000000-0005-0000-0000-0000CC2A0000}"/>
    <cellStyle name="Separador de milhares 6 3 2 3 2" xfId="1036" xr:uid="{00000000-0005-0000-0000-0000CD2A0000}"/>
    <cellStyle name="Separador de milhares 6 3 2 3 2 2" xfId="2178" xr:uid="{00000000-0005-0000-0000-0000CE2A0000}"/>
    <cellStyle name="Separador de milhares 6 3 2 3 2 2 2" xfId="5058" xr:uid="{00000000-0005-0000-0000-0000CF2A0000}"/>
    <cellStyle name="Separador de milhares 6 3 2 3 2 3" xfId="3916" xr:uid="{00000000-0005-0000-0000-0000D02A0000}"/>
    <cellStyle name="Separador de milhares 6 3 2 3 3" xfId="1701" xr:uid="{00000000-0005-0000-0000-0000D12A0000}"/>
    <cellStyle name="Separador de milhares 6 3 2 3 3 2" xfId="4581" xr:uid="{00000000-0005-0000-0000-0000D22A0000}"/>
    <cellStyle name="Separador de milhares 6 3 2 3 4" xfId="3440" xr:uid="{00000000-0005-0000-0000-0000D32A0000}"/>
    <cellStyle name="Separador de milhares 6 3 2 4" xfId="862" xr:uid="{00000000-0005-0000-0000-0000D42A0000}"/>
    <cellStyle name="Separador de milhares 6 3 2 4 2" xfId="2004" xr:uid="{00000000-0005-0000-0000-0000D52A0000}"/>
    <cellStyle name="Separador de milhares 6 3 2 4 2 2" xfId="4884" xr:uid="{00000000-0005-0000-0000-0000D62A0000}"/>
    <cellStyle name="Separador de milhares 6 3 2 4 3" xfId="3742" xr:uid="{00000000-0005-0000-0000-0000D72A0000}"/>
    <cellStyle name="Separador de milhares 6 3 2 5" xfId="1526" xr:uid="{00000000-0005-0000-0000-0000D82A0000}"/>
    <cellStyle name="Separador de milhares 6 3 2 5 2" xfId="4406" xr:uid="{00000000-0005-0000-0000-0000D92A0000}"/>
    <cellStyle name="Separador de milhares 6 3 2 6" xfId="3264" xr:uid="{00000000-0005-0000-0000-0000DA2A0000}"/>
    <cellStyle name="Separador de milhares 6 4" xfId="346" xr:uid="{00000000-0005-0000-0000-0000DB2A0000}"/>
    <cellStyle name="Separador de milhares 6 4 2" xfId="411" xr:uid="{00000000-0005-0000-0000-0000DC2A0000}"/>
    <cellStyle name="Separador de milhares 6 4 2 2" xfId="585" xr:uid="{00000000-0005-0000-0000-0000DD2A0000}"/>
    <cellStyle name="Separador de milhares 6 4 2 2 2" xfId="1061" xr:uid="{00000000-0005-0000-0000-0000DE2A0000}"/>
    <cellStyle name="Separador de milhares 6 4 2 2 2 2" xfId="2203" xr:uid="{00000000-0005-0000-0000-0000DF2A0000}"/>
    <cellStyle name="Separador de milhares 6 4 2 2 2 2 2" xfId="5083" xr:uid="{00000000-0005-0000-0000-0000E02A0000}"/>
    <cellStyle name="Separador de milhares 6 4 2 2 2 3" xfId="3941" xr:uid="{00000000-0005-0000-0000-0000E12A0000}"/>
    <cellStyle name="Separador de milhares 6 4 2 2 3" xfId="1726" xr:uid="{00000000-0005-0000-0000-0000E22A0000}"/>
    <cellStyle name="Separador de milhares 6 4 2 2 3 2" xfId="4606" xr:uid="{00000000-0005-0000-0000-0000E32A0000}"/>
    <cellStyle name="Separador de milhares 6 4 2 2 4" xfId="3465" xr:uid="{00000000-0005-0000-0000-0000E42A0000}"/>
    <cellStyle name="Separador de milhares 6 4 2 3" xfId="888" xr:uid="{00000000-0005-0000-0000-0000E52A0000}"/>
    <cellStyle name="Separador de milhares 6 4 2 3 2" xfId="2030" xr:uid="{00000000-0005-0000-0000-0000E62A0000}"/>
    <cellStyle name="Separador de milhares 6 4 2 3 2 2" xfId="4910" xr:uid="{00000000-0005-0000-0000-0000E72A0000}"/>
    <cellStyle name="Separador de milhares 6 4 2 3 3" xfId="3768" xr:uid="{00000000-0005-0000-0000-0000E82A0000}"/>
    <cellStyle name="Separador de milhares 6 4 2 4" xfId="1553" xr:uid="{00000000-0005-0000-0000-0000E92A0000}"/>
    <cellStyle name="Separador de milhares 6 4 2 4 2" xfId="4433" xr:uid="{00000000-0005-0000-0000-0000EA2A0000}"/>
    <cellStyle name="Separador de milhares 6 4 2 5" xfId="3291" xr:uid="{00000000-0005-0000-0000-0000EB2A0000}"/>
    <cellStyle name="Separador de milhares 6 4 3" xfId="522" xr:uid="{00000000-0005-0000-0000-0000EC2A0000}"/>
    <cellStyle name="Separador de milhares 6 4 3 2" xfId="998" xr:uid="{00000000-0005-0000-0000-0000ED2A0000}"/>
    <cellStyle name="Separador de milhares 6 4 3 2 2" xfId="2140" xr:uid="{00000000-0005-0000-0000-0000EE2A0000}"/>
    <cellStyle name="Separador de milhares 6 4 3 2 2 2" xfId="5020" xr:uid="{00000000-0005-0000-0000-0000EF2A0000}"/>
    <cellStyle name="Separador de milhares 6 4 3 2 3" xfId="3878" xr:uid="{00000000-0005-0000-0000-0000F02A0000}"/>
    <cellStyle name="Separador de milhares 6 4 3 3" xfId="1663" xr:uid="{00000000-0005-0000-0000-0000F12A0000}"/>
    <cellStyle name="Separador de milhares 6 4 3 3 2" xfId="4543" xr:uid="{00000000-0005-0000-0000-0000F22A0000}"/>
    <cellStyle name="Separador de milhares 6 4 3 4" xfId="3402" xr:uid="{00000000-0005-0000-0000-0000F32A0000}"/>
    <cellStyle name="Separador de milhares 6 4 4" xfId="824" xr:uid="{00000000-0005-0000-0000-0000F42A0000}"/>
    <cellStyle name="Separador de milhares 6 4 4 2" xfId="1966" xr:uid="{00000000-0005-0000-0000-0000F52A0000}"/>
    <cellStyle name="Separador de milhares 6 4 4 2 2" xfId="4846" xr:uid="{00000000-0005-0000-0000-0000F62A0000}"/>
    <cellStyle name="Separador de milhares 6 4 4 3" xfId="3704" xr:uid="{00000000-0005-0000-0000-0000F72A0000}"/>
    <cellStyle name="Separador de milhares 6 4 5" xfId="1488" xr:uid="{00000000-0005-0000-0000-0000F82A0000}"/>
    <cellStyle name="Separador de milhares 6 4 5 2" xfId="4368" xr:uid="{00000000-0005-0000-0000-0000F92A0000}"/>
    <cellStyle name="Separador de milhares 6 4 6" xfId="3226" xr:uid="{00000000-0005-0000-0000-0000FA2A0000}"/>
    <cellStyle name="Separador de milhares 7" xfId="314" xr:uid="{00000000-0005-0000-0000-0000FB2A0000}"/>
    <cellStyle name="Separador de milhares 7 2" xfId="73" xr:uid="{00000000-0005-0000-0000-0000FC2A0000}"/>
    <cellStyle name="Separador de milhares 8" xfId="315" xr:uid="{00000000-0005-0000-0000-0000FD2A0000}"/>
    <cellStyle name="Separador de milhares 8 2" xfId="316" xr:uid="{00000000-0005-0000-0000-0000FE2A0000}"/>
    <cellStyle name="Separador de milhares 8 2 2" xfId="386" xr:uid="{00000000-0005-0000-0000-0000FF2A0000}"/>
    <cellStyle name="Separador de milhares 8 2 2 2" xfId="451" xr:uid="{00000000-0005-0000-0000-0000002B0000}"/>
    <cellStyle name="Separador de milhares 8 2 2 2 2" xfId="625" xr:uid="{00000000-0005-0000-0000-0000012B0000}"/>
    <cellStyle name="Separador de milhares 8 2 2 2 2 2" xfId="1101" xr:uid="{00000000-0005-0000-0000-0000022B0000}"/>
    <cellStyle name="Separador de milhares 8 2 2 2 2 2 2" xfId="2243" xr:uid="{00000000-0005-0000-0000-0000032B0000}"/>
    <cellStyle name="Separador de milhares 8 2 2 2 2 2 2 2" xfId="5123" xr:uid="{00000000-0005-0000-0000-0000042B0000}"/>
    <cellStyle name="Separador de milhares 8 2 2 2 2 2 3" xfId="3981" xr:uid="{00000000-0005-0000-0000-0000052B0000}"/>
    <cellStyle name="Separador de milhares 8 2 2 2 2 3" xfId="1766" xr:uid="{00000000-0005-0000-0000-0000062B0000}"/>
    <cellStyle name="Separador de milhares 8 2 2 2 2 3 2" xfId="4646" xr:uid="{00000000-0005-0000-0000-0000072B0000}"/>
    <cellStyle name="Separador de milhares 8 2 2 2 2 4" xfId="3505" xr:uid="{00000000-0005-0000-0000-0000082B0000}"/>
    <cellStyle name="Separador de milhares 8 2 2 2 3" xfId="928" xr:uid="{00000000-0005-0000-0000-0000092B0000}"/>
    <cellStyle name="Separador de milhares 8 2 2 2 3 2" xfId="2070" xr:uid="{00000000-0005-0000-0000-00000A2B0000}"/>
    <cellStyle name="Separador de milhares 8 2 2 2 3 2 2" xfId="4950" xr:uid="{00000000-0005-0000-0000-00000B2B0000}"/>
    <cellStyle name="Separador de milhares 8 2 2 2 3 3" xfId="3808" xr:uid="{00000000-0005-0000-0000-00000C2B0000}"/>
    <cellStyle name="Separador de milhares 8 2 2 2 4" xfId="1593" xr:uid="{00000000-0005-0000-0000-00000D2B0000}"/>
    <cellStyle name="Separador de milhares 8 2 2 2 4 2" xfId="4473" xr:uid="{00000000-0005-0000-0000-00000E2B0000}"/>
    <cellStyle name="Separador de milhares 8 2 2 2 5" xfId="3331" xr:uid="{00000000-0005-0000-0000-00000F2B0000}"/>
    <cellStyle name="Separador de milhares 8 2 2 3" xfId="562" xr:uid="{00000000-0005-0000-0000-0000102B0000}"/>
    <cellStyle name="Separador de milhares 8 2 2 3 2" xfId="1038" xr:uid="{00000000-0005-0000-0000-0000112B0000}"/>
    <cellStyle name="Separador de milhares 8 2 2 3 2 2" xfId="2180" xr:uid="{00000000-0005-0000-0000-0000122B0000}"/>
    <cellStyle name="Separador de milhares 8 2 2 3 2 2 2" xfId="5060" xr:uid="{00000000-0005-0000-0000-0000132B0000}"/>
    <cellStyle name="Separador de milhares 8 2 2 3 2 3" xfId="3918" xr:uid="{00000000-0005-0000-0000-0000142B0000}"/>
    <cellStyle name="Separador de milhares 8 2 2 3 3" xfId="1703" xr:uid="{00000000-0005-0000-0000-0000152B0000}"/>
    <cellStyle name="Separador de milhares 8 2 2 3 3 2" xfId="4583" xr:uid="{00000000-0005-0000-0000-0000162B0000}"/>
    <cellStyle name="Separador de milhares 8 2 2 3 4" xfId="3442" xr:uid="{00000000-0005-0000-0000-0000172B0000}"/>
    <cellStyle name="Separador de milhares 8 2 2 4" xfId="864" xr:uid="{00000000-0005-0000-0000-0000182B0000}"/>
    <cellStyle name="Separador de milhares 8 2 2 4 2" xfId="2006" xr:uid="{00000000-0005-0000-0000-0000192B0000}"/>
    <cellStyle name="Separador de milhares 8 2 2 4 2 2" xfId="4886" xr:uid="{00000000-0005-0000-0000-00001A2B0000}"/>
    <cellStyle name="Separador de milhares 8 2 2 4 3" xfId="3744" xr:uid="{00000000-0005-0000-0000-00001B2B0000}"/>
    <cellStyle name="Separador de milhares 8 2 2 5" xfId="1528" xr:uid="{00000000-0005-0000-0000-00001C2B0000}"/>
    <cellStyle name="Separador de milhares 8 2 2 5 2" xfId="4408" xr:uid="{00000000-0005-0000-0000-00001D2B0000}"/>
    <cellStyle name="Separador de milhares 8 2 2 6" xfId="3266" xr:uid="{00000000-0005-0000-0000-00001E2B0000}"/>
    <cellStyle name="Separador de milhares 8 3" xfId="317" xr:uid="{00000000-0005-0000-0000-00001F2B0000}"/>
    <cellStyle name="Separador de milhares 8 3 2" xfId="387" xr:uid="{00000000-0005-0000-0000-0000202B0000}"/>
    <cellStyle name="Separador de milhares 8 3 2 2" xfId="452" xr:uid="{00000000-0005-0000-0000-0000212B0000}"/>
    <cellStyle name="Separador de milhares 8 3 2 2 2" xfId="626" xr:uid="{00000000-0005-0000-0000-0000222B0000}"/>
    <cellStyle name="Separador de milhares 8 3 2 2 2 2" xfId="1102" xr:uid="{00000000-0005-0000-0000-0000232B0000}"/>
    <cellStyle name="Separador de milhares 8 3 2 2 2 2 2" xfId="2244" xr:uid="{00000000-0005-0000-0000-0000242B0000}"/>
    <cellStyle name="Separador de milhares 8 3 2 2 2 2 2 2" xfId="5124" xr:uid="{00000000-0005-0000-0000-0000252B0000}"/>
    <cellStyle name="Separador de milhares 8 3 2 2 2 2 3" xfId="3982" xr:uid="{00000000-0005-0000-0000-0000262B0000}"/>
    <cellStyle name="Separador de milhares 8 3 2 2 2 3" xfId="1767" xr:uid="{00000000-0005-0000-0000-0000272B0000}"/>
    <cellStyle name="Separador de milhares 8 3 2 2 2 3 2" xfId="4647" xr:uid="{00000000-0005-0000-0000-0000282B0000}"/>
    <cellStyle name="Separador de milhares 8 3 2 2 2 4" xfId="3506" xr:uid="{00000000-0005-0000-0000-0000292B0000}"/>
    <cellStyle name="Separador de milhares 8 3 2 2 3" xfId="929" xr:uid="{00000000-0005-0000-0000-00002A2B0000}"/>
    <cellStyle name="Separador de milhares 8 3 2 2 3 2" xfId="2071" xr:uid="{00000000-0005-0000-0000-00002B2B0000}"/>
    <cellStyle name="Separador de milhares 8 3 2 2 3 2 2" xfId="4951" xr:uid="{00000000-0005-0000-0000-00002C2B0000}"/>
    <cellStyle name="Separador de milhares 8 3 2 2 3 3" xfId="3809" xr:uid="{00000000-0005-0000-0000-00002D2B0000}"/>
    <cellStyle name="Separador de milhares 8 3 2 2 4" xfId="1594" xr:uid="{00000000-0005-0000-0000-00002E2B0000}"/>
    <cellStyle name="Separador de milhares 8 3 2 2 4 2" xfId="4474" xr:uid="{00000000-0005-0000-0000-00002F2B0000}"/>
    <cellStyle name="Separador de milhares 8 3 2 2 5" xfId="3332" xr:uid="{00000000-0005-0000-0000-0000302B0000}"/>
    <cellStyle name="Separador de milhares 8 3 2 3" xfId="563" xr:uid="{00000000-0005-0000-0000-0000312B0000}"/>
    <cellStyle name="Separador de milhares 8 3 2 3 2" xfId="1039" xr:uid="{00000000-0005-0000-0000-0000322B0000}"/>
    <cellStyle name="Separador de milhares 8 3 2 3 2 2" xfId="2181" xr:uid="{00000000-0005-0000-0000-0000332B0000}"/>
    <cellStyle name="Separador de milhares 8 3 2 3 2 2 2" xfId="5061" xr:uid="{00000000-0005-0000-0000-0000342B0000}"/>
    <cellStyle name="Separador de milhares 8 3 2 3 2 3" xfId="3919" xr:uid="{00000000-0005-0000-0000-0000352B0000}"/>
    <cellStyle name="Separador de milhares 8 3 2 3 3" xfId="1704" xr:uid="{00000000-0005-0000-0000-0000362B0000}"/>
    <cellStyle name="Separador de milhares 8 3 2 3 3 2" xfId="4584" xr:uid="{00000000-0005-0000-0000-0000372B0000}"/>
    <cellStyle name="Separador de milhares 8 3 2 3 4" xfId="3443" xr:uid="{00000000-0005-0000-0000-0000382B0000}"/>
    <cellStyle name="Separador de milhares 8 3 2 4" xfId="865" xr:uid="{00000000-0005-0000-0000-0000392B0000}"/>
    <cellStyle name="Separador de milhares 8 3 2 4 2" xfId="2007" xr:uid="{00000000-0005-0000-0000-00003A2B0000}"/>
    <cellStyle name="Separador de milhares 8 3 2 4 2 2" xfId="4887" xr:uid="{00000000-0005-0000-0000-00003B2B0000}"/>
    <cellStyle name="Separador de milhares 8 3 2 4 3" xfId="3745" xr:uid="{00000000-0005-0000-0000-00003C2B0000}"/>
    <cellStyle name="Separador de milhares 8 3 2 5" xfId="1529" xr:uid="{00000000-0005-0000-0000-00003D2B0000}"/>
    <cellStyle name="Separador de milhares 8 3 2 5 2" xfId="4409" xr:uid="{00000000-0005-0000-0000-00003E2B0000}"/>
    <cellStyle name="Separador de milhares 8 3 2 6" xfId="3267" xr:uid="{00000000-0005-0000-0000-00003F2B0000}"/>
    <cellStyle name="Separador de milhares 8 4" xfId="385" xr:uid="{00000000-0005-0000-0000-0000402B0000}"/>
    <cellStyle name="Separador de milhares 8 4 2" xfId="450" xr:uid="{00000000-0005-0000-0000-0000412B0000}"/>
    <cellStyle name="Separador de milhares 8 4 2 2" xfId="624" xr:uid="{00000000-0005-0000-0000-0000422B0000}"/>
    <cellStyle name="Separador de milhares 8 4 2 2 2" xfId="1100" xr:uid="{00000000-0005-0000-0000-0000432B0000}"/>
    <cellStyle name="Separador de milhares 8 4 2 2 2 2" xfId="2242" xr:uid="{00000000-0005-0000-0000-0000442B0000}"/>
    <cellStyle name="Separador de milhares 8 4 2 2 2 2 2" xfId="5122" xr:uid="{00000000-0005-0000-0000-0000452B0000}"/>
    <cellStyle name="Separador de milhares 8 4 2 2 2 3" xfId="3980" xr:uid="{00000000-0005-0000-0000-0000462B0000}"/>
    <cellStyle name="Separador de milhares 8 4 2 2 3" xfId="1765" xr:uid="{00000000-0005-0000-0000-0000472B0000}"/>
    <cellStyle name="Separador de milhares 8 4 2 2 3 2" xfId="4645" xr:uid="{00000000-0005-0000-0000-0000482B0000}"/>
    <cellStyle name="Separador de milhares 8 4 2 2 4" xfId="3504" xr:uid="{00000000-0005-0000-0000-0000492B0000}"/>
    <cellStyle name="Separador de milhares 8 4 2 3" xfId="927" xr:uid="{00000000-0005-0000-0000-00004A2B0000}"/>
    <cellStyle name="Separador de milhares 8 4 2 3 2" xfId="2069" xr:uid="{00000000-0005-0000-0000-00004B2B0000}"/>
    <cellStyle name="Separador de milhares 8 4 2 3 2 2" xfId="4949" xr:uid="{00000000-0005-0000-0000-00004C2B0000}"/>
    <cellStyle name="Separador de milhares 8 4 2 3 3" xfId="3807" xr:uid="{00000000-0005-0000-0000-00004D2B0000}"/>
    <cellStyle name="Separador de milhares 8 4 2 4" xfId="1592" xr:uid="{00000000-0005-0000-0000-00004E2B0000}"/>
    <cellStyle name="Separador de milhares 8 4 2 4 2" xfId="4472" xr:uid="{00000000-0005-0000-0000-00004F2B0000}"/>
    <cellStyle name="Separador de milhares 8 4 2 5" xfId="3330" xr:uid="{00000000-0005-0000-0000-0000502B0000}"/>
    <cellStyle name="Separador de milhares 8 4 3" xfId="561" xr:uid="{00000000-0005-0000-0000-0000512B0000}"/>
    <cellStyle name="Separador de milhares 8 4 3 2" xfId="1037" xr:uid="{00000000-0005-0000-0000-0000522B0000}"/>
    <cellStyle name="Separador de milhares 8 4 3 2 2" xfId="2179" xr:uid="{00000000-0005-0000-0000-0000532B0000}"/>
    <cellStyle name="Separador de milhares 8 4 3 2 2 2" xfId="5059" xr:uid="{00000000-0005-0000-0000-0000542B0000}"/>
    <cellStyle name="Separador de milhares 8 4 3 2 3" xfId="3917" xr:uid="{00000000-0005-0000-0000-0000552B0000}"/>
    <cellStyle name="Separador de milhares 8 4 3 3" xfId="1702" xr:uid="{00000000-0005-0000-0000-0000562B0000}"/>
    <cellStyle name="Separador de milhares 8 4 3 3 2" xfId="4582" xr:uid="{00000000-0005-0000-0000-0000572B0000}"/>
    <cellStyle name="Separador de milhares 8 4 3 4" xfId="3441" xr:uid="{00000000-0005-0000-0000-0000582B0000}"/>
    <cellStyle name="Separador de milhares 8 4 4" xfId="863" xr:uid="{00000000-0005-0000-0000-0000592B0000}"/>
    <cellStyle name="Separador de milhares 8 4 4 2" xfId="2005" xr:uid="{00000000-0005-0000-0000-00005A2B0000}"/>
    <cellStyle name="Separador de milhares 8 4 4 2 2" xfId="4885" xr:uid="{00000000-0005-0000-0000-00005B2B0000}"/>
    <cellStyle name="Separador de milhares 8 4 4 3" xfId="3743" xr:uid="{00000000-0005-0000-0000-00005C2B0000}"/>
    <cellStyle name="Separador de milhares 8 4 5" xfId="1527" xr:uid="{00000000-0005-0000-0000-00005D2B0000}"/>
    <cellStyle name="Separador de milhares 8 4 5 2" xfId="4407" xr:uid="{00000000-0005-0000-0000-00005E2B0000}"/>
    <cellStyle name="Separador de milhares 8 4 6" xfId="3265" xr:uid="{00000000-0005-0000-0000-00005F2B0000}"/>
    <cellStyle name="Separador de milhares 9" xfId="318" xr:uid="{00000000-0005-0000-0000-0000602B0000}"/>
    <cellStyle name="Separador de milhares 9 2" xfId="319" xr:uid="{00000000-0005-0000-0000-0000612B0000}"/>
    <cellStyle name="Separador de milhares 9 2 2" xfId="388" xr:uid="{00000000-0005-0000-0000-0000622B0000}"/>
    <cellStyle name="Separador de milhares 9 2 2 2" xfId="453" xr:uid="{00000000-0005-0000-0000-0000632B0000}"/>
    <cellStyle name="Separador de milhares 9 2 2 2 2" xfId="627" xr:uid="{00000000-0005-0000-0000-0000642B0000}"/>
    <cellStyle name="Separador de milhares 9 2 2 2 2 2" xfId="1103" xr:uid="{00000000-0005-0000-0000-0000652B0000}"/>
    <cellStyle name="Separador de milhares 9 2 2 2 2 2 2" xfId="2245" xr:uid="{00000000-0005-0000-0000-0000662B0000}"/>
    <cellStyle name="Separador de milhares 9 2 2 2 2 2 2 2" xfId="5125" xr:uid="{00000000-0005-0000-0000-0000672B0000}"/>
    <cellStyle name="Separador de milhares 9 2 2 2 2 2 3" xfId="3983" xr:uid="{00000000-0005-0000-0000-0000682B0000}"/>
    <cellStyle name="Separador de milhares 9 2 2 2 2 3" xfId="1768" xr:uid="{00000000-0005-0000-0000-0000692B0000}"/>
    <cellStyle name="Separador de milhares 9 2 2 2 2 3 2" xfId="4648" xr:uid="{00000000-0005-0000-0000-00006A2B0000}"/>
    <cellStyle name="Separador de milhares 9 2 2 2 2 4" xfId="3507" xr:uid="{00000000-0005-0000-0000-00006B2B0000}"/>
    <cellStyle name="Separador de milhares 9 2 2 2 3" xfId="930" xr:uid="{00000000-0005-0000-0000-00006C2B0000}"/>
    <cellStyle name="Separador de milhares 9 2 2 2 3 2" xfId="2072" xr:uid="{00000000-0005-0000-0000-00006D2B0000}"/>
    <cellStyle name="Separador de milhares 9 2 2 2 3 2 2" xfId="4952" xr:uid="{00000000-0005-0000-0000-00006E2B0000}"/>
    <cellStyle name="Separador de milhares 9 2 2 2 3 3" xfId="3810" xr:uid="{00000000-0005-0000-0000-00006F2B0000}"/>
    <cellStyle name="Separador de milhares 9 2 2 2 4" xfId="1595" xr:uid="{00000000-0005-0000-0000-0000702B0000}"/>
    <cellStyle name="Separador de milhares 9 2 2 2 4 2" xfId="4475" xr:uid="{00000000-0005-0000-0000-0000712B0000}"/>
    <cellStyle name="Separador de milhares 9 2 2 2 5" xfId="3333" xr:uid="{00000000-0005-0000-0000-0000722B0000}"/>
    <cellStyle name="Separador de milhares 9 2 2 3" xfId="564" xr:uid="{00000000-0005-0000-0000-0000732B0000}"/>
    <cellStyle name="Separador de milhares 9 2 2 3 2" xfId="1040" xr:uid="{00000000-0005-0000-0000-0000742B0000}"/>
    <cellStyle name="Separador de milhares 9 2 2 3 2 2" xfId="2182" xr:uid="{00000000-0005-0000-0000-0000752B0000}"/>
    <cellStyle name="Separador de milhares 9 2 2 3 2 2 2" xfId="5062" xr:uid="{00000000-0005-0000-0000-0000762B0000}"/>
    <cellStyle name="Separador de milhares 9 2 2 3 2 3" xfId="3920" xr:uid="{00000000-0005-0000-0000-0000772B0000}"/>
    <cellStyle name="Separador de milhares 9 2 2 3 3" xfId="1705" xr:uid="{00000000-0005-0000-0000-0000782B0000}"/>
    <cellStyle name="Separador de milhares 9 2 2 3 3 2" xfId="4585" xr:uid="{00000000-0005-0000-0000-0000792B0000}"/>
    <cellStyle name="Separador de milhares 9 2 2 3 4" xfId="3444" xr:uid="{00000000-0005-0000-0000-00007A2B0000}"/>
    <cellStyle name="Separador de milhares 9 2 2 4" xfId="866" xr:uid="{00000000-0005-0000-0000-00007B2B0000}"/>
    <cellStyle name="Separador de milhares 9 2 2 4 2" xfId="2008" xr:uid="{00000000-0005-0000-0000-00007C2B0000}"/>
    <cellStyle name="Separador de milhares 9 2 2 4 2 2" xfId="4888" xr:uid="{00000000-0005-0000-0000-00007D2B0000}"/>
    <cellStyle name="Separador de milhares 9 2 2 4 3" xfId="3746" xr:uid="{00000000-0005-0000-0000-00007E2B0000}"/>
    <cellStyle name="Separador de milhares 9 2 2 5" xfId="1530" xr:uid="{00000000-0005-0000-0000-00007F2B0000}"/>
    <cellStyle name="Separador de milhares 9 2 2 5 2" xfId="4410" xr:uid="{00000000-0005-0000-0000-0000802B0000}"/>
    <cellStyle name="Separador de milhares 9 2 2 6" xfId="3268" xr:uid="{00000000-0005-0000-0000-0000812B0000}"/>
    <cellStyle name="Separador de milhares 9 3" xfId="320" xr:uid="{00000000-0005-0000-0000-0000822B0000}"/>
    <cellStyle name="Separador de milhares 9 3 2" xfId="389" xr:uid="{00000000-0005-0000-0000-0000832B0000}"/>
    <cellStyle name="Separador de milhares 9 3 2 2" xfId="454" xr:uid="{00000000-0005-0000-0000-0000842B0000}"/>
    <cellStyle name="Separador de milhares 9 3 2 2 2" xfId="628" xr:uid="{00000000-0005-0000-0000-0000852B0000}"/>
    <cellStyle name="Separador de milhares 9 3 2 2 2 2" xfId="1104" xr:uid="{00000000-0005-0000-0000-0000862B0000}"/>
    <cellStyle name="Separador de milhares 9 3 2 2 2 2 2" xfId="2246" xr:uid="{00000000-0005-0000-0000-0000872B0000}"/>
    <cellStyle name="Separador de milhares 9 3 2 2 2 2 2 2" xfId="5126" xr:uid="{00000000-0005-0000-0000-0000882B0000}"/>
    <cellStyle name="Separador de milhares 9 3 2 2 2 2 3" xfId="3984" xr:uid="{00000000-0005-0000-0000-0000892B0000}"/>
    <cellStyle name="Separador de milhares 9 3 2 2 2 3" xfId="1769" xr:uid="{00000000-0005-0000-0000-00008A2B0000}"/>
    <cellStyle name="Separador de milhares 9 3 2 2 2 3 2" xfId="4649" xr:uid="{00000000-0005-0000-0000-00008B2B0000}"/>
    <cellStyle name="Separador de milhares 9 3 2 2 2 4" xfId="3508" xr:uid="{00000000-0005-0000-0000-00008C2B0000}"/>
    <cellStyle name="Separador de milhares 9 3 2 2 3" xfId="931" xr:uid="{00000000-0005-0000-0000-00008D2B0000}"/>
    <cellStyle name="Separador de milhares 9 3 2 2 3 2" xfId="2073" xr:uid="{00000000-0005-0000-0000-00008E2B0000}"/>
    <cellStyle name="Separador de milhares 9 3 2 2 3 2 2" xfId="4953" xr:uid="{00000000-0005-0000-0000-00008F2B0000}"/>
    <cellStyle name="Separador de milhares 9 3 2 2 3 3" xfId="3811" xr:uid="{00000000-0005-0000-0000-0000902B0000}"/>
    <cellStyle name="Separador de milhares 9 3 2 2 4" xfId="1596" xr:uid="{00000000-0005-0000-0000-0000912B0000}"/>
    <cellStyle name="Separador de milhares 9 3 2 2 4 2" xfId="4476" xr:uid="{00000000-0005-0000-0000-0000922B0000}"/>
    <cellStyle name="Separador de milhares 9 3 2 2 5" xfId="3334" xr:uid="{00000000-0005-0000-0000-0000932B0000}"/>
    <cellStyle name="Separador de milhares 9 3 2 3" xfId="565" xr:uid="{00000000-0005-0000-0000-0000942B0000}"/>
    <cellStyle name="Separador de milhares 9 3 2 3 2" xfId="1041" xr:uid="{00000000-0005-0000-0000-0000952B0000}"/>
    <cellStyle name="Separador de milhares 9 3 2 3 2 2" xfId="2183" xr:uid="{00000000-0005-0000-0000-0000962B0000}"/>
    <cellStyle name="Separador de milhares 9 3 2 3 2 2 2" xfId="5063" xr:uid="{00000000-0005-0000-0000-0000972B0000}"/>
    <cellStyle name="Separador de milhares 9 3 2 3 2 3" xfId="3921" xr:uid="{00000000-0005-0000-0000-0000982B0000}"/>
    <cellStyle name="Separador de milhares 9 3 2 3 3" xfId="1706" xr:uid="{00000000-0005-0000-0000-0000992B0000}"/>
    <cellStyle name="Separador de milhares 9 3 2 3 3 2" xfId="4586" xr:uid="{00000000-0005-0000-0000-00009A2B0000}"/>
    <cellStyle name="Separador de milhares 9 3 2 3 4" xfId="3445" xr:uid="{00000000-0005-0000-0000-00009B2B0000}"/>
    <cellStyle name="Separador de milhares 9 3 2 4" xfId="867" xr:uid="{00000000-0005-0000-0000-00009C2B0000}"/>
    <cellStyle name="Separador de milhares 9 3 2 4 2" xfId="2009" xr:uid="{00000000-0005-0000-0000-00009D2B0000}"/>
    <cellStyle name="Separador de milhares 9 3 2 4 2 2" xfId="4889" xr:uid="{00000000-0005-0000-0000-00009E2B0000}"/>
    <cellStyle name="Separador de milhares 9 3 2 4 3" xfId="3747" xr:uid="{00000000-0005-0000-0000-00009F2B0000}"/>
    <cellStyle name="Separador de milhares 9 3 2 5" xfId="1531" xr:uid="{00000000-0005-0000-0000-0000A02B0000}"/>
    <cellStyle name="Separador de milhares 9 3 2 5 2" xfId="4411" xr:uid="{00000000-0005-0000-0000-0000A12B0000}"/>
    <cellStyle name="Separador de milhares 9 3 2 6" xfId="3269" xr:uid="{00000000-0005-0000-0000-0000A22B0000}"/>
    <cellStyle name="Separador de milhares 9 4" xfId="321" xr:uid="{00000000-0005-0000-0000-0000A32B0000}"/>
    <cellStyle name="Separador de milhares 9 4 2" xfId="390" xr:uid="{00000000-0005-0000-0000-0000A42B0000}"/>
    <cellStyle name="Separador de milhares 9 4 2 2" xfId="455" xr:uid="{00000000-0005-0000-0000-0000A52B0000}"/>
    <cellStyle name="Separador de milhares 9 4 2 2 2" xfId="629" xr:uid="{00000000-0005-0000-0000-0000A62B0000}"/>
    <cellStyle name="Separador de milhares 9 4 2 2 2 2" xfId="1105" xr:uid="{00000000-0005-0000-0000-0000A72B0000}"/>
    <cellStyle name="Separador de milhares 9 4 2 2 2 2 2" xfId="2247" xr:uid="{00000000-0005-0000-0000-0000A82B0000}"/>
    <cellStyle name="Separador de milhares 9 4 2 2 2 2 2 2" xfId="5127" xr:uid="{00000000-0005-0000-0000-0000A92B0000}"/>
    <cellStyle name="Separador de milhares 9 4 2 2 2 2 3" xfId="3985" xr:uid="{00000000-0005-0000-0000-0000AA2B0000}"/>
    <cellStyle name="Separador de milhares 9 4 2 2 2 3" xfId="1770" xr:uid="{00000000-0005-0000-0000-0000AB2B0000}"/>
    <cellStyle name="Separador de milhares 9 4 2 2 2 3 2" xfId="4650" xr:uid="{00000000-0005-0000-0000-0000AC2B0000}"/>
    <cellStyle name="Separador de milhares 9 4 2 2 2 4" xfId="3509" xr:uid="{00000000-0005-0000-0000-0000AD2B0000}"/>
    <cellStyle name="Separador de milhares 9 4 2 2 3" xfId="932" xr:uid="{00000000-0005-0000-0000-0000AE2B0000}"/>
    <cellStyle name="Separador de milhares 9 4 2 2 3 2" xfId="2074" xr:uid="{00000000-0005-0000-0000-0000AF2B0000}"/>
    <cellStyle name="Separador de milhares 9 4 2 2 3 2 2" xfId="4954" xr:uid="{00000000-0005-0000-0000-0000B02B0000}"/>
    <cellStyle name="Separador de milhares 9 4 2 2 3 3" xfId="3812" xr:uid="{00000000-0005-0000-0000-0000B12B0000}"/>
    <cellStyle name="Separador de milhares 9 4 2 2 4" xfId="1597" xr:uid="{00000000-0005-0000-0000-0000B22B0000}"/>
    <cellStyle name="Separador de milhares 9 4 2 2 4 2" xfId="4477" xr:uid="{00000000-0005-0000-0000-0000B32B0000}"/>
    <cellStyle name="Separador de milhares 9 4 2 2 5" xfId="3335" xr:uid="{00000000-0005-0000-0000-0000B42B0000}"/>
    <cellStyle name="Separador de milhares 9 4 2 3" xfId="566" xr:uid="{00000000-0005-0000-0000-0000B52B0000}"/>
    <cellStyle name="Separador de milhares 9 4 2 3 2" xfId="1042" xr:uid="{00000000-0005-0000-0000-0000B62B0000}"/>
    <cellStyle name="Separador de milhares 9 4 2 3 2 2" xfId="2184" xr:uid="{00000000-0005-0000-0000-0000B72B0000}"/>
    <cellStyle name="Separador de milhares 9 4 2 3 2 2 2" xfId="5064" xr:uid="{00000000-0005-0000-0000-0000B82B0000}"/>
    <cellStyle name="Separador de milhares 9 4 2 3 2 3" xfId="3922" xr:uid="{00000000-0005-0000-0000-0000B92B0000}"/>
    <cellStyle name="Separador de milhares 9 4 2 3 3" xfId="1707" xr:uid="{00000000-0005-0000-0000-0000BA2B0000}"/>
    <cellStyle name="Separador de milhares 9 4 2 3 3 2" xfId="4587" xr:uid="{00000000-0005-0000-0000-0000BB2B0000}"/>
    <cellStyle name="Separador de milhares 9 4 2 3 4" xfId="3446" xr:uid="{00000000-0005-0000-0000-0000BC2B0000}"/>
    <cellStyle name="Separador de milhares 9 4 2 4" xfId="868" xr:uid="{00000000-0005-0000-0000-0000BD2B0000}"/>
    <cellStyle name="Separador de milhares 9 4 2 4 2" xfId="2010" xr:uid="{00000000-0005-0000-0000-0000BE2B0000}"/>
    <cellStyle name="Separador de milhares 9 4 2 4 2 2" xfId="4890" xr:uid="{00000000-0005-0000-0000-0000BF2B0000}"/>
    <cellStyle name="Separador de milhares 9 4 2 4 3" xfId="3748" xr:uid="{00000000-0005-0000-0000-0000C02B0000}"/>
    <cellStyle name="Separador de milhares 9 4 2 5" xfId="1532" xr:uid="{00000000-0005-0000-0000-0000C12B0000}"/>
    <cellStyle name="Separador de milhares 9 4 2 5 2" xfId="4412" xr:uid="{00000000-0005-0000-0000-0000C22B0000}"/>
    <cellStyle name="Separador de milhares 9 4 2 6" xfId="3270" xr:uid="{00000000-0005-0000-0000-0000C32B0000}"/>
    <cellStyle name="Separador de milhares 9 5" xfId="322" xr:uid="{00000000-0005-0000-0000-0000C42B0000}"/>
    <cellStyle name="Separador de milhares 9 5 2" xfId="391" xr:uid="{00000000-0005-0000-0000-0000C52B0000}"/>
    <cellStyle name="Separador de milhares 9 5 2 2" xfId="456" xr:uid="{00000000-0005-0000-0000-0000C62B0000}"/>
    <cellStyle name="Separador de milhares 9 5 2 2 2" xfId="630" xr:uid="{00000000-0005-0000-0000-0000C72B0000}"/>
    <cellStyle name="Separador de milhares 9 5 2 2 2 2" xfId="1106" xr:uid="{00000000-0005-0000-0000-0000C82B0000}"/>
    <cellStyle name="Separador de milhares 9 5 2 2 2 2 2" xfId="2248" xr:uid="{00000000-0005-0000-0000-0000C92B0000}"/>
    <cellStyle name="Separador de milhares 9 5 2 2 2 2 2 2" xfId="5128" xr:uid="{00000000-0005-0000-0000-0000CA2B0000}"/>
    <cellStyle name="Separador de milhares 9 5 2 2 2 2 3" xfId="3986" xr:uid="{00000000-0005-0000-0000-0000CB2B0000}"/>
    <cellStyle name="Separador de milhares 9 5 2 2 2 3" xfId="1771" xr:uid="{00000000-0005-0000-0000-0000CC2B0000}"/>
    <cellStyle name="Separador de milhares 9 5 2 2 2 3 2" xfId="4651" xr:uid="{00000000-0005-0000-0000-0000CD2B0000}"/>
    <cellStyle name="Separador de milhares 9 5 2 2 2 4" xfId="3510" xr:uid="{00000000-0005-0000-0000-0000CE2B0000}"/>
    <cellStyle name="Separador de milhares 9 5 2 2 3" xfId="933" xr:uid="{00000000-0005-0000-0000-0000CF2B0000}"/>
    <cellStyle name="Separador de milhares 9 5 2 2 3 2" xfId="2075" xr:uid="{00000000-0005-0000-0000-0000D02B0000}"/>
    <cellStyle name="Separador de milhares 9 5 2 2 3 2 2" xfId="4955" xr:uid="{00000000-0005-0000-0000-0000D12B0000}"/>
    <cellStyle name="Separador de milhares 9 5 2 2 3 3" xfId="3813" xr:uid="{00000000-0005-0000-0000-0000D22B0000}"/>
    <cellStyle name="Separador de milhares 9 5 2 2 4" xfId="1598" xr:uid="{00000000-0005-0000-0000-0000D32B0000}"/>
    <cellStyle name="Separador de milhares 9 5 2 2 4 2" xfId="4478" xr:uid="{00000000-0005-0000-0000-0000D42B0000}"/>
    <cellStyle name="Separador de milhares 9 5 2 2 5" xfId="3336" xr:uid="{00000000-0005-0000-0000-0000D52B0000}"/>
    <cellStyle name="Separador de milhares 9 5 2 3" xfId="567" xr:uid="{00000000-0005-0000-0000-0000D62B0000}"/>
    <cellStyle name="Separador de milhares 9 5 2 3 2" xfId="1043" xr:uid="{00000000-0005-0000-0000-0000D72B0000}"/>
    <cellStyle name="Separador de milhares 9 5 2 3 2 2" xfId="2185" xr:uid="{00000000-0005-0000-0000-0000D82B0000}"/>
    <cellStyle name="Separador de milhares 9 5 2 3 2 2 2" xfId="5065" xr:uid="{00000000-0005-0000-0000-0000D92B0000}"/>
    <cellStyle name="Separador de milhares 9 5 2 3 2 3" xfId="3923" xr:uid="{00000000-0005-0000-0000-0000DA2B0000}"/>
    <cellStyle name="Separador de milhares 9 5 2 3 3" xfId="1708" xr:uid="{00000000-0005-0000-0000-0000DB2B0000}"/>
    <cellStyle name="Separador de milhares 9 5 2 3 3 2" xfId="4588" xr:uid="{00000000-0005-0000-0000-0000DC2B0000}"/>
    <cellStyle name="Separador de milhares 9 5 2 3 4" xfId="3447" xr:uid="{00000000-0005-0000-0000-0000DD2B0000}"/>
    <cellStyle name="Separador de milhares 9 5 2 4" xfId="869" xr:uid="{00000000-0005-0000-0000-0000DE2B0000}"/>
    <cellStyle name="Separador de milhares 9 5 2 4 2" xfId="2011" xr:uid="{00000000-0005-0000-0000-0000DF2B0000}"/>
    <cellStyle name="Separador de milhares 9 5 2 4 2 2" xfId="4891" xr:uid="{00000000-0005-0000-0000-0000E02B0000}"/>
    <cellStyle name="Separador de milhares 9 5 2 4 3" xfId="3749" xr:uid="{00000000-0005-0000-0000-0000E12B0000}"/>
    <cellStyle name="Separador de milhares 9 5 2 5" xfId="1533" xr:uid="{00000000-0005-0000-0000-0000E22B0000}"/>
    <cellStyle name="Separador de milhares 9 5 2 5 2" xfId="4413" xr:uid="{00000000-0005-0000-0000-0000E32B0000}"/>
    <cellStyle name="Separador de milhares 9 5 2 6" xfId="3271" xr:uid="{00000000-0005-0000-0000-0000E42B0000}"/>
    <cellStyle name="Separador de milhares 9 6" xfId="323" xr:uid="{00000000-0005-0000-0000-0000E52B0000}"/>
    <cellStyle name="Separador de milhares 9 6 2" xfId="392" xr:uid="{00000000-0005-0000-0000-0000E62B0000}"/>
    <cellStyle name="Separador de milhares 9 6 2 2" xfId="457" xr:uid="{00000000-0005-0000-0000-0000E72B0000}"/>
    <cellStyle name="Separador de milhares 9 6 2 2 2" xfId="631" xr:uid="{00000000-0005-0000-0000-0000E82B0000}"/>
    <cellStyle name="Separador de milhares 9 6 2 2 2 2" xfId="1107" xr:uid="{00000000-0005-0000-0000-0000E92B0000}"/>
    <cellStyle name="Separador de milhares 9 6 2 2 2 2 2" xfId="2249" xr:uid="{00000000-0005-0000-0000-0000EA2B0000}"/>
    <cellStyle name="Separador de milhares 9 6 2 2 2 2 2 2" xfId="5129" xr:uid="{00000000-0005-0000-0000-0000EB2B0000}"/>
    <cellStyle name="Separador de milhares 9 6 2 2 2 2 3" xfId="3987" xr:uid="{00000000-0005-0000-0000-0000EC2B0000}"/>
    <cellStyle name="Separador de milhares 9 6 2 2 2 3" xfId="1772" xr:uid="{00000000-0005-0000-0000-0000ED2B0000}"/>
    <cellStyle name="Separador de milhares 9 6 2 2 2 3 2" xfId="4652" xr:uid="{00000000-0005-0000-0000-0000EE2B0000}"/>
    <cellStyle name="Separador de milhares 9 6 2 2 2 4" xfId="3511" xr:uid="{00000000-0005-0000-0000-0000EF2B0000}"/>
    <cellStyle name="Separador de milhares 9 6 2 2 3" xfId="934" xr:uid="{00000000-0005-0000-0000-0000F02B0000}"/>
    <cellStyle name="Separador de milhares 9 6 2 2 3 2" xfId="2076" xr:uid="{00000000-0005-0000-0000-0000F12B0000}"/>
    <cellStyle name="Separador de milhares 9 6 2 2 3 2 2" xfId="4956" xr:uid="{00000000-0005-0000-0000-0000F22B0000}"/>
    <cellStyle name="Separador de milhares 9 6 2 2 3 3" xfId="3814" xr:uid="{00000000-0005-0000-0000-0000F32B0000}"/>
    <cellStyle name="Separador de milhares 9 6 2 2 4" xfId="1599" xr:uid="{00000000-0005-0000-0000-0000F42B0000}"/>
    <cellStyle name="Separador de milhares 9 6 2 2 4 2" xfId="4479" xr:uid="{00000000-0005-0000-0000-0000F52B0000}"/>
    <cellStyle name="Separador de milhares 9 6 2 2 5" xfId="3337" xr:uid="{00000000-0005-0000-0000-0000F62B0000}"/>
    <cellStyle name="Separador de milhares 9 6 2 3" xfId="568" xr:uid="{00000000-0005-0000-0000-0000F72B0000}"/>
    <cellStyle name="Separador de milhares 9 6 2 3 2" xfId="1044" xr:uid="{00000000-0005-0000-0000-0000F82B0000}"/>
    <cellStyle name="Separador de milhares 9 6 2 3 2 2" xfId="2186" xr:uid="{00000000-0005-0000-0000-0000F92B0000}"/>
    <cellStyle name="Separador de milhares 9 6 2 3 2 2 2" xfId="5066" xr:uid="{00000000-0005-0000-0000-0000FA2B0000}"/>
    <cellStyle name="Separador de milhares 9 6 2 3 2 3" xfId="3924" xr:uid="{00000000-0005-0000-0000-0000FB2B0000}"/>
    <cellStyle name="Separador de milhares 9 6 2 3 3" xfId="1709" xr:uid="{00000000-0005-0000-0000-0000FC2B0000}"/>
    <cellStyle name="Separador de milhares 9 6 2 3 3 2" xfId="4589" xr:uid="{00000000-0005-0000-0000-0000FD2B0000}"/>
    <cellStyle name="Separador de milhares 9 6 2 3 4" xfId="3448" xr:uid="{00000000-0005-0000-0000-0000FE2B0000}"/>
    <cellStyle name="Separador de milhares 9 6 2 4" xfId="870" xr:uid="{00000000-0005-0000-0000-0000FF2B0000}"/>
    <cellStyle name="Separador de milhares 9 6 2 4 2" xfId="2012" xr:uid="{00000000-0005-0000-0000-0000002C0000}"/>
    <cellStyle name="Separador de milhares 9 6 2 4 2 2" xfId="4892" xr:uid="{00000000-0005-0000-0000-0000012C0000}"/>
    <cellStyle name="Separador de milhares 9 6 2 4 3" xfId="3750" xr:uid="{00000000-0005-0000-0000-0000022C0000}"/>
    <cellStyle name="Separador de milhares 9 6 2 5" xfId="1534" xr:uid="{00000000-0005-0000-0000-0000032C0000}"/>
    <cellStyle name="Separador de milhares 9 6 2 5 2" xfId="4414" xr:uid="{00000000-0005-0000-0000-0000042C0000}"/>
    <cellStyle name="Separador de milhares 9 6 2 6" xfId="3272" xr:uid="{00000000-0005-0000-0000-0000052C0000}"/>
    <cellStyle name="Separador de milhares 9 7" xfId="324" xr:uid="{00000000-0005-0000-0000-0000062C0000}"/>
    <cellStyle name="SUMA PARCIAL" xfId="48" xr:uid="{00000000-0005-0000-0000-0000072C0000}"/>
    <cellStyle name="SUMA PARCIAL 2" xfId="7584" xr:uid="{00000000-0005-0000-0000-0000082C0000}"/>
    <cellStyle name="SUMA PARCIAL 3" xfId="5779" xr:uid="{00000000-0005-0000-0000-0000092C0000}"/>
    <cellStyle name="SUMA PARCIAL 4" xfId="10188" xr:uid="{00000000-0005-0000-0000-00000A2C0000}"/>
    <cellStyle name="SUMA PARCIAL 5" xfId="9659" xr:uid="{00000000-0005-0000-0000-00000B2C0000}"/>
    <cellStyle name="Texto de Aviso 2" xfId="147" xr:uid="{00000000-0005-0000-0000-00000C2C0000}"/>
    <cellStyle name="Texto Explicativo 2" xfId="148" xr:uid="{00000000-0005-0000-0000-00000D2C0000}"/>
    <cellStyle name="Título 1 1" xfId="49" xr:uid="{00000000-0005-0000-0000-00000E2C0000}"/>
    <cellStyle name="Título 1 2" xfId="149" xr:uid="{00000000-0005-0000-0000-00000F2C0000}"/>
    <cellStyle name="Título 2 2" xfId="150" xr:uid="{00000000-0005-0000-0000-0000102C0000}"/>
    <cellStyle name="Título 3 2" xfId="151" xr:uid="{00000000-0005-0000-0000-0000112C0000}"/>
    <cellStyle name="Título 4 2" xfId="152" xr:uid="{00000000-0005-0000-0000-0000122C0000}"/>
    <cellStyle name="Título 5" xfId="153" xr:uid="{00000000-0005-0000-0000-0000132C0000}"/>
    <cellStyle name="Titulo1" xfId="154" xr:uid="{00000000-0005-0000-0000-0000142C0000}"/>
    <cellStyle name="Titulo2" xfId="155" xr:uid="{00000000-0005-0000-0000-0000152C0000}"/>
    <cellStyle name="Total 2" xfId="156" xr:uid="{00000000-0005-0000-0000-0000162C0000}"/>
    <cellStyle name="Total 2 2" xfId="1211" xr:uid="{00000000-0005-0000-0000-0000172C0000}"/>
    <cellStyle name="Total 2 2 2" xfId="2353" xr:uid="{00000000-0005-0000-0000-0000182C0000}"/>
    <cellStyle name="Total 2 2 2 2" xfId="5233" xr:uid="{00000000-0005-0000-0000-0000192C0000}"/>
    <cellStyle name="Total 2 2 2 3" xfId="6236" xr:uid="{00000000-0005-0000-0000-00001A2C0000}"/>
    <cellStyle name="Total 2 2 2 4" xfId="8764" xr:uid="{00000000-0005-0000-0000-00001B2C0000}"/>
    <cellStyle name="Total 2 2 2 5" xfId="10350" xr:uid="{00000000-0005-0000-0000-00001C2C0000}"/>
    <cellStyle name="Total 2 2 2 6" xfId="11077" xr:uid="{00000000-0005-0000-0000-00001D2C0000}"/>
    <cellStyle name="Total 2 2 3" xfId="4091" xr:uid="{00000000-0005-0000-0000-00001E2C0000}"/>
    <cellStyle name="Total 2 2 4" xfId="3080" xr:uid="{00000000-0005-0000-0000-00001F2C0000}"/>
    <cellStyle name="Total 2 2 5" xfId="6511" xr:uid="{00000000-0005-0000-0000-0000202C0000}"/>
    <cellStyle name="Total 2 2 6" xfId="8545" xr:uid="{00000000-0005-0000-0000-0000212C0000}"/>
    <cellStyle name="Total 2 2 7" xfId="11034" xr:uid="{00000000-0005-0000-0000-0000222C0000}"/>
    <cellStyle name="Total 2 3" xfId="1415" xr:uid="{00000000-0005-0000-0000-0000232C0000}"/>
    <cellStyle name="Total 2 3 2" xfId="4295" xr:uid="{00000000-0005-0000-0000-0000242C0000}"/>
    <cellStyle name="Total 2 3 3" xfId="6202" xr:uid="{00000000-0005-0000-0000-0000252C0000}"/>
    <cellStyle name="Total 2 3 4" xfId="7429" xr:uid="{00000000-0005-0000-0000-0000262C0000}"/>
    <cellStyle name="Total 2 3 5" xfId="8444" xr:uid="{00000000-0005-0000-0000-0000272C0000}"/>
    <cellStyle name="Total 2 3 6" xfId="11076" xr:uid="{00000000-0005-0000-0000-0000282C0000}"/>
    <cellStyle name="Total 2 4" xfId="3039" xr:uid="{00000000-0005-0000-0000-0000292C0000}"/>
    <cellStyle name="Total 2 5" xfId="5954" xr:uid="{00000000-0005-0000-0000-00002A2C0000}"/>
    <cellStyle name="Total 2 6" xfId="8919" xr:uid="{00000000-0005-0000-0000-00002B2C0000}"/>
    <cellStyle name="Total 2 7" xfId="9867" xr:uid="{00000000-0005-0000-0000-00002C2C0000}"/>
    <cellStyle name="Total 2 8" xfId="10115" xr:uid="{00000000-0005-0000-0000-00002D2C0000}"/>
    <cellStyle name="Total 3" xfId="157" xr:uid="{00000000-0005-0000-0000-00002E2C0000}"/>
    <cellStyle name="Vírgula" xfId="333" builtinId="3"/>
    <cellStyle name="Vírgula 10" xfId="813" xr:uid="{00000000-0005-0000-0000-0000302C0000}"/>
    <cellStyle name="Vírgula 10 2" xfId="1955" xr:uid="{00000000-0005-0000-0000-0000312C0000}"/>
    <cellStyle name="Vírgula 10 2 2" xfId="4835" xr:uid="{00000000-0005-0000-0000-0000322C0000}"/>
    <cellStyle name="Vírgula 10 3" xfId="3693" xr:uid="{00000000-0005-0000-0000-0000332C0000}"/>
    <cellStyle name="Vírgula 11" xfId="1478" xr:uid="{00000000-0005-0000-0000-0000342C0000}"/>
    <cellStyle name="Vírgula 11 2" xfId="4358" xr:uid="{00000000-0005-0000-0000-0000352C0000}"/>
    <cellStyle name="Vírgula 12" xfId="2888" xr:uid="{00000000-0005-0000-0000-0000362C0000}"/>
    <cellStyle name="Vírgula 12 2" xfId="5768" xr:uid="{00000000-0005-0000-0000-0000372C0000}"/>
    <cellStyle name="Vírgula 13" xfId="3213" xr:uid="{00000000-0005-0000-0000-0000382C0000}"/>
    <cellStyle name="Vírgula 2" xfId="51" xr:uid="{00000000-0005-0000-0000-0000392C0000}"/>
    <cellStyle name="Vírgula 2 2" xfId="158" xr:uid="{00000000-0005-0000-0000-00003A2C0000}"/>
    <cellStyle name="Vírgula 2 2 2" xfId="361" xr:uid="{00000000-0005-0000-0000-00003B2C0000}"/>
    <cellStyle name="Vírgula 2 2 2 2" xfId="426" xr:uid="{00000000-0005-0000-0000-00003C2C0000}"/>
    <cellStyle name="Vírgula 2 2 2 2 2" xfId="600" xr:uid="{00000000-0005-0000-0000-00003D2C0000}"/>
    <cellStyle name="Vírgula 2 2 2 2 2 2" xfId="1076" xr:uid="{00000000-0005-0000-0000-00003E2C0000}"/>
    <cellStyle name="Vírgula 2 2 2 2 2 2 2" xfId="2218" xr:uid="{00000000-0005-0000-0000-00003F2C0000}"/>
    <cellStyle name="Vírgula 2 2 2 2 2 2 2 2" xfId="5098" xr:uid="{00000000-0005-0000-0000-0000402C0000}"/>
    <cellStyle name="Vírgula 2 2 2 2 2 2 3" xfId="3956" xr:uid="{00000000-0005-0000-0000-0000412C0000}"/>
    <cellStyle name="Vírgula 2 2 2 2 2 3" xfId="1741" xr:uid="{00000000-0005-0000-0000-0000422C0000}"/>
    <cellStyle name="Vírgula 2 2 2 2 2 3 2" xfId="4621" xr:uid="{00000000-0005-0000-0000-0000432C0000}"/>
    <cellStyle name="Vírgula 2 2 2 2 2 4" xfId="3480" xr:uid="{00000000-0005-0000-0000-0000442C0000}"/>
    <cellStyle name="Vírgula 2 2 2 2 3" xfId="903" xr:uid="{00000000-0005-0000-0000-0000452C0000}"/>
    <cellStyle name="Vírgula 2 2 2 2 3 2" xfId="2045" xr:uid="{00000000-0005-0000-0000-0000462C0000}"/>
    <cellStyle name="Vírgula 2 2 2 2 3 2 2" xfId="4925" xr:uid="{00000000-0005-0000-0000-0000472C0000}"/>
    <cellStyle name="Vírgula 2 2 2 2 3 3" xfId="3783" xr:uid="{00000000-0005-0000-0000-0000482C0000}"/>
    <cellStyle name="Vírgula 2 2 2 2 4" xfId="1568" xr:uid="{00000000-0005-0000-0000-0000492C0000}"/>
    <cellStyle name="Vírgula 2 2 2 2 4 2" xfId="4448" xr:uid="{00000000-0005-0000-0000-00004A2C0000}"/>
    <cellStyle name="Vírgula 2 2 2 2 5" xfId="3306" xr:uid="{00000000-0005-0000-0000-00004B2C0000}"/>
    <cellStyle name="Vírgula 2 2 2 3" xfId="537" xr:uid="{00000000-0005-0000-0000-00004C2C0000}"/>
    <cellStyle name="Vírgula 2 2 2 3 2" xfId="1013" xr:uid="{00000000-0005-0000-0000-00004D2C0000}"/>
    <cellStyle name="Vírgula 2 2 2 3 2 2" xfId="2155" xr:uid="{00000000-0005-0000-0000-00004E2C0000}"/>
    <cellStyle name="Vírgula 2 2 2 3 2 2 2" xfId="5035" xr:uid="{00000000-0005-0000-0000-00004F2C0000}"/>
    <cellStyle name="Vírgula 2 2 2 3 2 3" xfId="3893" xr:uid="{00000000-0005-0000-0000-0000502C0000}"/>
    <cellStyle name="Vírgula 2 2 2 3 3" xfId="1678" xr:uid="{00000000-0005-0000-0000-0000512C0000}"/>
    <cellStyle name="Vírgula 2 2 2 3 3 2" xfId="4558" xr:uid="{00000000-0005-0000-0000-0000522C0000}"/>
    <cellStyle name="Vírgula 2 2 2 3 4" xfId="3417" xr:uid="{00000000-0005-0000-0000-0000532C0000}"/>
    <cellStyle name="Vírgula 2 2 2 4" xfId="839" xr:uid="{00000000-0005-0000-0000-0000542C0000}"/>
    <cellStyle name="Vírgula 2 2 2 4 2" xfId="1981" xr:uid="{00000000-0005-0000-0000-0000552C0000}"/>
    <cellStyle name="Vírgula 2 2 2 4 2 2" xfId="4861" xr:uid="{00000000-0005-0000-0000-0000562C0000}"/>
    <cellStyle name="Vírgula 2 2 2 4 3" xfId="3719" xr:uid="{00000000-0005-0000-0000-0000572C0000}"/>
    <cellStyle name="Vírgula 2 2 2 5" xfId="1503" xr:uid="{00000000-0005-0000-0000-0000582C0000}"/>
    <cellStyle name="Vírgula 2 2 2 5 2" xfId="4383" xr:uid="{00000000-0005-0000-0000-0000592C0000}"/>
    <cellStyle name="Vírgula 2 2 2 6" xfId="3241" xr:uid="{00000000-0005-0000-0000-00005A2C0000}"/>
    <cellStyle name="Vírgula 2 3" xfId="325" xr:uid="{00000000-0005-0000-0000-00005B2C0000}"/>
    <cellStyle name="Vírgula 2 4" xfId="349" xr:uid="{00000000-0005-0000-0000-00005C2C0000}"/>
    <cellStyle name="Vírgula 2 4 2" xfId="414" xr:uid="{00000000-0005-0000-0000-00005D2C0000}"/>
    <cellStyle name="Vírgula 2 4 2 2" xfId="588" xr:uid="{00000000-0005-0000-0000-00005E2C0000}"/>
    <cellStyle name="Vírgula 2 4 2 2 2" xfId="1064" xr:uid="{00000000-0005-0000-0000-00005F2C0000}"/>
    <cellStyle name="Vírgula 2 4 2 2 2 2" xfId="2206" xr:uid="{00000000-0005-0000-0000-0000602C0000}"/>
    <cellStyle name="Vírgula 2 4 2 2 2 2 2" xfId="5086" xr:uid="{00000000-0005-0000-0000-0000612C0000}"/>
    <cellStyle name="Vírgula 2 4 2 2 2 3" xfId="3944" xr:uid="{00000000-0005-0000-0000-0000622C0000}"/>
    <cellStyle name="Vírgula 2 4 2 2 3" xfId="1729" xr:uid="{00000000-0005-0000-0000-0000632C0000}"/>
    <cellStyle name="Vírgula 2 4 2 2 3 2" xfId="4609" xr:uid="{00000000-0005-0000-0000-0000642C0000}"/>
    <cellStyle name="Vírgula 2 4 2 2 4" xfId="3468" xr:uid="{00000000-0005-0000-0000-0000652C0000}"/>
    <cellStyle name="Vírgula 2 4 2 3" xfId="891" xr:uid="{00000000-0005-0000-0000-0000662C0000}"/>
    <cellStyle name="Vírgula 2 4 2 3 2" xfId="2033" xr:uid="{00000000-0005-0000-0000-0000672C0000}"/>
    <cellStyle name="Vírgula 2 4 2 3 2 2" xfId="4913" xr:uid="{00000000-0005-0000-0000-0000682C0000}"/>
    <cellStyle name="Vírgula 2 4 2 3 3" xfId="3771" xr:uid="{00000000-0005-0000-0000-0000692C0000}"/>
    <cellStyle name="Vírgula 2 4 2 4" xfId="1556" xr:uid="{00000000-0005-0000-0000-00006A2C0000}"/>
    <cellStyle name="Vírgula 2 4 2 4 2" xfId="4436" xr:uid="{00000000-0005-0000-0000-00006B2C0000}"/>
    <cellStyle name="Vírgula 2 4 2 5" xfId="3294" xr:uid="{00000000-0005-0000-0000-00006C2C0000}"/>
    <cellStyle name="Vírgula 2 4 3" xfId="525" xr:uid="{00000000-0005-0000-0000-00006D2C0000}"/>
    <cellStyle name="Vírgula 2 4 3 2" xfId="1001" xr:uid="{00000000-0005-0000-0000-00006E2C0000}"/>
    <cellStyle name="Vírgula 2 4 3 2 2" xfId="2143" xr:uid="{00000000-0005-0000-0000-00006F2C0000}"/>
    <cellStyle name="Vírgula 2 4 3 2 2 2" xfId="5023" xr:uid="{00000000-0005-0000-0000-0000702C0000}"/>
    <cellStyle name="Vírgula 2 4 3 2 3" xfId="3881" xr:uid="{00000000-0005-0000-0000-0000712C0000}"/>
    <cellStyle name="Vírgula 2 4 3 3" xfId="1666" xr:uid="{00000000-0005-0000-0000-0000722C0000}"/>
    <cellStyle name="Vírgula 2 4 3 3 2" xfId="4546" xr:uid="{00000000-0005-0000-0000-0000732C0000}"/>
    <cellStyle name="Vírgula 2 4 3 4" xfId="3405" xr:uid="{00000000-0005-0000-0000-0000742C0000}"/>
    <cellStyle name="Vírgula 2 4 4" xfId="827" xr:uid="{00000000-0005-0000-0000-0000752C0000}"/>
    <cellStyle name="Vírgula 2 4 4 2" xfId="1969" xr:uid="{00000000-0005-0000-0000-0000762C0000}"/>
    <cellStyle name="Vírgula 2 4 4 2 2" xfId="4849" xr:uid="{00000000-0005-0000-0000-0000772C0000}"/>
    <cellStyle name="Vírgula 2 4 4 3" xfId="3707" xr:uid="{00000000-0005-0000-0000-0000782C0000}"/>
    <cellStyle name="Vírgula 2 4 5" xfId="1491" xr:uid="{00000000-0005-0000-0000-0000792C0000}"/>
    <cellStyle name="Vírgula 2 4 5 2" xfId="4371" xr:uid="{00000000-0005-0000-0000-00007A2C0000}"/>
    <cellStyle name="Vírgula 2 4 6" xfId="3229" xr:uid="{00000000-0005-0000-0000-00007B2C0000}"/>
    <cellStyle name="Vírgula 2 5" xfId="399" xr:uid="{00000000-0005-0000-0000-00007C2C0000}"/>
    <cellStyle name="Vírgula 2 5 2" xfId="574" xr:uid="{00000000-0005-0000-0000-00007D2C0000}"/>
    <cellStyle name="Vírgula 2 5 2 2" xfId="1050" xr:uid="{00000000-0005-0000-0000-00007E2C0000}"/>
    <cellStyle name="Vírgula 2 5 2 2 2" xfId="2192" xr:uid="{00000000-0005-0000-0000-00007F2C0000}"/>
    <cellStyle name="Vírgula 2 5 2 2 2 2" xfId="5072" xr:uid="{00000000-0005-0000-0000-0000802C0000}"/>
    <cellStyle name="Vírgula 2 5 2 2 3" xfId="3930" xr:uid="{00000000-0005-0000-0000-0000812C0000}"/>
    <cellStyle name="Vírgula 2 5 2 3" xfId="1715" xr:uid="{00000000-0005-0000-0000-0000822C0000}"/>
    <cellStyle name="Vírgula 2 5 2 3 2" xfId="4595" xr:uid="{00000000-0005-0000-0000-0000832C0000}"/>
    <cellStyle name="Vírgula 2 5 2 4" xfId="3454" xr:uid="{00000000-0005-0000-0000-0000842C0000}"/>
    <cellStyle name="Vírgula 2 5 3" xfId="876" xr:uid="{00000000-0005-0000-0000-0000852C0000}"/>
    <cellStyle name="Vírgula 2 5 3 2" xfId="2018" xr:uid="{00000000-0005-0000-0000-0000862C0000}"/>
    <cellStyle name="Vírgula 2 5 3 2 2" xfId="4898" xr:uid="{00000000-0005-0000-0000-0000872C0000}"/>
    <cellStyle name="Vírgula 2 5 3 3" xfId="3756" xr:uid="{00000000-0005-0000-0000-0000882C0000}"/>
    <cellStyle name="Vírgula 2 5 4" xfId="1541" xr:uid="{00000000-0005-0000-0000-0000892C0000}"/>
    <cellStyle name="Vírgula 2 5 4 2" xfId="4421" xr:uid="{00000000-0005-0000-0000-00008A2C0000}"/>
    <cellStyle name="Vírgula 2 5 5" xfId="3279" xr:uid="{00000000-0005-0000-0000-00008B2C0000}"/>
    <cellStyle name="Vírgula 2 6" xfId="476" xr:uid="{00000000-0005-0000-0000-00008C2C0000}"/>
    <cellStyle name="Vírgula 2 6 2" xfId="952" xr:uid="{00000000-0005-0000-0000-00008D2C0000}"/>
    <cellStyle name="Vírgula 2 6 2 2" xfId="2094" xr:uid="{00000000-0005-0000-0000-00008E2C0000}"/>
    <cellStyle name="Vírgula 2 6 2 2 2" xfId="4974" xr:uid="{00000000-0005-0000-0000-00008F2C0000}"/>
    <cellStyle name="Vírgula 2 6 2 3" xfId="3832" xr:uid="{00000000-0005-0000-0000-0000902C0000}"/>
    <cellStyle name="Vírgula 2 6 3" xfId="1617" xr:uid="{00000000-0005-0000-0000-0000912C0000}"/>
    <cellStyle name="Vírgula 2 6 3 2" xfId="4497" xr:uid="{00000000-0005-0000-0000-0000922C0000}"/>
    <cellStyle name="Vírgula 2 6 4" xfId="3356" xr:uid="{00000000-0005-0000-0000-0000932C0000}"/>
    <cellStyle name="Vírgula 2 7" xfId="684" xr:uid="{00000000-0005-0000-0000-0000942C0000}"/>
    <cellStyle name="Vírgula 2 7 2" xfId="1826" xr:uid="{00000000-0005-0000-0000-0000952C0000}"/>
    <cellStyle name="Vírgula 2 7 2 2" xfId="4706" xr:uid="{00000000-0005-0000-0000-0000962C0000}"/>
    <cellStyle name="Vírgula 2 7 3" xfId="3564" xr:uid="{00000000-0005-0000-0000-0000972C0000}"/>
    <cellStyle name="Vírgula 2 8" xfId="1372" xr:uid="{00000000-0005-0000-0000-0000982C0000}"/>
    <cellStyle name="Vírgula 2 8 2" xfId="4252" xr:uid="{00000000-0005-0000-0000-0000992C0000}"/>
    <cellStyle name="Vírgula 2 9" xfId="2941" xr:uid="{00000000-0005-0000-0000-00009A2C0000}"/>
    <cellStyle name="Vírgula 3" xfId="52" xr:uid="{00000000-0005-0000-0000-00009B2C0000}"/>
    <cellStyle name="Vírgula 3 2" xfId="350" xr:uid="{00000000-0005-0000-0000-00009C2C0000}"/>
    <cellStyle name="Vírgula 3 2 2" xfId="415" xr:uid="{00000000-0005-0000-0000-00009D2C0000}"/>
    <cellStyle name="Vírgula 3 2 2 2" xfId="589" xr:uid="{00000000-0005-0000-0000-00009E2C0000}"/>
    <cellStyle name="Vírgula 3 2 2 2 2" xfId="1065" xr:uid="{00000000-0005-0000-0000-00009F2C0000}"/>
    <cellStyle name="Vírgula 3 2 2 2 2 2" xfId="2207" xr:uid="{00000000-0005-0000-0000-0000A02C0000}"/>
    <cellStyle name="Vírgula 3 2 2 2 2 2 2" xfId="5087" xr:uid="{00000000-0005-0000-0000-0000A12C0000}"/>
    <cellStyle name="Vírgula 3 2 2 2 2 3" xfId="3945" xr:uid="{00000000-0005-0000-0000-0000A22C0000}"/>
    <cellStyle name="Vírgula 3 2 2 2 3" xfId="1730" xr:uid="{00000000-0005-0000-0000-0000A32C0000}"/>
    <cellStyle name="Vírgula 3 2 2 2 3 2" xfId="4610" xr:uid="{00000000-0005-0000-0000-0000A42C0000}"/>
    <cellStyle name="Vírgula 3 2 2 2 4" xfId="3469" xr:uid="{00000000-0005-0000-0000-0000A52C0000}"/>
    <cellStyle name="Vírgula 3 2 2 3" xfId="892" xr:uid="{00000000-0005-0000-0000-0000A62C0000}"/>
    <cellStyle name="Vírgula 3 2 2 3 2" xfId="2034" xr:uid="{00000000-0005-0000-0000-0000A72C0000}"/>
    <cellStyle name="Vírgula 3 2 2 3 2 2" xfId="4914" xr:uid="{00000000-0005-0000-0000-0000A82C0000}"/>
    <cellStyle name="Vírgula 3 2 2 3 3" xfId="3772" xr:uid="{00000000-0005-0000-0000-0000A92C0000}"/>
    <cellStyle name="Vírgula 3 2 2 4" xfId="1557" xr:uid="{00000000-0005-0000-0000-0000AA2C0000}"/>
    <cellStyle name="Vírgula 3 2 2 4 2" xfId="4437" xr:uid="{00000000-0005-0000-0000-0000AB2C0000}"/>
    <cellStyle name="Vírgula 3 2 2 5" xfId="3295" xr:uid="{00000000-0005-0000-0000-0000AC2C0000}"/>
    <cellStyle name="Vírgula 3 2 3" xfId="526" xr:uid="{00000000-0005-0000-0000-0000AD2C0000}"/>
    <cellStyle name="Vírgula 3 2 3 2" xfId="1002" xr:uid="{00000000-0005-0000-0000-0000AE2C0000}"/>
    <cellStyle name="Vírgula 3 2 3 2 2" xfId="2144" xr:uid="{00000000-0005-0000-0000-0000AF2C0000}"/>
    <cellStyle name="Vírgula 3 2 3 2 2 2" xfId="5024" xr:uid="{00000000-0005-0000-0000-0000B02C0000}"/>
    <cellStyle name="Vírgula 3 2 3 2 3" xfId="3882" xr:uid="{00000000-0005-0000-0000-0000B12C0000}"/>
    <cellStyle name="Vírgula 3 2 3 3" xfId="1667" xr:uid="{00000000-0005-0000-0000-0000B22C0000}"/>
    <cellStyle name="Vírgula 3 2 3 3 2" xfId="4547" xr:uid="{00000000-0005-0000-0000-0000B32C0000}"/>
    <cellStyle name="Vírgula 3 2 3 4" xfId="3406" xr:uid="{00000000-0005-0000-0000-0000B42C0000}"/>
    <cellStyle name="Vírgula 3 2 4" xfId="828" xr:uid="{00000000-0005-0000-0000-0000B52C0000}"/>
    <cellStyle name="Vírgula 3 2 4 2" xfId="1970" xr:uid="{00000000-0005-0000-0000-0000B62C0000}"/>
    <cellStyle name="Vírgula 3 2 4 2 2" xfId="4850" xr:uid="{00000000-0005-0000-0000-0000B72C0000}"/>
    <cellStyle name="Vírgula 3 2 4 3" xfId="3708" xr:uid="{00000000-0005-0000-0000-0000B82C0000}"/>
    <cellStyle name="Vírgula 3 2 5" xfId="1492" xr:uid="{00000000-0005-0000-0000-0000B92C0000}"/>
    <cellStyle name="Vírgula 3 2 5 2" xfId="4372" xr:uid="{00000000-0005-0000-0000-0000BA2C0000}"/>
    <cellStyle name="Vírgula 3 2 6" xfId="3230" xr:uid="{00000000-0005-0000-0000-0000BB2C0000}"/>
    <cellStyle name="Vírgula 4" xfId="53" xr:uid="{00000000-0005-0000-0000-0000BC2C0000}"/>
    <cellStyle name="Vírgula 4 2" xfId="351" xr:uid="{00000000-0005-0000-0000-0000BD2C0000}"/>
    <cellStyle name="Vírgula 4 2 2" xfId="416" xr:uid="{00000000-0005-0000-0000-0000BE2C0000}"/>
    <cellStyle name="Vírgula 4 2 2 2" xfId="590" xr:uid="{00000000-0005-0000-0000-0000BF2C0000}"/>
    <cellStyle name="Vírgula 4 2 2 2 2" xfId="1066" xr:uid="{00000000-0005-0000-0000-0000C02C0000}"/>
    <cellStyle name="Vírgula 4 2 2 2 2 2" xfId="2208" xr:uid="{00000000-0005-0000-0000-0000C12C0000}"/>
    <cellStyle name="Vírgula 4 2 2 2 2 2 2" xfId="5088" xr:uid="{00000000-0005-0000-0000-0000C22C0000}"/>
    <cellStyle name="Vírgula 4 2 2 2 2 3" xfId="3946" xr:uid="{00000000-0005-0000-0000-0000C32C0000}"/>
    <cellStyle name="Vírgula 4 2 2 2 3" xfId="1731" xr:uid="{00000000-0005-0000-0000-0000C42C0000}"/>
    <cellStyle name="Vírgula 4 2 2 2 3 2" xfId="4611" xr:uid="{00000000-0005-0000-0000-0000C52C0000}"/>
    <cellStyle name="Vírgula 4 2 2 2 4" xfId="3470" xr:uid="{00000000-0005-0000-0000-0000C62C0000}"/>
    <cellStyle name="Vírgula 4 2 2 3" xfId="893" xr:uid="{00000000-0005-0000-0000-0000C72C0000}"/>
    <cellStyle name="Vírgula 4 2 2 3 2" xfId="2035" xr:uid="{00000000-0005-0000-0000-0000C82C0000}"/>
    <cellStyle name="Vírgula 4 2 2 3 2 2" xfId="4915" xr:uid="{00000000-0005-0000-0000-0000C92C0000}"/>
    <cellStyle name="Vírgula 4 2 2 3 3" xfId="3773" xr:uid="{00000000-0005-0000-0000-0000CA2C0000}"/>
    <cellStyle name="Vírgula 4 2 2 4" xfId="1558" xr:uid="{00000000-0005-0000-0000-0000CB2C0000}"/>
    <cellStyle name="Vírgula 4 2 2 4 2" xfId="4438" xr:uid="{00000000-0005-0000-0000-0000CC2C0000}"/>
    <cellStyle name="Vírgula 4 2 2 5" xfId="3296" xr:uid="{00000000-0005-0000-0000-0000CD2C0000}"/>
    <cellStyle name="Vírgula 4 2 3" xfId="527" xr:uid="{00000000-0005-0000-0000-0000CE2C0000}"/>
    <cellStyle name="Vírgula 4 2 3 2" xfId="1003" xr:uid="{00000000-0005-0000-0000-0000CF2C0000}"/>
    <cellStyle name="Vírgula 4 2 3 2 2" xfId="2145" xr:uid="{00000000-0005-0000-0000-0000D02C0000}"/>
    <cellStyle name="Vírgula 4 2 3 2 2 2" xfId="5025" xr:uid="{00000000-0005-0000-0000-0000D12C0000}"/>
    <cellStyle name="Vírgula 4 2 3 2 3" xfId="3883" xr:uid="{00000000-0005-0000-0000-0000D22C0000}"/>
    <cellStyle name="Vírgula 4 2 3 3" xfId="1668" xr:uid="{00000000-0005-0000-0000-0000D32C0000}"/>
    <cellStyle name="Vírgula 4 2 3 3 2" xfId="4548" xr:uid="{00000000-0005-0000-0000-0000D42C0000}"/>
    <cellStyle name="Vírgula 4 2 3 4" xfId="3407" xr:uid="{00000000-0005-0000-0000-0000D52C0000}"/>
    <cellStyle name="Vírgula 4 2 4" xfId="829" xr:uid="{00000000-0005-0000-0000-0000D62C0000}"/>
    <cellStyle name="Vírgula 4 2 4 2" xfId="1971" xr:uid="{00000000-0005-0000-0000-0000D72C0000}"/>
    <cellStyle name="Vírgula 4 2 4 2 2" xfId="4851" xr:uid="{00000000-0005-0000-0000-0000D82C0000}"/>
    <cellStyle name="Vírgula 4 2 4 3" xfId="3709" xr:uid="{00000000-0005-0000-0000-0000D92C0000}"/>
    <cellStyle name="Vírgula 4 2 5" xfId="1493" xr:uid="{00000000-0005-0000-0000-0000DA2C0000}"/>
    <cellStyle name="Vírgula 4 2 5 2" xfId="4373" xr:uid="{00000000-0005-0000-0000-0000DB2C0000}"/>
    <cellStyle name="Vírgula 4 2 6" xfId="3231" xr:uid="{00000000-0005-0000-0000-0000DC2C0000}"/>
    <cellStyle name="Vírgula 5" xfId="50" xr:uid="{00000000-0005-0000-0000-0000DD2C0000}"/>
    <cellStyle name="Vírgula 5 2" xfId="326" xr:uid="{00000000-0005-0000-0000-0000DE2C0000}"/>
    <cellStyle name="Vírgula 5 2 2" xfId="393" xr:uid="{00000000-0005-0000-0000-0000DF2C0000}"/>
    <cellStyle name="Vírgula 5 2 2 2" xfId="458" xr:uid="{00000000-0005-0000-0000-0000E02C0000}"/>
    <cellStyle name="Vírgula 5 2 2 2 2" xfId="632" xr:uid="{00000000-0005-0000-0000-0000E12C0000}"/>
    <cellStyle name="Vírgula 5 2 2 2 2 2" xfId="1108" xr:uid="{00000000-0005-0000-0000-0000E22C0000}"/>
    <cellStyle name="Vírgula 5 2 2 2 2 2 2" xfId="2250" xr:uid="{00000000-0005-0000-0000-0000E32C0000}"/>
    <cellStyle name="Vírgula 5 2 2 2 2 2 2 2" xfId="5130" xr:uid="{00000000-0005-0000-0000-0000E42C0000}"/>
    <cellStyle name="Vírgula 5 2 2 2 2 2 3" xfId="3988" xr:uid="{00000000-0005-0000-0000-0000E52C0000}"/>
    <cellStyle name="Vírgula 5 2 2 2 2 3" xfId="1773" xr:uid="{00000000-0005-0000-0000-0000E62C0000}"/>
    <cellStyle name="Vírgula 5 2 2 2 2 3 2" xfId="4653" xr:uid="{00000000-0005-0000-0000-0000E72C0000}"/>
    <cellStyle name="Vírgula 5 2 2 2 2 4" xfId="3512" xr:uid="{00000000-0005-0000-0000-0000E82C0000}"/>
    <cellStyle name="Vírgula 5 2 2 2 3" xfId="935" xr:uid="{00000000-0005-0000-0000-0000E92C0000}"/>
    <cellStyle name="Vírgula 5 2 2 2 3 2" xfId="2077" xr:uid="{00000000-0005-0000-0000-0000EA2C0000}"/>
    <cellStyle name="Vírgula 5 2 2 2 3 2 2" xfId="4957" xr:uid="{00000000-0005-0000-0000-0000EB2C0000}"/>
    <cellStyle name="Vírgula 5 2 2 2 3 3" xfId="3815" xr:uid="{00000000-0005-0000-0000-0000EC2C0000}"/>
    <cellStyle name="Vírgula 5 2 2 2 4" xfId="1600" xr:uid="{00000000-0005-0000-0000-0000ED2C0000}"/>
    <cellStyle name="Vírgula 5 2 2 2 4 2" xfId="4480" xr:uid="{00000000-0005-0000-0000-0000EE2C0000}"/>
    <cellStyle name="Vírgula 5 2 2 2 5" xfId="3338" xr:uid="{00000000-0005-0000-0000-0000EF2C0000}"/>
    <cellStyle name="Vírgula 5 2 2 3" xfId="569" xr:uid="{00000000-0005-0000-0000-0000F02C0000}"/>
    <cellStyle name="Vírgula 5 2 2 3 2" xfId="1045" xr:uid="{00000000-0005-0000-0000-0000F12C0000}"/>
    <cellStyle name="Vírgula 5 2 2 3 2 2" xfId="2187" xr:uid="{00000000-0005-0000-0000-0000F22C0000}"/>
    <cellStyle name="Vírgula 5 2 2 3 2 2 2" xfId="5067" xr:uid="{00000000-0005-0000-0000-0000F32C0000}"/>
    <cellStyle name="Vírgula 5 2 2 3 2 3" xfId="3925" xr:uid="{00000000-0005-0000-0000-0000F42C0000}"/>
    <cellStyle name="Vírgula 5 2 2 3 3" xfId="1710" xr:uid="{00000000-0005-0000-0000-0000F52C0000}"/>
    <cellStyle name="Vírgula 5 2 2 3 3 2" xfId="4590" xr:uid="{00000000-0005-0000-0000-0000F62C0000}"/>
    <cellStyle name="Vírgula 5 2 2 3 4" xfId="3449" xr:uid="{00000000-0005-0000-0000-0000F72C0000}"/>
    <cellStyle name="Vírgula 5 2 2 4" xfId="871" xr:uid="{00000000-0005-0000-0000-0000F82C0000}"/>
    <cellStyle name="Vírgula 5 2 2 4 2" xfId="2013" xr:uid="{00000000-0005-0000-0000-0000F92C0000}"/>
    <cellStyle name="Vírgula 5 2 2 4 2 2" xfId="4893" xr:uid="{00000000-0005-0000-0000-0000FA2C0000}"/>
    <cellStyle name="Vírgula 5 2 2 4 3" xfId="3751" xr:uid="{00000000-0005-0000-0000-0000FB2C0000}"/>
    <cellStyle name="Vírgula 5 2 2 5" xfId="1535" xr:uid="{00000000-0005-0000-0000-0000FC2C0000}"/>
    <cellStyle name="Vírgula 5 2 2 5 2" xfId="4415" xr:uid="{00000000-0005-0000-0000-0000FD2C0000}"/>
    <cellStyle name="Vírgula 5 2 2 6" xfId="3273" xr:uid="{00000000-0005-0000-0000-0000FE2C0000}"/>
    <cellStyle name="Vírgula 5 2 3" xfId="403" xr:uid="{00000000-0005-0000-0000-0000FF2C0000}"/>
    <cellStyle name="Vírgula 5 2 3 2" xfId="578" xr:uid="{00000000-0005-0000-0000-0000002D0000}"/>
    <cellStyle name="Vírgula 5 2 3 2 2" xfId="1054" xr:uid="{00000000-0005-0000-0000-0000012D0000}"/>
    <cellStyle name="Vírgula 5 2 3 2 2 2" xfId="2196" xr:uid="{00000000-0005-0000-0000-0000022D0000}"/>
    <cellStyle name="Vírgula 5 2 3 2 2 2 2" xfId="5076" xr:uid="{00000000-0005-0000-0000-0000032D0000}"/>
    <cellStyle name="Vírgula 5 2 3 2 2 3" xfId="3934" xr:uid="{00000000-0005-0000-0000-0000042D0000}"/>
    <cellStyle name="Vírgula 5 2 3 2 3" xfId="1719" xr:uid="{00000000-0005-0000-0000-0000052D0000}"/>
    <cellStyle name="Vírgula 5 2 3 2 3 2" xfId="4599" xr:uid="{00000000-0005-0000-0000-0000062D0000}"/>
    <cellStyle name="Vírgula 5 2 3 2 4" xfId="3458" xr:uid="{00000000-0005-0000-0000-0000072D0000}"/>
    <cellStyle name="Vírgula 5 2 3 3" xfId="880" xr:uid="{00000000-0005-0000-0000-0000082D0000}"/>
    <cellStyle name="Vírgula 5 2 3 3 2" xfId="2022" xr:uid="{00000000-0005-0000-0000-0000092D0000}"/>
    <cellStyle name="Vírgula 5 2 3 3 2 2" xfId="4902" xr:uid="{00000000-0005-0000-0000-00000A2D0000}"/>
    <cellStyle name="Vírgula 5 2 3 3 3" xfId="3760" xr:uid="{00000000-0005-0000-0000-00000B2D0000}"/>
    <cellStyle name="Vírgula 5 2 3 4" xfId="1545" xr:uid="{00000000-0005-0000-0000-00000C2D0000}"/>
    <cellStyle name="Vírgula 5 2 3 4 2" xfId="4425" xr:uid="{00000000-0005-0000-0000-00000D2D0000}"/>
    <cellStyle name="Vírgula 5 2 3 5" xfId="3283" xr:uid="{00000000-0005-0000-0000-00000E2D0000}"/>
    <cellStyle name="Vírgula 5 2 4" xfId="515" xr:uid="{00000000-0005-0000-0000-00000F2D0000}"/>
    <cellStyle name="Vírgula 5 2 4 2" xfId="991" xr:uid="{00000000-0005-0000-0000-0000102D0000}"/>
    <cellStyle name="Vírgula 5 2 4 2 2" xfId="2133" xr:uid="{00000000-0005-0000-0000-0000112D0000}"/>
    <cellStyle name="Vírgula 5 2 4 2 2 2" xfId="5013" xr:uid="{00000000-0005-0000-0000-0000122D0000}"/>
    <cellStyle name="Vírgula 5 2 4 2 3" xfId="3871" xr:uid="{00000000-0005-0000-0000-0000132D0000}"/>
    <cellStyle name="Vírgula 5 2 4 3" xfId="1656" xr:uid="{00000000-0005-0000-0000-0000142D0000}"/>
    <cellStyle name="Vírgula 5 2 4 3 2" xfId="4536" xr:uid="{00000000-0005-0000-0000-0000152D0000}"/>
    <cellStyle name="Vírgula 5 2 4 4" xfId="3395" xr:uid="{00000000-0005-0000-0000-0000162D0000}"/>
    <cellStyle name="Vírgula 5 2 5" xfId="811" xr:uid="{00000000-0005-0000-0000-0000172D0000}"/>
    <cellStyle name="Vírgula 5 2 5 2" xfId="1953" xr:uid="{00000000-0005-0000-0000-0000182D0000}"/>
    <cellStyle name="Vírgula 5 2 5 2 2" xfId="4833" xr:uid="{00000000-0005-0000-0000-0000192D0000}"/>
    <cellStyle name="Vírgula 5 2 5 3" xfId="3691" xr:uid="{00000000-0005-0000-0000-00001A2D0000}"/>
    <cellStyle name="Vírgula 5 2 6" xfId="1475" xr:uid="{00000000-0005-0000-0000-00001B2D0000}"/>
    <cellStyle name="Vírgula 5 2 6 2" xfId="4355" xr:uid="{00000000-0005-0000-0000-00001C2D0000}"/>
    <cellStyle name="Vírgula 5 2 7" xfId="3206" xr:uid="{00000000-0005-0000-0000-00001D2D0000}"/>
    <cellStyle name="Vírgula 5 3" xfId="348" xr:uid="{00000000-0005-0000-0000-00001E2D0000}"/>
    <cellStyle name="Vírgula 5 3 2" xfId="413" xr:uid="{00000000-0005-0000-0000-00001F2D0000}"/>
    <cellStyle name="Vírgula 5 3 2 2" xfId="587" xr:uid="{00000000-0005-0000-0000-0000202D0000}"/>
    <cellStyle name="Vírgula 5 3 2 2 2" xfId="1063" xr:uid="{00000000-0005-0000-0000-0000212D0000}"/>
    <cellStyle name="Vírgula 5 3 2 2 2 2" xfId="2205" xr:uid="{00000000-0005-0000-0000-0000222D0000}"/>
    <cellStyle name="Vírgula 5 3 2 2 2 2 2" xfId="5085" xr:uid="{00000000-0005-0000-0000-0000232D0000}"/>
    <cellStyle name="Vírgula 5 3 2 2 2 3" xfId="3943" xr:uid="{00000000-0005-0000-0000-0000242D0000}"/>
    <cellStyle name="Vírgula 5 3 2 2 3" xfId="1728" xr:uid="{00000000-0005-0000-0000-0000252D0000}"/>
    <cellStyle name="Vírgula 5 3 2 2 3 2" xfId="4608" xr:uid="{00000000-0005-0000-0000-0000262D0000}"/>
    <cellStyle name="Vírgula 5 3 2 2 4" xfId="3467" xr:uid="{00000000-0005-0000-0000-0000272D0000}"/>
    <cellStyle name="Vírgula 5 3 2 3" xfId="890" xr:uid="{00000000-0005-0000-0000-0000282D0000}"/>
    <cellStyle name="Vírgula 5 3 2 3 2" xfId="2032" xr:uid="{00000000-0005-0000-0000-0000292D0000}"/>
    <cellStyle name="Vírgula 5 3 2 3 2 2" xfId="4912" xr:uid="{00000000-0005-0000-0000-00002A2D0000}"/>
    <cellStyle name="Vírgula 5 3 2 3 3" xfId="3770" xr:uid="{00000000-0005-0000-0000-00002B2D0000}"/>
    <cellStyle name="Vírgula 5 3 2 4" xfId="1555" xr:uid="{00000000-0005-0000-0000-00002C2D0000}"/>
    <cellStyle name="Vírgula 5 3 2 4 2" xfId="4435" xr:uid="{00000000-0005-0000-0000-00002D2D0000}"/>
    <cellStyle name="Vírgula 5 3 2 5" xfId="3293" xr:uid="{00000000-0005-0000-0000-00002E2D0000}"/>
    <cellStyle name="Vírgula 5 3 3" xfId="524" xr:uid="{00000000-0005-0000-0000-00002F2D0000}"/>
    <cellStyle name="Vírgula 5 3 3 2" xfId="1000" xr:uid="{00000000-0005-0000-0000-0000302D0000}"/>
    <cellStyle name="Vírgula 5 3 3 2 2" xfId="2142" xr:uid="{00000000-0005-0000-0000-0000312D0000}"/>
    <cellStyle name="Vírgula 5 3 3 2 2 2" xfId="5022" xr:uid="{00000000-0005-0000-0000-0000322D0000}"/>
    <cellStyle name="Vírgula 5 3 3 2 3" xfId="3880" xr:uid="{00000000-0005-0000-0000-0000332D0000}"/>
    <cellStyle name="Vírgula 5 3 3 3" xfId="1665" xr:uid="{00000000-0005-0000-0000-0000342D0000}"/>
    <cellStyle name="Vírgula 5 3 3 3 2" xfId="4545" xr:uid="{00000000-0005-0000-0000-0000352D0000}"/>
    <cellStyle name="Vírgula 5 3 3 4" xfId="3404" xr:uid="{00000000-0005-0000-0000-0000362D0000}"/>
    <cellStyle name="Vírgula 5 3 4" xfId="826" xr:uid="{00000000-0005-0000-0000-0000372D0000}"/>
    <cellStyle name="Vírgula 5 3 4 2" xfId="1968" xr:uid="{00000000-0005-0000-0000-0000382D0000}"/>
    <cellStyle name="Vírgula 5 3 4 2 2" xfId="4848" xr:uid="{00000000-0005-0000-0000-0000392D0000}"/>
    <cellStyle name="Vírgula 5 3 4 3" xfId="3706" xr:uid="{00000000-0005-0000-0000-00003A2D0000}"/>
    <cellStyle name="Vírgula 5 3 5" xfId="1490" xr:uid="{00000000-0005-0000-0000-00003B2D0000}"/>
    <cellStyle name="Vírgula 5 3 5 2" xfId="4370" xr:uid="{00000000-0005-0000-0000-00003C2D0000}"/>
    <cellStyle name="Vírgula 5 3 6" xfId="3228" xr:uid="{00000000-0005-0000-0000-00003D2D0000}"/>
    <cellStyle name="Vírgula 5 4" xfId="464" xr:uid="{00000000-0005-0000-0000-00003E2D0000}"/>
    <cellStyle name="Vírgula 5 4 2" xfId="635" xr:uid="{00000000-0005-0000-0000-00003F2D0000}"/>
    <cellStyle name="Vírgula 5 4 2 2" xfId="1111" xr:uid="{00000000-0005-0000-0000-0000402D0000}"/>
    <cellStyle name="Vírgula 5 4 2 2 2" xfId="2253" xr:uid="{00000000-0005-0000-0000-0000412D0000}"/>
    <cellStyle name="Vírgula 5 4 2 2 2 2" xfId="5133" xr:uid="{00000000-0005-0000-0000-0000422D0000}"/>
    <cellStyle name="Vírgula 5 4 2 2 3" xfId="3991" xr:uid="{00000000-0005-0000-0000-0000432D0000}"/>
    <cellStyle name="Vírgula 5 4 2 3" xfId="1776" xr:uid="{00000000-0005-0000-0000-0000442D0000}"/>
    <cellStyle name="Vírgula 5 4 2 3 2" xfId="4656" xr:uid="{00000000-0005-0000-0000-0000452D0000}"/>
    <cellStyle name="Vírgula 5 4 2 4" xfId="3515" xr:uid="{00000000-0005-0000-0000-0000462D0000}"/>
    <cellStyle name="Vírgula 5 4 3" xfId="940" xr:uid="{00000000-0005-0000-0000-0000472D0000}"/>
    <cellStyle name="Vírgula 5 4 3 2" xfId="2082" xr:uid="{00000000-0005-0000-0000-0000482D0000}"/>
    <cellStyle name="Vírgula 5 4 3 2 2" xfId="4962" xr:uid="{00000000-0005-0000-0000-0000492D0000}"/>
    <cellStyle name="Vírgula 5 4 3 3" xfId="3820" xr:uid="{00000000-0005-0000-0000-00004A2D0000}"/>
    <cellStyle name="Vírgula 5 4 4" xfId="1605" xr:uid="{00000000-0005-0000-0000-00004B2D0000}"/>
    <cellStyle name="Vírgula 5 4 4 2" xfId="4485" xr:uid="{00000000-0005-0000-0000-00004C2D0000}"/>
    <cellStyle name="Vírgula 5 4 5" xfId="3344" xr:uid="{00000000-0005-0000-0000-00004D2D0000}"/>
    <cellStyle name="Vírgula 6" xfId="327" xr:uid="{00000000-0005-0000-0000-00004E2D0000}"/>
    <cellStyle name="Vírgula 6 2" xfId="394" xr:uid="{00000000-0005-0000-0000-00004F2D0000}"/>
    <cellStyle name="Vírgula 6 2 2" xfId="459" xr:uid="{00000000-0005-0000-0000-0000502D0000}"/>
    <cellStyle name="Vírgula 6 2 2 2" xfId="633" xr:uid="{00000000-0005-0000-0000-0000512D0000}"/>
    <cellStyle name="Vírgula 6 2 2 2 2" xfId="1109" xr:uid="{00000000-0005-0000-0000-0000522D0000}"/>
    <cellStyle name="Vírgula 6 2 2 2 2 2" xfId="2251" xr:uid="{00000000-0005-0000-0000-0000532D0000}"/>
    <cellStyle name="Vírgula 6 2 2 2 2 2 2" xfId="5131" xr:uid="{00000000-0005-0000-0000-0000542D0000}"/>
    <cellStyle name="Vírgula 6 2 2 2 2 3" xfId="3989" xr:uid="{00000000-0005-0000-0000-0000552D0000}"/>
    <cellStyle name="Vírgula 6 2 2 2 3" xfId="1774" xr:uid="{00000000-0005-0000-0000-0000562D0000}"/>
    <cellStyle name="Vírgula 6 2 2 2 3 2" xfId="4654" xr:uid="{00000000-0005-0000-0000-0000572D0000}"/>
    <cellStyle name="Vírgula 6 2 2 2 4" xfId="3513" xr:uid="{00000000-0005-0000-0000-0000582D0000}"/>
    <cellStyle name="Vírgula 6 2 2 3" xfId="936" xr:uid="{00000000-0005-0000-0000-0000592D0000}"/>
    <cellStyle name="Vírgula 6 2 2 3 2" xfId="2078" xr:uid="{00000000-0005-0000-0000-00005A2D0000}"/>
    <cellStyle name="Vírgula 6 2 2 3 2 2" xfId="4958" xr:uid="{00000000-0005-0000-0000-00005B2D0000}"/>
    <cellStyle name="Vírgula 6 2 2 3 3" xfId="3816" xr:uid="{00000000-0005-0000-0000-00005C2D0000}"/>
    <cellStyle name="Vírgula 6 2 2 4" xfId="1601" xr:uid="{00000000-0005-0000-0000-00005D2D0000}"/>
    <cellStyle name="Vírgula 6 2 2 4 2" xfId="4481" xr:uid="{00000000-0005-0000-0000-00005E2D0000}"/>
    <cellStyle name="Vírgula 6 2 2 5" xfId="3339" xr:uid="{00000000-0005-0000-0000-00005F2D0000}"/>
    <cellStyle name="Vírgula 6 2 3" xfId="570" xr:uid="{00000000-0005-0000-0000-0000602D0000}"/>
    <cellStyle name="Vírgula 6 2 3 2" xfId="1046" xr:uid="{00000000-0005-0000-0000-0000612D0000}"/>
    <cellStyle name="Vírgula 6 2 3 2 2" xfId="2188" xr:uid="{00000000-0005-0000-0000-0000622D0000}"/>
    <cellStyle name="Vírgula 6 2 3 2 2 2" xfId="5068" xr:uid="{00000000-0005-0000-0000-0000632D0000}"/>
    <cellStyle name="Vírgula 6 2 3 2 3" xfId="3926" xr:uid="{00000000-0005-0000-0000-0000642D0000}"/>
    <cellStyle name="Vírgula 6 2 3 3" xfId="1711" xr:uid="{00000000-0005-0000-0000-0000652D0000}"/>
    <cellStyle name="Vírgula 6 2 3 3 2" xfId="4591" xr:uid="{00000000-0005-0000-0000-0000662D0000}"/>
    <cellStyle name="Vírgula 6 2 3 4" xfId="3450" xr:uid="{00000000-0005-0000-0000-0000672D0000}"/>
    <cellStyle name="Vírgula 6 2 4" xfId="872" xr:uid="{00000000-0005-0000-0000-0000682D0000}"/>
    <cellStyle name="Vírgula 6 2 4 2" xfId="2014" xr:uid="{00000000-0005-0000-0000-0000692D0000}"/>
    <cellStyle name="Vírgula 6 2 4 2 2" xfId="4894" xr:uid="{00000000-0005-0000-0000-00006A2D0000}"/>
    <cellStyle name="Vírgula 6 2 4 3" xfId="3752" xr:uid="{00000000-0005-0000-0000-00006B2D0000}"/>
    <cellStyle name="Vírgula 6 2 5" xfId="1536" xr:uid="{00000000-0005-0000-0000-00006C2D0000}"/>
    <cellStyle name="Vírgula 6 2 5 2" xfId="4416" xr:uid="{00000000-0005-0000-0000-00006D2D0000}"/>
    <cellStyle name="Vírgula 6 2 6" xfId="3274" xr:uid="{00000000-0005-0000-0000-00006E2D0000}"/>
    <cellStyle name="Vírgula 7" xfId="395" xr:uid="{00000000-0005-0000-0000-00006F2D0000}"/>
    <cellStyle name="Vírgula 7 2" xfId="460" xr:uid="{00000000-0005-0000-0000-0000702D0000}"/>
    <cellStyle name="Vírgula 7 2 2" xfId="634" xr:uid="{00000000-0005-0000-0000-0000712D0000}"/>
    <cellStyle name="Vírgula 7 2 2 2" xfId="1110" xr:uid="{00000000-0005-0000-0000-0000722D0000}"/>
    <cellStyle name="Vírgula 7 2 2 2 2" xfId="2252" xr:uid="{00000000-0005-0000-0000-0000732D0000}"/>
    <cellStyle name="Vírgula 7 2 2 2 2 2" xfId="5132" xr:uid="{00000000-0005-0000-0000-0000742D0000}"/>
    <cellStyle name="Vírgula 7 2 2 2 3" xfId="3990" xr:uid="{00000000-0005-0000-0000-0000752D0000}"/>
    <cellStyle name="Vírgula 7 2 2 3" xfId="1775" xr:uid="{00000000-0005-0000-0000-0000762D0000}"/>
    <cellStyle name="Vírgula 7 2 2 3 2" xfId="4655" xr:uid="{00000000-0005-0000-0000-0000772D0000}"/>
    <cellStyle name="Vírgula 7 2 2 4" xfId="3514" xr:uid="{00000000-0005-0000-0000-0000782D0000}"/>
    <cellStyle name="Vírgula 7 2 3" xfId="937" xr:uid="{00000000-0005-0000-0000-0000792D0000}"/>
    <cellStyle name="Vírgula 7 2 3 2" xfId="2079" xr:uid="{00000000-0005-0000-0000-00007A2D0000}"/>
    <cellStyle name="Vírgula 7 2 3 2 2" xfId="4959" xr:uid="{00000000-0005-0000-0000-00007B2D0000}"/>
    <cellStyle name="Vírgula 7 2 3 3" xfId="3817" xr:uid="{00000000-0005-0000-0000-00007C2D0000}"/>
    <cellStyle name="Vírgula 7 2 4" xfId="1602" xr:uid="{00000000-0005-0000-0000-00007D2D0000}"/>
    <cellStyle name="Vírgula 7 2 4 2" xfId="4482" xr:uid="{00000000-0005-0000-0000-00007E2D0000}"/>
    <cellStyle name="Vírgula 7 2 5" xfId="3340" xr:uid="{00000000-0005-0000-0000-00007F2D0000}"/>
    <cellStyle name="Vírgula 7 3" xfId="571" xr:uid="{00000000-0005-0000-0000-0000802D0000}"/>
    <cellStyle name="Vírgula 7 3 2" xfId="1047" xr:uid="{00000000-0005-0000-0000-0000812D0000}"/>
    <cellStyle name="Vírgula 7 3 2 2" xfId="2189" xr:uid="{00000000-0005-0000-0000-0000822D0000}"/>
    <cellStyle name="Vírgula 7 3 2 2 2" xfId="5069" xr:uid="{00000000-0005-0000-0000-0000832D0000}"/>
    <cellStyle name="Vírgula 7 3 2 3" xfId="3927" xr:uid="{00000000-0005-0000-0000-0000842D0000}"/>
    <cellStyle name="Vírgula 7 3 3" xfId="1712" xr:uid="{00000000-0005-0000-0000-0000852D0000}"/>
    <cellStyle name="Vírgula 7 3 3 2" xfId="4592" xr:uid="{00000000-0005-0000-0000-0000862D0000}"/>
    <cellStyle name="Vírgula 7 3 4" xfId="3451" xr:uid="{00000000-0005-0000-0000-0000872D0000}"/>
    <cellStyle name="Vírgula 7 4" xfId="873" xr:uid="{00000000-0005-0000-0000-0000882D0000}"/>
    <cellStyle name="Vírgula 7 4 2" xfId="2015" xr:uid="{00000000-0005-0000-0000-0000892D0000}"/>
    <cellStyle name="Vírgula 7 4 2 2" xfId="4895" xr:uid="{00000000-0005-0000-0000-00008A2D0000}"/>
    <cellStyle name="Vírgula 7 4 3" xfId="3753" xr:uid="{00000000-0005-0000-0000-00008B2D0000}"/>
    <cellStyle name="Vírgula 7 5" xfId="1537" xr:uid="{00000000-0005-0000-0000-00008C2D0000}"/>
    <cellStyle name="Vírgula 7 5 2" xfId="4417" xr:uid="{00000000-0005-0000-0000-00008D2D0000}"/>
    <cellStyle name="Vírgula 7 6" xfId="3275" xr:uid="{00000000-0005-0000-0000-00008E2D0000}"/>
    <cellStyle name="Vírgula 8" xfId="404" xr:uid="{00000000-0005-0000-0000-00008F2D0000}"/>
    <cellStyle name="Vírgula 8 2" xfId="579" xr:uid="{00000000-0005-0000-0000-0000902D0000}"/>
    <cellStyle name="Vírgula 8 2 2" xfId="1055" xr:uid="{00000000-0005-0000-0000-0000912D0000}"/>
    <cellStyle name="Vírgula 8 2 2 2" xfId="2197" xr:uid="{00000000-0005-0000-0000-0000922D0000}"/>
    <cellStyle name="Vírgula 8 2 2 2 2" xfId="5077" xr:uid="{00000000-0005-0000-0000-0000932D0000}"/>
    <cellStyle name="Vírgula 8 2 2 3" xfId="3935" xr:uid="{00000000-0005-0000-0000-0000942D0000}"/>
    <cellStyle name="Vírgula 8 2 3" xfId="1720" xr:uid="{00000000-0005-0000-0000-0000952D0000}"/>
    <cellStyle name="Vírgula 8 2 3 2" xfId="4600" xr:uid="{00000000-0005-0000-0000-0000962D0000}"/>
    <cellStyle name="Vírgula 8 2 4" xfId="3459" xr:uid="{00000000-0005-0000-0000-0000972D0000}"/>
    <cellStyle name="Vírgula 8 3" xfId="881" xr:uid="{00000000-0005-0000-0000-0000982D0000}"/>
    <cellStyle name="Vírgula 8 3 2" xfId="2023" xr:uid="{00000000-0005-0000-0000-0000992D0000}"/>
    <cellStyle name="Vírgula 8 3 2 2" xfId="4903" xr:uid="{00000000-0005-0000-0000-00009A2D0000}"/>
    <cellStyle name="Vírgula 8 3 3" xfId="3761" xr:uid="{00000000-0005-0000-0000-00009B2D0000}"/>
    <cellStyle name="Vírgula 8 4" xfId="1546" xr:uid="{00000000-0005-0000-0000-00009C2D0000}"/>
    <cellStyle name="Vírgula 8 4 2" xfId="4426" xr:uid="{00000000-0005-0000-0000-00009D2D0000}"/>
    <cellStyle name="Vírgula 8 5" xfId="3284" xr:uid="{00000000-0005-0000-0000-00009E2D0000}"/>
    <cellStyle name="Vírgula 9" xfId="516" xr:uid="{00000000-0005-0000-0000-00009F2D0000}"/>
    <cellStyle name="Vírgula 9 2" xfId="992" xr:uid="{00000000-0005-0000-0000-0000A02D0000}"/>
    <cellStyle name="Vírgula 9 2 2" xfId="2134" xr:uid="{00000000-0005-0000-0000-0000A12D0000}"/>
    <cellStyle name="Vírgula 9 2 2 2" xfId="5014" xr:uid="{00000000-0005-0000-0000-0000A22D0000}"/>
    <cellStyle name="Vírgula 9 2 3" xfId="3872" xr:uid="{00000000-0005-0000-0000-0000A32D0000}"/>
    <cellStyle name="Vírgula 9 3" xfId="1657" xr:uid="{00000000-0005-0000-0000-0000A42D0000}"/>
    <cellStyle name="Vírgula 9 3 2" xfId="4537" xr:uid="{00000000-0005-0000-0000-0000A52D0000}"/>
    <cellStyle name="Vírgula 9 4" xfId="3396" xr:uid="{00000000-0005-0000-0000-0000A62D0000}"/>
    <cellStyle name="Vírgula0" xfId="159" xr:uid="{00000000-0005-0000-0000-0000A72D0000}"/>
    <cellStyle name="Währung" xfId="160" xr:uid="{00000000-0005-0000-0000-0000A82D0000}"/>
  </cellStyles>
  <dxfs count="432">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
      <font>
        <b/>
        <i val="0"/>
        <color rgb="FFFF0000"/>
      </font>
      <fill>
        <patternFill>
          <bgColor rgb="FFFFFF00"/>
        </patternFill>
      </fill>
    </dxf>
    <dxf>
      <font>
        <b/>
        <i val="0"/>
        <strike val="0"/>
        <color rgb="FFFF0000"/>
      </font>
    </dxf>
  </dxfs>
  <tableStyles count="0" defaultTableStyle="TableStyleMedium2" defaultPivotStyle="PivotStyleLight16"/>
  <colors>
    <mruColors>
      <color rgb="FF008000"/>
      <color rgb="FF339933"/>
      <color rgb="FF006600"/>
      <color rgb="FF336600"/>
      <color rgb="FFFFFF66"/>
      <color rgb="FF0000FF"/>
      <color rgb="FFFFFF99"/>
      <color rgb="FFF8EDEC"/>
      <color rgb="FFE9EFF7"/>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externalLink" Target="externalLinks/externalLink4.xml"/><Relationship Id="rId247" Type="http://schemas.openxmlformats.org/officeDocument/2006/relationships/externalLink" Target="externalLinks/externalLink2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externalLink" Target="externalLinks/externalLink15.xml"/><Relationship Id="rId258" Type="http://schemas.openxmlformats.org/officeDocument/2006/relationships/theme" Target="theme/theme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externalLink" Target="externalLinks/externalLink5.xml"/><Relationship Id="rId248" Type="http://schemas.openxmlformats.org/officeDocument/2006/relationships/externalLink" Target="externalLinks/externalLink2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externalLink" Target="externalLinks/externalLink16.xml"/><Relationship Id="rId259" Type="http://schemas.openxmlformats.org/officeDocument/2006/relationships/styles" Target="styles.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externalLink" Target="externalLinks/externalLink6.xml"/><Relationship Id="rId249" Type="http://schemas.openxmlformats.org/officeDocument/2006/relationships/externalLink" Target="externalLinks/externalLink27.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sharedStrings" Target="sharedStrings.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externalLink" Target="externalLinks/externalLink17.xml"/><Relationship Id="rId250" Type="http://schemas.openxmlformats.org/officeDocument/2006/relationships/externalLink" Target="externalLinks/externalLink2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externalLink" Target="externalLinks/externalLink7.xml"/><Relationship Id="rId240" Type="http://schemas.openxmlformats.org/officeDocument/2006/relationships/externalLink" Target="externalLinks/externalLink18.xml"/><Relationship Id="rId261" Type="http://schemas.openxmlformats.org/officeDocument/2006/relationships/calcChain" Target="calcChain.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externalLink" Target="externalLinks/externalLink8.xml"/><Relationship Id="rId251" Type="http://schemas.openxmlformats.org/officeDocument/2006/relationships/externalLink" Target="externalLinks/externalLink29.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externalLink" Target="externalLinks/externalLink1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externalLink" Target="externalLinks/externalLink9.xml"/><Relationship Id="rId252" Type="http://schemas.openxmlformats.org/officeDocument/2006/relationships/externalLink" Target="externalLinks/externalLink30.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externalLink" Target="externalLinks/externalLink20.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externalLink" Target="externalLinks/externalLink10.xml"/><Relationship Id="rId253" Type="http://schemas.openxmlformats.org/officeDocument/2006/relationships/externalLink" Target="externalLinks/externalLink3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externalLink" Target="externalLinks/externalLink2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externalLink" Target="externalLinks/externalLink11.xml"/><Relationship Id="rId254" Type="http://schemas.openxmlformats.org/officeDocument/2006/relationships/externalLink" Target="externalLinks/externalLink3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externalLink" Target="externalLinks/externalLink1.xml"/><Relationship Id="rId244" Type="http://schemas.openxmlformats.org/officeDocument/2006/relationships/externalLink" Target="externalLinks/externalLink2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externalLink" Target="externalLinks/externalLink12.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externalLink" Target="externalLinks/externalLink33.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externalLink" Target="externalLinks/externalLink2.xml"/><Relationship Id="rId245" Type="http://schemas.openxmlformats.org/officeDocument/2006/relationships/externalLink" Target="externalLinks/externalLink23.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externalLink" Target="externalLinks/externalLink13.xml"/><Relationship Id="rId256" Type="http://schemas.openxmlformats.org/officeDocument/2006/relationships/externalLink" Target="externalLinks/externalLink34.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externalLink" Target="externalLinks/externalLink3.xml"/><Relationship Id="rId246" Type="http://schemas.openxmlformats.org/officeDocument/2006/relationships/externalLink" Target="externalLinks/externalLink24.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externalLink" Target="externalLinks/externalLink14.xml"/><Relationship Id="rId257" Type="http://schemas.openxmlformats.org/officeDocument/2006/relationships/externalLink" Target="externalLinks/externalLink35.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76200</xdr:rowOff>
    </xdr:from>
    <xdr:to>
      <xdr:col>1</xdr:col>
      <xdr:colOff>301353</xdr:colOff>
      <xdr:row>3</xdr:row>
      <xdr:rowOff>3175</xdr:rowOff>
    </xdr:to>
    <xdr:pic>
      <xdr:nvPicPr>
        <xdr:cNvPr id="2" name="Imagem 1">
          <a:extLst>
            <a:ext uri="{FF2B5EF4-FFF2-40B4-BE49-F238E27FC236}">
              <a16:creationId xmlns:a16="http://schemas.microsoft.com/office/drawing/2014/main" id="{314C5643-DFF8-491B-875F-F1C812EB54EC}"/>
            </a:ext>
          </a:extLst>
        </xdr:cNvPr>
        <xdr:cNvPicPr/>
      </xdr:nvPicPr>
      <xdr:blipFill>
        <a:blip xmlns:r="http://schemas.openxmlformats.org/officeDocument/2006/relationships" r:embed="rId1" cstate="print"/>
        <a:stretch>
          <a:fillRect/>
        </a:stretch>
      </xdr:blipFill>
      <xdr:spPr>
        <a:xfrm>
          <a:off x="381000" y="76200"/>
          <a:ext cx="1263378" cy="4984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3-201106-w7\dpo\Users\fabiano\Downloads\10039\ca_arqs\eletrica\e0104500.doc"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ACSP8%20010%2000%20-%20CAPTA&#199;&#195;O%20SERRA%20PELADA.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CMFDM1%20313%2001%20-%20Unid.de%20Proc&#186;%20de%20Res&#237;duos%20-%20Cub&#237;culo%20do%20BIOG&#193;S%20e%20Queimado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pu-a\01-md-2005\EQUIP\MAQUINAS\I020118.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L.ORC.AGU.005.R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Users/augustomarins/Library/Mail%20Downloads/SAMSUNGObras%20A.madeira/Obra%20Itarana%20-%20Medi&#231;&#227;o/2&#170;%20Etapa/Medi&#231;&#227;o%20obra/20&#170;%20Medi&#231;&#227;o/OR96088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6CB95571\15MP_09.20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ngen-bigossi\d\Andressa\Andressa\canal%20bigossi\BM_CHEIM\BM\16&#170;BM\16&#186;%20MP%20Cheim_ok.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CBSD1%20066%2002%20-%20TRAVESSIA%203%20%20-%20(%20SOBRE%20O%20RIO%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ngenharia01\D-eng01\Meus%20documentos_Eng%201D\PREFEITURAS%20MUNICIPAIS%20ENG.%201\Joao%20Pessoa\JO&#195;O%20PESSOA%202005\Al&#231;a%20Beira%20Rio_2004\relat&#243;rio\Der\DER\PB008norte\Pb008n-RelFinal01\Pb008n-RelFinal01-Dimens&amp;ComparaPav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B66E0D9\11%20Med%20Lote6%20Mar&#231;o%2008%20APIA.xl"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TESE031\Usuarios\DOC\Micro_ASHFORD\PLANILHAS%202001%20(TUDO)\PROJETO%20ALVORADA%202\ALVORADA%20COMPLETO\E.E%20E.F.M.%20Napole&#227;o%20A.%20N&#243;brega%20-%20S.%20Mamed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lso\e\14%20Med%20Lote6%20Jun08%20Api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1064B80\13&#170;%20Med%20Lote6%20maio%2008%20API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3-201106-w7\dpo\Marcia\Receita%20Federal%20-%20RJ\Preg&#227;o%203-2013%20-%20Ag.%20Modelo%20B%20Pirai%20e%20Resende\EDITAL%201-2013-%20ADAPTACAO%20PROJETO%20BASICO%20-%20AGENCIA%20MODELO\ANEXO%20V%20-%20PLANILHA%20DE%20OR&#199;AMENTO%20E%20CRONOGRAMA.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VSD8%20002%2001%20-%20rev1%20-%20ADUTORA%20DE%20&#193;GUA%20TRATADA%20DN%20250%20F&#186;F&#186;%20-%20GRAVIDADE.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NVSD8%20002%2001%20-%20ADUTORA%20DE%20&#193;GUA%20TRATADA%20DN%20250%20F&#186;F&#186;%20-%20GRAVIDAD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13-201106-w7\dpo\JUSTI&#199;A%20FEDERAL\Predio%20Sede%20%20Vitoria%20ES%20-%202009\Justi&#231;a%20Federal%201&#170;%20Instancia\PLANILHA%20OR&#199;AMENTARIA\Or&#231;amento\JFES_Planilha_Orc_Rev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192.168.0.180\Tecnico\Condominios\&#212;mega\Residencial%20Manac&#225;\Material%20CAIXA\Res.%20Manac&#225;%20Planilhas%20Caixa_13.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0.243.148.2\dados\Users\Master\Desktop\OBRAS\CONS&#211;RCIO%20AMF\OBRAS_ES\Aquavi&#225;rio%20Semobi\8%20-%20REEQUILIBRIO%20ECONOMICO-FINANC\PROCESSO%201&#170;%20FASE%20REEQUILIBRIO%20EDOCS\ARQUIVOS%20EDITAVEIS\REEQUILIBRIO%20SEMOBI%20-%20COMPOSI&#199;&#195;O.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0.243.148.2\dados\Users\Master\Desktop\OBRAS\CONS&#211;RCIO%20AMF\OBRAS_ES\Aquavi&#225;rio%20Semobi\8%20-%20REEQUILIBRIO%20ECONOMICO-FINANC\PROCESSO%203&#170;%20FASE%20REEQUILIBRIO%20EDOCS\3&#170;%20FASE%20REEQUILIBRIO%20SEMOBI.xlsx" TargetMode="External"/></Relationships>
</file>

<file path=xl/externalLinks/_rels/externalLink29.xml.rels><?xml version="1.0" encoding="UTF-8" standalone="yes"?>
<Relationships xmlns="http://schemas.openxmlformats.org/package/2006/relationships"><Relationship Id="rId2" Type="http://schemas.microsoft.com/office/2019/04/relationships/externalLinkLongPath" Target="file:///\\10.243.148.2\Users\Master\Desktop\OBRAS\CONS&#211;RCIO%20AMF\OBRAS_ES\Aquavi&#225;rio%20Semobi\PLANEJAMENTO\REEQUILIBRIO%20ECONOMICO-FINANC\PROCESSO%201&#170;%20FASE%20REEQUILIBRIO%20EDOCS\ARQUIVOS%20EDITAVEIS\REEQUILIBRIO%20SEMOBI%20-%20COMPOSI&#199;&#195;O.xlsx?95905CF9" TargetMode="External"/><Relationship Id="rId1" Type="http://schemas.openxmlformats.org/officeDocument/2006/relationships/externalLinkPath" Target="file:///\\95905CF9\REEQUILIBRIO%20SEMOBI%20-%20COMPOSI&#199;&#195;O.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MFDM1%20292%2001%20-%20Unid.de%20Processamento%20de%20Res&#237;duos%20-%20Reservat&#243;rio%20Met&#225;lico.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NVSD1%20076%2001%20-%20SISTEMA%20DE%20DRENAGEM%20-%20NOVA%20VEN&#201;CIA.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RL.ORC.TODOS.R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plane/OneDrive/&#193;rea%20de%20Trabalho/OBRAS%20CONSORCIO%20AMF/AQUAVI&#193;RIOSEMOBI/MEDI&#199;&#213;ES/3&#170;%20MEDI&#199;&#195;O%20-%20DEZEMBRO/PLANILHA/3&#170;%20MEDI&#199;&#195;O%20-%20DEZEMBRO%20-%20REV.00.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plane/Downloads/REPLANILHAMENTO%20-%20ADITIVO%20SEMOBI%20AQUAVI&#193;RIO.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s/Master/Desktop/OBRAS%20CONSORCIO%20AMF/AQUAVI&#193;RIOSEMOBI/MEDI&#199;&#213;ES/8&#170;%20MEDI&#199;&#195;O%20-%20MAIO/PLANILHA/MEDI&#199;&#195;O%20ACUMULATIVA%20-%20%20REPLANILHAMENTO.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Master/Desktop/OBRAS%20CONSORCIO%20AMF/AQUAVI&#193;RIOSEMOBI/MEDI&#199;&#213;ES/7&#170;%20MEDI&#199;&#195;O%20-%20ABRIL/PLANILHA/7&#170;%20MEDI&#199;&#195;O%20-%20ABRIL%20-%20REV%2001%20aprovad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NTROLE\CONTROLE2\Se&#231;&#227;o%20T&#233;cnica\DIVERS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TESE031\Usuarios\DOC\Micro_ASHFORD\PLANILHAS%202001%20(TUDO)\PROJETO%20ALVORADA%202\ALVORADA%20COMPLETO\E.E%20E.F.M.%20de%20Alcantil%20-%20Alcanti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iliarde\shareddocs\OBRAS\Projeto%20da%20%20ES-381-NOVA%20VEN&#201;CIA\Medi&#231;&#245;es\7&#170;\Documents%20and%20Settings\Gustavo\Desktop\DERTES%202006\Construtora%20&#193;pia%20Ltda._Contrato%20015_2006\ES%20446%20-%20PLANILHA%20OBR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o-m11\publico\WINDOWS\TEMP\B5348E-LM001_R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nts%20and%20Settings\infra2\Meus%20documentos\Downloads\Laudo%20072-2014%20-%2059635061.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243.148.2\dados\Users\Master\Desktop\OBRAS\CONS&#211;RCIO%20AMF\OBRAS_ES\Aquavi&#225;rio%20Semobi\PLANEJAMENTO\REEQUILIBRIO%20ECONOMICO-FINANC\PROCESSO%201&#170;%20FASE%20REEQUILIBRIO%20EDOCS\ARQUIVOS%20EDITAVEIS\REEQUILIBRIO%20SEMOBI%20-%20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RGÊNCIA"/>
      <sheetName val="CAPA"/>
      <sheetName val="Controle"/>
      <sheetName val="LOJAS"/>
      <sheetName val="CONDOMINOS"/>
      <sheetName val="QUADROS DE DISTRIBUIÇÃO"/>
      <sheetName val="BARRAMENTO BLINDADO"/>
      <sheetName val="TRANSFORMADORES"/>
      <sheetName val="GERAL ORIGINAL"/>
      <sheetName val="GERAL POR ITENS"/>
      <sheetName val="MOTORES"/>
      <sheetName val="ANTIGO COND"/>
      <sheetName val="ANTIGO GERAL"/>
      <sheetName val="H_MOT"/>
      <sheetName val="C_M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L"/>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L"/>
      <sheetName val="SERVIÇO"/>
      <sheetName val="ESPELHO  "/>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
      <sheetName val="CAPA -1"/>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e de Distribuição de Água"/>
      <sheetName val="Rede Distrib Águ (indice 06-06)"/>
      <sheetName val="Módulo1"/>
      <sheetName val="MEMORIAL"/>
      <sheetName val="Serviços Água"/>
    </sheetNames>
    <sheetDataSet>
      <sheetData sheetId="0"/>
      <sheetData sheetId="1" refreshError="1"/>
      <sheetData sheetId="2" refreshError="1"/>
      <sheetData sheetId="3" refreshError="1"/>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960887.XLS"/>
      <sheetName val="OR960887"/>
      <sheetName val="PROJETO"/>
      <sheetName val="Capa"/>
      <sheetName val="Sumário"/>
      <sheetName val="Capa Apres"/>
      <sheetName val="Apres"/>
      <sheetName val="Capa Mapa"/>
      <sheetName val="Mapa"/>
      <sheetName val="Capa Premissas"/>
      <sheetName val="Premissas"/>
      <sheetName val="Capa Caract. Seg."/>
      <sheetName val="Áreas gramadas"/>
      <sheetName val="OAE"/>
      <sheetName val="Drenagem"/>
      <sheetName val="Capa Memória de Calc"/>
      <sheetName val="Características"/>
      <sheetName val="Percentual"/>
      <sheetName val="M2"/>
      <sheetName val="Quantitativos"/>
      <sheetName val="CMB"/>
      <sheetName val="ESP"/>
      <sheetName val="Fresagem"/>
      <sheetName val="Capa Resumo"/>
      <sheetName val="Unifilar"/>
      <sheetName val="Orçamento Total"/>
      <sheetName val="Crono. Financ. (kmf) (2)"/>
      <sheetName val="Orçamento por Kmf"/>
      <sheetName val="Orçamento por solução"/>
      <sheetName val="Orçamento Kmf"/>
      <sheetName val="Orçam. Resumo"/>
      <sheetName val="Crono. Financ."/>
      <sheetName val="Canteiro"/>
      <sheetName val="Capa Documentação"/>
      <sheetName val="Capa Anexo I"/>
      <sheetName val="LVC"/>
      <sheetName val="Capa Anexo II"/>
      <sheetName val="Capa Anexo III"/>
      <sheetName val="Capa Anexo IV"/>
      <sheetName val="AVS"/>
      <sheetName val="Ctr."/>
      <sheetName val="C"/>
      <sheetName val="RPA Julho"/>
      <sheetName val="Valor Mediçao"/>
      <sheetName val="Med 1ª"/>
      <sheetName val="Med 2ª"/>
      <sheetName val="Med 3ª"/>
      <sheetName val="Desc. de materiais"/>
      <sheetName val="Materiais Betuminosos"/>
      <sheetName val="Qd05 Preço"/>
      <sheetName val="Qd06"/>
      <sheetName val="LOTE 6"/>
      <sheetName val="DG"/>
      <sheetName val="Dados"/>
      <sheetName val="Acumulado"/>
      <sheetName val="Orçamento"/>
      <sheetName val="QuQuant"/>
      <sheetName val="Orçamentária"/>
      <sheetName val="Plan1"/>
      <sheetName val="Plan2"/>
      <sheetName val="Plan3"/>
      <sheetName val="Principal"/>
    </sheetNames>
    <definedNames>
      <definedName name="PassaExtenso"/>
    </defined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çao Terraplenagem"/>
    </sheetNames>
    <sheetDataSet>
      <sheetData sheetId="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çao Terraplenagem"/>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L"/>
      <sheetName val="SERVIÇO "/>
      <sheetName val="MATERIAL"/>
      <sheetName val="COMPOSIÇÃO"/>
    </sheetNames>
    <sheetDataSet>
      <sheetData sheetId="0"/>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çosNoPrint"/>
      <sheetName val="ComparaQuantNoPrint"/>
      <sheetName val="TodasTraf-2011-NoPrint"/>
      <sheetName val="TrafPb008"/>
      <sheetName val="PavPb008"/>
      <sheetName val="TrafPb027"/>
      <sheetName val="PavPb027"/>
      <sheetName val="TrafPb033(1)"/>
      <sheetName val="PavPb033(1)"/>
      <sheetName val="TrafPb033(2)"/>
      <sheetName val="PavPb033(2)"/>
      <sheetName val="TrafPb059(1)"/>
      <sheetName val="PavPb059(1)"/>
      <sheetName val="TrafPb059(2)"/>
      <sheetName val="PavPb059(2)"/>
      <sheetName val="TrafPb061"/>
      <sheetName val="PavPb061"/>
      <sheetName val="TrafPb065"/>
      <sheetName val="PavPb065"/>
      <sheetName val="TodasTraf-2000-NoPrint"/>
      <sheetName val="Br101-NoPrint"/>
      <sheetName val="TrafAnual-NoPrint"/>
      <sheetName val="TrafContExpan-NoPrint"/>
      <sheetName val="PavComplNo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Planilha"/>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GRAMA - 120 Dias"/>
      <sheetName val="Reforma"/>
      <sheetName val="Ciência da Natureza"/>
      <sheetName val="Informática"/>
      <sheetName val="Biblioteca"/>
      <sheetName val="CRONOGRAMA_-_120_Dias"/>
      <sheetName val="Ciência_da_Natureza"/>
      <sheetName val="10.0 - CRONOGRAMA"/>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Dados"/>
      <sheetName val="Descrição"/>
      <sheetName val="001-Terraplenagem"/>
      <sheetName val="002-Drenagem"/>
      <sheetName val="003-Pavimentação"/>
      <sheetName val="Largura Binder 2007"/>
      <sheetName val="Rotativa Binder 2007"/>
      <sheetName val="Rotativa Binder 2008"/>
      <sheetName val="orientaçao terraplenagem"/>
    </sheetNames>
    <sheetDataSet>
      <sheetData sheetId="0">
        <row r="126">
          <cell r="C126" t="str">
            <v>T</v>
          </cell>
          <cell r="D126">
            <v>7.4399999999999994E-2</v>
          </cell>
        </row>
        <row r="127">
          <cell r="C127" t="str">
            <v>P</v>
          </cell>
          <cell r="D127">
            <v>9.4799999999999995E-2</v>
          </cell>
        </row>
        <row r="128">
          <cell r="C128" t="str">
            <v>D</v>
          </cell>
          <cell r="D128">
            <v>7.8299999999999995E-2</v>
          </cell>
        </row>
        <row r="129">
          <cell r="C129" t="str">
            <v>S</v>
          </cell>
          <cell r="D129">
            <v>6.5299999999999997E-2</v>
          </cell>
        </row>
        <row r="130">
          <cell r="C130" t="str">
            <v>C</v>
          </cell>
          <cell r="D130">
            <v>9.3299999999999994E-2</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Planilha"/>
      <sheetName val="Vol_ Terrap_"/>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NORÁRIOS"/>
      <sheetName val="Plan1"/>
      <sheetName val="BDI"/>
      <sheetName val="ORÇAMENTO"/>
      <sheetName val="CRONOGRAMA"/>
    </sheetNames>
    <sheetDataSet>
      <sheetData sheetId="0" refreshError="1"/>
      <sheetData sheetId="1" refreshError="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L"/>
      <sheetName val="SERVIÇO"/>
      <sheetName val="MATERIAL"/>
      <sheetName val="COMPOSIÇÃO"/>
      <sheetName val="CAPA -1"/>
    </sheetNames>
    <sheetDataSet>
      <sheetData sheetId="0"/>
      <sheetData sheetId="1"/>
      <sheetData sheetId="2"/>
      <sheetData sheetId="3"/>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L"/>
      <sheetName val="SERVIÇO"/>
      <sheetName val="MATERIAL"/>
      <sheetName val="COMPOSIÇÃO"/>
      <sheetName val="PLANILHA"/>
      <sheetName val="Planilha de Custo"/>
    </sheetNames>
    <sheetDataSet>
      <sheetData sheetId="0"/>
      <sheetData sheetId="1"/>
      <sheetData sheetId="2"/>
      <sheetData sheetId="3"/>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G"/>
      <sheetName val="resumo"/>
      <sheetName val="ORCAMENTO"/>
      <sheetName val="ADMI_25.01"/>
      <sheetName val="ITEM 25 - ADIMINS. LOCAL"/>
      <sheetName val="20.01-04-EL_SP_SON_SEG"/>
      <sheetName val="20.05 - HS"/>
      <sheetName val="20.06-INC"/>
      <sheetName val="20.07- GLP"/>
      <sheetName val="ITEM 22.01 SINALIZACA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o Áreas"/>
      <sheetName val="Espec.HB fl. 01"/>
      <sheetName val="Espec.HB fl. 02"/>
      <sheetName val="Espec.HB fl. 03"/>
      <sheetName val="Espec.HB fl. 04"/>
      <sheetName val="QCI"/>
      <sheetName val="FRE "/>
      <sheetName val="Especificação CASAS"/>
      <sheetName val="Espelho-Hab 61 (T+1B)"/>
      <sheetName val="Habitaçao Unit (T+1B)"/>
      <sheetName val="Compo. Anexo I"/>
      <sheetName val="Orç.Hab. Unit (T+1B)"/>
      <sheetName val="Orç.Hab. Total (T+1B)"/>
      <sheetName val="Espelho-Admini (T+1B)"/>
      <sheetName val="Admin Local (T+1B)"/>
      <sheetName val="Espelho-Infra"/>
      <sheetName val="Orç. Infra estrutura"/>
      <sheetName val="Mem Infra Manacá"/>
      <sheetName val="Composição BDI 01"/>
      <sheetName val="Cronog-hab"/>
      <sheetName val="Cronog-infra estrutura"/>
      <sheetName val="Cronog-Global"/>
      <sheetName val="RAE-CASA 01"/>
      <sheetName val="PLS-CASA"/>
      <sheetName val="PLS-INFRA"/>
      <sheetName val="Medição-GLOBAL-PAR"/>
      <sheetName val="RAE-CASA 02"/>
      <sheetName val="RAE-EQ-INFRA"/>
      <sheetName val="RAE-FOTOS"/>
    </sheetNames>
    <sheetDataSet>
      <sheetData sheetId="0" refreshError="1"/>
      <sheetData sheetId="1" refreshError="1"/>
      <sheetData sheetId="2" refreshError="1"/>
      <sheetData sheetId="3" refreshError="1"/>
      <sheetData sheetId="4" refreshError="1"/>
      <sheetData sheetId="5" refreshError="1"/>
      <sheetData sheetId="6" refreshError="1">
        <row r="248">
          <cell r="AM248" t="str">
            <v xml:space="preserve">RM (Região Metropolitana) de SP, RJ e DF </v>
          </cell>
        </row>
        <row r="249">
          <cell r="AM249" t="str">
            <v>Demais RM, RIDE/DF e municípios com mais de 500 mil habitantes</v>
          </cell>
        </row>
        <row r="250">
          <cell r="AM250" t="str">
            <v>Demais municípios.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ÕES ADITIVO (2)"/>
      <sheetName val="BASE"/>
      <sheetName val="GIF"/>
      <sheetName val="RESUMO_COD_EQU"/>
      <sheetName val="RESUMO_COD"/>
      <sheetName val="RESUMO_COMP"/>
      <sheetName val="COMP1A_OUT21"/>
      <sheetName val="NOV21"/>
      <sheetName val="COMP6_NOV21"/>
      <sheetName val="DEZ21"/>
      <sheetName val="COMP6_DEZ21"/>
      <sheetName val="OUT21"/>
      <sheetName val="JAN22"/>
      <sheetName val="COMP5_JAN22"/>
      <sheetName val="COMP6_JAN22"/>
      <sheetName val="FEV22"/>
      <sheetName val="COMP5_FEV22"/>
      <sheetName val="COMP6_FEV22"/>
      <sheetName val="COMP26_FEV22"/>
      <sheetName val="MAR22"/>
      <sheetName val="COMP6_MAR22"/>
      <sheetName val="COMP5_MAR22"/>
      <sheetName val="ABR22"/>
      <sheetName val="COMP18_ABR22"/>
      <sheetName val="COMP6_ABR22"/>
      <sheetName val="COMP11_ABR22"/>
      <sheetName val="COMP5_ABR22"/>
      <sheetName val="MAI22"/>
      <sheetName val="COMPA01_MAI22"/>
      <sheetName val="COMP5_MAI22"/>
      <sheetName val="COMP11_MAI22"/>
      <sheetName val="COMP13_MAI22"/>
      <sheetName val="COMP18_MAI22"/>
      <sheetName val="COMP6_MAI22"/>
      <sheetName val="JUN22"/>
      <sheetName val="COMP6_JUN22"/>
      <sheetName val="COMP27_JUN22"/>
      <sheetName val="COMP5_JUN22"/>
      <sheetName val="JUL22"/>
      <sheetName val="COMP4_JUL22"/>
      <sheetName val="COMP23_JUL22"/>
      <sheetName val="COMP24_JUL22"/>
      <sheetName val="COMP5_JUL22"/>
      <sheetName val="AGO22"/>
      <sheetName val="COMP23_AGO22"/>
      <sheetName val="COMP24_AGO22"/>
      <sheetName val="COMP5_AGO22"/>
      <sheetName val="COMP16_AGO22"/>
      <sheetName val="COMP20_AGO22"/>
      <sheetName val="COMP10_AGO22"/>
      <sheetName val="SET22"/>
      <sheetName val="COMP4_SET22"/>
      <sheetName val="COMP11_SET22"/>
      <sheetName val="COMP5_SET22"/>
      <sheetName val="COMP26_SET22"/>
      <sheetName val="COMP16_SET22"/>
      <sheetName val="COMP35_SET22"/>
      <sheetName val="COMP20_SET22"/>
      <sheetName val="COMP19_SET22"/>
      <sheetName val="COMP17_SET22"/>
      <sheetName val="COMP15_SET22"/>
      <sheetName val="COMP10_SET22"/>
      <sheetName val="COMP25_SET22"/>
      <sheetName val="COMP13_SET22"/>
      <sheetName val="OUT22"/>
      <sheetName val="COMP5_OUT22"/>
      <sheetName val="COMP16_OUT22"/>
      <sheetName val="COMP35_OUT22"/>
      <sheetName val="COMP20_OUT22"/>
      <sheetName val="COMP19_OUT22"/>
      <sheetName val="COMP17_OUT22"/>
      <sheetName val="COMP15_OUT22"/>
      <sheetName val="COMP25_OUT22"/>
      <sheetName val="COMP42_OUT22"/>
      <sheetName val="COMP43_OUT22"/>
      <sheetName val="COMP9_OUT22"/>
      <sheetName val="COMP10_OUT22"/>
      <sheetName val="COMP11_OUT22"/>
      <sheetName val="COMP27_OUT22"/>
      <sheetName val="NOV22"/>
      <sheetName val="COMP16_NOV22"/>
      <sheetName val="COMP20_NOV22"/>
      <sheetName val="JAN23"/>
      <sheetName val="COMP11_JAN23"/>
      <sheetName val="COMP13_JAN23"/>
    </sheetNames>
    <sheetDataSet>
      <sheetData sheetId="0"/>
      <sheetData sheetId="1">
        <row r="1">
          <cell r="B1" t="str">
            <v>CÓDIGO</v>
          </cell>
        </row>
      </sheetData>
      <sheetData sheetId="2"/>
      <sheetData sheetId="3"/>
      <sheetData sheetId="4">
        <row r="1">
          <cell r="B1" t="str">
            <v>Instituição</v>
          </cell>
          <cell r="C1" t="str">
            <v>Código/ Composição</v>
          </cell>
          <cell r="D1" t="str">
            <v>Descrição dos Serviços</v>
          </cell>
          <cell r="E1" t="str">
            <v>Unid.</v>
          </cell>
          <cell r="F1" t="str">
            <v>OUT21</v>
          </cell>
          <cell r="G1" t="str">
            <v>NOV21</v>
          </cell>
          <cell r="H1" t="str">
            <v>DEZ21</v>
          </cell>
          <cell r="I1" t="str">
            <v>JAN22</v>
          </cell>
          <cell r="J1" t="str">
            <v>FEV22</v>
          </cell>
          <cell r="K1" t="str">
            <v>MAR22</v>
          </cell>
          <cell r="L1" t="str">
            <v>ABR22</v>
          </cell>
          <cell r="M1" t="str">
            <v>MAI22</v>
          </cell>
          <cell r="N1" t="str">
            <v>JUN22</v>
          </cell>
          <cell r="O1" t="str">
            <v>JUL22</v>
          </cell>
          <cell r="P1" t="str">
            <v>AGO22</v>
          </cell>
          <cell r="Q1" t="str">
            <v>SET22</v>
          </cell>
          <cell r="R1" t="str">
            <v>OUT22</v>
          </cell>
          <cell r="S1" t="str">
            <v>NOV22</v>
          </cell>
          <cell r="T1" t="str">
            <v>JAN23</v>
          </cell>
        </row>
        <row r="2">
          <cell r="B2"/>
          <cell r="C2"/>
          <cell r="D2"/>
          <cell r="E2"/>
          <cell r="F2"/>
          <cell r="G2"/>
          <cell r="H2"/>
          <cell r="I2"/>
          <cell r="J2"/>
          <cell r="K2"/>
          <cell r="L2"/>
          <cell r="M2"/>
          <cell r="N2"/>
          <cell r="O2"/>
          <cell r="P2"/>
          <cell r="Q2"/>
          <cell r="R2"/>
          <cell r="S2"/>
          <cell r="T2"/>
        </row>
        <row r="3">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row>
        <row r="4">
          <cell r="A4" t="str">
            <v>DER010101</v>
          </cell>
          <cell r="B4" t="str">
            <v>DER</v>
          </cell>
          <cell r="C4" t="str">
            <v>010101</v>
          </cell>
          <cell r="D4" t="str">
            <v>AJUDANTE (LABOR)</v>
          </cell>
          <cell r="E4" t="str">
            <v>H</v>
          </cell>
          <cell r="F4">
            <v>16.130828999999999</v>
          </cell>
          <cell r="G4">
            <v>16.130828999999999</v>
          </cell>
          <cell r="H4">
            <v>16.130828999999999</v>
          </cell>
          <cell r="I4">
            <v>14.175577000000001</v>
          </cell>
          <cell r="J4">
            <v>14.175577000000001</v>
          </cell>
          <cell r="K4">
            <v>16.130828999999999</v>
          </cell>
          <cell r="L4">
            <v>16.130828999999999</v>
          </cell>
          <cell r="M4">
            <v>18.008900000000001</v>
          </cell>
          <cell r="N4">
            <v>18.008900000000001</v>
          </cell>
          <cell r="O4">
            <v>18.008900000000001</v>
          </cell>
          <cell r="P4">
            <v>18.008900000000001</v>
          </cell>
          <cell r="Q4">
            <v>18.008900000000001</v>
          </cell>
          <cell r="R4">
            <v>18.008900000000001</v>
          </cell>
          <cell r="S4"/>
          <cell r="T4">
            <v>18.008900000000001</v>
          </cell>
        </row>
        <row r="5">
          <cell r="A5" t="str">
            <v>DER010121</v>
          </cell>
          <cell r="B5" t="str">
            <v>DER</v>
          </cell>
          <cell r="C5" t="str">
            <v>010121</v>
          </cell>
          <cell r="D5" t="str">
            <v>ARMADOR</v>
          </cell>
          <cell r="E5" t="str">
            <v>H</v>
          </cell>
          <cell r="F5">
            <v>19.115161000000001</v>
          </cell>
          <cell r="G5">
            <v>19.115161000000001</v>
          </cell>
          <cell r="H5">
            <v>19.115161000000001</v>
          </cell>
          <cell r="I5">
            <v>19.115161000000001</v>
          </cell>
          <cell r="J5">
            <v>19.115161000000001</v>
          </cell>
          <cell r="K5">
            <v>19.115161000000001</v>
          </cell>
          <cell r="L5">
            <v>19.115161000000001</v>
          </cell>
          <cell r="M5">
            <v>21.353410000000004</v>
          </cell>
          <cell r="N5">
            <v>21.353410000000004</v>
          </cell>
          <cell r="O5">
            <v>21.353410000000004</v>
          </cell>
          <cell r="P5">
            <v>21.353410000000004</v>
          </cell>
          <cell r="Q5">
            <v>21.353410000000004</v>
          </cell>
          <cell r="R5">
            <v>21.353410000000004</v>
          </cell>
          <cell r="S5"/>
          <cell r="T5">
            <v>21.353410000000004</v>
          </cell>
        </row>
        <row r="6">
          <cell r="A6" t="str">
            <v>DER021516</v>
          </cell>
          <cell r="B6" t="str">
            <v>DER</v>
          </cell>
          <cell r="C6" t="str">
            <v>021516</v>
          </cell>
          <cell r="D6" t="str">
            <v>ACO CA-50 DE 6.3MM</v>
          </cell>
          <cell r="E6" t="str">
            <v>KG</v>
          </cell>
          <cell r="F6">
            <v>8.93</v>
          </cell>
          <cell r="G6">
            <v>8.93</v>
          </cell>
          <cell r="H6">
            <v>7.87</v>
          </cell>
          <cell r="I6">
            <v>7.87</v>
          </cell>
          <cell r="J6">
            <v>7.87</v>
          </cell>
          <cell r="K6">
            <v>7.2</v>
          </cell>
          <cell r="L6">
            <v>7.58</v>
          </cell>
          <cell r="M6">
            <v>7.58</v>
          </cell>
          <cell r="N6">
            <v>8.74</v>
          </cell>
          <cell r="O6">
            <v>8.74</v>
          </cell>
          <cell r="P6">
            <v>7.83</v>
          </cell>
          <cell r="Q6"/>
          <cell r="R6"/>
          <cell r="S6"/>
          <cell r="T6"/>
        </row>
        <row r="7">
          <cell r="A7" t="str">
            <v>DER010146</v>
          </cell>
          <cell r="B7" t="str">
            <v>DER</v>
          </cell>
          <cell r="C7" t="str">
            <v>010146</v>
          </cell>
          <cell r="D7" t="str">
            <v>SERVENTE</v>
          </cell>
          <cell r="E7" t="str">
            <v>H</v>
          </cell>
          <cell r="F7"/>
          <cell r="G7">
            <v>14.046942000000001</v>
          </cell>
          <cell r="H7">
            <v>14.046942000000001</v>
          </cell>
          <cell r="I7">
            <v>14.175577000000001</v>
          </cell>
          <cell r="J7">
            <v>14.175577000000001</v>
          </cell>
          <cell r="K7">
            <v>14.175577000000001</v>
          </cell>
          <cell r="L7">
            <v>14.175577000000001</v>
          </cell>
          <cell r="M7">
            <v>15.847832000000002</v>
          </cell>
          <cell r="N7">
            <v>15.847832000000002</v>
          </cell>
          <cell r="O7">
            <v>15.847832000000002</v>
          </cell>
          <cell r="P7">
            <v>15.847832000000002</v>
          </cell>
          <cell r="Q7">
            <v>15.847832000000002</v>
          </cell>
          <cell r="R7">
            <v>15.847832000000002</v>
          </cell>
          <cell r="S7">
            <v>15.847832000000002</v>
          </cell>
          <cell r="T7">
            <v>15.847832000000002</v>
          </cell>
        </row>
        <row r="8">
          <cell r="A8" t="str">
            <v>DER028001</v>
          </cell>
          <cell r="B8" t="str">
            <v>DER</v>
          </cell>
          <cell r="C8" t="str">
            <v>028001</v>
          </cell>
          <cell r="D8" t="str">
            <v>BOMBEAMENTO DE CONCRETO</v>
          </cell>
          <cell r="E8" t="str">
            <v>M3</v>
          </cell>
          <cell r="F8"/>
          <cell r="G8">
            <v>31.67</v>
          </cell>
          <cell r="H8">
            <v>31.67</v>
          </cell>
          <cell r="I8">
            <v>31.67</v>
          </cell>
          <cell r="J8">
            <v>33.33</v>
          </cell>
          <cell r="K8">
            <v>33.33</v>
          </cell>
          <cell r="L8">
            <v>33.33</v>
          </cell>
          <cell r="M8">
            <v>33.33</v>
          </cell>
          <cell r="N8">
            <v>45</v>
          </cell>
          <cell r="O8">
            <v>45</v>
          </cell>
          <cell r="P8">
            <v>45</v>
          </cell>
          <cell r="Q8">
            <v>45</v>
          </cell>
          <cell r="R8">
            <v>56.67</v>
          </cell>
          <cell r="S8"/>
          <cell r="T8"/>
        </row>
        <row r="9">
          <cell r="A9" t="str">
            <v>SINAPI34483</v>
          </cell>
          <cell r="B9" t="str">
            <v>SINAPI</v>
          </cell>
          <cell r="C9" t="str">
            <v>34483</v>
          </cell>
          <cell r="D9" t="str">
            <v>CONCRETO USINADO BOMBEAVEL, CLASSE DE RESISTENCIA C50, COM BRITA 0 E 1, SLUMP = 100 +/- 20 MM, INCLUI SERVICO DE BOMBEAMENTO (NBR 8953)</v>
          </cell>
          <cell r="E9" t="str">
            <v>M3</v>
          </cell>
          <cell r="F9"/>
          <cell r="G9">
            <v>408.84</v>
          </cell>
          <cell r="H9">
            <v>456.38</v>
          </cell>
          <cell r="I9">
            <v>509.35</v>
          </cell>
          <cell r="J9">
            <v>511.39</v>
          </cell>
          <cell r="K9">
            <v>522.94000000000005</v>
          </cell>
          <cell r="L9">
            <v>573.87</v>
          </cell>
          <cell r="M9">
            <v>618.02</v>
          </cell>
          <cell r="N9">
            <v>624.80999999999995</v>
          </cell>
          <cell r="O9"/>
          <cell r="P9"/>
          <cell r="Q9"/>
          <cell r="R9"/>
          <cell r="S9"/>
          <cell r="T9"/>
        </row>
        <row r="10">
          <cell r="A10" t="str">
            <v>SINAPI41373</v>
          </cell>
          <cell r="B10" t="str">
            <v>SINAPI</v>
          </cell>
          <cell r="C10" t="str">
            <v>41373</v>
          </cell>
          <cell r="D10" t="str">
            <v>ADITIVO LIQUIDO IMPERMEABILIZANTE CRISTALIZANTE</v>
          </cell>
          <cell r="E10" t="str">
            <v>L</v>
          </cell>
          <cell r="F10"/>
          <cell r="G10">
            <v>20.75</v>
          </cell>
          <cell r="H10">
            <v>21.05</v>
          </cell>
          <cell r="I10">
            <v>21.05</v>
          </cell>
          <cell r="J10">
            <v>21.05</v>
          </cell>
          <cell r="K10">
            <v>21.05</v>
          </cell>
          <cell r="L10">
            <v>22.15</v>
          </cell>
          <cell r="M10">
            <v>22.28</v>
          </cell>
          <cell r="N10">
            <v>22.08</v>
          </cell>
          <cell r="O10"/>
          <cell r="P10"/>
          <cell r="Q10"/>
          <cell r="R10"/>
          <cell r="S10"/>
          <cell r="T10"/>
        </row>
        <row r="11">
          <cell r="A11" t="str">
            <v>SINAPI44536</v>
          </cell>
          <cell r="B11" t="str">
            <v>SINAPI</v>
          </cell>
          <cell r="C11" t="str">
            <v>44536</v>
          </cell>
          <cell r="D11" t="str">
            <v>SILICA ATIVA PARA ADICAO EM CONCRETO E ARGAMASSA</v>
          </cell>
          <cell r="E11" t="str">
            <v>KG</v>
          </cell>
          <cell r="F11"/>
          <cell r="G11">
            <v>2.5099999999999998</v>
          </cell>
          <cell r="H11">
            <v>2.5499999999999998</v>
          </cell>
          <cell r="I11">
            <v>2.5499999999999998</v>
          </cell>
          <cell r="J11">
            <v>2.5499999999999998</v>
          </cell>
          <cell r="K11">
            <v>2.5499999999999998</v>
          </cell>
          <cell r="L11">
            <v>2.68</v>
          </cell>
          <cell r="M11">
            <v>2.67</v>
          </cell>
          <cell r="N11">
            <v>2.67</v>
          </cell>
          <cell r="O11"/>
          <cell r="P11"/>
          <cell r="Q11"/>
          <cell r="R11"/>
          <cell r="S11"/>
          <cell r="T11"/>
        </row>
        <row r="12">
          <cell r="A12" t="str">
            <v>SINAPI34479</v>
          </cell>
          <cell r="B12" t="str">
            <v>SINAPI</v>
          </cell>
          <cell r="C12" t="str">
            <v>34479</v>
          </cell>
          <cell r="D12" t="str">
            <v>CONCRETO USINADO BOMBEAVEL, CLASSE DE RESISTENCIA C40, COM BRITA 0 E 1, SLUMP = 100 +/- 20 MM, INCLUI SERVICO DE BOMBEAMENTO (NBR 8953)</v>
          </cell>
          <cell r="E12" t="str">
            <v>M3</v>
          </cell>
          <cell r="F12"/>
          <cell r="G12"/>
          <cell r="H12"/>
          <cell r="I12">
            <v>456.25</v>
          </cell>
          <cell r="J12">
            <v>458.08</v>
          </cell>
          <cell r="K12">
            <v>468.42</v>
          </cell>
          <cell r="L12">
            <v>514.04</v>
          </cell>
          <cell r="M12">
            <v>553.59</v>
          </cell>
          <cell r="N12">
            <v>559.66999999999996</v>
          </cell>
          <cell r="O12">
            <v>577.91999999999996</v>
          </cell>
          <cell r="P12">
            <v>584</v>
          </cell>
          <cell r="Q12">
            <v>584</v>
          </cell>
          <cell r="R12">
            <v>584</v>
          </cell>
          <cell r="S12"/>
          <cell r="T12"/>
        </row>
        <row r="13">
          <cell r="A13" t="str">
            <v>DER010278</v>
          </cell>
          <cell r="B13" t="str">
            <v>DER</v>
          </cell>
          <cell r="C13" t="str">
            <v>010278</v>
          </cell>
          <cell r="D13" t="str">
            <v>MONTADOR DE ESTRUTURA</v>
          </cell>
          <cell r="E13" t="str">
            <v>H</v>
          </cell>
          <cell r="F13"/>
          <cell r="G13"/>
          <cell r="H13"/>
          <cell r="I13"/>
          <cell r="J13">
            <v>29.148691000000003</v>
          </cell>
          <cell r="K13"/>
          <cell r="L13">
            <v>29.148691000000003</v>
          </cell>
          <cell r="M13">
            <v>32.570382000000002</v>
          </cell>
          <cell r="N13"/>
          <cell r="O13"/>
          <cell r="P13"/>
          <cell r="Q13">
            <v>32.570382000000002</v>
          </cell>
          <cell r="R13">
            <v>32.570382000000002</v>
          </cell>
          <cell r="S13"/>
          <cell r="T13"/>
        </row>
        <row r="14">
          <cell r="A14" t="str">
            <v>SICROM1796</v>
          </cell>
          <cell r="B14" t="str">
            <v>SICRO</v>
          </cell>
          <cell r="C14" t="str">
            <v>M1796</v>
          </cell>
          <cell r="D14" t="str">
            <v>Acetileno</v>
          </cell>
          <cell r="E14" t="str">
            <v>kg</v>
          </cell>
          <cell r="F14"/>
          <cell r="G14"/>
          <cell r="H14"/>
          <cell r="I14"/>
          <cell r="J14">
            <v>35.552199999999999</v>
          </cell>
          <cell r="K14"/>
          <cell r="L14"/>
          <cell r="M14"/>
          <cell r="N14"/>
          <cell r="O14"/>
          <cell r="P14"/>
          <cell r="Q14">
            <v>40.6892</v>
          </cell>
          <cell r="R14">
            <v>42.284199999999998</v>
          </cell>
          <cell r="S14"/>
          <cell r="T14"/>
        </row>
        <row r="15">
          <cell r="A15" t="str">
            <v>SICROM1795</v>
          </cell>
          <cell r="B15" t="str">
            <v>SICRO</v>
          </cell>
          <cell r="C15" t="str">
            <v>M1795</v>
          </cell>
          <cell r="D15" t="str">
            <v>Oxigênio</v>
          </cell>
          <cell r="E15" t="str">
            <v>m3</v>
          </cell>
          <cell r="F15"/>
          <cell r="G15"/>
          <cell r="H15"/>
          <cell r="I15"/>
          <cell r="J15">
            <v>9.0745000000000005</v>
          </cell>
          <cell r="K15"/>
          <cell r="L15"/>
          <cell r="M15"/>
          <cell r="N15"/>
          <cell r="O15"/>
          <cell r="P15"/>
          <cell r="Q15">
            <v>9.5096000000000007</v>
          </cell>
          <cell r="R15">
            <v>9.5</v>
          </cell>
          <cell r="S15"/>
          <cell r="T15"/>
        </row>
        <row r="16">
          <cell r="A16" t="str">
            <v>SICROM1398</v>
          </cell>
          <cell r="B16" t="str">
            <v>SICRO</v>
          </cell>
          <cell r="C16" t="str">
            <v>M1398</v>
          </cell>
          <cell r="D16" t="str">
            <v>Vareta para solda oxi-gás AWS A 5.2 R45</v>
          </cell>
          <cell r="E16" t="str">
            <v>kg</v>
          </cell>
          <cell r="F16"/>
          <cell r="G16"/>
          <cell r="H16"/>
          <cell r="I16"/>
          <cell r="J16">
            <v>31.155000000000001</v>
          </cell>
          <cell r="K16"/>
          <cell r="L16"/>
          <cell r="M16"/>
          <cell r="N16"/>
          <cell r="O16"/>
          <cell r="P16"/>
          <cell r="Q16">
            <v>34.374699999999997</v>
          </cell>
          <cell r="R16">
            <v>33.583799999999997</v>
          </cell>
          <cell r="S16"/>
          <cell r="T16"/>
        </row>
        <row r="17">
          <cell r="A17" t="str">
            <v>SICROM1367</v>
          </cell>
          <cell r="B17" t="str">
            <v>SICRO</v>
          </cell>
          <cell r="C17" t="str">
            <v>M1367</v>
          </cell>
          <cell r="D17" t="str">
            <v>Chapa de aço galvanizado</v>
          </cell>
          <cell r="E17" t="str">
            <v>kg</v>
          </cell>
          <cell r="F17"/>
          <cell r="G17"/>
          <cell r="H17"/>
          <cell r="I17"/>
          <cell r="J17">
            <v>13.4368</v>
          </cell>
          <cell r="K17"/>
          <cell r="L17"/>
          <cell r="M17"/>
          <cell r="N17"/>
          <cell r="O17"/>
          <cell r="P17"/>
          <cell r="Q17">
            <v>13.883599999999999</v>
          </cell>
          <cell r="R17"/>
          <cell r="S17"/>
          <cell r="T17"/>
        </row>
        <row r="18">
          <cell r="A18" t="str">
            <v>SICROM0004</v>
          </cell>
          <cell r="B18" t="str">
            <v>SICRO</v>
          </cell>
          <cell r="C18" t="str">
            <v>M0004</v>
          </cell>
          <cell r="D18" t="str">
            <v>Aço CA 50</v>
          </cell>
          <cell r="E18" t="str">
            <v>kg</v>
          </cell>
          <cell r="F18"/>
          <cell r="G18"/>
          <cell r="H18"/>
          <cell r="I18"/>
          <cell r="J18">
            <v>9.4085000000000001</v>
          </cell>
          <cell r="K18"/>
          <cell r="L18"/>
          <cell r="M18"/>
          <cell r="N18"/>
          <cell r="O18"/>
          <cell r="P18"/>
          <cell r="Q18">
            <v>9.0609000000000002</v>
          </cell>
          <cell r="R18"/>
          <cell r="S18"/>
          <cell r="T18"/>
        </row>
        <row r="19">
          <cell r="A19" t="str">
            <v>DER049606</v>
          </cell>
          <cell r="B19" t="str">
            <v>DER</v>
          </cell>
          <cell r="C19" t="str">
            <v>049606</v>
          </cell>
          <cell r="D19" t="str">
            <v>CANTONEIRA ABAS IGUAIS DE FERRO ASTM A-36 - 3/16" X 1" X 1"</v>
          </cell>
          <cell r="E19" t="str">
            <v>M3</v>
          </cell>
          <cell r="F19"/>
          <cell r="G19"/>
          <cell r="H19"/>
          <cell r="I19"/>
          <cell r="J19"/>
          <cell r="K19"/>
          <cell r="L19">
            <v>14.96</v>
          </cell>
          <cell r="M19">
            <v>14.96</v>
          </cell>
          <cell r="N19"/>
          <cell r="O19"/>
          <cell r="P19"/>
          <cell r="Q19"/>
          <cell r="R19"/>
          <cell r="S19"/>
          <cell r="T19"/>
        </row>
        <row r="20">
          <cell r="A20" t="str">
            <v>SICROM0428</v>
          </cell>
          <cell r="B20" t="str">
            <v>SICRO</v>
          </cell>
          <cell r="C20" t="str">
            <v>M0428</v>
          </cell>
          <cell r="D20" t="str">
            <v>Cordoalha CP 190 RB - D = 15,2 mm</v>
          </cell>
          <cell r="E20" t="str">
            <v>kg</v>
          </cell>
          <cell r="F20"/>
          <cell r="G20"/>
          <cell r="H20"/>
          <cell r="I20"/>
          <cell r="J20"/>
          <cell r="K20"/>
          <cell r="L20">
            <v>12.8454</v>
          </cell>
          <cell r="M20">
            <v>12.8454</v>
          </cell>
          <cell r="N20"/>
          <cell r="O20"/>
          <cell r="P20"/>
          <cell r="Q20"/>
          <cell r="R20"/>
          <cell r="S20"/>
          <cell r="T20"/>
        </row>
        <row r="21">
          <cell r="A21" t="str">
            <v>SICROM0076</v>
          </cell>
          <cell r="B21" t="str">
            <v>SICRO</v>
          </cell>
          <cell r="C21" t="str">
            <v>M0076</v>
          </cell>
          <cell r="D21" t="str">
            <v>Disco de corte para policorte - D = 30 cm</v>
          </cell>
          <cell r="E21" t="str">
            <v>un</v>
          </cell>
          <cell r="F21"/>
          <cell r="G21"/>
          <cell r="H21"/>
          <cell r="I21"/>
          <cell r="J21"/>
          <cell r="K21"/>
          <cell r="L21">
            <v>15.234299999999999</v>
          </cell>
          <cell r="M21">
            <v>15.234299999999999</v>
          </cell>
          <cell r="N21"/>
          <cell r="O21"/>
          <cell r="P21"/>
          <cell r="Q21"/>
          <cell r="R21"/>
          <cell r="S21"/>
          <cell r="T21"/>
        </row>
        <row r="22">
          <cell r="A22" t="str">
            <v>SICROM2130</v>
          </cell>
          <cell r="B22" t="str">
            <v>SICRO</v>
          </cell>
          <cell r="C22" t="str">
            <v>M2130</v>
          </cell>
          <cell r="D22" t="str">
            <v>Eletrodo E70 xx</v>
          </cell>
          <cell r="E22" t="str">
            <v>kg</v>
          </cell>
          <cell r="F22"/>
          <cell r="G22"/>
          <cell r="H22"/>
          <cell r="I22"/>
          <cell r="J22"/>
          <cell r="K22"/>
          <cell r="L22">
            <v>28.699000000000002</v>
          </cell>
          <cell r="M22">
            <v>28.699000000000002</v>
          </cell>
          <cell r="N22"/>
          <cell r="O22"/>
          <cell r="P22"/>
          <cell r="Q22"/>
          <cell r="R22"/>
          <cell r="S22"/>
          <cell r="T22"/>
        </row>
        <row r="23">
          <cell r="A23" t="str">
            <v>DER010139</v>
          </cell>
          <cell r="B23" t="str">
            <v>DER</v>
          </cell>
          <cell r="C23" t="str">
            <v>010139</v>
          </cell>
          <cell r="D23" t="str">
            <v>PEDREIRO</v>
          </cell>
          <cell r="E23" t="str">
            <v>H</v>
          </cell>
          <cell r="F23"/>
          <cell r="G23"/>
          <cell r="H23"/>
          <cell r="I23"/>
          <cell r="J23"/>
          <cell r="K23"/>
          <cell r="L23">
            <v>19.115161000000001</v>
          </cell>
          <cell r="M23">
            <v>21.353410000000004</v>
          </cell>
          <cell r="N23">
            <v>21.353410000000004</v>
          </cell>
          <cell r="O23"/>
          <cell r="P23"/>
          <cell r="Q23">
            <v>21.353410000000004</v>
          </cell>
          <cell r="R23">
            <v>21.353410000000004</v>
          </cell>
          <cell r="S23"/>
          <cell r="T23">
            <v>19.115161000000001</v>
          </cell>
        </row>
        <row r="24">
          <cell r="A24" t="str">
            <v>SINAPI10917</v>
          </cell>
          <cell r="B24" t="str">
            <v>SINAPI</v>
          </cell>
          <cell r="C24" t="str">
            <v>10917</v>
          </cell>
          <cell r="D24" t="str">
            <v>TELA DE ACO SOLDADA NERVURADA, CA-60, Q-61, (0,97 KG/M2), DIAMETRO DO FIO = 3,4 MM, LARGURA = 2,45 M, ESPACAMENTO DA MALHA = 15 X 15 CM</v>
          </cell>
          <cell r="E24" t="str">
            <v>m2</v>
          </cell>
          <cell r="F24"/>
          <cell r="G24"/>
          <cell r="H24"/>
          <cell r="I24"/>
          <cell r="J24"/>
          <cell r="K24"/>
          <cell r="L24">
            <v>16.04</v>
          </cell>
          <cell r="M24">
            <v>16.05</v>
          </cell>
          <cell r="N24"/>
          <cell r="O24"/>
          <cell r="P24"/>
          <cell r="Q24">
            <v>14.79</v>
          </cell>
          <cell r="R24">
            <v>14.81</v>
          </cell>
          <cell r="S24"/>
          <cell r="T24">
            <v>14.79</v>
          </cell>
        </row>
        <row r="25">
          <cell r="A25" t="str">
            <v>SINAPI39315</v>
          </cell>
          <cell r="B25" t="str">
            <v>SINAPI</v>
          </cell>
          <cell r="C25" t="str">
            <v>39315</v>
          </cell>
          <cell r="D25" t="str">
            <v>ESPACADOR / DISTANCIADOR TIPO GARRA DUPLA, EM PLASTICO, COBRIMENTO *20* MM, PARA FERRAGENS DE LAJES E FUNDO DE VIGAS</v>
          </cell>
          <cell r="E25" t="str">
            <v>un</v>
          </cell>
          <cell r="F25"/>
          <cell r="G25"/>
          <cell r="H25"/>
          <cell r="I25"/>
          <cell r="J25"/>
          <cell r="K25"/>
          <cell r="L25">
            <v>0.44</v>
          </cell>
          <cell r="M25">
            <v>0.45</v>
          </cell>
          <cell r="N25"/>
          <cell r="O25"/>
          <cell r="P25"/>
          <cell r="Q25">
            <v>0.35</v>
          </cell>
          <cell r="R25">
            <v>0.35</v>
          </cell>
          <cell r="S25"/>
          <cell r="T25">
            <v>0.35</v>
          </cell>
        </row>
        <row r="26">
          <cell r="A26" t="str">
            <v>DER027005</v>
          </cell>
          <cell r="B26" t="str">
            <v>DER</v>
          </cell>
          <cell r="C26" t="str">
            <v>027005</v>
          </cell>
          <cell r="D26" t="str">
            <v>ARAME GALVANIZADO N.16 BWG</v>
          </cell>
          <cell r="E26" t="str">
            <v>kg</v>
          </cell>
          <cell r="F26"/>
          <cell r="G26"/>
          <cell r="H26"/>
          <cell r="I26"/>
          <cell r="J26"/>
          <cell r="K26"/>
          <cell r="L26">
            <v>28.63</v>
          </cell>
          <cell r="M26">
            <v>28.63</v>
          </cell>
          <cell r="N26"/>
          <cell r="O26"/>
          <cell r="P26"/>
          <cell r="Q26">
            <v>28.63</v>
          </cell>
          <cell r="R26">
            <v>20.75</v>
          </cell>
          <cell r="S26"/>
          <cell r="T26">
            <v>20.75</v>
          </cell>
        </row>
        <row r="27">
          <cell r="A27" t="str">
            <v>DER020503</v>
          </cell>
          <cell r="B27" t="str">
            <v>DER</v>
          </cell>
          <cell r="C27" t="str">
            <v>020503</v>
          </cell>
          <cell r="D27" t="str">
            <v>AREIA LAVADA MEDIA</v>
          </cell>
          <cell r="E27" t="str">
            <v>kg</v>
          </cell>
          <cell r="F27"/>
          <cell r="G27"/>
          <cell r="H27"/>
          <cell r="I27"/>
          <cell r="J27"/>
          <cell r="K27"/>
          <cell r="L27">
            <v>112.86</v>
          </cell>
          <cell r="M27">
            <v>112.86</v>
          </cell>
          <cell r="N27">
            <v>124.64</v>
          </cell>
          <cell r="O27"/>
          <cell r="P27"/>
          <cell r="Q27">
            <v>132.5</v>
          </cell>
          <cell r="R27">
            <v>136.66999999999999</v>
          </cell>
          <cell r="S27"/>
          <cell r="T27">
            <v>156.66999999999999</v>
          </cell>
        </row>
        <row r="28">
          <cell r="A28" t="str">
            <v>DER020517</v>
          </cell>
          <cell r="B28" t="str">
            <v>DER</v>
          </cell>
          <cell r="C28" t="str">
            <v>020517</v>
          </cell>
          <cell r="D28" t="str">
            <v>BRITA 1</v>
          </cell>
          <cell r="E28" t="str">
            <v>kg</v>
          </cell>
          <cell r="F28"/>
          <cell r="G28"/>
          <cell r="H28"/>
          <cell r="I28"/>
          <cell r="J28"/>
          <cell r="K28"/>
          <cell r="L28">
            <v>130.12</v>
          </cell>
          <cell r="M28">
            <v>130.12</v>
          </cell>
          <cell r="N28"/>
          <cell r="O28"/>
          <cell r="P28"/>
          <cell r="Q28">
            <v>143.1</v>
          </cell>
          <cell r="R28">
            <v>152.6</v>
          </cell>
          <cell r="S28"/>
          <cell r="T28">
            <v>136.33000000000001</v>
          </cell>
        </row>
        <row r="29">
          <cell r="A29" t="str">
            <v>DER020518</v>
          </cell>
          <cell r="B29" t="str">
            <v>DER</v>
          </cell>
          <cell r="C29" t="str">
            <v>020518</v>
          </cell>
          <cell r="D29" t="str">
            <v>BRITA 2</v>
          </cell>
          <cell r="E29" t="str">
            <v>kg</v>
          </cell>
          <cell r="F29"/>
          <cell r="G29"/>
          <cell r="H29"/>
          <cell r="I29"/>
          <cell r="J29"/>
          <cell r="K29"/>
          <cell r="L29">
            <v>130.12</v>
          </cell>
          <cell r="M29">
            <v>130.12</v>
          </cell>
          <cell r="N29"/>
          <cell r="O29"/>
          <cell r="P29"/>
          <cell r="Q29">
            <v>143.1</v>
          </cell>
          <cell r="R29">
            <v>152.6</v>
          </cell>
          <cell r="S29"/>
          <cell r="T29">
            <v>136.33000000000001</v>
          </cell>
        </row>
        <row r="30">
          <cell r="A30" t="str">
            <v>DER020508</v>
          </cell>
          <cell r="B30" t="str">
            <v>DER</v>
          </cell>
          <cell r="C30" t="str">
            <v>020508</v>
          </cell>
          <cell r="D30" t="str">
            <v>CIMENTO PORTLAND CP III - 40</v>
          </cell>
          <cell r="E30" t="str">
            <v>kg</v>
          </cell>
          <cell r="F30"/>
          <cell r="G30"/>
          <cell r="H30"/>
          <cell r="I30"/>
          <cell r="J30"/>
          <cell r="K30"/>
          <cell r="L30">
            <v>0.49</v>
          </cell>
          <cell r="M30">
            <v>0.49</v>
          </cell>
          <cell r="N30">
            <v>0.6</v>
          </cell>
          <cell r="O30"/>
          <cell r="P30"/>
          <cell r="Q30">
            <v>0.61</v>
          </cell>
          <cell r="R30">
            <v>0.63</v>
          </cell>
          <cell r="S30"/>
          <cell r="T30">
            <v>0.63</v>
          </cell>
        </row>
        <row r="31">
          <cell r="A31" t="str">
            <v>DER024015</v>
          </cell>
          <cell r="B31" t="str">
            <v>DER</v>
          </cell>
          <cell r="C31" t="str">
            <v>024015</v>
          </cell>
          <cell r="D31" t="str">
            <v>SIKA 1</v>
          </cell>
          <cell r="E31" t="str">
            <v>kg</v>
          </cell>
          <cell r="F31"/>
          <cell r="G31"/>
          <cell r="H31"/>
          <cell r="I31"/>
          <cell r="J31"/>
          <cell r="K31"/>
          <cell r="L31">
            <v>6.45</v>
          </cell>
          <cell r="M31">
            <v>6.45</v>
          </cell>
          <cell r="N31"/>
          <cell r="O31"/>
          <cell r="P31"/>
          <cell r="Q31">
            <v>6.45</v>
          </cell>
          <cell r="R31">
            <v>8.48</v>
          </cell>
          <cell r="S31"/>
          <cell r="T31">
            <v>8.48</v>
          </cell>
        </row>
        <row r="32">
          <cell r="A32" t="str">
            <v>DER010111</v>
          </cell>
          <cell r="B32" t="str">
            <v>DER</v>
          </cell>
          <cell r="C32" t="str">
            <v>010111</v>
          </cell>
          <cell r="D32" t="str">
            <v>CARPINTEIRO</v>
          </cell>
          <cell r="E32" t="str">
            <v>H</v>
          </cell>
          <cell r="F32">
            <v>19.115161000000001</v>
          </cell>
          <cell r="G32"/>
          <cell r="H32"/>
          <cell r="I32"/>
          <cell r="J32"/>
          <cell r="K32"/>
          <cell r="L32"/>
          <cell r="M32">
            <v>21.353410000000004</v>
          </cell>
          <cell r="N32"/>
          <cell r="O32"/>
          <cell r="P32"/>
          <cell r="Q32"/>
          <cell r="R32"/>
          <cell r="S32"/>
          <cell r="T32"/>
        </row>
        <row r="33">
          <cell r="A33" t="str">
            <v>SICROM2119</v>
          </cell>
          <cell r="B33" t="str">
            <v>SICRO</v>
          </cell>
          <cell r="C33" t="str">
            <v>M2119</v>
          </cell>
          <cell r="D33" t="str">
            <v>Mourão de madeira - H = 2,80 m e D = 15 cm</v>
          </cell>
          <cell r="E33" t="str">
            <v>M</v>
          </cell>
          <cell r="F33">
            <v>52.021299999999997</v>
          </cell>
          <cell r="G33"/>
          <cell r="H33"/>
          <cell r="I33"/>
          <cell r="J33"/>
          <cell r="K33"/>
          <cell r="L33"/>
          <cell r="M33">
            <v>61.545400000000001</v>
          </cell>
          <cell r="N33"/>
          <cell r="O33"/>
          <cell r="P33"/>
          <cell r="Q33"/>
          <cell r="R33"/>
          <cell r="S33"/>
          <cell r="T33"/>
        </row>
        <row r="34">
          <cell r="A34" t="str">
            <v>DER021111</v>
          </cell>
          <cell r="B34" t="str">
            <v>DER</v>
          </cell>
          <cell r="C34" t="str">
            <v>021111</v>
          </cell>
          <cell r="D34" t="str">
            <v>PECA EM MADEIRA E LEI 6X16CM (BRUTA)</v>
          </cell>
          <cell r="E34" t="str">
            <v>M</v>
          </cell>
          <cell r="F34">
            <v>75.97</v>
          </cell>
          <cell r="G34"/>
          <cell r="H34"/>
          <cell r="I34"/>
          <cell r="J34"/>
          <cell r="K34"/>
          <cell r="L34"/>
          <cell r="M34">
            <v>71.13</v>
          </cell>
          <cell r="N34"/>
          <cell r="O34"/>
          <cell r="P34"/>
          <cell r="Q34"/>
          <cell r="R34"/>
          <cell r="S34"/>
          <cell r="T34"/>
        </row>
        <row r="35">
          <cell r="A35" t="str">
            <v>DER026569</v>
          </cell>
          <cell r="B35" t="str">
            <v>DER</v>
          </cell>
          <cell r="C35" t="str">
            <v>026569</v>
          </cell>
          <cell r="D35" t="str">
            <v>PREGO 18X27 (LABOR)</v>
          </cell>
          <cell r="E35" t="str">
            <v>KG</v>
          </cell>
          <cell r="F35">
            <v>18.829999999999998</v>
          </cell>
          <cell r="G35"/>
          <cell r="H35"/>
          <cell r="I35"/>
          <cell r="J35"/>
          <cell r="K35"/>
          <cell r="L35"/>
          <cell r="M35">
            <v>18.510000000000002</v>
          </cell>
          <cell r="N35"/>
          <cell r="O35"/>
          <cell r="P35"/>
          <cell r="Q35">
            <v>18.510000000000002</v>
          </cell>
          <cell r="R35"/>
          <cell r="S35"/>
          <cell r="T35">
            <v>17.28</v>
          </cell>
        </row>
        <row r="36">
          <cell r="A36" t="str">
            <v>DER010150</v>
          </cell>
          <cell r="B36" t="str">
            <v>DER</v>
          </cell>
          <cell r="C36" t="str">
            <v>010150</v>
          </cell>
          <cell r="D36" t="str">
            <v>TELHADISTA</v>
          </cell>
          <cell r="E36" t="str">
            <v>H</v>
          </cell>
          <cell r="F36"/>
          <cell r="G36"/>
          <cell r="H36"/>
          <cell r="I36"/>
          <cell r="J36"/>
          <cell r="K36"/>
          <cell r="L36"/>
          <cell r="M36">
            <v>21.353410000000004</v>
          </cell>
          <cell r="N36"/>
          <cell r="O36"/>
          <cell r="P36"/>
          <cell r="Q36">
            <v>21.353410000000004</v>
          </cell>
          <cell r="R36"/>
          <cell r="S36"/>
          <cell r="T36">
            <v>21.353410000000004</v>
          </cell>
        </row>
        <row r="37">
          <cell r="A37" t="str">
            <v>DER029337</v>
          </cell>
          <cell r="B37" t="str">
            <v>DER</v>
          </cell>
          <cell r="C37" t="str">
            <v>029337</v>
          </cell>
          <cell r="D37" t="str">
            <v>SELANTE A BASE DE POLIURETANO SIKAFLEX UNIVERSAL OU EQUIVALENTE (CARTUCHO COM 300ML)</v>
          </cell>
          <cell r="E37" t="str">
            <v>UM</v>
          </cell>
          <cell r="F37"/>
          <cell r="G37"/>
          <cell r="H37"/>
          <cell r="I37"/>
          <cell r="J37"/>
          <cell r="K37"/>
          <cell r="L37"/>
          <cell r="M37">
            <v>43.37</v>
          </cell>
          <cell r="N37"/>
          <cell r="O37"/>
          <cell r="P37"/>
          <cell r="Q37">
            <v>43.37</v>
          </cell>
          <cell r="R37"/>
          <cell r="S37"/>
          <cell r="T37">
            <v>58.41</v>
          </cell>
        </row>
        <row r="38">
          <cell r="A38" t="str">
            <v>SINAPI5104</v>
          </cell>
          <cell r="B38" t="str">
            <v>SINAPI</v>
          </cell>
          <cell r="C38">
            <v>5104</v>
          </cell>
          <cell r="D38" t="str">
            <v>REBITE DE ALUMINIO VAZADO DE REPUXO, 3,2 X 8 MM (1KG = 1025 UNIDADES)</v>
          </cell>
          <cell r="E38" t="str">
            <v>KG</v>
          </cell>
          <cell r="F38"/>
          <cell r="G38"/>
          <cell r="H38"/>
          <cell r="I38"/>
          <cell r="J38"/>
          <cell r="K38"/>
          <cell r="L38"/>
          <cell r="M38">
            <v>77.14</v>
          </cell>
          <cell r="N38"/>
          <cell r="O38"/>
          <cell r="P38"/>
          <cell r="Q38">
            <v>66.930000000000007</v>
          </cell>
          <cell r="R38"/>
          <cell r="S38"/>
          <cell r="T38">
            <v>68.94</v>
          </cell>
        </row>
        <row r="39">
          <cell r="A39" t="str">
            <v>SINAPI13388</v>
          </cell>
          <cell r="B39" t="str">
            <v>SINAPI</v>
          </cell>
          <cell r="C39" t="str">
            <v>13388</v>
          </cell>
          <cell r="D39" t="str">
            <v>SOLDA EM BARRA DE ESTANHO-CHUMBO 50/50</v>
          </cell>
          <cell r="E39" t="str">
            <v>KG</v>
          </cell>
          <cell r="F39"/>
          <cell r="G39"/>
          <cell r="H39"/>
          <cell r="I39"/>
          <cell r="J39"/>
          <cell r="K39"/>
          <cell r="L39"/>
          <cell r="M39">
            <v>152.07</v>
          </cell>
          <cell r="N39"/>
          <cell r="O39"/>
          <cell r="P39"/>
          <cell r="Q39">
            <v>151.72999999999999</v>
          </cell>
          <cell r="R39"/>
          <cell r="S39"/>
          <cell r="T39">
            <v>153.13999999999999</v>
          </cell>
        </row>
        <row r="40">
          <cell r="A40" t="str">
            <v>SINAPI1110</v>
          </cell>
          <cell r="B40" t="str">
            <v>SINAPI</v>
          </cell>
          <cell r="C40" t="str">
            <v>1110</v>
          </cell>
          <cell r="D40" t="str">
            <v>CALHA PLATIBANDA DE CHAPA DE ACO GALVANIZADA NUM 26, CORTE 45 CM</v>
          </cell>
          <cell r="E40" t="str">
            <v>M</v>
          </cell>
          <cell r="F40"/>
          <cell r="G40"/>
          <cell r="H40"/>
          <cell r="I40"/>
          <cell r="J40"/>
          <cell r="K40"/>
          <cell r="L40"/>
          <cell r="M40">
            <v>52.37</v>
          </cell>
          <cell r="N40"/>
          <cell r="O40"/>
          <cell r="P40"/>
          <cell r="Q40">
            <v>50.92</v>
          </cell>
          <cell r="R40"/>
          <cell r="S40"/>
          <cell r="T40">
            <v>51.67</v>
          </cell>
        </row>
        <row r="41">
          <cell r="A41" t="str">
            <v>DER010140</v>
          </cell>
          <cell r="B41" t="str">
            <v>DER</v>
          </cell>
          <cell r="C41" t="str">
            <v>010140</v>
          </cell>
          <cell r="D41" t="str">
            <v>PINTOR</v>
          </cell>
          <cell r="E41" t="str">
            <v>H</v>
          </cell>
          <cell r="F41"/>
          <cell r="G41"/>
          <cell r="H41"/>
          <cell r="I41"/>
          <cell r="J41"/>
          <cell r="K41"/>
          <cell r="L41"/>
          <cell r="M41"/>
          <cell r="N41">
            <v>21.353410000000004</v>
          </cell>
          <cell r="O41"/>
          <cell r="P41"/>
          <cell r="Q41"/>
          <cell r="R41">
            <v>21.353410000000004</v>
          </cell>
          <cell r="S41"/>
          <cell r="T41"/>
        </row>
        <row r="42">
          <cell r="A42" t="str">
            <v>DER038001</v>
          </cell>
          <cell r="B42" t="str">
            <v>DER</v>
          </cell>
          <cell r="C42" t="str">
            <v>038001</v>
          </cell>
          <cell r="D42" t="str">
            <v>AGUARRAZ MINERAL</v>
          </cell>
          <cell r="E42" t="str">
            <v>L</v>
          </cell>
          <cell r="F42"/>
          <cell r="G42"/>
          <cell r="H42"/>
          <cell r="I42"/>
          <cell r="J42"/>
          <cell r="K42"/>
          <cell r="L42"/>
          <cell r="M42"/>
          <cell r="N42">
            <v>17.34</v>
          </cell>
          <cell r="O42"/>
          <cell r="P42"/>
          <cell r="Q42"/>
          <cell r="R42">
            <v>18.63</v>
          </cell>
          <cell r="S42"/>
          <cell r="T42"/>
        </row>
        <row r="43">
          <cell r="A43" t="str">
            <v>DER068020</v>
          </cell>
          <cell r="B43" t="str">
            <v>DER</v>
          </cell>
          <cell r="C43" t="str">
            <v>068020</v>
          </cell>
          <cell r="D43" t="str">
            <v>CHAPA DE ACO GALVANIZADO Nº 16 (ESP. 1,55MM)</v>
          </cell>
          <cell r="E43" t="str">
            <v>M2</v>
          </cell>
          <cell r="F43"/>
          <cell r="G43"/>
          <cell r="H43"/>
          <cell r="I43"/>
          <cell r="J43"/>
          <cell r="K43"/>
          <cell r="L43"/>
          <cell r="M43"/>
          <cell r="N43">
            <v>142.12</v>
          </cell>
          <cell r="O43"/>
          <cell r="P43"/>
          <cell r="Q43"/>
          <cell r="R43">
            <v>158.72</v>
          </cell>
          <cell r="S43"/>
          <cell r="T43"/>
        </row>
        <row r="44">
          <cell r="A44" t="str">
            <v>DER037502</v>
          </cell>
          <cell r="B44" t="str">
            <v>DER</v>
          </cell>
          <cell r="C44" t="str">
            <v>037502</v>
          </cell>
          <cell r="D44" t="str">
            <v>ESMALTE SINTETICO</v>
          </cell>
          <cell r="E44" t="str">
            <v>L</v>
          </cell>
          <cell r="F44"/>
          <cell r="G44"/>
          <cell r="H44"/>
          <cell r="I44"/>
          <cell r="J44"/>
          <cell r="K44"/>
          <cell r="L44"/>
          <cell r="M44"/>
          <cell r="N44">
            <v>36.479999999999997</v>
          </cell>
          <cell r="O44"/>
          <cell r="P44"/>
          <cell r="Q44"/>
          <cell r="R44">
            <v>45.05</v>
          </cell>
          <cell r="S44"/>
          <cell r="T44"/>
        </row>
        <row r="45">
          <cell r="A45" t="str">
            <v>DER038012</v>
          </cell>
          <cell r="B45" t="str">
            <v>DER</v>
          </cell>
          <cell r="C45" t="str">
            <v>038012</v>
          </cell>
          <cell r="D45" t="str">
            <v>LIXA P/ FERRO Nº 100 K-246 225X275MM - NORTON OU EQUIVALENTE</v>
          </cell>
          <cell r="E45" t="str">
            <v>UN</v>
          </cell>
          <cell r="F45"/>
          <cell r="G45"/>
          <cell r="H45"/>
          <cell r="I45"/>
          <cell r="J45"/>
          <cell r="K45"/>
          <cell r="L45"/>
          <cell r="M45"/>
          <cell r="N45">
            <v>2.98</v>
          </cell>
          <cell r="O45"/>
          <cell r="P45"/>
          <cell r="Q45"/>
          <cell r="R45">
            <v>3.34</v>
          </cell>
          <cell r="S45"/>
          <cell r="T45"/>
        </row>
        <row r="46">
          <cell r="A46" t="str">
            <v>DER026612</v>
          </cell>
          <cell r="B46" t="str">
            <v>DER</v>
          </cell>
          <cell r="C46" t="str">
            <v>026612</v>
          </cell>
          <cell r="D46" t="str">
            <v>PARAFUSO COM BUCHA S-10</v>
          </cell>
          <cell r="E46" t="str">
            <v>UN</v>
          </cell>
          <cell r="F46"/>
          <cell r="G46"/>
          <cell r="H46"/>
          <cell r="I46"/>
          <cell r="J46"/>
          <cell r="K46"/>
          <cell r="L46"/>
          <cell r="M46"/>
          <cell r="N46">
            <v>0.66</v>
          </cell>
          <cell r="O46"/>
          <cell r="P46"/>
          <cell r="Q46"/>
          <cell r="R46">
            <v>0.62</v>
          </cell>
          <cell r="S46"/>
          <cell r="T46"/>
        </row>
        <row r="47">
          <cell r="A47" t="str">
            <v>DER070328</v>
          </cell>
          <cell r="B47" t="str">
            <v>DER</v>
          </cell>
          <cell r="C47" t="str">
            <v>070328</v>
          </cell>
          <cell r="D47" t="str">
            <v>TUBO ACO GALV 60,30 X 3,75MM (2") DIN 2440 - MEDIO</v>
          </cell>
          <cell r="E47" t="str">
            <v>M</v>
          </cell>
          <cell r="F47"/>
          <cell r="G47"/>
          <cell r="H47"/>
          <cell r="I47"/>
          <cell r="J47"/>
          <cell r="K47"/>
          <cell r="L47"/>
          <cell r="M47"/>
          <cell r="N47">
            <v>94.62</v>
          </cell>
          <cell r="O47"/>
          <cell r="P47"/>
          <cell r="Q47"/>
          <cell r="R47">
            <v>80.28</v>
          </cell>
          <cell r="S47"/>
          <cell r="T47"/>
        </row>
        <row r="48">
          <cell r="A48" t="str">
            <v>DER060501</v>
          </cell>
          <cell r="B48" t="str">
            <v>DER</v>
          </cell>
          <cell r="C48" t="str">
            <v>060501</v>
          </cell>
          <cell r="D48" t="str">
            <v>TUBO DE ACO GALVANIZADO 21,30 X 2,25MM (1/2") LEVE</v>
          </cell>
          <cell r="E48" t="str">
            <v>M</v>
          </cell>
          <cell r="F48"/>
          <cell r="G48"/>
          <cell r="H48"/>
          <cell r="I48"/>
          <cell r="J48"/>
          <cell r="K48"/>
          <cell r="L48"/>
          <cell r="M48"/>
          <cell r="N48">
            <v>22.91</v>
          </cell>
          <cell r="O48"/>
          <cell r="P48"/>
          <cell r="Q48"/>
          <cell r="R48">
            <v>18.98</v>
          </cell>
          <cell r="S48"/>
          <cell r="T48"/>
        </row>
        <row r="49">
          <cell r="A49" t="str">
            <v>DER038028</v>
          </cell>
          <cell r="B49" t="str">
            <v>DER</v>
          </cell>
          <cell r="C49" t="str">
            <v>038028</v>
          </cell>
          <cell r="D49" t="str">
            <v>ZARCAO</v>
          </cell>
          <cell r="E49" t="str">
            <v>L</v>
          </cell>
          <cell r="F49"/>
          <cell r="G49"/>
          <cell r="H49"/>
          <cell r="I49"/>
          <cell r="J49"/>
          <cell r="K49"/>
          <cell r="L49"/>
          <cell r="M49">
            <v>28.81</v>
          </cell>
          <cell r="N49">
            <v>28.81</v>
          </cell>
          <cell r="O49"/>
          <cell r="P49"/>
          <cell r="Q49"/>
          <cell r="R49">
            <v>32.25</v>
          </cell>
          <cell r="S49"/>
          <cell r="T49"/>
        </row>
        <row r="50">
          <cell r="A50" t="str">
            <v>DER010118</v>
          </cell>
          <cell r="B50" t="str">
            <v>DER</v>
          </cell>
          <cell r="C50" t="str">
            <v>010118</v>
          </cell>
          <cell r="D50" t="str">
            <v>ENCANADOR</v>
          </cell>
          <cell r="E50" t="str">
            <v>H</v>
          </cell>
          <cell r="F50"/>
          <cell r="G50"/>
          <cell r="H50"/>
          <cell r="I50"/>
          <cell r="J50"/>
          <cell r="K50"/>
          <cell r="L50"/>
          <cell r="M50"/>
          <cell r="N50"/>
          <cell r="O50"/>
          <cell r="P50">
            <v>21.353410000000004</v>
          </cell>
          <cell r="Q50">
            <v>21.353410000000004</v>
          </cell>
          <cell r="R50">
            <v>21.353410000000004</v>
          </cell>
          <cell r="S50">
            <v>21.353410000000004</v>
          </cell>
          <cell r="T50"/>
        </row>
        <row r="51">
          <cell r="A51" t="str">
            <v>DER010115</v>
          </cell>
          <cell r="B51" t="str">
            <v>DER</v>
          </cell>
          <cell r="C51" t="str">
            <v>010115</v>
          </cell>
          <cell r="D51" t="str">
            <v>ELETRICISTA</v>
          </cell>
          <cell r="E51" t="str">
            <v>H</v>
          </cell>
          <cell r="F51"/>
          <cell r="G51"/>
          <cell r="H51"/>
          <cell r="I51"/>
          <cell r="J51"/>
          <cell r="K51"/>
          <cell r="L51"/>
          <cell r="M51"/>
          <cell r="N51"/>
          <cell r="O51"/>
          <cell r="P51">
            <v>21.353410000000004</v>
          </cell>
          <cell r="Q51">
            <v>21.353410000000004</v>
          </cell>
          <cell r="R51">
            <v>21.353410000000004</v>
          </cell>
          <cell r="S51">
            <v>21.353410000000004</v>
          </cell>
          <cell r="T51"/>
        </row>
        <row r="52">
          <cell r="A52" t="str">
            <v>DER021521</v>
          </cell>
          <cell r="B52" t="str">
            <v>DER</v>
          </cell>
          <cell r="C52" t="str">
            <v>021521</v>
          </cell>
          <cell r="D52" t="str">
            <v>ACO CA-50 DE 20.0MM</v>
          </cell>
          <cell r="E52" t="str">
            <v>KG</v>
          </cell>
          <cell r="F52"/>
          <cell r="G52"/>
          <cell r="H52"/>
          <cell r="I52"/>
          <cell r="J52"/>
          <cell r="K52"/>
          <cell r="L52"/>
          <cell r="M52"/>
          <cell r="N52"/>
          <cell r="O52">
            <v>7.92</v>
          </cell>
          <cell r="P52">
            <v>7.1</v>
          </cell>
          <cell r="Q52">
            <v>7.1</v>
          </cell>
          <cell r="R52">
            <v>6.9</v>
          </cell>
          <cell r="S52"/>
          <cell r="T52"/>
        </row>
        <row r="53">
          <cell r="A53" t="str">
            <v>DER027006</v>
          </cell>
          <cell r="B53" t="str">
            <v>DER</v>
          </cell>
          <cell r="C53" t="str">
            <v>027006</v>
          </cell>
          <cell r="D53" t="str">
            <v>ARAME GALVANIZADO N.18 BWG</v>
          </cell>
          <cell r="E53" t="str">
            <v>KG</v>
          </cell>
          <cell r="F53"/>
          <cell r="G53"/>
          <cell r="H53"/>
          <cell r="I53"/>
          <cell r="J53"/>
          <cell r="K53"/>
          <cell r="L53"/>
          <cell r="M53"/>
          <cell r="N53"/>
          <cell r="O53">
            <v>30.1</v>
          </cell>
          <cell r="P53">
            <v>30.1</v>
          </cell>
          <cell r="Q53">
            <v>30.1</v>
          </cell>
          <cell r="R53">
            <v>29.4</v>
          </cell>
          <cell r="S53"/>
          <cell r="T53"/>
        </row>
        <row r="54">
          <cell r="A54" t="str">
            <v>SICROM1313</v>
          </cell>
          <cell r="B54" t="str">
            <v>SICRO</v>
          </cell>
          <cell r="C54" t="str">
            <v>M1313</v>
          </cell>
          <cell r="D54" t="str">
            <v>Roller bit - TCI button cutter - serie 8 - D = 600 mm</v>
          </cell>
          <cell r="E54" t="str">
            <v>UND</v>
          </cell>
          <cell r="F54"/>
          <cell r="G54"/>
          <cell r="H54"/>
          <cell r="I54"/>
          <cell r="J54"/>
          <cell r="K54"/>
          <cell r="L54"/>
          <cell r="M54"/>
          <cell r="N54"/>
          <cell r="O54"/>
          <cell r="P54"/>
          <cell r="Q54"/>
          <cell r="R54">
            <v>185319.91500000001</v>
          </cell>
          <cell r="S54"/>
          <cell r="T54"/>
        </row>
        <row r="55">
          <cell r="A55" t="str">
            <v>DER080170</v>
          </cell>
          <cell r="B55" t="str">
            <v>DER</v>
          </cell>
          <cell r="C55" t="str">
            <v>080170</v>
          </cell>
          <cell r="D55" t="str">
            <v>CAMINHAO CARR MBENZ L1620/51 C/GUIND. 6T X M(E434)</v>
          </cell>
          <cell r="E55" t="str">
            <v>H</v>
          </cell>
          <cell r="F55">
            <v>179.19</v>
          </cell>
          <cell r="G55"/>
          <cell r="H55"/>
          <cell r="I55"/>
          <cell r="J55"/>
          <cell r="K55"/>
          <cell r="L55"/>
          <cell r="M55"/>
          <cell r="N55"/>
          <cell r="O55"/>
          <cell r="P55"/>
          <cell r="Q55"/>
          <cell r="R55"/>
          <cell r="S55"/>
          <cell r="T55"/>
        </row>
        <row r="56">
          <cell r="A56" t="str">
            <v/>
          </cell>
          <cell r="B56"/>
          <cell r="C56"/>
          <cell r="D56"/>
          <cell r="E56"/>
          <cell r="F56"/>
          <cell r="G56"/>
          <cell r="H56"/>
          <cell r="I56"/>
          <cell r="J56"/>
          <cell r="K56"/>
          <cell r="L56"/>
          <cell r="M56"/>
          <cell r="N56"/>
          <cell r="O56"/>
          <cell r="P56"/>
          <cell r="Q56"/>
          <cell r="R56"/>
          <cell r="S56"/>
          <cell r="T56"/>
        </row>
        <row r="57">
          <cell r="A57" t="str">
            <v/>
          </cell>
          <cell r="B57"/>
          <cell r="C57"/>
          <cell r="D57"/>
          <cell r="E57"/>
          <cell r="F57"/>
          <cell r="G57"/>
          <cell r="H57"/>
          <cell r="I57"/>
          <cell r="J57"/>
          <cell r="K57"/>
          <cell r="L57"/>
          <cell r="M57"/>
          <cell r="N57"/>
          <cell r="O57"/>
          <cell r="P57"/>
          <cell r="Q57"/>
          <cell r="R57"/>
          <cell r="S57"/>
          <cell r="T57"/>
        </row>
        <row r="58">
          <cell r="A58" t="str">
            <v/>
          </cell>
          <cell r="B58"/>
          <cell r="C58"/>
          <cell r="D58"/>
          <cell r="E58"/>
          <cell r="F58"/>
          <cell r="G58"/>
          <cell r="H58"/>
          <cell r="I58"/>
          <cell r="J58"/>
          <cell r="K58"/>
          <cell r="L58"/>
          <cell r="M58"/>
          <cell r="N58"/>
          <cell r="O58"/>
          <cell r="P58"/>
          <cell r="Q58"/>
          <cell r="R58"/>
          <cell r="S58"/>
          <cell r="T58"/>
        </row>
        <row r="59">
          <cell r="A59" t="str">
            <v/>
          </cell>
          <cell r="B59"/>
          <cell r="C59"/>
          <cell r="D59"/>
          <cell r="E59"/>
          <cell r="F59"/>
          <cell r="G59"/>
          <cell r="H59"/>
          <cell r="I59"/>
          <cell r="J59"/>
          <cell r="K59"/>
          <cell r="L59"/>
          <cell r="M59"/>
          <cell r="N59"/>
          <cell r="O59"/>
          <cell r="P59"/>
          <cell r="Q59"/>
          <cell r="R59"/>
          <cell r="S59"/>
          <cell r="T59"/>
        </row>
        <row r="60">
          <cell r="A60" t="str">
            <v/>
          </cell>
          <cell r="B60"/>
          <cell r="C60"/>
          <cell r="D60"/>
          <cell r="E60"/>
          <cell r="F60"/>
          <cell r="G60"/>
          <cell r="H60"/>
          <cell r="I60"/>
          <cell r="J60"/>
          <cell r="K60"/>
          <cell r="L60"/>
          <cell r="M60"/>
          <cell r="N60"/>
          <cell r="O60"/>
          <cell r="P60"/>
          <cell r="Q60"/>
          <cell r="R60"/>
          <cell r="S60"/>
          <cell r="T60"/>
        </row>
        <row r="61">
          <cell r="A61" t="str">
            <v/>
          </cell>
          <cell r="B61"/>
          <cell r="C61"/>
          <cell r="D61"/>
          <cell r="E61"/>
          <cell r="F61"/>
          <cell r="G61"/>
          <cell r="H61"/>
          <cell r="I61"/>
          <cell r="J61"/>
          <cell r="K61"/>
          <cell r="L61"/>
          <cell r="M61"/>
          <cell r="N61"/>
          <cell r="O61"/>
          <cell r="P61"/>
          <cell r="Q61"/>
          <cell r="R61"/>
          <cell r="S61"/>
          <cell r="T61"/>
        </row>
        <row r="62">
          <cell r="A62" t="str">
            <v/>
          </cell>
          <cell r="B62"/>
          <cell r="C62"/>
          <cell r="D62"/>
          <cell r="E62"/>
          <cell r="F62"/>
          <cell r="G62"/>
          <cell r="H62"/>
          <cell r="I62"/>
          <cell r="J62"/>
          <cell r="K62"/>
          <cell r="L62"/>
          <cell r="M62"/>
          <cell r="N62"/>
          <cell r="O62"/>
          <cell r="P62"/>
          <cell r="Q62"/>
          <cell r="R62"/>
          <cell r="S62"/>
          <cell r="T62"/>
        </row>
        <row r="63">
          <cell r="A63" t="str">
            <v/>
          </cell>
          <cell r="B63"/>
          <cell r="C63"/>
          <cell r="D63"/>
          <cell r="E63"/>
          <cell r="F63"/>
          <cell r="G63"/>
          <cell r="H63"/>
          <cell r="I63"/>
          <cell r="J63"/>
          <cell r="K63"/>
          <cell r="L63"/>
          <cell r="M63"/>
          <cell r="N63"/>
          <cell r="O63"/>
          <cell r="P63"/>
          <cell r="Q63"/>
          <cell r="R63"/>
          <cell r="S63"/>
          <cell r="T63"/>
        </row>
        <row r="64">
          <cell r="A64" t="str">
            <v/>
          </cell>
          <cell r="B64"/>
          <cell r="C64"/>
          <cell r="D64"/>
          <cell r="E64"/>
          <cell r="F64"/>
          <cell r="G64"/>
          <cell r="H64"/>
          <cell r="I64"/>
          <cell r="J64"/>
          <cell r="K64"/>
          <cell r="L64"/>
          <cell r="M64"/>
          <cell r="N64"/>
          <cell r="O64"/>
          <cell r="P64"/>
          <cell r="Q64"/>
          <cell r="R64"/>
          <cell r="S64"/>
          <cell r="T64"/>
        </row>
        <row r="65">
          <cell r="A65" t="str">
            <v/>
          </cell>
          <cell r="B65"/>
          <cell r="C65"/>
          <cell r="D65"/>
          <cell r="E65"/>
          <cell r="F65"/>
          <cell r="G65"/>
          <cell r="H65"/>
          <cell r="I65"/>
          <cell r="J65"/>
          <cell r="K65"/>
          <cell r="L65"/>
          <cell r="M65"/>
          <cell r="N65"/>
          <cell r="O65"/>
          <cell r="P65"/>
          <cell r="Q65"/>
          <cell r="R65"/>
          <cell r="S65"/>
          <cell r="T65"/>
        </row>
        <row r="66">
          <cell r="A66" t="str">
            <v/>
          </cell>
          <cell r="B66"/>
          <cell r="C66"/>
          <cell r="D66"/>
          <cell r="E66"/>
          <cell r="F66"/>
          <cell r="G66"/>
          <cell r="H66"/>
          <cell r="I66"/>
          <cell r="J66"/>
          <cell r="K66"/>
          <cell r="L66"/>
          <cell r="M66"/>
          <cell r="N66"/>
          <cell r="O66"/>
          <cell r="P66"/>
          <cell r="Q66"/>
          <cell r="R66"/>
          <cell r="S66"/>
          <cell r="T66"/>
        </row>
        <row r="67">
          <cell r="A67" t="str">
            <v/>
          </cell>
          <cell r="B67"/>
          <cell r="C67"/>
          <cell r="D67"/>
          <cell r="E67"/>
          <cell r="F67"/>
          <cell r="G67"/>
          <cell r="H67"/>
          <cell r="I67"/>
          <cell r="J67"/>
          <cell r="K67"/>
          <cell r="L67"/>
          <cell r="M67"/>
          <cell r="N67"/>
          <cell r="O67"/>
          <cell r="P67"/>
          <cell r="Q67"/>
          <cell r="R67"/>
          <cell r="S67"/>
          <cell r="T67"/>
        </row>
        <row r="68">
          <cell r="A68" t="str">
            <v/>
          </cell>
          <cell r="B68"/>
          <cell r="C68"/>
          <cell r="D68"/>
          <cell r="E68"/>
          <cell r="F68"/>
          <cell r="G68"/>
          <cell r="H68"/>
          <cell r="I68"/>
          <cell r="J68"/>
          <cell r="K68"/>
          <cell r="L68"/>
          <cell r="M68"/>
          <cell r="N68"/>
          <cell r="O68"/>
          <cell r="P68"/>
          <cell r="Q68"/>
          <cell r="R68"/>
          <cell r="S68"/>
          <cell r="T68"/>
        </row>
        <row r="69">
          <cell r="A69" t="str">
            <v/>
          </cell>
          <cell r="B69"/>
          <cell r="C69"/>
          <cell r="D69"/>
          <cell r="E69"/>
          <cell r="F69"/>
          <cell r="G69"/>
          <cell r="H69"/>
          <cell r="I69"/>
          <cell r="J69"/>
          <cell r="K69"/>
          <cell r="L69"/>
          <cell r="M69"/>
          <cell r="N69"/>
          <cell r="O69"/>
          <cell r="P69"/>
          <cell r="Q69"/>
          <cell r="R69"/>
          <cell r="S69"/>
          <cell r="T69"/>
        </row>
        <row r="70">
          <cell r="A70" t="str">
            <v/>
          </cell>
          <cell r="B70"/>
          <cell r="C70"/>
          <cell r="D70"/>
          <cell r="E70"/>
          <cell r="F70"/>
          <cell r="G70"/>
          <cell r="H70"/>
          <cell r="I70"/>
          <cell r="J70"/>
          <cell r="K70"/>
          <cell r="L70"/>
          <cell r="M70"/>
          <cell r="N70"/>
          <cell r="O70"/>
          <cell r="P70"/>
          <cell r="Q70"/>
          <cell r="R70"/>
          <cell r="S70"/>
          <cell r="T70"/>
        </row>
        <row r="71">
          <cell r="A71" t="str">
            <v/>
          </cell>
          <cell r="B71"/>
          <cell r="C71"/>
          <cell r="D71"/>
          <cell r="E71"/>
          <cell r="F71"/>
          <cell r="G71"/>
          <cell r="H71"/>
          <cell r="I71"/>
          <cell r="J71"/>
          <cell r="K71"/>
          <cell r="L71"/>
          <cell r="M71"/>
          <cell r="N71"/>
          <cell r="O71"/>
          <cell r="P71"/>
          <cell r="Q71"/>
          <cell r="R71"/>
          <cell r="S71"/>
          <cell r="T71"/>
        </row>
        <row r="72">
          <cell r="A72" t="str">
            <v/>
          </cell>
          <cell r="B72"/>
          <cell r="C72"/>
          <cell r="D72"/>
          <cell r="E72"/>
          <cell r="F72"/>
          <cell r="G72"/>
          <cell r="H72"/>
          <cell r="I72"/>
          <cell r="J72"/>
          <cell r="K72"/>
          <cell r="L72"/>
          <cell r="M72"/>
          <cell r="N72"/>
          <cell r="O72"/>
          <cell r="P72"/>
          <cell r="Q72"/>
          <cell r="R72"/>
          <cell r="S72"/>
          <cell r="T72"/>
        </row>
        <row r="73">
          <cell r="A73" t="str">
            <v/>
          </cell>
          <cell r="B73"/>
          <cell r="C73"/>
          <cell r="D73"/>
          <cell r="E73"/>
          <cell r="F73"/>
          <cell r="G73"/>
          <cell r="H73"/>
          <cell r="I73"/>
          <cell r="J73"/>
          <cell r="K73"/>
          <cell r="L73"/>
          <cell r="M73"/>
          <cell r="N73"/>
          <cell r="O73"/>
          <cell r="P73"/>
          <cell r="Q73"/>
          <cell r="R73"/>
          <cell r="S73"/>
          <cell r="T73"/>
        </row>
        <row r="74">
          <cell r="A74" t="str">
            <v/>
          </cell>
          <cell r="B74"/>
          <cell r="C74"/>
          <cell r="D74"/>
          <cell r="E74"/>
          <cell r="F74"/>
          <cell r="G74"/>
          <cell r="H74"/>
          <cell r="I74"/>
          <cell r="J74"/>
          <cell r="K74"/>
          <cell r="L74"/>
          <cell r="M74"/>
          <cell r="N74"/>
          <cell r="O74"/>
          <cell r="P74"/>
          <cell r="Q74"/>
          <cell r="R74"/>
          <cell r="S74"/>
          <cell r="T74"/>
        </row>
        <row r="75">
          <cell r="A75" t="str">
            <v/>
          </cell>
          <cell r="B75"/>
          <cell r="C75"/>
          <cell r="D75"/>
          <cell r="E75"/>
          <cell r="F75"/>
          <cell r="G75"/>
          <cell r="H75"/>
          <cell r="I75"/>
          <cell r="J75"/>
          <cell r="K75"/>
          <cell r="L75"/>
          <cell r="M75"/>
          <cell r="N75"/>
          <cell r="O75"/>
          <cell r="P75"/>
          <cell r="Q75"/>
          <cell r="R75"/>
          <cell r="S75"/>
          <cell r="T75"/>
        </row>
        <row r="76">
          <cell r="A76" t="str">
            <v/>
          </cell>
          <cell r="B76"/>
          <cell r="C76"/>
          <cell r="D76"/>
          <cell r="E76"/>
          <cell r="F76"/>
          <cell r="G76"/>
          <cell r="H76"/>
          <cell r="I76"/>
          <cell r="J76"/>
          <cell r="K76"/>
          <cell r="L76"/>
          <cell r="M76"/>
          <cell r="N76"/>
          <cell r="O76"/>
          <cell r="P76"/>
          <cell r="Q76"/>
          <cell r="R76"/>
          <cell r="S76"/>
          <cell r="T76"/>
        </row>
        <row r="77">
          <cell r="A77" t="str">
            <v/>
          </cell>
          <cell r="B77"/>
          <cell r="C77"/>
          <cell r="D77"/>
          <cell r="E77"/>
          <cell r="F77"/>
          <cell r="G77"/>
          <cell r="H77"/>
          <cell r="I77"/>
          <cell r="J77"/>
          <cell r="K77"/>
          <cell r="L77"/>
          <cell r="M77"/>
          <cell r="N77"/>
          <cell r="O77"/>
          <cell r="P77"/>
          <cell r="Q77"/>
          <cell r="R77"/>
          <cell r="S77"/>
          <cell r="T77"/>
        </row>
        <row r="78">
          <cell r="A78" t="str">
            <v/>
          </cell>
          <cell r="B78"/>
          <cell r="C78"/>
          <cell r="D78"/>
          <cell r="E78"/>
          <cell r="F78"/>
          <cell r="G78"/>
          <cell r="H78"/>
          <cell r="I78"/>
          <cell r="J78"/>
          <cell r="K78"/>
          <cell r="L78"/>
          <cell r="M78"/>
          <cell r="N78"/>
          <cell r="O78"/>
          <cell r="P78"/>
          <cell r="Q78"/>
          <cell r="R78"/>
          <cell r="S78"/>
          <cell r="T78"/>
        </row>
        <row r="79">
          <cell r="A79" t="str">
            <v/>
          </cell>
          <cell r="B79"/>
          <cell r="C79"/>
          <cell r="D79"/>
          <cell r="E79"/>
          <cell r="F79"/>
          <cell r="G79"/>
          <cell r="H79"/>
          <cell r="I79"/>
          <cell r="J79"/>
          <cell r="K79"/>
          <cell r="L79"/>
          <cell r="M79"/>
          <cell r="N79"/>
          <cell r="O79"/>
          <cell r="P79"/>
          <cell r="Q79"/>
          <cell r="R79"/>
          <cell r="S79"/>
          <cell r="T79"/>
        </row>
        <row r="80">
          <cell r="A80" t="str">
            <v/>
          </cell>
          <cell r="B80"/>
          <cell r="C80"/>
          <cell r="D80"/>
          <cell r="E80"/>
          <cell r="F80"/>
          <cell r="G80"/>
          <cell r="H80"/>
          <cell r="I80"/>
          <cell r="J80"/>
          <cell r="K80"/>
          <cell r="L80"/>
          <cell r="M80"/>
          <cell r="N80"/>
          <cell r="O80"/>
          <cell r="P80"/>
          <cell r="Q80"/>
          <cell r="R80"/>
          <cell r="S80"/>
          <cell r="T80"/>
        </row>
        <row r="81">
          <cell r="A81" t="str">
            <v/>
          </cell>
          <cell r="B81"/>
          <cell r="C81"/>
          <cell r="D81"/>
          <cell r="E81"/>
          <cell r="F81"/>
          <cell r="G81"/>
          <cell r="H81"/>
          <cell r="I81"/>
          <cell r="J81"/>
          <cell r="K81"/>
          <cell r="L81"/>
          <cell r="M81"/>
          <cell r="N81"/>
          <cell r="O81"/>
          <cell r="P81"/>
          <cell r="Q81"/>
          <cell r="R81"/>
          <cell r="S81"/>
          <cell r="T81"/>
        </row>
        <row r="82">
          <cell r="A82" t="str">
            <v/>
          </cell>
          <cell r="B82"/>
          <cell r="C82"/>
          <cell r="D82"/>
          <cell r="E82"/>
          <cell r="F82"/>
          <cell r="G82"/>
          <cell r="H82"/>
          <cell r="I82"/>
          <cell r="J82"/>
          <cell r="K82"/>
          <cell r="L82"/>
          <cell r="M82"/>
          <cell r="N82"/>
          <cell r="O82"/>
          <cell r="P82"/>
          <cell r="Q82"/>
          <cell r="R82"/>
          <cell r="S82"/>
          <cell r="T82"/>
        </row>
        <row r="83">
          <cell r="A83" t="str">
            <v/>
          </cell>
          <cell r="B83"/>
          <cell r="C83"/>
          <cell r="D83"/>
          <cell r="E83"/>
          <cell r="F83"/>
          <cell r="G83"/>
          <cell r="H83"/>
          <cell r="I83"/>
          <cell r="J83"/>
          <cell r="K83"/>
          <cell r="L83"/>
          <cell r="M83"/>
          <cell r="N83"/>
          <cell r="O83"/>
          <cell r="P83"/>
          <cell r="Q83"/>
          <cell r="R83"/>
          <cell r="S83"/>
          <cell r="T83"/>
        </row>
        <row r="84">
          <cell r="A84" t="str">
            <v/>
          </cell>
          <cell r="B84"/>
          <cell r="C84"/>
          <cell r="D84"/>
          <cell r="E84"/>
          <cell r="F84"/>
          <cell r="G84"/>
          <cell r="H84"/>
          <cell r="I84"/>
          <cell r="J84"/>
          <cell r="K84"/>
          <cell r="L84"/>
          <cell r="M84"/>
          <cell r="N84"/>
          <cell r="O84"/>
          <cell r="P84"/>
          <cell r="Q84"/>
          <cell r="R84"/>
          <cell r="S84"/>
          <cell r="T84"/>
        </row>
        <row r="85">
          <cell r="A85" t="str">
            <v/>
          </cell>
          <cell r="B85"/>
          <cell r="C85"/>
          <cell r="D85"/>
          <cell r="E85"/>
          <cell r="F85"/>
          <cell r="G85"/>
          <cell r="H85"/>
          <cell r="I85"/>
          <cell r="J85"/>
          <cell r="K85"/>
          <cell r="L85"/>
          <cell r="M85"/>
          <cell r="N85"/>
          <cell r="O85"/>
          <cell r="P85"/>
          <cell r="Q85"/>
          <cell r="R85"/>
          <cell r="S85"/>
          <cell r="T85"/>
        </row>
        <row r="86">
          <cell r="A86" t="str">
            <v/>
          </cell>
          <cell r="B86"/>
          <cell r="C86"/>
          <cell r="D86"/>
          <cell r="E86"/>
          <cell r="F86"/>
          <cell r="G86"/>
          <cell r="H86"/>
          <cell r="I86"/>
          <cell r="J86"/>
          <cell r="K86"/>
          <cell r="L86"/>
          <cell r="M86"/>
          <cell r="N86"/>
          <cell r="O86"/>
          <cell r="P86"/>
          <cell r="Q86"/>
          <cell r="R86"/>
          <cell r="S86"/>
          <cell r="T86"/>
        </row>
        <row r="87">
          <cell r="A87" t="str">
            <v/>
          </cell>
          <cell r="B87"/>
          <cell r="C87"/>
          <cell r="D87"/>
          <cell r="E87"/>
          <cell r="F87"/>
          <cell r="G87"/>
          <cell r="H87"/>
          <cell r="I87"/>
          <cell r="J87"/>
          <cell r="K87"/>
          <cell r="L87"/>
          <cell r="M87"/>
          <cell r="N87"/>
          <cell r="O87"/>
          <cell r="P87"/>
          <cell r="Q87"/>
          <cell r="R87"/>
          <cell r="S87"/>
          <cell r="T87"/>
        </row>
        <row r="88">
          <cell r="A88" t="str">
            <v/>
          </cell>
          <cell r="B88"/>
          <cell r="C88"/>
          <cell r="D88"/>
          <cell r="E88"/>
          <cell r="F88"/>
          <cell r="G88"/>
          <cell r="H88"/>
          <cell r="I88"/>
          <cell r="J88"/>
          <cell r="K88"/>
          <cell r="L88"/>
          <cell r="M88"/>
          <cell r="N88"/>
          <cell r="O88"/>
          <cell r="P88"/>
          <cell r="Q88"/>
          <cell r="R88"/>
          <cell r="S88"/>
          <cell r="T88"/>
        </row>
        <row r="89">
          <cell r="A89" t="str">
            <v/>
          </cell>
          <cell r="B89"/>
          <cell r="C89"/>
          <cell r="D89"/>
          <cell r="E89"/>
          <cell r="F89"/>
          <cell r="G89"/>
          <cell r="H89"/>
          <cell r="I89"/>
          <cell r="J89"/>
          <cell r="K89"/>
          <cell r="L89"/>
          <cell r="M89"/>
          <cell r="N89"/>
          <cell r="O89"/>
          <cell r="P89"/>
          <cell r="Q89"/>
          <cell r="R89"/>
          <cell r="S89"/>
          <cell r="T89"/>
        </row>
        <row r="90">
          <cell r="A90" t="str">
            <v/>
          </cell>
          <cell r="B90"/>
          <cell r="C90"/>
          <cell r="D90"/>
          <cell r="E90"/>
          <cell r="F90"/>
          <cell r="G90"/>
          <cell r="H90"/>
          <cell r="I90"/>
          <cell r="J90"/>
          <cell r="K90"/>
          <cell r="L90"/>
          <cell r="M90"/>
          <cell r="N90"/>
          <cell r="O90"/>
          <cell r="P90"/>
          <cell r="Q90"/>
          <cell r="R90"/>
          <cell r="S90"/>
          <cell r="T90"/>
        </row>
        <row r="91">
          <cell r="A91" t="str">
            <v/>
          </cell>
          <cell r="B91"/>
          <cell r="C91"/>
          <cell r="D91"/>
          <cell r="E91"/>
          <cell r="F91"/>
          <cell r="G91"/>
          <cell r="H91"/>
          <cell r="I91"/>
          <cell r="J91"/>
          <cell r="K91"/>
          <cell r="L91"/>
          <cell r="M91"/>
          <cell r="N91"/>
          <cell r="O91"/>
          <cell r="P91"/>
          <cell r="Q91"/>
          <cell r="R91"/>
          <cell r="S91"/>
          <cell r="T91"/>
        </row>
        <row r="92">
          <cell r="A92" t="str">
            <v/>
          </cell>
          <cell r="B92"/>
          <cell r="C92"/>
          <cell r="D92"/>
          <cell r="E92"/>
          <cell r="F92"/>
          <cell r="G92"/>
          <cell r="H92"/>
          <cell r="I92"/>
          <cell r="J92"/>
          <cell r="K92"/>
          <cell r="L92"/>
          <cell r="M92"/>
          <cell r="N92"/>
          <cell r="O92"/>
          <cell r="P92"/>
          <cell r="Q92"/>
          <cell r="R92"/>
          <cell r="S92"/>
          <cell r="T92"/>
        </row>
        <row r="93">
          <cell r="A93" t="str">
            <v/>
          </cell>
          <cell r="B93"/>
          <cell r="C93"/>
          <cell r="D93"/>
          <cell r="E93"/>
          <cell r="F93"/>
          <cell r="G93"/>
          <cell r="H93"/>
          <cell r="I93"/>
          <cell r="J93"/>
          <cell r="K93"/>
          <cell r="L93"/>
          <cell r="M93"/>
          <cell r="N93"/>
          <cell r="O93"/>
          <cell r="P93"/>
          <cell r="Q93"/>
          <cell r="R93"/>
          <cell r="S93"/>
          <cell r="T93"/>
        </row>
        <row r="94">
          <cell r="A94" t="str">
            <v/>
          </cell>
          <cell r="B94"/>
          <cell r="C94"/>
          <cell r="D94"/>
          <cell r="E94"/>
          <cell r="F94"/>
          <cell r="G94"/>
          <cell r="H94"/>
          <cell r="I94"/>
          <cell r="J94"/>
          <cell r="K94"/>
          <cell r="L94"/>
          <cell r="M94"/>
          <cell r="N94"/>
          <cell r="O94"/>
          <cell r="P94"/>
          <cell r="Q94"/>
          <cell r="R94"/>
          <cell r="S94"/>
          <cell r="T94"/>
        </row>
        <row r="95">
          <cell r="A95" t="str">
            <v/>
          </cell>
          <cell r="B95"/>
          <cell r="C95"/>
          <cell r="D95"/>
          <cell r="E95"/>
          <cell r="F95"/>
          <cell r="G95"/>
          <cell r="H95"/>
          <cell r="I95"/>
          <cell r="J95"/>
          <cell r="K95"/>
          <cell r="L95"/>
          <cell r="M95"/>
          <cell r="N95"/>
          <cell r="O95"/>
          <cell r="P95"/>
          <cell r="Q95"/>
          <cell r="R95"/>
          <cell r="S95"/>
          <cell r="T95"/>
        </row>
        <row r="96">
          <cell r="A96" t="str">
            <v/>
          </cell>
          <cell r="B96"/>
          <cell r="C96"/>
          <cell r="D96"/>
          <cell r="E96"/>
          <cell r="F96"/>
          <cell r="G96"/>
          <cell r="H96"/>
          <cell r="I96"/>
          <cell r="J96"/>
          <cell r="K96"/>
          <cell r="L96"/>
          <cell r="M96"/>
          <cell r="N96"/>
          <cell r="O96"/>
          <cell r="P96"/>
          <cell r="Q96"/>
          <cell r="R96"/>
          <cell r="S96"/>
          <cell r="T96"/>
        </row>
        <row r="97">
          <cell r="A97" t="str">
            <v/>
          </cell>
          <cell r="B97"/>
          <cell r="C97"/>
          <cell r="D97"/>
          <cell r="E97"/>
          <cell r="F97"/>
          <cell r="G97"/>
          <cell r="H97"/>
          <cell r="I97"/>
          <cell r="J97"/>
          <cell r="K97"/>
          <cell r="L97"/>
          <cell r="M97"/>
          <cell r="N97"/>
          <cell r="O97"/>
          <cell r="P97"/>
          <cell r="Q97"/>
          <cell r="R97"/>
          <cell r="S97"/>
          <cell r="T97"/>
        </row>
        <row r="98">
          <cell r="A98" t="str">
            <v/>
          </cell>
          <cell r="B98"/>
          <cell r="C98"/>
          <cell r="D98"/>
          <cell r="E98"/>
          <cell r="F98"/>
          <cell r="G98"/>
          <cell r="H98"/>
          <cell r="I98"/>
          <cell r="J98"/>
          <cell r="K98"/>
          <cell r="L98"/>
          <cell r="M98"/>
          <cell r="N98"/>
          <cell r="O98"/>
          <cell r="P98"/>
          <cell r="Q98"/>
          <cell r="R98"/>
          <cell r="S98"/>
          <cell r="T98"/>
        </row>
        <row r="99">
          <cell r="A99" t="str">
            <v/>
          </cell>
          <cell r="B99"/>
          <cell r="C99"/>
          <cell r="D99"/>
          <cell r="E99"/>
          <cell r="F99"/>
          <cell r="G99"/>
          <cell r="H99"/>
          <cell r="I99"/>
          <cell r="J99"/>
          <cell r="K99"/>
          <cell r="L99"/>
          <cell r="M99"/>
          <cell r="N99"/>
          <cell r="O99"/>
          <cell r="P99"/>
          <cell r="Q99"/>
          <cell r="R99"/>
          <cell r="S99"/>
          <cell r="T99"/>
        </row>
        <row r="100">
          <cell r="A100" t="str">
            <v/>
          </cell>
          <cell r="B100"/>
          <cell r="C100"/>
          <cell r="D100"/>
          <cell r="E100"/>
          <cell r="F100"/>
          <cell r="G100"/>
          <cell r="H100"/>
          <cell r="I100"/>
          <cell r="J100"/>
          <cell r="K100"/>
          <cell r="L100"/>
          <cell r="M100"/>
          <cell r="N100"/>
          <cell r="O100"/>
          <cell r="P100"/>
          <cell r="Q100"/>
          <cell r="R100"/>
          <cell r="S100"/>
          <cell r="T100"/>
        </row>
        <row r="101">
          <cell r="A101" t="str">
            <v/>
          </cell>
          <cell r="B101"/>
          <cell r="C101"/>
          <cell r="D101"/>
          <cell r="E101"/>
          <cell r="F101"/>
          <cell r="G101"/>
          <cell r="H101"/>
          <cell r="I101"/>
          <cell r="J101"/>
          <cell r="K101"/>
          <cell r="L101"/>
          <cell r="M101"/>
          <cell r="N101"/>
          <cell r="O101"/>
          <cell r="P101"/>
          <cell r="Q101"/>
          <cell r="R101"/>
          <cell r="S101"/>
          <cell r="T101"/>
        </row>
        <row r="102">
          <cell r="A102" t="str">
            <v/>
          </cell>
          <cell r="B102"/>
          <cell r="C102"/>
          <cell r="D102"/>
          <cell r="E102"/>
          <cell r="F102"/>
          <cell r="G102"/>
          <cell r="H102"/>
          <cell r="I102"/>
          <cell r="J102"/>
          <cell r="K102"/>
          <cell r="L102"/>
          <cell r="M102"/>
          <cell r="N102"/>
          <cell r="O102"/>
          <cell r="P102"/>
          <cell r="Q102"/>
          <cell r="R102"/>
          <cell r="S102"/>
          <cell r="T102"/>
        </row>
        <row r="103">
          <cell r="A103" t="str">
            <v/>
          </cell>
          <cell r="B103"/>
          <cell r="C103"/>
          <cell r="D103"/>
          <cell r="E103"/>
          <cell r="F103"/>
          <cell r="G103"/>
          <cell r="H103"/>
          <cell r="I103"/>
          <cell r="J103"/>
          <cell r="K103"/>
          <cell r="L103"/>
          <cell r="M103"/>
          <cell r="N103"/>
          <cell r="O103"/>
          <cell r="P103"/>
          <cell r="Q103"/>
          <cell r="R103"/>
          <cell r="S103"/>
          <cell r="T103"/>
        </row>
        <row r="104">
          <cell r="A104" t="str">
            <v/>
          </cell>
          <cell r="B104"/>
          <cell r="C104"/>
          <cell r="D104"/>
          <cell r="E104"/>
          <cell r="F104"/>
          <cell r="G104"/>
          <cell r="H104"/>
          <cell r="I104"/>
          <cell r="J104"/>
          <cell r="K104"/>
          <cell r="L104"/>
          <cell r="M104"/>
          <cell r="N104"/>
          <cell r="O104"/>
          <cell r="P104"/>
          <cell r="Q104"/>
          <cell r="R104"/>
          <cell r="S104"/>
          <cell r="T104"/>
        </row>
        <row r="105">
          <cell r="A105" t="str">
            <v/>
          </cell>
          <cell r="B105"/>
          <cell r="C105"/>
          <cell r="D105"/>
          <cell r="E105"/>
          <cell r="F105"/>
          <cell r="G105"/>
          <cell r="H105"/>
          <cell r="I105"/>
          <cell r="J105"/>
          <cell r="K105"/>
          <cell r="L105"/>
          <cell r="M105"/>
          <cell r="N105"/>
          <cell r="O105"/>
          <cell r="P105"/>
          <cell r="Q105"/>
          <cell r="R105"/>
          <cell r="S105"/>
          <cell r="T105"/>
        </row>
        <row r="106">
          <cell r="A106" t="str">
            <v/>
          </cell>
          <cell r="B106"/>
          <cell r="C106"/>
          <cell r="D106"/>
          <cell r="E106"/>
          <cell r="F106"/>
          <cell r="G106"/>
          <cell r="H106"/>
          <cell r="I106"/>
          <cell r="J106"/>
          <cell r="K106"/>
          <cell r="L106"/>
          <cell r="M106"/>
          <cell r="N106"/>
          <cell r="O106"/>
          <cell r="P106"/>
          <cell r="Q106"/>
          <cell r="R106"/>
          <cell r="S106"/>
          <cell r="T106"/>
        </row>
        <row r="107">
          <cell r="A107" t="str">
            <v/>
          </cell>
          <cell r="B107"/>
          <cell r="C107"/>
          <cell r="D107"/>
          <cell r="E107"/>
          <cell r="F107"/>
          <cell r="G107"/>
          <cell r="H107"/>
          <cell r="I107"/>
          <cell r="J107"/>
          <cell r="K107"/>
          <cell r="L107"/>
          <cell r="M107"/>
          <cell r="N107"/>
          <cell r="O107"/>
          <cell r="P107"/>
          <cell r="Q107"/>
          <cell r="R107"/>
          <cell r="S107"/>
          <cell r="T107"/>
        </row>
        <row r="108">
          <cell r="A108" t="str">
            <v/>
          </cell>
          <cell r="B108"/>
          <cell r="C108"/>
          <cell r="D108"/>
          <cell r="E108"/>
          <cell r="F108"/>
          <cell r="G108"/>
          <cell r="H108"/>
          <cell r="I108"/>
          <cell r="J108"/>
          <cell r="K108"/>
          <cell r="L108"/>
          <cell r="M108"/>
          <cell r="N108"/>
          <cell r="O108"/>
          <cell r="P108"/>
          <cell r="Q108"/>
          <cell r="R108"/>
          <cell r="S108"/>
          <cell r="T108"/>
        </row>
        <row r="109">
          <cell r="A109" t="str">
            <v/>
          </cell>
          <cell r="B109"/>
          <cell r="C109"/>
          <cell r="D109"/>
          <cell r="E109"/>
          <cell r="F109"/>
          <cell r="G109"/>
          <cell r="H109"/>
          <cell r="I109"/>
          <cell r="J109"/>
          <cell r="K109"/>
          <cell r="L109"/>
          <cell r="M109"/>
          <cell r="N109"/>
          <cell r="O109"/>
          <cell r="P109"/>
          <cell r="Q109"/>
          <cell r="R109"/>
          <cell r="S109"/>
          <cell r="T109"/>
        </row>
        <row r="110">
          <cell r="A110" t="str">
            <v/>
          </cell>
          <cell r="B110"/>
          <cell r="C110"/>
          <cell r="D110"/>
          <cell r="E110"/>
          <cell r="F110"/>
          <cell r="G110"/>
          <cell r="H110"/>
          <cell r="I110"/>
          <cell r="J110"/>
          <cell r="K110"/>
          <cell r="L110"/>
          <cell r="M110"/>
          <cell r="N110"/>
          <cell r="O110"/>
          <cell r="P110"/>
          <cell r="Q110"/>
          <cell r="R110"/>
          <cell r="S110"/>
          <cell r="T110"/>
        </row>
        <row r="111">
          <cell r="A111" t="str">
            <v/>
          </cell>
          <cell r="B111"/>
          <cell r="C111"/>
          <cell r="D111"/>
          <cell r="E111"/>
          <cell r="F111"/>
          <cell r="G111"/>
          <cell r="H111"/>
          <cell r="I111"/>
          <cell r="J111"/>
          <cell r="K111"/>
          <cell r="L111"/>
          <cell r="M111"/>
          <cell r="N111"/>
          <cell r="O111"/>
          <cell r="P111"/>
          <cell r="Q111"/>
          <cell r="R111"/>
          <cell r="S111"/>
          <cell r="T111"/>
        </row>
        <row r="112">
          <cell r="A112" t="str">
            <v/>
          </cell>
          <cell r="B112"/>
          <cell r="C112"/>
          <cell r="D112"/>
          <cell r="E112"/>
          <cell r="F112"/>
          <cell r="G112"/>
          <cell r="H112"/>
          <cell r="I112"/>
          <cell r="J112"/>
          <cell r="K112"/>
          <cell r="L112"/>
          <cell r="M112"/>
          <cell r="N112"/>
          <cell r="O112"/>
          <cell r="P112"/>
          <cell r="Q112"/>
          <cell r="R112"/>
          <cell r="S112"/>
          <cell r="T112"/>
        </row>
        <row r="113">
          <cell r="A113" t="str">
            <v/>
          </cell>
          <cell r="B113"/>
          <cell r="C113"/>
          <cell r="D113"/>
          <cell r="E113"/>
          <cell r="F113"/>
          <cell r="G113"/>
          <cell r="H113"/>
          <cell r="I113"/>
          <cell r="J113"/>
          <cell r="K113"/>
          <cell r="L113"/>
          <cell r="M113"/>
          <cell r="N113"/>
          <cell r="O113"/>
          <cell r="P113"/>
          <cell r="Q113"/>
          <cell r="R113"/>
          <cell r="S113"/>
          <cell r="T113"/>
        </row>
        <row r="114">
          <cell r="A114" t="str">
            <v/>
          </cell>
          <cell r="B114"/>
          <cell r="C114"/>
          <cell r="D114"/>
          <cell r="E114"/>
          <cell r="F114"/>
          <cell r="G114"/>
          <cell r="H114"/>
          <cell r="I114"/>
          <cell r="J114"/>
          <cell r="K114"/>
          <cell r="L114"/>
          <cell r="M114"/>
          <cell r="N114"/>
          <cell r="O114"/>
          <cell r="P114"/>
          <cell r="Q114"/>
          <cell r="R114"/>
          <cell r="S114"/>
          <cell r="T114"/>
        </row>
        <row r="115">
          <cell r="A115" t="str">
            <v/>
          </cell>
          <cell r="B115"/>
          <cell r="C115"/>
          <cell r="D115"/>
          <cell r="E115"/>
          <cell r="F115"/>
          <cell r="G115"/>
          <cell r="H115"/>
          <cell r="I115"/>
          <cell r="J115"/>
          <cell r="K115"/>
          <cell r="L115"/>
          <cell r="M115"/>
          <cell r="N115"/>
          <cell r="O115"/>
          <cell r="P115"/>
          <cell r="Q115"/>
          <cell r="R115"/>
          <cell r="S115"/>
          <cell r="T115"/>
        </row>
        <row r="116">
          <cell r="A116" t="str">
            <v/>
          </cell>
          <cell r="B116"/>
          <cell r="C116"/>
          <cell r="D116"/>
          <cell r="E116"/>
          <cell r="F116"/>
          <cell r="G116"/>
          <cell r="H116"/>
          <cell r="I116"/>
          <cell r="J116"/>
          <cell r="K116"/>
          <cell r="L116"/>
          <cell r="M116"/>
          <cell r="N116"/>
          <cell r="O116"/>
          <cell r="P116"/>
          <cell r="Q116"/>
          <cell r="R116"/>
          <cell r="S116"/>
          <cell r="T116"/>
        </row>
        <row r="117">
          <cell r="A117" t="str">
            <v/>
          </cell>
          <cell r="B117"/>
          <cell r="C117"/>
          <cell r="D117"/>
          <cell r="E117"/>
          <cell r="F117"/>
          <cell r="G117"/>
          <cell r="H117"/>
          <cell r="I117"/>
          <cell r="J117"/>
          <cell r="K117"/>
          <cell r="L117"/>
          <cell r="M117"/>
          <cell r="N117"/>
          <cell r="O117"/>
          <cell r="P117"/>
          <cell r="Q117"/>
          <cell r="R117"/>
          <cell r="S117"/>
          <cell r="T117"/>
        </row>
        <row r="118">
          <cell r="A118" t="str">
            <v/>
          </cell>
          <cell r="B118"/>
          <cell r="C118"/>
          <cell r="D118"/>
          <cell r="E118"/>
          <cell r="F118"/>
          <cell r="G118"/>
          <cell r="H118"/>
          <cell r="I118"/>
          <cell r="J118"/>
          <cell r="K118"/>
          <cell r="L118"/>
          <cell r="M118"/>
          <cell r="N118"/>
          <cell r="O118"/>
          <cell r="P118"/>
          <cell r="Q118"/>
          <cell r="R118"/>
          <cell r="S118"/>
          <cell r="T118"/>
        </row>
        <row r="119">
          <cell r="A119" t="str">
            <v/>
          </cell>
          <cell r="B119"/>
          <cell r="C119"/>
          <cell r="D119"/>
          <cell r="E119"/>
          <cell r="F119"/>
          <cell r="G119"/>
          <cell r="H119"/>
          <cell r="I119"/>
          <cell r="J119"/>
          <cell r="K119"/>
          <cell r="L119"/>
          <cell r="M119"/>
          <cell r="N119"/>
          <cell r="O119"/>
          <cell r="P119"/>
          <cell r="Q119"/>
          <cell r="R119"/>
          <cell r="S119"/>
          <cell r="T119"/>
        </row>
        <row r="120">
          <cell r="A120" t="str">
            <v/>
          </cell>
          <cell r="B120"/>
          <cell r="C120"/>
          <cell r="D120"/>
          <cell r="E120"/>
          <cell r="F120"/>
          <cell r="G120"/>
          <cell r="H120"/>
          <cell r="I120"/>
          <cell r="J120"/>
          <cell r="K120"/>
          <cell r="L120"/>
          <cell r="M120"/>
          <cell r="N120"/>
          <cell r="O120"/>
          <cell r="P120"/>
          <cell r="Q120"/>
          <cell r="R120"/>
          <cell r="S120"/>
          <cell r="T120"/>
        </row>
        <row r="121">
          <cell r="A121" t="str">
            <v/>
          </cell>
          <cell r="B121"/>
          <cell r="C121"/>
          <cell r="D121"/>
          <cell r="E121"/>
          <cell r="F121"/>
          <cell r="G121"/>
          <cell r="H121"/>
          <cell r="I121"/>
          <cell r="J121"/>
          <cell r="K121"/>
          <cell r="L121"/>
          <cell r="M121"/>
          <cell r="N121"/>
          <cell r="O121"/>
          <cell r="P121"/>
          <cell r="Q121"/>
          <cell r="R121"/>
          <cell r="S121"/>
          <cell r="T121"/>
        </row>
        <row r="122">
          <cell r="A122" t="str">
            <v/>
          </cell>
          <cell r="B122"/>
          <cell r="C122"/>
          <cell r="D122"/>
          <cell r="E122"/>
          <cell r="F122"/>
          <cell r="G122"/>
          <cell r="H122"/>
          <cell r="I122"/>
          <cell r="J122"/>
          <cell r="K122"/>
          <cell r="L122"/>
          <cell r="M122"/>
          <cell r="N122"/>
          <cell r="O122"/>
          <cell r="P122"/>
          <cell r="Q122"/>
          <cell r="R122"/>
          <cell r="S122"/>
          <cell r="T122"/>
        </row>
        <row r="123">
          <cell r="A123" t="str">
            <v/>
          </cell>
          <cell r="B123"/>
          <cell r="C123"/>
          <cell r="D123"/>
          <cell r="E123"/>
          <cell r="F123"/>
          <cell r="G123"/>
          <cell r="H123"/>
          <cell r="I123"/>
          <cell r="J123"/>
          <cell r="K123"/>
          <cell r="L123"/>
          <cell r="M123"/>
          <cell r="N123"/>
          <cell r="O123"/>
          <cell r="P123"/>
          <cell r="Q123"/>
          <cell r="R123"/>
          <cell r="S123"/>
          <cell r="T123"/>
        </row>
        <row r="124">
          <cell r="A124" t="str">
            <v/>
          </cell>
          <cell r="B124"/>
          <cell r="C124"/>
          <cell r="D124"/>
          <cell r="E124"/>
          <cell r="F124"/>
          <cell r="G124"/>
          <cell r="H124"/>
          <cell r="I124"/>
          <cell r="J124"/>
          <cell r="K124"/>
          <cell r="L124"/>
          <cell r="M124"/>
          <cell r="N124"/>
          <cell r="O124"/>
          <cell r="P124"/>
          <cell r="Q124"/>
          <cell r="R124"/>
          <cell r="S124"/>
          <cell r="T124"/>
        </row>
        <row r="125">
          <cell r="A125" t="str">
            <v/>
          </cell>
          <cell r="B125"/>
          <cell r="C125"/>
          <cell r="D125"/>
          <cell r="E125"/>
          <cell r="F125"/>
          <cell r="G125"/>
          <cell r="H125"/>
          <cell r="I125"/>
          <cell r="J125"/>
          <cell r="K125"/>
          <cell r="L125"/>
          <cell r="M125"/>
          <cell r="N125"/>
          <cell r="O125"/>
          <cell r="P125"/>
          <cell r="Q125"/>
          <cell r="R125"/>
          <cell r="S125"/>
          <cell r="T125"/>
        </row>
        <row r="126">
          <cell r="A126" t="str">
            <v/>
          </cell>
          <cell r="B126"/>
          <cell r="C126"/>
          <cell r="D126"/>
          <cell r="E126"/>
          <cell r="F126"/>
          <cell r="G126"/>
          <cell r="H126"/>
          <cell r="I126"/>
          <cell r="J126"/>
          <cell r="K126"/>
          <cell r="L126"/>
          <cell r="M126"/>
          <cell r="N126"/>
          <cell r="O126"/>
          <cell r="P126"/>
          <cell r="Q126"/>
          <cell r="R126"/>
          <cell r="S126"/>
          <cell r="T126"/>
        </row>
        <row r="127">
          <cell r="A127" t="str">
            <v/>
          </cell>
          <cell r="B127"/>
          <cell r="C127"/>
          <cell r="D127"/>
          <cell r="E127"/>
          <cell r="F127"/>
          <cell r="G127"/>
          <cell r="H127"/>
          <cell r="I127"/>
          <cell r="J127"/>
          <cell r="K127"/>
          <cell r="L127"/>
          <cell r="M127"/>
          <cell r="N127"/>
          <cell r="O127"/>
          <cell r="P127"/>
          <cell r="Q127"/>
          <cell r="R127"/>
          <cell r="S127"/>
          <cell r="T127"/>
        </row>
        <row r="128">
          <cell r="A128" t="str">
            <v/>
          </cell>
          <cell r="B128"/>
          <cell r="C128"/>
          <cell r="D128"/>
          <cell r="E128"/>
          <cell r="F128"/>
          <cell r="G128"/>
          <cell r="H128"/>
          <cell r="I128"/>
          <cell r="J128"/>
          <cell r="K128"/>
          <cell r="L128"/>
          <cell r="M128"/>
          <cell r="N128"/>
          <cell r="O128"/>
          <cell r="P128"/>
          <cell r="Q128"/>
          <cell r="R128"/>
          <cell r="S128"/>
          <cell r="T128"/>
        </row>
        <row r="129">
          <cell r="A129" t="str">
            <v/>
          </cell>
          <cell r="B129"/>
          <cell r="C129"/>
          <cell r="D129"/>
          <cell r="E129"/>
          <cell r="F129"/>
          <cell r="G129"/>
          <cell r="H129"/>
          <cell r="I129"/>
          <cell r="J129"/>
          <cell r="K129"/>
          <cell r="L129"/>
          <cell r="M129"/>
          <cell r="N129"/>
          <cell r="O129"/>
          <cell r="P129"/>
          <cell r="Q129"/>
          <cell r="R129"/>
          <cell r="S129"/>
          <cell r="T129"/>
        </row>
        <row r="130">
          <cell r="A130" t="str">
            <v/>
          </cell>
          <cell r="B130"/>
          <cell r="C130"/>
          <cell r="D130"/>
          <cell r="E130"/>
          <cell r="F130"/>
          <cell r="G130"/>
          <cell r="H130"/>
          <cell r="I130"/>
          <cell r="J130"/>
          <cell r="K130"/>
          <cell r="L130"/>
          <cell r="M130"/>
          <cell r="N130"/>
          <cell r="O130"/>
          <cell r="P130"/>
          <cell r="Q130"/>
          <cell r="R130"/>
          <cell r="S130"/>
          <cell r="T130"/>
        </row>
        <row r="131">
          <cell r="A131" t="str">
            <v/>
          </cell>
          <cell r="B131"/>
          <cell r="C131"/>
          <cell r="D131"/>
          <cell r="E131"/>
          <cell r="F131"/>
          <cell r="G131"/>
          <cell r="H131"/>
          <cell r="I131"/>
          <cell r="J131"/>
          <cell r="K131"/>
          <cell r="L131"/>
          <cell r="M131"/>
          <cell r="N131"/>
          <cell r="O131"/>
          <cell r="P131"/>
          <cell r="Q131"/>
          <cell r="R131"/>
          <cell r="S131"/>
          <cell r="T131"/>
        </row>
        <row r="132">
          <cell r="A132" t="str">
            <v/>
          </cell>
          <cell r="B132"/>
          <cell r="C132"/>
          <cell r="D132"/>
          <cell r="E132"/>
          <cell r="F132"/>
          <cell r="G132"/>
          <cell r="H132"/>
          <cell r="I132"/>
          <cell r="J132"/>
          <cell r="K132"/>
          <cell r="L132"/>
          <cell r="M132"/>
          <cell r="N132"/>
          <cell r="O132"/>
          <cell r="P132"/>
          <cell r="Q132"/>
          <cell r="R132"/>
          <cell r="S132"/>
          <cell r="T132"/>
        </row>
        <row r="133">
          <cell r="A133" t="str">
            <v/>
          </cell>
          <cell r="B133"/>
          <cell r="C133"/>
          <cell r="D133"/>
          <cell r="E133"/>
          <cell r="F133"/>
          <cell r="G133"/>
          <cell r="H133"/>
          <cell r="I133"/>
          <cell r="J133"/>
          <cell r="K133"/>
          <cell r="L133"/>
          <cell r="M133"/>
          <cell r="N133"/>
          <cell r="O133"/>
          <cell r="P133"/>
          <cell r="Q133"/>
          <cell r="R133"/>
          <cell r="S133"/>
          <cell r="T133"/>
        </row>
        <row r="134">
          <cell r="A134" t="str">
            <v/>
          </cell>
          <cell r="B134"/>
          <cell r="C134"/>
          <cell r="D134"/>
          <cell r="E134"/>
          <cell r="F134"/>
          <cell r="G134"/>
          <cell r="H134"/>
          <cell r="I134"/>
          <cell r="J134"/>
          <cell r="K134"/>
          <cell r="L134"/>
          <cell r="M134"/>
          <cell r="N134"/>
          <cell r="O134"/>
          <cell r="P134"/>
          <cell r="Q134"/>
          <cell r="R134"/>
          <cell r="S134"/>
          <cell r="T134"/>
        </row>
        <row r="135">
          <cell r="A135" t="str">
            <v/>
          </cell>
          <cell r="B135"/>
          <cell r="C135"/>
          <cell r="D135"/>
          <cell r="E135"/>
          <cell r="F135"/>
          <cell r="G135"/>
          <cell r="H135"/>
          <cell r="I135"/>
          <cell r="J135"/>
          <cell r="K135"/>
          <cell r="L135"/>
          <cell r="M135"/>
          <cell r="N135"/>
          <cell r="O135"/>
          <cell r="P135"/>
          <cell r="Q135"/>
          <cell r="R135"/>
          <cell r="S135"/>
          <cell r="T135"/>
        </row>
        <row r="136">
          <cell r="A136" t="str">
            <v/>
          </cell>
          <cell r="B136"/>
          <cell r="C136"/>
          <cell r="D136"/>
          <cell r="E136"/>
          <cell r="F136"/>
          <cell r="G136"/>
          <cell r="H136"/>
          <cell r="I136"/>
          <cell r="J136"/>
          <cell r="K136"/>
          <cell r="L136"/>
          <cell r="M136"/>
          <cell r="N136"/>
          <cell r="O136"/>
          <cell r="P136"/>
          <cell r="Q136"/>
          <cell r="R136"/>
          <cell r="S136"/>
          <cell r="T136"/>
        </row>
        <row r="137">
          <cell r="A137" t="str">
            <v/>
          </cell>
          <cell r="B137"/>
          <cell r="C137"/>
          <cell r="D137"/>
          <cell r="E137"/>
          <cell r="F137"/>
          <cell r="G137"/>
          <cell r="H137"/>
          <cell r="I137"/>
          <cell r="J137"/>
          <cell r="K137"/>
          <cell r="L137"/>
          <cell r="M137"/>
          <cell r="N137"/>
          <cell r="O137"/>
          <cell r="P137"/>
          <cell r="Q137"/>
          <cell r="R137"/>
          <cell r="S137"/>
          <cell r="T137"/>
        </row>
        <row r="138">
          <cell r="A138" t="str">
            <v/>
          </cell>
          <cell r="B138"/>
          <cell r="C138"/>
          <cell r="D138"/>
          <cell r="E138"/>
          <cell r="F138"/>
          <cell r="G138"/>
          <cell r="H138"/>
          <cell r="I138"/>
          <cell r="J138"/>
          <cell r="K138"/>
          <cell r="L138"/>
          <cell r="M138"/>
          <cell r="N138"/>
          <cell r="O138"/>
          <cell r="P138"/>
          <cell r="Q138"/>
          <cell r="R138"/>
          <cell r="S138"/>
          <cell r="T138"/>
        </row>
        <row r="139">
          <cell r="A139" t="str">
            <v/>
          </cell>
          <cell r="B139"/>
          <cell r="C139"/>
          <cell r="D139"/>
          <cell r="E139"/>
          <cell r="F139"/>
          <cell r="G139"/>
          <cell r="H139"/>
          <cell r="I139"/>
          <cell r="J139"/>
          <cell r="K139"/>
          <cell r="L139"/>
          <cell r="M139"/>
          <cell r="N139"/>
          <cell r="O139"/>
          <cell r="P139"/>
          <cell r="Q139"/>
          <cell r="R139"/>
          <cell r="S139"/>
          <cell r="T139"/>
        </row>
        <row r="140">
          <cell r="A140" t="str">
            <v/>
          </cell>
          <cell r="B140"/>
          <cell r="C140"/>
          <cell r="D140"/>
          <cell r="E140"/>
          <cell r="F140"/>
          <cell r="G140"/>
          <cell r="H140"/>
          <cell r="I140"/>
          <cell r="J140"/>
          <cell r="K140"/>
          <cell r="L140"/>
          <cell r="M140"/>
          <cell r="N140"/>
          <cell r="O140"/>
          <cell r="P140"/>
          <cell r="Q140"/>
          <cell r="R140"/>
          <cell r="S140"/>
          <cell r="T140"/>
        </row>
        <row r="141">
          <cell r="A141" t="str">
            <v/>
          </cell>
          <cell r="B141"/>
          <cell r="C141"/>
          <cell r="D141"/>
          <cell r="E141"/>
          <cell r="F141"/>
          <cell r="G141"/>
          <cell r="H141"/>
          <cell r="I141"/>
          <cell r="J141"/>
          <cell r="K141"/>
          <cell r="L141"/>
          <cell r="M141"/>
          <cell r="N141"/>
          <cell r="O141"/>
          <cell r="P141"/>
          <cell r="Q141"/>
          <cell r="R141"/>
          <cell r="S141"/>
          <cell r="T141"/>
        </row>
        <row r="142">
          <cell r="A142" t="str">
            <v/>
          </cell>
          <cell r="B142"/>
          <cell r="C142"/>
          <cell r="D142"/>
          <cell r="E142"/>
          <cell r="F142"/>
          <cell r="G142"/>
          <cell r="H142"/>
          <cell r="I142"/>
          <cell r="J142"/>
          <cell r="K142"/>
          <cell r="L142"/>
          <cell r="M142"/>
          <cell r="N142"/>
          <cell r="O142"/>
          <cell r="P142"/>
          <cell r="Q142"/>
          <cell r="R142"/>
          <cell r="S142"/>
          <cell r="T142"/>
        </row>
        <row r="143">
          <cell r="A143" t="str">
            <v/>
          </cell>
          <cell r="B143"/>
          <cell r="C143"/>
          <cell r="D143"/>
          <cell r="E143"/>
          <cell r="F143"/>
          <cell r="G143"/>
          <cell r="H143"/>
          <cell r="I143"/>
          <cell r="J143"/>
          <cell r="K143"/>
          <cell r="L143"/>
          <cell r="M143"/>
          <cell r="N143"/>
          <cell r="O143"/>
          <cell r="P143"/>
          <cell r="Q143"/>
          <cell r="R143"/>
          <cell r="S143"/>
          <cell r="T143"/>
        </row>
        <row r="144">
          <cell r="A144" t="str">
            <v/>
          </cell>
          <cell r="B144"/>
          <cell r="C144"/>
          <cell r="D144"/>
          <cell r="E144"/>
          <cell r="F144"/>
          <cell r="G144"/>
          <cell r="H144"/>
          <cell r="I144"/>
          <cell r="J144"/>
          <cell r="K144"/>
          <cell r="L144"/>
          <cell r="M144"/>
          <cell r="N144"/>
          <cell r="O144"/>
          <cell r="P144"/>
          <cell r="Q144"/>
          <cell r="R144"/>
          <cell r="S144"/>
          <cell r="T144"/>
        </row>
        <row r="145">
          <cell r="A145" t="str">
            <v/>
          </cell>
          <cell r="B145"/>
          <cell r="C145"/>
          <cell r="D145"/>
          <cell r="E145"/>
          <cell r="F145"/>
          <cell r="G145"/>
          <cell r="H145"/>
          <cell r="I145"/>
          <cell r="J145"/>
          <cell r="K145"/>
          <cell r="L145"/>
          <cell r="M145"/>
          <cell r="N145"/>
          <cell r="O145"/>
          <cell r="P145"/>
          <cell r="Q145"/>
          <cell r="R145"/>
          <cell r="S145"/>
          <cell r="T145"/>
        </row>
        <row r="146">
          <cell r="A146" t="str">
            <v/>
          </cell>
          <cell r="B146"/>
          <cell r="C146"/>
          <cell r="D146"/>
          <cell r="E146"/>
          <cell r="F146"/>
          <cell r="G146"/>
          <cell r="H146"/>
          <cell r="I146"/>
          <cell r="J146"/>
          <cell r="K146"/>
          <cell r="L146"/>
          <cell r="M146"/>
          <cell r="N146"/>
          <cell r="O146"/>
          <cell r="P146"/>
          <cell r="Q146"/>
          <cell r="R146"/>
          <cell r="S146"/>
          <cell r="T146"/>
        </row>
        <row r="147">
          <cell r="A147" t="str">
            <v/>
          </cell>
          <cell r="B147"/>
          <cell r="C147"/>
          <cell r="D147"/>
          <cell r="E147"/>
          <cell r="F147"/>
          <cell r="G147"/>
          <cell r="H147"/>
          <cell r="I147"/>
          <cell r="J147"/>
          <cell r="K147"/>
          <cell r="L147"/>
          <cell r="M147"/>
          <cell r="N147"/>
          <cell r="O147"/>
          <cell r="P147"/>
          <cell r="Q147"/>
          <cell r="R147"/>
          <cell r="S147"/>
          <cell r="T147"/>
        </row>
        <row r="148">
          <cell r="A148" t="str">
            <v/>
          </cell>
          <cell r="B148"/>
          <cell r="C148"/>
          <cell r="D148"/>
          <cell r="E148"/>
          <cell r="F148"/>
          <cell r="G148"/>
          <cell r="H148"/>
          <cell r="I148"/>
          <cell r="J148"/>
          <cell r="K148"/>
          <cell r="L148"/>
          <cell r="M148"/>
          <cell r="N148"/>
          <cell r="O148"/>
          <cell r="P148"/>
          <cell r="Q148"/>
          <cell r="R148"/>
          <cell r="S148"/>
          <cell r="T148"/>
        </row>
        <row r="149">
          <cell r="A149" t="str">
            <v/>
          </cell>
          <cell r="B149"/>
          <cell r="C149"/>
          <cell r="D149"/>
          <cell r="E149"/>
          <cell r="F149"/>
          <cell r="G149"/>
          <cell r="H149"/>
          <cell r="I149"/>
          <cell r="J149"/>
          <cell r="K149"/>
          <cell r="L149"/>
          <cell r="M149"/>
          <cell r="N149"/>
          <cell r="O149"/>
          <cell r="P149"/>
          <cell r="Q149"/>
          <cell r="R149"/>
          <cell r="S149"/>
          <cell r="T149"/>
        </row>
        <row r="150">
          <cell r="A150" t="str">
            <v/>
          </cell>
          <cell r="B150"/>
          <cell r="C150"/>
          <cell r="D150"/>
          <cell r="E150"/>
          <cell r="F150"/>
          <cell r="G150"/>
          <cell r="H150"/>
          <cell r="I150"/>
          <cell r="J150"/>
          <cell r="K150"/>
          <cell r="L150"/>
          <cell r="M150"/>
          <cell r="N150"/>
          <cell r="O150"/>
          <cell r="P150"/>
          <cell r="Q150"/>
          <cell r="R150"/>
          <cell r="S150"/>
          <cell r="T150"/>
        </row>
        <row r="151">
          <cell r="A151" t="str">
            <v/>
          </cell>
          <cell r="B151"/>
          <cell r="C151"/>
          <cell r="D151"/>
          <cell r="E151"/>
          <cell r="F151"/>
          <cell r="G151"/>
          <cell r="H151"/>
          <cell r="I151"/>
          <cell r="J151"/>
          <cell r="K151"/>
          <cell r="L151"/>
          <cell r="M151"/>
          <cell r="N151"/>
          <cell r="O151"/>
          <cell r="P151"/>
          <cell r="Q151"/>
          <cell r="R151"/>
          <cell r="S151"/>
          <cell r="T151"/>
        </row>
        <row r="152">
          <cell r="A152" t="str">
            <v/>
          </cell>
          <cell r="B152"/>
          <cell r="C152"/>
          <cell r="D152"/>
          <cell r="E152"/>
          <cell r="F152"/>
          <cell r="G152"/>
          <cell r="H152"/>
          <cell r="I152"/>
          <cell r="J152"/>
          <cell r="K152"/>
          <cell r="L152"/>
          <cell r="M152"/>
          <cell r="N152"/>
          <cell r="O152"/>
          <cell r="P152"/>
          <cell r="Q152"/>
          <cell r="R152"/>
          <cell r="S152"/>
          <cell r="T152"/>
        </row>
        <row r="153">
          <cell r="A153" t="str">
            <v/>
          </cell>
          <cell r="B153"/>
          <cell r="C153"/>
          <cell r="D153"/>
          <cell r="E153"/>
          <cell r="F153"/>
          <cell r="G153"/>
          <cell r="H153"/>
          <cell r="I153"/>
          <cell r="J153"/>
          <cell r="K153"/>
          <cell r="L153"/>
          <cell r="M153"/>
          <cell r="N153"/>
          <cell r="O153"/>
          <cell r="P153"/>
          <cell r="Q153"/>
          <cell r="R153"/>
          <cell r="S153"/>
          <cell r="T153"/>
        </row>
        <row r="154">
          <cell r="A154" t="str">
            <v/>
          </cell>
          <cell r="B154"/>
          <cell r="C154"/>
          <cell r="D154"/>
          <cell r="E154"/>
          <cell r="F154"/>
          <cell r="G154"/>
          <cell r="H154"/>
          <cell r="I154"/>
          <cell r="J154"/>
          <cell r="K154"/>
          <cell r="L154"/>
          <cell r="M154"/>
          <cell r="N154"/>
          <cell r="O154"/>
          <cell r="P154"/>
          <cell r="Q154"/>
          <cell r="R154"/>
          <cell r="S154"/>
          <cell r="T154"/>
        </row>
        <row r="155">
          <cell r="A155" t="str">
            <v/>
          </cell>
          <cell r="B155"/>
          <cell r="C155"/>
          <cell r="D155"/>
          <cell r="E155"/>
          <cell r="F155"/>
          <cell r="G155"/>
          <cell r="H155"/>
          <cell r="I155"/>
          <cell r="J155"/>
          <cell r="K155"/>
          <cell r="L155"/>
          <cell r="M155"/>
          <cell r="N155"/>
          <cell r="O155"/>
          <cell r="P155"/>
          <cell r="Q155"/>
          <cell r="R155"/>
          <cell r="S155"/>
          <cell r="T155"/>
        </row>
      </sheetData>
      <sheetData sheetId="5">
        <row r="1">
          <cell r="B1" t="str">
            <v>Instituição</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C-DI"/>
      <sheetName val="GIF"/>
      <sheetName val="OUT21"/>
      <sheetName val="COMP41_OUT21"/>
      <sheetName val="NOV21"/>
      <sheetName val="COMP40_NOV21"/>
      <sheetName val="COMP41_NOV21"/>
      <sheetName val="DEZ21"/>
      <sheetName val="COMP40_DEZ21 "/>
      <sheetName val="JAN22"/>
      <sheetName val="COMP40_JAN22"/>
      <sheetName val="FEV22  "/>
      <sheetName val="COMP12_FEV22 "/>
      <sheetName val="COMP41_FEV22"/>
      <sheetName val="MAR22"/>
      <sheetName val="ABR22"/>
      <sheetName val="COMP2_ABR22"/>
      <sheetName val="MAIO22"/>
      <sheetName val="COMP40_MAIO22 "/>
      <sheetName val="JUNHO22"/>
      <sheetName val="COMP40_JUNHO22 "/>
      <sheetName val="JULHO22"/>
      <sheetName val="COMP22_JULHO22 "/>
      <sheetName val="AGO22"/>
      <sheetName val="COMP22_AGO22 "/>
      <sheetName val="SET22 "/>
      <sheetName val="COMP12_SET22 "/>
      <sheetName val="COMP22_SET22 "/>
      <sheetName val="COMP28_SET22"/>
      <sheetName val="OUT22 "/>
      <sheetName val="COMP2_OUT22"/>
      <sheetName val="COMP12_OUT22"/>
      <sheetName val="COMP22_OUT22"/>
      <sheetName val="COMP28_OUT22"/>
      <sheetName val="COMP30_OUT22"/>
      <sheetName val="COMP34_OUT22"/>
      <sheetName val="COMPA06_OUT22 "/>
      <sheetName val="NOV22"/>
      <sheetName val="COMP2_NOV22"/>
      <sheetName val="COMP22_NOV22 "/>
      <sheetName val="COMP28_NOV22"/>
      <sheetName val="COMP41_NOV22"/>
      <sheetName val="COMP30_NOV22 "/>
      <sheetName val="FEV23"/>
      <sheetName val="COMP2_FEV23"/>
      <sheetName val="COMP22_FEV23"/>
      <sheetName val="COMP28_FEV23"/>
      <sheetName val="MAR23"/>
      <sheetName val="COMP2_MAR23"/>
      <sheetName val="COMP12_MAR23  "/>
      <sheetName val="COMP16_MAR23"/>
      <sheetName val="COMP20_MAR23"/>
      <sheetName val="RESUMO_COD_EQU"/>
      <sheetName val="MAI23"/>
      <sheetName val="COMPA06_MAI23"/>
      <sheetName val="COMP28_MAI23"/>
      <sheetName val="COMP22_MAI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1">
          <cell r="B1" t="str">
            <v>Instituição</v>
          </cell>
          <cell r="C1" t="str">
            <v>Código/ Composição</v>
          </cell>
          <cell r="D1" t="str">
            <v>Descrição dos Serviços</v>
          </cell>
          <cell r="E1" t="str">
            <v>Unid.</v>
          </cell>
          <cell r="F1" t="str">
            <v>OUT21</v>
          </cell>
          <cell r="H1" t="str">
            <v>NOV21</v>
          </cell>
          <cell r="J1" t="str">
            <v>DEZ21</v>
          </cell>
          <cell r="L1" t="str">
            <v>JAN22</v>
          </cell>
          <cell r="N1" t="str">
            <v>FEV22</v>
          </cell>
          <cell r="P1" t="str">
            <v>MAR22</v>
          </cell>
          <cell r="R1" t="str">
            <v>ABR22</v>
          </cell>
          <cell r="T1" t="str">
            <v>MAI22</v>
          </cell>
          <cell r="V1" t="str">
            <v>JUN22</v>
          </cell>
          <cell r="X1" t="str">
            <v>JUL22</v>
          </cell>
          <cell r="Z1" t="str">
            <v>AGO22</v>
          </cell>
          <cell r="AB1" t="str">
            <v>SET22</v>
          </cell>
          <cell r="AD1" t="str">
            <v>OUT22</v>
          </cell>
          <cell r="AF1" t="str">
            <v>NOV22</v>
          </cell>
          <cell r="AH1" t="str">
            <v>JAN23</v>
          </cell>
        </row>
        <row r="2">
          <cell r="F2" t="str">
            <v>PRODUTIVO</v>
          </cell>
          <cell r="G2" t="str">
            <v>IMPRODUTIVO</v>
          </cell>
          <cell r="H2" t="str">
            <v>PRODUTIVO</v>
          </cell>
          <cell r="I2" t="str">
            <v>IMPRODUTIVO</v>
          </cell>
          <cell r="J2" t="str">
            <v>PRODUTIVO</v>
          </cell>
          <cell r="K2" t="str">
            <v>IMPRODUTIVO</v>
          </cell>
          <cell r="L2" t="str">
            <v>PRODUTIVO</v>
          </cell>
          <cell r="M2" t="str">
            <v>IMPRODUTIVO</v>
          </cell>
          <cell r="N2" t="str">
            <v>PRODUTIVO</v>
          </cell>
          <cell r="O2" t="str">
            <v>IMPRODUTIVO</v>
          </cell>
          <cell r="P2" t="str">
            <v>PRODUTIVO</v>
          </cell>
          <cell r="Q2" t="str">
            <v>IMPRODUTIVO</v>
          </cell>
          <cell r="R2" t="str">
            <v>PRODUTIVO</v>
          </cell>
          <cell r="S2" t="str">
            <v>IMPRODUTIVO</v>
          </cell>
          <cell r="T2" t="str">
            <v>PRODUTIVO</v>
          </cell>
          <cell r="U2" t="str">
            <v>IMPRODUTIVO</v>
          </cell>
          <cell r="V2" t="str">
            <v>PRODUTIVO</v>
          </cell>
          <cell r="W2" t="str">
            <v>IMPRODUTIVO</v>
          </cell>
          <cell r="X2" t="str">
            <v>PRODUTIVO</v>
          </cell>
          <cell r="Y2" t="str">
            <v>IMPRODUTIVO</v>
          </cell>
          <cell r="Z2" t="str">
            <v>PRODUTIVO</v>
          </cell>
          <cell r="AA2" t="str">
            <v>IMPRODUTIVO</v>
          </cell>
          <cell r="AB2" t="str">
            <v>PRODUTIVO</v>
          </cell>
          <cell r="AC2" t="str">
            <v>IMPRODUTIVO</v>
          </cell>
          <cell r="AD2" t="str">
            <v>PRODUTIVO</v>
          </cell>
          <cell r="AE2" t="str">
            <v>IMPRODUTIVO</v>
          </cell>
          <cell r="AF2" t="str">
            <v>PRODUTIVO</v>
          </cell>
          <cell r="AG2" t="str">
            <v>IMPRODUTIVO</v>
          </cell>
          <cell r="AH2" t="str">
            <v>PRODUTIVO</v>
          </cell>
          <cell r="AI2" t="str">
            <v>IMPRODUTIVO</v>
          </cell>
        </row>
        <row r="3">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cell r="V3">
            <v>22</v>
          </cell>
          <cell r="W3">
            <v>23</v>
          </cell>
          <cell r="X3">
            <v>24</v>
          </cell>
          <cell r="Y3">
            <v>25</v>
          </cell>
          <cell r="Z3">
            <v>26</v>
          </cell>
          <cell r="AA3">
            <v>27</v>
          </cell>
          <cell r="AB3">
            <v>28</v>
          </cell>
          <cell r="AC3">
            <v>29</v>
          </cell>
          <cell r="AD3">
            <v>30</v>
          </cell>
          <cell r="AE3">
            <v>31</v>
          </cell>
          <cell r="AF3">
            <v>32</v>
          </cell>
          <cell r="AG3">
            <v>33</v>
          </cell>
          <cell r="AH3">
            <v>34</v>
          </cell>
          <cell r="AI3">
            <v>35</v>
          </cell>
        </row>
        <row r="4">
          <cell r="A4" t="str">
            <v>DER080144</v>
          </cell>
          <cell r="B4" t="str">
            <v>DER</v>
          </cell>
          <cell r="C4" t="str">
            <v>080144</v>
          </cell>
          <cell r="D4" t="str">
            <v>VIBRADOR DE IMERSAO ELETRICO 2HP (E306)</v>
          </cell>
          <cell r="E4" t="str">
            <v>H</v>
          </cell>
          <cell r="H4">
            <v>21.63</v>
          </cell>
          <cell r="I4">
            <v>14.08</v>
          </cell>
          <cell r="J4">
            <v>21.63</v>
          </cell>
          <cell r="K4">
            <v>14.08</v>
          </cell>
          <cell r="L4">
            <v>22.15</v>
          </cell>
          <cell r="M4">
            <v>14.05</v>
          </cell>
          <cell r="N4">
            <v>22.12</v>
          </cell>
          <cell r="O4">
            <v>14.05</v>
          </cell>
          <cell r="P4">
            <v>23.16</v>
          </cell>
          <cell r="Q4">
            <v>14.05</v>
          </cell>
          <cell r="R4">
            <v>23.19</v>
          </cell>
          <cell r="S4">
            <v>14.05</v>
          </cell>
          <cell r="T4">
            <v>23.05</v>
          </cell>
          <cell r="U4">
            <v>14.05</v>
          </cell>
          <cell r="V4">
            <v>24.5</v>
          </cell>
          <cell r="W4">
            <v>14.05</v>
          </cell>
          <cell r="X4">
            <v>24.5</v>
          </cell>
          <cell r="Y4">
            <v>14.05</v>
          </cell>
          <cell r="Z4">
            <v>24.5</v>
          </cell>
          <cell r="AA4">
            <v>14.05</v>
          </cell>
          <cell r="AB4">
            <v>27.16</v>
          </cell>
          <cell r="AC4">
            <v>16.89</v>
          </cell>
          <cell r="AD4">
            <v>27.07</v>
          </cell>
          <cell r="AE4">
            <v>16.89</v>
          </cell>
        </row>
        <row r="5">
          <cell r="A5" t="str">
            <v>SICROE9662</v>
          </cell>
          <cell r="B5" t="str">
            <v>SICRO</v>
          </cell>
          <cell r="C5" t="str">
            <v>E9662</v>
          </cell>
          <cell r="D5" t="str">
            <v>Equipamento para solda/corte com oxiacetileno</v>
          </cell>
          <cell r="E5" t="str">
            <v>H</v>
          </cell>
          <cell r="N5">
            <v>1.0434000000000001</v>
          </cell>
          <cell r="O5">
            <v>0.57579999999999998</v>
          </cell>
          <cell r="AB5">
            <v>1.0445</v>
          </cell>
          <cell r="AC5">
            <v>0.57640000000000002</v>
          </cell>
          <cell r="AD5">
            <v>1.0443</v>
          </cell>
          <cell r="AE5">
            <v>0.57630000000000003</v>
          </cell>
        </row>
        <row r="6">
          <cell r="A6" t="str">
            <v>SICROE9521</v>
          </cell>
          <cell r="B6" t="str">
            <v>SICRO</v>
          </cell>
          <cell r="C6" t="str">
            <v>E9521</v>
          </cell>
          <cell r="D6" t="str">
            <v>Grupo gerador - 2,5/3 Kva</v>
          </cell>
          <cell r="E6" t="str">
            <v>H</v>
          </cell>
          <cell r="R6">
            <v>4.6317000000000004</v>
          </cell>
          <cell r="S6">
            <v>0.21379999999999999</v>
          </cell>
          <cell r="T6">
            <v>4.6317000000000004</v>
          </cell>
          <cell r="U6">
            <v>0.21379999999999999</v>
          </cell>
        </row>
        <row r="7">
          <cell r="A7" t="str">
            <v>SICROE9717</v>
          </cell>
          <cell r="B7" t="str">
            <v>SICRO</v>
          </cell>
          <cell r="C7" t="str">
            <v>E9717</v>
          </cell>
          <cell r="D7" t="str">
            <v>Máquina policorte - 2,2 kW</v>
          </cell>
          <cell r="E7" t="str">
            <v>H</v>
          </cell>
          <cell r="R7">
            <v>0.14680000000000001</v>
          </cell>
          <cell r="S7">
            <v>0.10050000000000001</v>
          </cell>
          <cell r="T7">
            <v>0.14680000000000001</v>
          </cell>
          <cell r="U7">
            <v>0.10050000000000001</v>
          </cell>
        </row>
        <row r="8">
          <cell r="A8" t="str">
            <v>SINAPI90674</v>
          </cell>
          <cell r="B8" t="str">
            <v>SINAPI</v>
          </cell>
          <cell r="C8" t="str">
            <v>90674</v>
          </cell>
          <cell r="D8" t="str">
            <v>PERFURATRIZ COM TORRE METÁLICA PARA EXECUÇÃO DE ESTACA HÉLICE CONTÍNUA, PROFUNDIDADE MÁXIMA DE 30 M, DIÂMETRO MÁXIMO DE 800 MM, POTÊNCIA INSTALADA DE 268 HP, MESA ROTATIVA COM TORQUE MÁXIMO DE 170 KNM - CHP DIURNO. AF_06/2015</v>
          </cell>
          <cell r="E8" t="str">
            <v>H</v>
          </cell>
          <cell r="X8">
            <v>758.61</v>
          </cell>
          <cell r="Y8">
            <v>0</v>
          </cell>
          <cell r="AB8">
            <v>741.72</v>
          </cell>
          <cell r="AC8">
            <v>0</v>
          </cell>
        </row>
        <row r="9">
          <cell r="A9" t="str">
            <v>SICROE9671</v>
          </cell>
          <cell r="B9" t="str">
            <v>SICRO</v>
          </cell>
          <cell r="C9" t="str">
            <v>E9671</v>
          </cell>
          <cell r="D9" t="str">
            <v>Compressor de ar portátil de 748 PCM - 154 kW</v>
          </cell>
          <cell r="E9" t="str">
            <v>H</v>
          </cell>
          <cell r="Z9">
            <v>245.45179999999999</v>
          </cell>
          <cell r="AA9">
            <v>38.408900000000003</v>
          </cell>
          <cell r="AB9">
            <v>245.45179999999999</v>
          </cell>
          <cell r="AC9">
            <v>38.408900000000003</v>
          </cell>
          <cell r="AD9">
            <v>238.09950000000001</v>
          </cell>
          <cell r="AE9">
            <v>38.384799999999998</v>
          </cell>
          <cell r="AF9">
            <v>238.09950000000001</v>
          </cell>
          <cell r="AG9">
            <v>38.384799999999998</v>
          </cell>
        </row>
        <row r="10">
          <cell r="A10" t="str">
            <v>SICROE9601</v>
          </cell>
          <cell r="B10" t="str">
            <v>SICRO</v>
          </cell>
          <cell r="C10" t="str">
            <v>E9601</v>
          </cell>
          <cell r="D10" t="str">
            <v>Embarcação de transporte de pessoal e apoio logístico - 175 HP</v>
          </cell>
          <cell r="E10" t="str">
            <v>H</v>
          </cell>
          <cell r="Z10">
            <v>403.63499999999999</v>
          </cell>
          <cell r="AA10">
            <v>45.329300000000003</v>
          </cell>
          <cell r="AB10">
            <v>403.63499999999999</v>
          </cell>
          <cell r="AC10">
            <v>45.329300000000003</v>
          </cell>
          <cell r="AD10">
            <v>279.88260000000002</v>
          </cell>
          <cell r="AE10">
            <v>45.476599999999998</v>
          </cell>
          <cell r="AF10">
            <v>279.88260000000002</v>
          </cell>
          <cell r="AG10">
            <v>45.476599999999998</v>
          </cell>
        </row>
        <row r="11">
          <cell r="A11" t="str">
            <v>SICROE9778</v>
          </cell>
          <cell r="B11" t="str">
            <v>SICRO</v>
          </cell>
          <cell r="C11" t="str">
            <v>E9778</v>
          </cell>
          <cell r="D11" t="str">
            <v>Grupo gerador - 310/340 kVA</v>
          </cell>
          <cell r="E11" t="str">
            <v>H</v>
          </cell>
          <cell r="Z11">
            <v>345.49549999999999</v>
          </cell>
          <cell r="AA11">
            <v>13.4819</v>
          </cell>
          <cell r="AB11">
            <v>345.49549999999999</v>
          </cell>
          <cell r="AC11">
            <v>13.4819</v>
          </cell>
          <cell r="AD11">
            <v>332.0564</v>
          </cell>
          <cell r="AE11">
            <v>13.4771</v>
          </cell>
          <cell r="AF11">
            <v>332.0564</v>
          </cell>
          <cell r="AG11">
            <v>13.4771</v>
          </cell>
        </row>
        <row r="12">
          <cell r="A12" t="str">
            <v>SICROE9055</v>
          </cell>
          <cell r="B12" t="str">
            <v>SICRO</v>
          </cell>
          <cell r="C12" t="str">
            <v>E9055</v>
          </cell>
          <cell r="D12" t="str">
            <v>Guincho pneumático com capacidade de 2,5 t</v>
          </cell>
          <cell r="E12" t="str">
            <v>H</v>
          </cell>
          <cell r="Z12">
            <v>83.134600000000006</v>
          </cell>
          <cell r="AA12">
            <v>56.910800000000002</v>
          </cell>
          <cell r="AB12">
            <v>83.134600000000006</v>
          </cell>
          <cell r="AC12">
            <v>56.910800000000002</v>
          </cell>
          <cell r="AD12">
            <v>83.130899999999997</v>
          </cell>
          <cell r="AE12">
            <v>56.908299999999997</v>
          </cell>
          <cell r="AF12">
            <v>83.130899999999997</v>
          </cell>
          <cell r="AG12">
            <v>56.908299999999997</v>
          </cell>
        </row>
        <row r="13">
          <cell r="A13" t="str">
            <v>SICROE9058</v>
          </cell>
          <cell r="B13" t="str">
            <v>SICRO</v>
          </cell>
          <cell r="C13" t="str">
            <v>E9058</v>
          </cell>
          <cell r="D13" t="str">
            <v>Plataforma flutuante de 12 x 24 x 1,8 m com capacidade de 150 t</v>
          </cell>
          <cell r="E13" t="str">
            <v>H</v>
          </cell>
          <cell r="Z13">
            <v>43.237699999999997</v>
          </cell>
          <cell r="AA13">
            <v>33.354900000000001</v>
          </cell>
          <cell r="AB13">
            <v>43.237699999999997</v>
          </cell>
          <cell r="AC13">
            <v>33.354900000000001</v>
          </cell>
          <cell r="AD13">
            <v>45.404000000000003</v>
          </cell>
          <cell r="AE13">
            <v>34.647599999999997</v>
          </cell>
          <cell r="AF13">
            <v>45.404000000000003</v>
          </cell>
          <cell r="AG13">
            <v>34.647599999999997</v>
          </cell>
        </row>
        <row r="14">
          <cell r="A14" t="str">
            <v>SICROE9009</v>
          </cell>
          <cell r="B14" t="str">
            <v>SICRO</v>
          </cell>
          <cell r="C14" t="str">
            <v>E9009</v>
          </cell>
          <cell r="D14" t="str">
            <v>Rebocador - 360 HP</v>
          </cell>
          <cell r="E14" t="str">
            <v>H</v>
          </cell>
          <cell r="F14">
            <v>364.67129999999997</v>
          </cell>
          <cell r="Z14">
            <v>495.21589999999998</v>
          </cell>
          <cell r="AA14">
            <v>140.90690000000001</v>
          </cell>
          <cell r="AB14">
            <v>495.21589999999998</v>
          </cell>
          <cell r="AC14">
            <v>140.90690000000001</v>
          </cell>
          <cell r="AD14">
            <v>482.43819999999999</v>
          </cell>
          <cell r="AE14">
            <v>143.1148</v>
          </cell>
          <cell r="AF14">
            <v>482.43819999999999</v>
          </cell>
          <cell r="AG14">
            <v>143.1148</v>
          </cell>
        </row>
        <row r="15">
          <cell r="A15" t="str">
            <v>SICROE9660</v>
          </cell>
          <cell r="B15" t="str">
            <v>SICRO</v>
          </cell>
          <cell r="C15" t="str">
            <v>E9660</v>
          </cell>
          <cell r="D15" t="str">
            <v>Guindaste sobre esteiras - 220 Kw</v>
          </cell>
          <cell r="E15" t="str">
            <v>H</v>
          </cell>
          <cell r="F15">
            <v>406.27</v>
          </cell>
          <cell r="G15">
            <v>204.62</v>
          </cell>
          <cell r="L15">
            <v>408.13659999999999</v>
          </cell>
          <cell r="M15">
            <v>203.02</v>
          </cell>
          <cell r="R15">
            <v>391.06</v>
          </cell>
          <cell r="S15">
            <v>191.08</v>
          </cell>
          <cell r="X15">
            <v>422.26</v>
          </cell>
          <cell r="Y15">
            <v>202.31</v>
          </cell>
          <cell r="Z15">
            <v>418.12889999999999</v>
          </cell>
          <cell r="AA15">
            <v>198.18199999999999</v>
          </cell>
          <cell r="AB15">
            <v>418.12889999999999</v>
          </cell>
          <cell r="AC15">
            <v>198.18199999999999</v>
          </cell>
          <cell r="AD15">
            <v>418.12889999999999</v>
          </cell>
          <cell r="AE15">
            <v>198.18199999999999</v>
          </cell>
        </row>
        <row r="16">
          <cell r="A16" t="str">
            <v>SICROE9079</v>
          </cell>
          <cell r="B16" t="str">
            <v>SICRO</v>
          </cell>
          <cell r="C16" t="str">
            <v>E9079</v>
          </cell>
          <cell r="D16" t="str">
            <v>Bomba submersível Flygt 12 - 23 Kw</v>
          </cell>
          <cell r="E16" t="str">
            <v>H</v>
          </cell>
          <cell r="AB16">
            <v>28.49</v>
          </cell>
          <cell r="AC16">
            <v>16.655100000000001</v>
          </cell>
          <cell r="AD16">
            <v>28.4893</v>
          </cell>
          <cell r="AE16">
            <v>16.654699999999998</v>
          </cell>
        </row>
        <row r="17">
          <cell r="A17" t="str">
            <v>SICROE9648</v>
          </cell>
          <cell r="B17" t="str">
            <v>SICRO</v>
          </cell>
          <cell r="C17" t="str">
            <v>E9648</v>
          </cell>
          <cell r="D17" t="str">
            <v>Compressor de ar portátil de 896 PCM - 213 kW</v>
          </cell>
          <cell r="E17" t="str">
            <v>H</v>
          </cell>
          <cell r="AB17">
            <v>327.56959999999998</v>
          </cell>
          <cell r="AC17">
            <v>50.0289</v>
          </cell>
          <cell r="AD17">
            <v>321.06459999999998</v>
          </cell>
          <cell r="AE17">
            <v>51.897799999999997</v>
          </cell>
        </row>
        <row r="18">
          <cell r="A18" t="str">
            <v>SICROE9021</v>
          </cell>
          <cell r="B18" t="str">
            <v>SICRO</v>
          </cell>
          <cell r="C18" t="str">
            <v>E9021</v>
          </cell>
          <cell r="D18" t="str">
            <v>Grupo gerador - 456 kVA</v>
          </cell>
          <cell r="E18" t="str">
            <v>H</v>
          </cell>
          <cell r="AB18">
            <v>489.82080000000002</v>
          </cell>
          <cell r="AC18">
            <v>22.066500000000001</v>
          </cell>
          <cell r="AD18">
            <v>470.935</v>
          </cell>
          <cell r="AE18">
            <v>22.0472</v>
          </cell>
        </row>
        <row r="19">
          <cell r="A19" t="str">
            <v>SICROE9651</v>
          </cell>
          <cell r="B19" t="str">
            <v>SICRO</v>
          </cell>
          <cell r="C19" t="str">
            <v>E9651</v>
          </cell>
          <cell r="D19" t="str">
            <v>Guindaste sobre esteiras com Hammer Grab - 220 kW</v>
          </cell>
          <cell r="E19" t="str">
            <v>H</v>
          </cell>
          <cell r="AB19">
            <v>492.62099999999998</v>
          </cell>
          <cell r="AC19">
            <v>238.1729</v>
          </cell>
          <cell r="AD19">
            <v>512.47490000000005</v>
          </cell>
          <cell r="AE19">
            <v>249.7525</v>
          </cell>
        </row>
        <row r="20">
          <cell r="A20" t="str">
            <v>SICROE9077</v>
          </cell>
          <cell r="B20" t="str">
            <v>SICRO</v>
          </cell>
          <cell r="C20" t="str">
            <v>E9077</v>
          </cell>
          <cell r="D20" t="str">
            <v>Perfuratriz Wirth com acessórios e unidade hidráulica (Power Pack) - 273 kW</v>
          </cell>
          <cell r="E20" t="str">
            <v>H</v>
          </cell>
          <cell r="AB20">
            <v>1086.1187</v>
          </cell>
          <cell r="AC20">
            <v>519.52329999999995</v>
          </cell>
          <cell r="AD20">
            <v>1029.1438000000001</v>
          </cell>
          <cell r="AE20">
            <v>491.96280000000002</v>
          </cell>
        </row>
        <row r="21">
          <cell r="A21" t="str">
            <v>SICROE9094</v>
          </cell>
          <cell r="B21" t="str">
            <v>SICRO</v>
          </cell>
          <cell r="C21" t="str">
            <v>E9094</v>
          </cell>
          <cell r="D21" t="str">
            <v>Guindaste móvel sobre pneus com 6 eixos com capacidade de 10.500 kN.m - 450 Kw</v>
          </cell>
          <cell r="E21" t="str">
            <v>H</v>
          </cell>
          <cell r="AD21">
            <v>2528.4459000000002</v>
          </cell>
          <cell r="AE21">
            <v>1296.3715999999999</v>
          </cell>
        </row>
        <row r="22">
          <cell r="A22" t="str">
            <v>SICROE9665</v>
          </cell>
          <cell r="B22" t="str">
            <v>SICRO</v>
          </cell>
          <cell r="C22" t="str">
            <v>E9665</v>
          </cell>
          <cell r="D22" t="str">
            <v>Cavalo mecânico com semirreboque com capacidade de 22 t - 240 Kw</v>
          </cell>
          <cell r="E22" t="str">
            <v>h</v>
          </cell>
          <cell r="F22">
            <v>296.57619999999997</v>
          </cell>
          <cell r="G22">
            <v>94.06</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sheetData>
      <sheetData sheetId="53"/>
      <sheetData sheetId="54"/>
      <sheetData sheetId="55"/>
      <sheetData sheetId="5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ÕES ADITIVO (2)"/>
      <sheetName val="camisas"/>
      <sheetName val="BASE"/>
      <sheetName val="GIF"/>
      <sheetName val="RESUMO_COD_EQU"/>
      <sheetName val="RESUMO_COD"/>
      <sheetName val="RESUMO_COMP"/>
      <sheetName val="COMP1A_OUT21"/>
      <sheetName val="NOV21"/>
      <sheetName val="COMP6_NOV21"/>
      <sheetName val="DEZ21"/>
      <sheetName val="COMP6_DEZ21"/>
      <sheetName val="OUT21"/>
      <sheetName val="JAN22"/>
      <sheetName val="COMP5_JAN22"/>
      <sheetName val="COMP6_JAN22"/>
      <sheetName val="FEV22"/>
      <sheetName val="COMP5_FEV22"/>
      <sheetName val="COMP6_FEV22"/>
      <sheetName val="COMP26_FEV22"/>
      <sheetName val="MAR22"/>
      <sheetName val="COMP6_MAR22"/>
      <sheetName val="COMP5_MAR22"/>
      <sheetName val="ABR22"/>
      <sheetName val="COMP18_ABR22"/>
      <sheetName val="COMP6_ABR22"/>
      <sheetName val="COMP11_ABR22"/>
      <sheetName val="COMP5_ABR22"/>
      <sheetName val="MAI22"/>
      <sheetName val="COMPA01_MAI22"/>
      <sheetName val="COMP5_MAI22"/>
      <sheetName val="COMP11_MAI22"/>
      <sheetName val="COMP13_MAI22"/>
      <sheetName val="COMP18_MAI22"/>
      <sheetName val="COMP6_MAI22"/>
      <sheetName val="JUN22"/>
      <sheetName val="COMP6_JUN22"/>
      <sheetName val="COMP27_JUN22"/>
      <sheetName val="COMP5_JUN22"/>
      <sheetName val="JUL22"/>
      <sheetName val="COMP4_JUL22"/>
      <sheetName val="COMP23_JUL22"/>
      <sheetName val="COMP24_JUL22"/>
      <sheetName val="COMP5_JUL22"/>
      <sheetName val="AGO22"/>
      <sheetName val="COMP23_AGO22"/>
      <sheetName val="COMP24_AGO22"/>
      <sheetName val="COMP5_AGO22"/>
      <sheetName val="COMP16_AGO22"/>
      <sheetName val="COMP20_AGO22"/>
      <sheetName val="COMP10_AGO22"/>
      <sheetName val="SET22"/>
      <sheetName val="COMP4_SET22"/>
      <sheetName val="COMP11_SET22"/>
      <sheetName val="COMP5_SET22"/>
      <sheetName val="COMP26_SET22"/>
      <sheetName val="COMP16_SET22"/>
      <sheetName val="COMP35_SET22"/>
      <sheetName val="COMP20_SET22"/>
      <sheetName val="COMP19_SET22"/>
      <sheetName val="COMP17_SET22"/>
      <sheetName val="COMP15_SET22"/>
      <sheetName val="COMP10_SET22"/>
      <sheetName val="COMP25_SET22"/>
      <sheetName val="COMP13_SET22"/>
      <sheetName val="OUT22"/>
      <sheetName val="COMP5_OUT22"/>
      <sheetName val="COMP16_OUT22"/>
      <sheetName val="COMP35_OUT22"/>
      <sheetName val="COMP20_OUT22"/>
      <sheetName val="COMP19_OUT22"/>
      <sheetName val="COMP17_OUT22"/>
      <sheetName val="COMP15_OUT22"/>
      <sheetName val="COMP25_OUT22"/>
      <sheetName val="COMP42_OUT22"/>
      <sheetName val="COMP43_OUT22"/>
      <sheetName val="COMP9_OUT22"/>
      <sheetName val="COMP10_OUT22"/>
      <sheetName val="COMP11_OUT22"/>
      <sheetName val="COMP27_OUT22"/>
      <sheetName val="NOV22"/>
      <sheetName val="COMP16_NOV22"/>
      <sheetName val="COMP20_NOV22"/>
      <sheetName val="JAN23"/>
      <sheetName val="COMP11_JAN23"/>
      <sheetName val="COMP13_JAN23"/>
    </sheetNames>
    <sheetDataSet>
      <sheetData sheetId="0" refreshError="1"/>
      <sheetData sheetId="1" refreshError="1"/>
      <sheetData sheetId="2" refreshError="1"/>
      <sheetData sheetId="3" refreshError="1"/>
      <sheetData sheetId="4" refreshError="1"/>
      <sheetData sheetId="5" refreshError="1"/>
      <sheetData sheetId="6">
        <row r="1">
          <cell r="B1" t="str">
            <v>Instituição</v>
          </cell>
          <cell r="C1" t="str">
            <v>Código/ Composição</v>
          </cell>
          <cell r="D1" t="str">
            <v>Descrição dos Serviços</v>
          </cell>
          <cell r="E1" t="str">
            <v>Unid.</v>
          </cell>
          <cell r="F1" t="str">
            <v>OUT21</v>
          </cell>
          <cell r="G1" t="str">
            <v>NOV21</v>
          </cell>
          <cell r="H1" t="str">
            <v>DEZ21</v>
          </cell>
          <cell r="I1" t="str">
            <v>JAN22</v>
          </cell>
          <cell r="J1" t="str">
            <v>FEV22</v>
          </cell>
          <cell r="K1" t="str">
            <v>MAR22</v>
          </cell>
          <cell r="L1" t="str">
            <v>ABR22</v>
          </cell>
          <cell r="M1" t="str">
            <v>MAI22</v>
          </cell>
          <cell r="N1" t="str">
            <v>JUN22</v>
          </cell>
          <cell r="O1" t="str">
            <v>JUL22</v>
          </cell>
          <cell r="P1" t="str">
            <v>AGO22</v>
          </cell>
          <cell r="Q1" t="str">
            <v>SET22</v>
          </cell>
          <cell r="R1" t="str">
            <v>OUT22</v>
          </cell>
          <cell r="S1" t="str">
            <v>NOV22</v>
          </cell>
          <cell r="T1" t="str">
            <v>JAN23</v>
          </cell>
        </row>
        <row r="3">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row>
        <row r="4">
          <cell r="A4" t="str">
            <v>COMP3</v>
          </cell>
          <cell r="C4" t="str">
            <v>COMP3</v>
          </cell>
          <cell r="D4" t="str">
            <v>ARMAÇÃO DO SISTEMA DE PAREDES DE CONCRETO COM TELA Q785</v>
          </cell>
          <cell r="E4" t="str">
            <v>KG</v>
          </cell>
          <cell r="F4" t="str">
            <v/>
          </cell>
          <cell r="G4" t="str">
            <v/>
          </cell>
          <cell r="H4" t="str">
            <v/>
          </cell>
          <cell r="I4" t="str">
            <v/>
          </cell>
          <cell r="J4" t="str">
            <v/>
          </cell>
          <cell r="K4" t="str">
            <v/>
          </cell>
          <cell r="L4" t="str">
            <v/>
          </cell>
          <cell r="M4" t="str">
            <v/>
          </cell>
          <cell r="N4" t="str">
            <v/>
          </cell>
          <cell r="O4" t="str">
            <v/>
          </cell>
          <cell r="P4" t="str">
            <v/>
          </cell>
          <cell r="Q4" t="str">
            <v/>
          </cell>
          <cell r="R4" t="str">
            <v/>
          </cell>
          <cell r="S4" t="str">
            <v/>
          </cell>
          <cell r="T4" t="str">
            <v/>
          </cell>
        </row>
        <row r="5">
          <cell r="A5" t="str">
            <v>COMP6</v>
          </cell>
          <cell r="C5" t="str">
            <v>COMP6</v>
          </cell>
          <cell r="D5" t="str">
            <v xml:space="preserve"> FORNECIMENTO E APLICAÇÃO DE CONCRETO USINADO FCK=50 MPA COM ADITIVO LIQUIDO IMPERMEABILIZANTE E SÍLICA ATIVA - CONSIDERANDO BOMBEAMENTO (5% DE PERDAS JÁ INCLUÍDO NO CUSTO) (6% DE TAXA P/CONCR. BOMBEAVEL)</v>
          </cell>
          <cell r="E5" t="str">
            <v>M3</v>
          </cell>
          <cell r="F5" t="str">
            <v/>
          </cell>
          <cell r="G5">
            <v>843.06379800000002</v>
          </cell>
          <cell r="H5">
            <v>914.72019299999999</v>
          </cell>
          <cell r="I5">
            <v>991.248963</v>
          </cell>
          <cell r="J5">
            <v>996.44616299999996</v>
          </cell>
          <cell r="K5">
            <v>1013.246112</v>
          </cell>
          <cell r="L5">
            <v>1097.2978290000001</v>
          </cell>
          <cell r="M5">
            <v>1161.730116</v>
          </cell>
          <cell r="N5">
            <v>1186.6896690000001</v>
          </cell>
          <cell r="O5" t="str">
            <v/>
          </cell>
          <cell r="P5" t="str">
            <v/>
          </cell>
          <cell r="Q5" t="str">
            <v/>
          </cell>
          <cell r="R5" t="str">
            <v/>
          </cell>
          <cell r="S5" t="str">
            <v/>
          </cell>
          <cell r="T5" t="str">
            <v/>
          </cell>
        </row>
        <row r="6">
          <cell r="A6" t="str">
            <v>COMP5</v>
          </cell>
          <cell r="C6" t="str">
            <v>COMP5</v>
          </cell>
          <cell r="D6" t="str">
            <v>FORNECIMENTO E APLICAÇÃO DE CONCRETO USINADO FCK=40 MPA - CONSIDERANDO BOMBEAMENTO (5% DE PERDAS JÁ INCLUÍDO NO CUSTO) (6% DE TAXA P/CONCR. BOMBEAVEL)</v>
          </cell>
          <cell r="E6" t="str">
            <v>m3</v>
          </cell>
          <cell r="F6" t="str">
            <v/>
          </cell>
          <cell r="G6" t="str">
            <v/>
          </cell>
          <cell r="H6" t="str">
            <v/>
          </cell>
          <cell r="I6">
            <v>709.07998199999997</v>
          </cell>
          <cell r="J6">
            <v>713.978343</v>
          </cell>
          <cell r="K6">
            <v>729.03723000000002</v>
          </cell>
          <cell r="L6">
            <v>794.82078899999999</v>
          </cell>
          <cell r="M6">
            <v>852.43175100000008</v>
          </cell>
          <cell r="N6">
            <v>877.30035300000009</v>
          </cell>
          <cell r="O6">
            <v>903.62417100000005</v>
          </cell>
          <cell r="P6">
            <v>912.39444600000002</v>
          </cell>
          <cell r="Q6">
            <v>912.74525700000004</v>
          </cell>
          <cell r="R6">
            <v>928.64868899999999</v>
          </cell>
          <cell r="S6" t="str">
            <v/>
          </cell>
          <cell r="T6" t="str">
            <v/>
          </cell>
        </row>
        <row r="7">
          <cell r="A7" t="str">
            <v>COMP26</v>
          </cell>
          <cell r="C7" t="str">
            <v>COMP26</v>
          </cell>
          <cell r="D7" t="str">
            <v>Chapa dobrada #8 400x700 mm, incl. chumbadores e solda.</v>
          </cell>
          <cell r="E7" t="str">
            <v>un</v>
          </cell>
          <cell r="F7" t="str">
            <v/>
          </cell>
          <cell r="G7" t="str">
            <v/>
          </cell>
          <cell r="H7" t="str">
            <v/>
          </cell>
          <cell r="I7" t="str">
            <v/>
          </cell>
          <cell r="J7">
            <v>539.66425500000003</v>
          </cell>
          <cell r="K7" t="str">
            <v/>
          </cell>
          <cell r="L7" t="str">
            <v/>
          </cell>
          <cell r="M7" t="str">
            <v/>
          </cell>
          <cell r="N7" t="str">
            <v/>
          </cell>
          <cell r="O7" t="str">
            <v/>
          </cell>
          <cell r="P7" t="str">
            <v/>
          </cell>
          <cell r="Q7">
            <v>577.16205300000001</v>
          </cell>
          <cell r="R7" t="str">
            <v/>
          </cell>
          <cell r="S7" t="str">
            <v/>
          </cell>
          <cell r="T7" t="str">
            <v/>
          </cell>
        </row>
        <row r="8">
          <cell r="A8" t="str">
            <v>COMP18</v>
          </cell>
          <cell r="C8" t="str">
            <v>COMP18</v>
          </cell>
          <cell r="D8" t="str">
            <v>Cordoalha CP 190 RB D = 15,2 mm - fornecimento, preparo e colocação</v>
          </cell>
          <cell r="E8" t="str">
            <v>kg</v>
          </cell>
          <cell r="F8" t="str">
            <v/>
          </cell>
          <cell r="G8" t="str">
            <v/>
          </cell>
          <cell r="H8" t="str">
            <v/>
          </cell>
          <cell r="I8" t="str">
            <v/>
          </cell>
          <cell r="J8" t="str">
            <v/>
          </cell>
          <cell r="K8" t="str">
            <v/>
          </cell>
          <cell r="L8">
            <v>17.904353999999998</v>
          </cell>
          <cell r="M8">
            <v>17.943333000000003</v>
          </cell>
          <cell r="N8" t="str">
            <v/>
          </cell>
          <cell r="O8" t="str">
            <v/>
          </cell>
          <cell r="P8" t="str">
            <v/>
          </cell>
          <cell r="Q8" t="str">
            <v/>
          </cell>
          <cell r="R8" t="str">
            <v/>
          </cell>
          <cell r="S8" t="str">
            <v/>
          </cell>
          <cell r="T8" t="str">
            <v/>
          </cell>
        </row>
        <row r="9">
          <cell r="A9" t="str">
            <v>COMP11</v>
          </cell>
          <cell r="C9" t="str">
            <v>COMP11</v>
          </cell>
          <cell r="D9" t="str">
            <v>Lastro regularizado e impermeabilizado de concreto, espessura de 10 cm , com armação em tela Q-61</v>
          </cell>
          <cell r="E9" t="str">
            <v>m²</v>
          </cell>
          <cell r="F9" t="str">
            <v/>
          </cell>
          <cell r="G9" t="str">
            <v/>
          </cell>
          <cell r="H9" t="str">
            <v/>
          </cell>
          <cell r="I9" t="str">
            <v/>
          </cell>
          <cell r="J9" t="str">
            <v/>
          </cell>
          <cell r="K9" t="str">
            <v/>
          </cell>
          <cell r="L9">
            <v>139.16802300000001</v>
          </cell>
          <cell r="M9">
            <v>146.11927800000001</v>
          </cell>
          <cell r="N9" t="str">
            <v/>
          </cell>
          <cell r="O9" t="str">
            <v/>
          </cell>
          <cell r="P9" t="str">
            <v/>
          </cell>
          <cell r="Q9">
            <v>151.693275</v>
          </cell>
          <cell r="R9">
            <v>157.95590099999998</v>
          </cell>
          <cell r="S9" t="str">
            <v/>
          </cell>
          <cell r="T9">
            <v>152.888631</v>
          </cell>
        </row>
        <row r="10">
          <cell r="A10" t="str">
            <v>COMPA01</v>
          </cell>
          <cell r="C10" t="str">
            <v>COMPA01</v>
          </cell>
          <cell r="D10" t="str">
            <v>Pranchões e Roletes para apoio da plataforma flutuante</v>
          </cell>
          <cell r="E10" t="str">
            <v>und</v>
          </cell>
          <cell r="F10" t="str">
            <v/>
          </cell>
          <cell r="G10" t="str">
            <v/>
          </cell>
          <cell r="H10" t="str">
            <v/>
          </cell>
          <cell r="I10" t="str">
            <v/>
          </cell>
          <cell r="J10" t="str">
            <v/>
          </cell>
          <cell r="K10" t="str">
            <v/>
          </cell>
          <cell r="L10" t="str">
            <v/>
          </cell>
          <cell r="M10">
            <v>21683.368050000001</v>
          </cell>
          <cell r="N10" t="str">
            <v/>
          </cell>
          <cell r="O10" t="str">
            <v/>
          </cell>
          <cell r="P10" t="str">
            <v/>
          </cell>
          <cell r="Q10" t="str">
            <v/>
          </cell>
          <cell r="R10" t="str">
            <v/>
          </cell>
          <cell r="S10" t="str">
            <v/>
          </cell>
          <cell r="T10" t="str">
            <v/>
          </cell>
        </row>
        <row r="11">
          <cell r="A11" t="str">
            <v>COMP27</v>
          </cell>
          <cell r="C11" t="str">
            <v>COMP27</v>
          </cell>
          <cell r="D11" t="str">
            <v>Guarda corpo de tubo de ferro galvanizado, diâm. 2" e 1/2", h= 1,1 m inclusive pintura a óleo ou esmalte</v>
          </cell>
          <cell r="E11" t="str">
            <v>m</v>
          </cell>
          <cell r="F11" t="str">
            <v/>
          </cell>
          <cell r="G11" t="str">
            <v/>
          </cell>
          <cell r="H11" t="str">
            <v/>
          </cell>
          <cell r="I11" t="str">
            <v/>
          </cell>
          <cell r="J11" t="str">
            <v/>
          </cell>
          <cell r="K11" t="str">
            <v/>
          </cell>
          <cell r="L11" t="str">
            <v/>
          </cell>
          <cell r="M11" t="str">
            <v/>
          </cell>
          <cell r="N11">
            <v>871.02473399999997</v>
          </cell>
          <cell r="O11" t="str">
            <v/>
          </cell>
          <cell r="P11" t="str">
            <v/>
          </cell>
          <cell r="Q11" t="str">
            <v/>
          </cell>
          <cell r="R11">
            <v>751.89191700000003</v>
          </cell>
          <cell r="S11" t="str">
            <v/>
          </cell>
          <cell r="T11" t="str">
            <v/>
          </cell>
        </row>
        <row r="12">
          <cell r="A12" t="str">
            <v>COMP13</v>
          </cell>
          <cell r="C12" t="str">
            <v>COMP13</v>
          </cell>
          <cell r="D12" t="str">
            <v>CALHA PLATIBANDA DE CHAPA DE AÇO GALVANIZADA NUM 26, CORTE 45 CM, FORNECIMENTO E INSTALAÇÃO</v>
          </cell>
          <cell r="E12" t="str">
            <v>M</v>
          </cell>
          <cell r="F12" t="str">
            <v/>
          </cell>
          <cell r="G12" t="str">
            <v/>
          </cell>
          <cell r="H12" t="str">
            <v/>
          </cell>
          <cell r="I12" t="str">
            <v/>
          </cell>
          <cell r="J12" t="str">
            <v/>
          </cell>
          <cell r="K12" t="str">
            <v/>
          </cell>
          <cell r="L12" t="str">
            <v/>
          </cell>
          <cell r="M12">
            <v>145.15779599999999</v>
          </cell>
          <cell r="N12" t="str">
            <v/>
          </cell>
          <cell r="O12" t="str">
            <v/>
          </cell>
          <cell r="P12" t="str">
            <v/>
          </cell>
          <cell r="Q12">
            <v>143.03993700000001</v>
          </cell>
          <cell r="R12" t="str">
            <v/>
          </cell>
          <cell r="S12" t="str">
            <v/>
          </cell>
          <cell r="T12">
            <v>147.50952899999999</v>
          </cell>
        </row>
        <row r="13">
          <cell r="A13" t="str">
            <v>COMP4</v>
          </cell>
          <cell r="C13" t="str">
            <v>COMP4</v>
          </cell>
          <cell r="D13" t="str">
            <v>Estaca hélice contínua - confecção</v>
          </cell>
          <cell r="E13" t="str">
            <v>m³</v>
          </cell>
          <cell r="F13" t="str">
            <v/>
          </cell>
          <cell r="G13" t="str">
            <v/>
          </cell>
          <cell r="H13" t="str">
            <v/>
          </cell>
          <cell r="I13" t="str">
            <v/>
          </cell>
          <cell r="J13" t="str">
            <v/>
          </cell>
          <cell r="K13" t="str">
            <v/>
          </cell>
          <cell r="L13" t="str">
            <v/>
          </cell>
          <cell r="M13" t="str">
            <v/>
          </cell>
          <cell r="N13" t="str">
            <v/>
          </cell>
          <cell r="O13">
            <v>1141.590966</v>
          </cell>
          <cell r="P13" t="str">
            <v/>
          </cell>
          <cell r="Q13">
            <v>1146.489327</v>
          </cell>
          <cell r="R13" t="str">
            <v/>
          </cell>
          <cell r="S13" t="str">
            <v/>
          </cell>
          <cell r="T13" t="str">
            <v/>
          </cell>
        </row>
        <row r="14">
          <cell r="A14" t="str">
            <v>COMP23</v>
          </cell>
          <cell r="C14" t="str">
            <v>COMP23</v>
          </cell>
          <cell r="D14" t="str">
            <v>Corte e dobra de aço CA-50, diâmetro de 6,3 mm, utilizado em estribo contínuo helicoidal</v>
          </cell>
          <cell r="E14" t="str">
            <v>kg</v>
          </cell>
          <cell r="F14" t="str">
            <v/>
          </cell>
          <cell r="G14" t="str">
            <v/>
          </cell>
          <cell r="H14" t="str">
            <v/>
          </cell>
          <cell r="I14" t="str">
            <v/>
          </cell>
          <cell r="J14" t="str">
            <v/>
          </cell>
          <cell r="K14" t="str">
            <v/>
          </cell>
          <cell r="L14" t="str">
            <v/>
          </cell>
          <cell r="M14" t="str">
            <v/>
          </cell>
          <cell r="N14" t="str">
            <v/>
          </cell>
          <cell r="O14">
            <v>11.95356</v>
          </cell>
          <cell r="P14">
            <v>10.771196999999999</v>
          </cell>
          <cell r="Q14" t="str">
            <v/>
          </cell>
          <cell r="R14" t="str">
            <v/>
          </cell>
          <cell r="S14" t="str">
            <v/>
          </cell>
          <cell r="T14" t="str">
            <v/>
          </cell>
        </row>
        <row r="15">
          <cell r="A15" t="str">
            <v>COMP16</v>
          </cell>
          <cell r="C15" t="str">
            <v>COMP16</v>
          </cell>
          <cell r="D15" t="str">
            <v>Apoio náutico para a execução da cravação de camisa metálica D = 600 a 1800 mm</v>
          </cell>
          <cell r="E15" t="str">
            <v>m</v>
          </cell>
          <cell r="F15" t="str">
            <v/>
          </cell>
          <cell r="G15" t="str">
            <v/>
          </cell>
          <cell r="H15" t="str">
            <v/>
          </cell>
          <cell r="I15" t="str">
            <v/>
          </cell>
          <cell r="J15" t="str">
            <v/>
          </cell>
          <cell r="K15" t="str">
            <v/>
          </cell>
          <cell r="L15" t="str">
            <v/>
          </cell>
          <cell r="M15" t="str">
            <v/>
          </cell>
          <cell r="N15" t="str">
            <v/>
          </cell>
          <cell r="O15" t="str">
            <v/>
          </cell>
          <cell r="P15">
            <v>533.51856599999996</v>
          </cell>
          <cell r="Q15">
            <v>533.51856599999996</v>
          </cell>
          <cell r="R15">
            <v>504.42723900000004</v>
          </cell>
          <cell r="S15">
            <v>504.42723900000004</v>
          </cell>
          <cell r="T15" t="str">
            <v/>
          </cell>
        </row>
        <row r="16">
          <cell r="A16" t="str">
            <v>COMP20</v>
          </cell>
          <cell r="C16" t="str">
            <v>COMP20</v>
          </cell>
          <cell r="D16" t="str">
            <v>Apoio náutico para a escavação com perfuratriz tipo Wirth em solo D = 600 mm a 1800 mm</v>
          </cell>
          <cell r="F16" t="str">
            <v/>
          </cell>
          <cell r="G16" t="str">
            <v/>
          </cell>
          <cell r="H16" t="str">
            <v/>
          </cell>
          <cell r="I16" t="str">
            <v/>
          </cell>
          <cell r="J16" t="str">
            <v/>
          </cell>
          <cell r="K16" t="str">
            <v/>
          </cell>
          <cell r="L16" t="str">
            <v/>
          </cell>
          <cell r="M16" t="str">
            <v/>
          </cell>
          <cell r="N16" t="str">
            <v/>
          </cell>
          <cell r="O16" t="str">
            <v/>
          </cell>
          <cell r="P16">
            <v>547.60297800000001</v>
          </cell>
          <cell r="Q16">
            <v>547.60297800000001</v>
          </cell>
          <cell r="R16">
            <v>514.74368100000004</v>
          </cell>
          <cell r="S16">
            <v>514.74368100000004</v>
          </cell>
          <cell r="T16" t="str">
            <v/>
          </cell>
        </row>
        <row r="17">
          <cell r="A17" t="str">
            <v>COMP10</v>
          </cell>
          <cell r="C17" t="str">
            <v>COMP10</v>
          </cell>
          <cell r="D17" t="str">
            <v>Apoio náutico para a escavação com perfuratriz tipo Wirth em rocha de alta dureza e alta abrasão - resistência a compressão acima de 80 MPa - D = 600 a 1800 mm</v>
          </cell>
          <cell r="F17" t="str">
            <v/>
          </cell>
          <cell r="G17" t="str">
            <v/>
          </cell>
          <cell r="H17" t="str">
            <v/>
          </cell>
          <cell r="I17" t="str">
            <v/>
          </cell>
          <cell r="J17" t="str">
            <v/>
          </cell>
          <cell r="K17" t="str">
            <v/>
          </cell>
          <cell r="L17" t="str">
            <v/>
          </cell>
          <cell r="M17" t="str">
            <v/>
          </cell>
          <cell r="N17" t="str">
            <v/>
          </cell>
          <cell r="O17" t="str">
            <v/>
          </cell>
          <cell r="P17">
            <v>3086.4611640000003</v>
          </cell>
          <cell r="Q17">
            <v>3086.4611640000003</v>
          </cell>
          <cell r="R17">
            <v>2901.3109140000001</v>
          </cell>
          <cell r="S17" t="str">
            <v/>
          </cell>
          <cell r="T17" t="str">
            <v/>
          </cell>
        </row>
        <row r="18">
          <cell r="A18" t="str">
            <v>COMP35</v>
          </cell>
          <cell r="C18" t="str">
            <v>COMP35</v>
          </cell>
          <cell r="D18" t="str">
            <v>Escavação com perfuratriz tipo Wirth em solo - D = 700 mm</v>
          </cell>
          <cell r="E18" t="str">
            <v>M</v>
          </cell>
          <cell r="F18" t="str">
            <v/>
          </cell>
          <cell r="G18" t="str">
            <v/>
          </cell>
          <cell r="H18" t="str">
            <v/>
          </cell>
          <cell r="I18" t="str">
            <v/>
          </cell>
          <cell r="J18" t="str">
            <v/>
          </cell>
          <cell r="K18" t="str">
            <v/>
          </cell>
          <cell r="L18" t="str">
            <v/>
          </cell>
          <cell r="M18" t="str">
            <v/>
          </cell>
          <cell r="N18" t="str">
            <v/>
          </cell>
          <cell r="O18" t="str">
            <v/>
          </cell>
          <cell r="P18" t="str">
            <v/>
          </cell>
          <cell r="Q18">
            <v>552.12454200000002</v>
          </cell>
          <cell r="R18">
            <v>537.61136099999999</v>
          </cell>
          <cell r="S18" t="str">
            <v/>
          </cell>
          <cell r="T18" t="str">
            <v/>
          </cell>
        </row>
        <row r="19">
          <cell r="A19" t="str">
            <v>COMP19</v>
          </cell>
          <cell r="C19" t="str">
            <v>COMP19</v>
          </cell>
          <cell r="D19" t="str">
            <v>ARAME GALVANIZADO N.18 BWG</v>
          </cell>
          <cell r="E19" t="str">
            <v>KG</v>
          </cell>
          <cell r="F19" t="str">
            <v/>
          </cell>
          <cell r="G19" t="str">
            <v/>
          </cell>
          <cell r="H19" t="str">
            <v/>
          </cell>
          <cell r="I19" t="str">
            <v/>
          </cell>
          <cell r="J19" t="str">
            <v/>
          </cell>
          <cell r="K19" t="str">
            <v/>
          </cell>
          <cell r="L19" t="str">
            <v/>
          </cell>
          <cell r="M19" t="str">
            <v/>
          </cell>
          <cell r="N19" t="str">
            <v/>
          </cell>
          <cell r="O19" t="str">
            <v/>
          </cell>
          <cell r="P19" t="str">
            <v/>
          </cell>
          <cell r="Q19">
            <v>15.448677</v>
          </cell>
          <cell r="R19">
            <v>15.162831000000001</v>
          </cell>
          <cell r="S19" t="str">
            <v/>
          </cell>
          <cell r="T19" t="str">
            <v/>
          </cell>
        </row>
        <row r="20">
          <cell r="A20" t="str">
            <v>COMP17</v>
          </cell>
          <cell r="C20" t="str">
            <v>COMP17</v>
          </cell>
          <cell r="D20" t="str">
            <v>Apoio náutico para a colocação da armação em camisa metálica</v>
          </cell>
          <cell r="E20" t="str">
            <v>KG</v>
          </cell>
          <cell r="F20" t="str">
            <v/>
          </cell>
          <cell r="G20" t="str">
            <v/>
          </cell>
          <cell r="H20" t="str">
            <v/>
          </cell>
          <cell r="I20" t="str">
            <v/>
          </cell>
          <cell r="J20" t="str">
            <v/>
          </cell>
          <cell r="K20" t="str">
            <v/>
          </cell>
          <cell r="L20" t="str">
            <v/>
          </cell>
          <cell r="M20" t="str">
            <v/>
          </cell>
          <cell r="N20" t="str">
            <v/>
          </cell>
          <cell r="O20" t="str">
            <v/>
          </cell>
          <cell r="P20" t="str">
            <v/>
          </cell>
          <cell r="Q20">
            <v>1.156377</v>
          </cell>
          <cell r="R20">
            <v>1.091412</v>
          </cell>
          <cell r="S20" t="str">
            <v/>
          </cell>
          <cell r="T20" t="str">
            <v/>
          </cell>
        </row>
        <row r="21">
          <cell r="A21" t="str">
            <v>COMP15</v>
          </cell>
          <cell r="C21" t="str">
            <v>COMP15</v>
          </cell>
          <cell r="D21" t="str">
            <v>Apoio náutico para a execução da concretagem de camisas metálicas</v>
          </cell>
          <cell r="E21" t="str">
            <v>UND</v>
          </cell>
          <cell r="F21" t="str">
            <v/>
          </cell>
          <cell r="G21" t="str">
            <v/>
          </cell>
          <cell r="H21" t="str">
            <v/>
          </cell>
          <cell r="I21" t="str">
            <v/>
          </cell>
          <cell r="J21" t="str">
            <v/>
          </cell>
          <cell r="K21" t="str">
            <v/>
          </cell>
          <cell r="L21" t="str">
            <v/>
          </cell>
          <cell r="M21" t="str">
            <v/>
          </cell>
          <cell r="N21" t="str">
            <v/>
          </cell>
          <cell r="O21" t="str">
            <v/>
          </cell>
          <cell r="P21" t="str">
            <v/>
          </cell>
          <cell r="Q21">
            <v>192.34837199999998</v>
          </cell>
          <cell r="R21">
            <v>181.64214000000001</v>
          </cell>
          <cell r="S21" t="str">
            <v/>
          </cell>
          <cell r="T21" t="str">
            <v/>
          </cell>
        </row>
        <row r="22">
          <cell r="A22" t="str">
            <v>COMP25</v>
          </cell>
          <cell r="C22" t="str">
            <v>COMP25</v>
          </cell>
          <cell r="D22" t="str">
            <v>Arrasamento de camisa metálica com espessura de 8 mm D = 700 mm</v>
          </cell>
          <cell r="E22" t="str">
            <v>UND</v>
          </cell>
          <cell r="F22" t="str">
            <v/>
          </cell>
          <cell r="G22" t="str">
            <v/>
          </cell>
          <cell r="H22" t="str">
            <v/>
          </cell>
          <cell r="I22" t="str">
            <v/>
          </cell>
          <cell r="J22" t="str">
            <v/>
          </cell>
          <cell r="K22" t="str">
            <v/>
          </cell>
          <cell r="L22" t="str">
            <v/>
          </cell>
          <cell r="M22" t="str">
            <v/>
          </cell>
          <cell r="N22" t="str">
            <v/>
          </cell>
          <cell r="O22" t="str">
            <v/>
          </cell>
          <cell r="P22" t="str">
            <v/>
          </cell>
          <cell r="Q22">
            <v>44.734898999999999</v>
          </cell>
          <cell r="R22">
            <v>44.760885000000002</v>
          </cell>
          <cell r="S22" t="str">
            <v/>
          </cell>
          <cell r="T22" t="str">
            <v/>
          </cell>
        </row>
        <row r="23">
          <cell r="A23" t="str">
            <v>COMPA06</v>
          </cell>
          <cell r="C23" t="str">
            <v>COMPA06</v>
          </cell>
          <cell r="D23" t="str">
            <v>Tubo de travamento de 12,7 mm D = 300 mm L = 5,10 m - fornecimento e instalação</v>
          </cell>
          <cell r="E23" t="str">
            <v>UND</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row>
        <row r="24">
          <cell r="A24" t="str">
            <v>COMP42</v>
          </cell>
          <cell r="C24" t="str">
            <v>COMP42</v>
          </cell>
          <cell r="D24" t="str">
            <v>Içamento de passarela metálica para flutuante de apoio</v>
          </cell>
          <cell r="E24" t="str">
            <v>UND</v>
          </cell>
          <cell r="F24" t="str">
            <v/>
          </cell>
          <cell r="G24" t="str">
            <v/>
          </cell>
          <cell r="H24" t="str">
            <v/>
          </cell>
          <cell r="I24" t="str">
            <v/>
          </cell>
          <cell r="J24" t="str">
            <v/>
          </cell>
          <cell r="K24" t="str">
            <v/>
          </cell>
          <cell r="L24" t="str">
            <v/>
          </cell>
          <cell r="M24" t="str">
            <v/>
          </cell>
          <cell r="N24" t="str">
            <v/>
          </cell>
          <cell r="O24" t="str">
            <v/>
          </cell>
          <cell r="P24" t="str">
            <v/>
          </cell>
          <cell r="Q24" t="str">
            <v/>
          </cell>
          <cell r="R24">
            <v>7179.4770449999996</v>
          </cell>
          <cell r="S24" t="str">
            <v/>
          </cell>
          <cell r="T24" t="str">
            <v/>
          </cell>
        </row>
        <row r="25">
          <cell r="A25" t="str">
            <v>COMP43</v>
          </cell>
          <cell r="C25" t="str">
            <v>COMP43</v>
          </cell>
          <cell r="D25" t="str">
            <v>Transporte de passarela via água, efetuado com flutuante e rebocador (Trajeto Praça do Papa - Porto de Santana/Cariacica)</v>
          </cell>
          <cell r="E25" t="str">
            <v>UND</v>
          </cell>
          <cell r="F25" t="str">
            <v/>
          </cell>
          <cell r="G25" t="str">
            <v/>
          </cell>
          <cell r="H25" t="str">
            <v/>
          </cell>
          <cell r="I25" t="str">
            <v/>
          </cell>
          <cell r="J25" t="str">
            <v/>
          </cell>
          <cell r="K25" t="str">
            <v/>
          </cell>
          <cell r="L25" t="str">
            <v/>
          </cell>
          <cell r="M25" t="str">
            <v/>
          </cell>
          <cell r="N25" t="str">
            <v/>
          </cell>
          <cell r="O25" t="str">
            <v/>
          </cell>
          <cell r="P25" t="str">
            <v/>
          </cell>
          <cell r="Q25" t="str">
            <v/>
          </cell>
          <cell r="R25">
            <v>2986.5190080000002</v>
          </cell>
          <cell r="S25" t="str">
            <v/>
          </cell>
          <cell r="T25" t="str">
            <v/>
          </cell>
        </row>
        <row r="26">
          <cell r="A26" t="str">
            <v>COMP9</v>
          </cell>
          <cell r="C26" t="str">
            <v>COMP9</v>
          </cell>
          <cell r="D26" t="str">
            <v>Escavação com perfuratriz tipo Wirth em rocha de alta dureza e alta abrasão - resistência a compressão acima de 80 MPa - D = 600 mm</v>
          </cell>
          <cell r="E26" t="str">
            <v>M</v>
          </cell>
          <cell r="F26" t="str">
            <v/>
          </cell>
          <cell r="G26" t="str">
            <v/>
          </cell>
          <cell r="H26" t="str">
            <v/>
          </cell>
          <cell r="I26" t="str">
            <v/>
          </cell>
          <cell r="J26" t="str">
            <v/>
          </cell>
          <cell r="K26" t="str">
            <v/>
          </cell>
          <cell r="L26" t="str">
            <v/>
          </cell>
          <cell r="M26" t="str">
            <v/>
          </cell>
          <cell r="N26" t="str">
            <v/>
          </cell>
          <cell r="O26" t="str">
            <v/>
          </cell>
          <cell r="P26" t="str">
            <v/>
          </cell>
          <cell r="Q26" t="str">
            <v/>
          </cell>
          <cell r="R26">
            <v>4127.4473310000003</v>
          </cell>
          <cell r="S26" t="str">
            <v/>
          </cell>
          <cell r="T26" t="str">
            <v/>
          </cell>
        </row>
        <row r="27">
          <cell r="A27" t="str">
            <v>COMP24</v>
          </cell>
          <cell r="C27" t="str">
            <v>COMP24</v>
          </cell>
          <cell r="D27" t="str">
            <v>Montagem de armadura longitudinal/transversal de estacas de seção circular, diâmetro = 12,5 mm.</v>
          </cell>
          <cell r="E27" t="str">
            <v>KG</v>
          </cell>
          <cell r="F27" t="str">
            <v/>
          </cell>
          <cell r="G27" t="str">
            <v/>
          </cell>
          <cell r="H27" t="str">
            <v/>
          </cell>
          <cell r="I27" t="str">
            <v/>
          </cell>
          <cell r="J27" t="str">
            <v/>
          </cell>
          <cell r="K27" t="str">
            <v/>
          </cell>
          <cell r="L27" t="str">
            <v/>
          </cell>
          <cell r="M27" t="str">
            <v/>
          </cell>
          <cell r="N27" t="str">
            <v/>
          </cell>
          <cell r="O27">
            <v>14.149377000000001</v>
          </cell>
          <cell r="P27">
            <v>12.967014000000001</v>
          </cell>
          <cell r="Q27" t="str">
            <v/>
          </cell>
          <cell r="R27" t="str">
            <v/>
          </cell>
          <cell r="S27" t="str">
            <v/>
          </cell>
          <cell r="T27" t="str">
            <v/>
          </cell>
        </row>
        <row r="28">
          <cell r="A28" t="str">
            <v>COMP1A</v>
          </cell>
          <cell r="C28" t="str">
            <v>COMP1A</v>
          </cell>
          <cell r="D28" t="str">
            <v>MOBILIZAÇÃO E DESMOBILIZAÇÃO DE EQUIPAMENTOS DE PEQUENO E GRANDE PORTE</v>
          </cell>
          <cell r="F28">
            <v>30814.874436000009</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row>
        <row r="29">
          <cell r="A29" t="str">
            <v/>
          </cell>
          <cell r="F29" t="str">
            <v/>
          </cell>
          <cell r="G29" t="str">
            <v/>
          </cell>
          <cell r="H29" t="str">
            <v/>
          </cell>
          <cell r="I29" t="str">
            <v/>
          </cell>
          <cell r="J29" t="str">
            <v/>
          </cell>
          <cell r="K29" t="str">
            <v/>
          </cell>
          <cell r="L29" t="str">
            <v/>
          </cell>
          <cell r="M29" t="str">
            <v/>
          </cell>
          <cell r="N29" t="str">
            <v/>
          </cell>
          <cell r="O29" t="str">
            <v/>
          </cell>
          <cell r="P29" t="str">
            <v/>
          </cell>
          <cell r="Q29" t="str">
            <v/>
          </cell>
          <cell r="R29" t="str">
            <v/>
          </cell>
          <cell r="S29" t="str">
            <v/>
          </cell>
          <cell r="T29" t="str">
            <v/>
          </cell>
        </row>
        <row r="30">
          <cell r="A30" t="str">
            <v/>
          </cell>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row>
        <row r="31">
          <cell r="A31" t="str">
            <v/>
          </cell>
          <cell r="F31" t="str">
            <v/>
          </cell>
          <cell r="G31" t="str">
            <v/>
          </cell>
          <cell r="H31" t="str">
            <v/>
          </cell>
          <cell r="I31" t="str">
            <v/>
          </cell>
          <cell r="J31" t="str">
            <v/>
          </cell>
          <cell r="K31" t="str">
            <v/>
          </cell>
          <cell r="L31" t="str">
            <v/>
          </cell>
          <cell r="M31" t="str">
            <v/>
          </cell>
          <cell r="N31" t="str">
            <v/>
          </cell>
          <cell r="O31" t="str">
            <v/>
          </cell>
          <cell r="P31" t="str">
            <v/>
          </cell>
          <cell r="Q31" t="str">
            <v/>
          </cell>
          <cell r="R31" t="str">
            <v/>
          </cell>
          <cell r="S31" t="str">
            <v/>
          </cell>
          <cell r="T31" t="str">
            <v/>
          </cell>
        </row>
        <row r="32">
          <cell r="A32" t="str">
            <v/>
          </cell>
          <cell r="F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row>
        <row r="33">
          <cell r="A33" t="str">
            <v/>
          </cell>
          <cell r="F33" t="str">
            <v/>
          </cell>
          <cell r="G33" t="str">
            <v/>
          </cell>
          <cell r="H33" t="str">
            <v/>
          </cell>
          <cell r="I33" t="str">
            <v/>
          </cell>
          <cell r="J33" t="str">
            <v/>
          </cell>
          <cell r="K33" t="str">
            <v/>
          </cell>
          <cell r="L33" t="str">
            <v/>
          </cell>
          <cell r="M33" t="str">
            <v/>
          </cell>
          <cell r="N33" t="str">
            <v/>
          </cell>
          <cell r="O33" t="str">
            <v/>
          </cell>
          <cell r="P33" t="str">
            <v/>
          </cell>
          <cell r="Q33" t="str">
            <v/>
          </cell>
          <cell r="R33" t="str">
            <v/>
          </cell>
          <cell r="S33" t="str">
            <v/>
          </cell>
          <cell r="T33" t="str">
            <v/>
          </cell>
        </row>
        <row r="34">
          <cell r="A34" t="str">
            <v/>
          </cell>
          <cell r="F34" t="str">
            <v/>
          </cell>
          <cell r="G34" t="str">
            <v/>
          </cell>
          <cell r="H34" t="str">
            <v/>
          </cell>
          <cell r="I34" t="str">
            <v/>
          </cell>
          <cell r="J34" t="str">
            <v/>
          </cell>
          <cell r="K34" t="str">
            <v/>
          </cell>
          <cell r="L34" t="str">
            <v/>
          </cell>
          <cell r="M34" t="str">
            <v/>
          </cell>
          <cell r="N34" t="str">
            <v/>
          </cell>
          <cell r="O34" t="str">
            <v/>
          </cell>
          <cell r="P34" t="str">
            <v/>
          </cell>
          <cell r="Q34" t="str">
            <v/>
          </cell>
          <cell r="R34" t="str">
            <v/>
          </cell>
          <cell r="S34" t="str">
            <v/>
          </cell>
          <cell r="T34" t="str">
            <v/>
          </cell>
        </row>
        <row r="35">
          <cell r="A35" t="str">
            <v/>
          </cell>
          <cell r="F35" t="str">
            <v/>
          </cell>
          <cell r="G35" t="str">
            <v/>
          </cell>
          <cell r="H35" t="str">
            <v/>
          </cell>
          <cell r="I35" t="str">
            <v/>
          </cell>
          <cell r="J35" t="str">
            <v/>
          </cell>
          <cell r="K35" t="str">
            <v/>
          </cell>
          <cell r="L35" t="str">
            <v/>
          </cell>
          <cell r="M35" t="str">
            <v/>
          </cell>
          <cell r="N35" t="str">
            <v/>
          </cell>
          <cell r="O35" t="str">
            <v/>
          </cell>
          <cell r="P35" t="str">
            <v/>
          </cell>
          <cell r="Q35" t="str">
            <v/>
          </cell>
          <cell r="R35" t="str">
            <v/>
          </cell>
          <cell r="S35" t="str">
            <v/>
          </cell>
          <cell r="T35" t="str">
            <v/>
          </cell>
        </row>
        <row r="36">
          <cell r="A36" t="str">
            <v/>
          </cell>
          <cell r="F36" t="str">
            <v/>
          </cell>
          <cell r="G36" t="str">
            <v/>
          </cell>
          <cell r="H36" t="str">
            <v/>
          </cell>
          <cell r="I36" t="str">
            <v/>
          </cell>
          <cell r="J36" t="str">
            <v/>
          </cell>
          <cell r="K36" t="str">
            <v/>
          </cell>
          <cell r="L36" t="str">
            <v/>
          </cell>
          <cell r="M36" t="str">
            <v/>
          </cell>
          <cell r="N36" t="str">
            <v/>
          </cell>
          <cell r="O36" t="str">
            <v/>
          </cell>
          <cell r="P36" t="str">
            <v/>
          </cell>
          <cell r="Q36" t="str">
            <v/>
          </cell>
          <cell r="R36" t="str">
            <v/>
          </cell>
          <cell r="S36" t="str">
            <v/>
          </cell>
          <cell r="T36" t="str">
            <v/>
          </cell>
        </row>
        <row r="37">
          <cell r="A37" t="str">
            <v/>
          </cell>
          <cell r="F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row>
        <row r="38">
          <cell r="A38" t="str">
            <v/>
          </cell>
          <cell r="F38" t="str">
            <v/>
          </cell>
          <cell r="G38" t="str">
            <v/>
          </cell>
          <cell r="H38" t="str">
            <v/>
          </cell>
          <cell r="I38" t="str">
            <v/>
          </cell>
          <cell r="J38" t="str">
            <v/>
          </cell>
          <cell r="K38" t="str">
            <v/>
          </cell>
          <cell r="L38" t="str">
            <v/>
          </cell>
          <cell r="M38" t="str">
            <v/>
          </cell>
          <cell r="N38" t="str">
            <v/>
          </cell>
          <cell r="O38" t="str">
            <v/>
          </cell>
          <cell r="P38" t="str">
            <v/>
          </cell>
          <cell r="Q38" t="str">
            <v/>
          </cell>
          <cell r="R38" t="str">
            <v/>
          </cell>
          <cell r="S38" t="str">
            <v/>
          </cell>
          <cell r="T38" t="str">
            <v/>
          </cell>
        </row>
        <row r="39">
          <cell r="A39" t="str">
            <v/>
          </cell>
          <cell r="F39" t="str">
            <v/>
          </cell>
          <cell r="G39" t="str">
            <v/>
          </cell>
          <cell r="H39" t="str">
            <v/>
          </cell>
          <cell r="I39" t="str">
            <v/>
          </cell>
          <cell r="J39" t="str">
            <v/>
          </cell>
          <cell r="K39" t="str">
            <v/>
          </cell>
          <cell r="L39" t="str">
            <v/>
          </cell>
          <cell r="M39" t="str">
            <v/>
          </cell>
          <cell r="N39" t="str">
            <v/>
          </cell>
          <cell r="O39" t="str">
            <v/>
          </cell>
          <cell r="P39" t="str">
            <v/>
          </cell>
          <cell r="Q39" t="str">
            <v/>
          </cell>
          <cell r="R39" t="str">
            <v/>
          </cell>
          <cell r="S39" t="str">
            <v/>
          </cell>
          <cell r="T39" t="str">
            <v/>
          </cell>
        </row>
        <row r="40">
          <cell r="A40" t="str">
            <v/>
          </cell>
          <cell r="F40" t="str">
            <v/>
          </cell>
          <cell r="G40" t="str">
            <v/>
          </cell>
          <cell r="H40" t="str">
            <v/>
          </cell>
          <cell r="I40" t="str">
            <v/>
          </cell>
          <cell r="J40" t="str">
            <v/>
          </cell>
          <cell r="K40" t="str">
            <v/>
          </cell>
          <cell r="L40" t="str">
            <v/>
          </cell>
          <cell r="M40" t="str">
            <v/>
          </cell>
          <cell r="N40" t="str">
            <v/>
          </cell>
          <cell r="O40" t="str">
            <v/>
          </cell>
          <cell r="P40" t="str">
            <v/>
          </cell>
          <cell r="Q40" t="str">
            <v/>
          </cell>
          <cell r="R40" t="str">
            <v/>
          </cell>
          <cell r="S40" t="str">
            <v/>
          </cell>
          <cell r="T40" t="str">
            <v/>
          </cell>
        </row>
        <row r="41">
          <cell r="A41" t="str">
            <v/>
          </cell>
          <cell r="F41" t="str">
            <v/>
          </cell>
          <cell r="G41" t="str">
            <v/>
          </cell>
          <cell r="H41" t="str">
            <v/>
          </cell>
          <cell r="I41" t="str">
            <v/>
          </cell>
          <cell r="J41" t="str">
            <v/>
          </cell>
          <cell r="K41" t="str">
            <v/>
          </cell>
          <cell r="L41" t="str">
            <v/>
          </cell>
          <cell r="M41" t="str">
            <v/>
          </cell>
          <cell r="N41" t="str">
            <v/>
          </cell>
          <cell r="O41" t="str">
            <v/>
          </cell>
          <cell r="P41" t="str">
            <v/>
          </cell>
          <cell r="Q41" t="str">
            <v/>
          </cell>
          <cell r="R41" t="str">
            <v/>
          </cell>
          <cell r="S41" t="str">
            <v/>
          </cell>
          <cell r="T41" t="str">
            <v/>
          </cell>
        </row>
        <row r="42">
          <cell r="A42" t="str">
            <v/>
          </cell>
          <cell r="F42" t="str">
            <v/>
          </cell>
          <cell r="G42" t="str">
            <v/>
          </cell>
          <cell r="H42" t="str">
            <v/>
          </cell>
          <cell r="I42" t="str">
            <v/>
          </cell>
          <cell r="J42" t="str">
            <v/>
          </cell>
          <cell r="K42" t="str">
            <v/>
          </cell>
          <cell r="L42" t="str">
            <v/>
          </cell>
          <cell r="M42" t="str">
            <v/>
          </cell>
          <cell r="N42" t="str">
            <v/>
          </cell>
          <cell r="O42" t="str">
            <v/>
          </cell>
          <cell r="P42" t="str">
            <v/>
          </cell>
          <cell r="Q42" t="str">
            <v/>
          </cell>
          <cell r="R42" t="str">
            <v/>
          </cell>
          <cell r="S42" t="str">
            <v/>
          </cell>
          <cell r="T42" t="str">
            <v/>
          </cell>
        </row>
        <row r="43">
          <cell r="A43" t="str">
            <v/>
          </cell>
          <cell r="F43" t="str">
            <v/>
          </cell>
          <cell r="G43" t="str">
            <v/>
          </cell>
          <cell r="H43" t="str">
            <v/>
          </cell>
          <cell r="I43" t="str">
            <v/>
          </cell>
          <cell r="J43" t="str">
            <v/>
          </cell>
          <cell r="K43" t="str">
            <v/>
          </cell>
          <cell r="L43" t="str">
            <v/>
          </cell>
          <cell r="M43" t="str">
            <v/>
          </cell>
          <cell r="N43" t="str">
            <v/>
          </cell>
          <cell r="O43" t="str">
            <v/>
          </cell>
          <cell r="P43" t="str">
            <v/>
          </cell>
          <cell r="Q43" t="str">
            <v/>
          </cell>
          <cell r="R43" t="str">
            <v/>
          </cell>
          <cell r="S43" t="str">
            <v/>
          </cell>
          <cell r="T43" t="str">
            <v/>
          </cell>
        </row>
        <row r="44">
          <cell r="A44" t="str">
            <v/>
          </cell>
          <cell r="F44" t="str">
            <v/>
          </cell>
          <cell r="G44" t="str">
            <v/>
          </cell>
          <cell r="H44" t="str">
            <v/>
          </cell>
          <cell r="I44" t="str">
            <v/>
          </cell>
          <cell r="J44" t="str">
            <v/>
          </cell>
          <cell r="K44" t="str">
            <v/>
          </cell>
          <cell r="L44" t="str">
            <v/>
          </cell>
          <cell r="M44" t="str">
            <v/>
          </cell>
          <cell r="N44" t="str">
            <v/>
          </cell>
          <cell r="O44" t="str">
            <v/>
          </cell>
          <cell r="P44" t="str">
            <v/>
          </cell>
          <cell r="Q44" t="str">
            <v/>
          </cell>
          <cell r="R44" t="str">
            <v/>
          </cell>
          <cell r="S44" t="str">
            <v/>
          </cell>
          <cell r="T44" t="str">
            <v/>
          </cell>
        </row>
        <row r="45">
          <cell r="A45" t="str">
            <v/>
          </cell>
          <cell r="F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cell r="T45" t="str">
            <v/>
          </cell>
        </row>
        <row r="46">
          <cell r="A46" t="str">
            <v/>
          </cell>
          <cell r="F46" t="str">
            <v/>
          </cell>
          <cell r="G46" t="str">
            <v/>
          </cell>
          <cell r="H46" t="str">
            <v/>
          </cell>
          <cell r="I46" t="str">
            <v/>
          </cell>
          <cell r="J46" t="str">
            <v/>
          </cell>
          <cell r="K46" t="str">
            <v/>
          </cell>
          <cell r="L46" t="str">
            <v/>
          </cell>
          <cell r="M46" t="str">
            <v/>
          </cell>
          <cell r="N46" t="str">
            <v/>
          </cell>
          <cell r="O46" t="str">
            <v/>
          </cell>
          <cell r="P46" t="str">
            <v/>
          </cell>
          <cell r="Q46" t="str">
            <v/>
          </cell>
          <cell r="R46" t="str">
            <v/>
          </cell>
          <cell r="S46" t="str">
            <v/>
          </cell>
          <cell r="T46" t="str">
            <v/>
          </cell>
        </row>
        <row r="47">
          <cell r="A47" t="str">
            <v/>
          </cell>
          <cell r="F47" t="str">
            <v/>
          </cell>
          <cell r="G47" t="str">
            <v/>
          </cell>
          <cell r="H47" t="str">
            <v/>
          </cell>
          <cell r="I47" t="str">
            <v/>
          </cell>
          <cell r="J47" t="str">
            <v/>
          </cell>
          <cell r="K47" t="str">
            <v/>
          </cell>
          <cell r="L47" t="str">
            <v/>
          </cell>
          <cell r="M47" t="str">
            <v/>
          </cell>
          <cell r="N47" t="str">
            <v/>
          </cell>
          <cell r="O47" t="str">
            <v/>
          </cell>
          <cell r="P47" t="str">
            <v/>
          </cell>
          <cell r="Q47" t="str">
            <v/>
          </cell>
          <cell r="R47" t="str">
            <v/>
          </cell>
          <cell r="S47" t="str">
            <v/>
          </cell>
          <cell r="T47" t="str">
            <v/>
          </cell>
        </row>
        <row r="48">
          <cell r="A48" t="str">
            <v/>
          </cell>
          <cell r="F48" t="str">
            <v/>
          </cell>
          <cell r="G48" t="str">
            <v/>
          </cell>
          <cell r="H48" t="str">
            <v/>
          </cell>
          <cell r="I48" t="str">
            <v/>
          </cell>
          <cell r="J48" t="str">
            <v/>
          </cell>
          <cell r="K48" t="str">
            <v/>
          </cell>
          <cell r="L48" t="str">
            <v/>
          </cell>
          <cell r="M48" t="str">
            <v/>
          </cell>
          <cell r="N48" t="str">
            <v/>
          </cell>
          <cell r="O48" t="str">
            <v/>
          </cell>
          <cell r="P48" t="str">
            <v/>
          </cell>
          <cell r="Q48" t="str">
            <v/>
          </cell>
          <cell r="R48" t="str">
            <v/>
          </cell>
          <cell r="S48" t="str">
            <v/>
          </cell>
          <cell r="T48" t="str">
            <v/>
          </cell>
        </row>
        <row r="49">
          <cell r="A49" t="str">
            <v/>
          </cell>
          <cell r="F49" t="str">
            <v/>
          </cell>
          <cell r="G49" t="str">
            <v/>
          </cell>
          <cell r="H49" t="str">
            <v/>
          </cell>
          <cell r="I49" t="str">
            <v/>
          </cell>
          <cell r="J49" t="str">
            <v/>
          </cell>
          <cell r="K49" t="str">
            <v/>
          </cell>
          <cell r="L49" t="str">
            <v/>
          </cell>
          <cell r="M49" t="str">
            <v/>
          </cell>
          <cell r="N49" t="str">
            <v/>
          </cell>
          <cell r="O49" t="str">
            <v/>
          </cell>
          <cell r="P49" t="str">
            <v/>
          </cell>
          <cell r="Q49" t="str">
            <v/>
          </cell>
          <cell r="R49" t="str">
            <v/>
          </cell>
          <cell r="S49" t="str">
            <v/>
          </cell>
          <cell r="T49" t="str">
            <v/>
          </cell>
        </row>
        <row r="50">
          <cell r="A50" t="str">
            <v/>
          </cell>
          <cell r="F50" t="str">
            <v/>
          </cell>
          <cell r="G50" t="str">
            <v/>
          </cell>
          <cell r="H50" t="str">
            <v/>
          </cell>
          <cell r="I50" t="str">
            <v/>
          </cell>
          <cell r="J50" t="str">
            <v/>
          </cell>
          <cell r="K50" t="str">
            <v/>
          </cell>
          <cell r="L50" t="str">
            <v/>
          </cell>
          <cell r="M50" t="str">
            <v/>
          </cell>
          <cell r="N50" t="str">
            <v/>
          </cell>
          <cell r="O50" t="str">
            <v/>
          </cell>
          <cell r="P50" t="str">
            <v/>
          </cell>
          <cell r="Q50" t="str">
            <v/>
          </cell>
          <cell r="R50" t="str">
            <v/>
          </cell>
          <cell r="S50" t="str">
            <v/>
          </cell>
          <cell r="T50" t="str">
            <v/>
          </cell>
        </row>
        <row r="51">
          <cell r="A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row>
        <row r="52">
          <cell r="A52" t="str">
            <v/>
          </cell>
          <cell r="F52" t="str">
            <v/>
          </cell>
          <cell r="G52" t="str">
            <v/>
          </cell>
          <cell r="H52" t="str">
            <v/>
          </cell>
          <cell r="I52" t="str">
            <v/>
          </cell>
          <cell r="J52" t="str">
            <v/>
          </cell>
          <cell r="K52" t="str">
            <v/>
          </cell>
          <cell r="L52" t="str">
            <v/>
          </cell>
          <cell r="M52" t="str">
            <v/>
          </cell>
          <cell r="N52" t="str">
            <v/>
          </cell>
          <cell r="O52" t="str">
            <v/>
          </cell>
          <cell r="P52" t="str">
            <v/>
          </cell>
          <cell r="Q52" t="str">
            <v/>
          </cell>
          <cell r="R52" t="str">
            <v/>
          </cell>
          <cell r="S52" t="str">
            <v/>
          </cell>
          <cell r="T52" t="str">
            <v/>
          </cell>
        </row>
        <row r="53">
          <cell r="A53" t="str">
            <v/>
          </cell>
          <cell r="F53" t="str">
            <v/>
          </cell>
          <cell r="G53" t="str">
            <v/>
          </cell>
          <cell r="H53" t="str">
            <v/>
          </cell>
          <cell r="I53" t="str">
            <v/>
          </cell>
          <cell r="J53" t="str">
            <v/>
          </cell>
          <cell r="K53" t="str">
            <v/>
          </cell>
          <cell r="L53" t="str">
            <v/>
          </cell>
          <cell r="M53" t="str">
            <v/>
          </cell>
          <cell r="N53" t="str">
            <v/>
          </cell>
          <cell r="O53" t="str">
            <v/>
          </cell>
          <cell r="P53" t="str">
            <v/>
          </cell>
          <cell r="Q53" t="str">
            <v/>
          </cell>
          <cell r="R53" t="str">
            <v/>
          </cell>
          <cell r="S53" t="str">
            <v/>
          </cell>
          <cell r="T53" t="str">
            <v/>
          </cell>
        </row>
        <row r="54">
          <cell r="A54" t="str">
            <v/>
          </cell>
          <cell r="F54" t="str">
            <v/>
          </cell>
          <cell r="G54" t="str">
            <v/>
          </cell>
          <cell r="H54" t="str">
            <v/>
          </cell>
          <cell r="I54" t="str">
            <v/>
          </cell>
          <cell r="J54" t="str">
            <v/>
          </cell>
          <cell r="K54" t="str">
            <v/>
          </cell>
          <cell r="L54" t="str">
            <v/>
          </cell>
          <cell r="M54" t="str">
            <v/>
          </cell>
          <cell r="N54" t="str">
            <v/>
          </cell>
          <cell r="O54" t="str">
            <v/>
          </cell>
          <cell r="P54" t="str">
            <v/>
          </cell>
          <cell r="Q54" t="str">
            <v/>
          </cell>
          <cell r="R54" t="str">
            <v/>
          </cell>
          <cell r="S54" t="str">
            <v/>
          </cell>
          <cell r="T54" t="str">
            <v/>
          </cell>
        </row>
        <row r="55">
          <cell r="A55" t="str">
            <v/>
          </cell>
          <cell r="F55" t="str">
            <v/>
          </cell>
          <cell r="G55" t="str">
            <v/>
          </cell>
          <cell r="H55" t="str">
            <v/>
          </cell>
          <cell r="I55" t="str">
            <v/>
          </cell>
          <cell r="J55" t="str">
            <v/>
          </cell>
          <cell r="K55" t="str">
            <v/>
          </cell>
          <cell r="L55" t="str">
            <v/>
          </cell>
          <cell r="M55" t="str">
            <v/>
          </cell>
          <cell r="N55" t="str">
            <v/>
          </cell>
          <cell r="O55" t="str">
            <v/>
          </cell>
          <cell r="P55" t="str">
            <v/>
          </cell>
          <cell r="Q55" t="str">
            <v/>
          </cell>
          <cell r="R55" t="str">
            <v/>
          </cell>
          <cell r="S55" t="str">
            <v/>
          </cell>
          <cell r="T55" t="str">
            <v/>
          </cell>
        </row>
        <row r="56">
          <cell r="A56" t="str">
            <v/>
          </cell>
          <cell r="F56" t="str">
            <v/>
          </cell>
          <cell r="G56" t="str">
            <v/>
          </cell>
          <cell r="H56" t="str">
            <v/>
          </cell>
          <cell r="I56" t="str">
            <v/>
          </cell>
          <cell r="J56" t="str">
            <v/>
          </cell>
          <cell r="K56" t="str">
            <v/>
          </cell>
          <cell r="L56" t="str">
            <v/>
          </cell>
          <cell r="M56" t="str">
            <v/>
          </cell>
          <cell r="N56" t="str">
            <v/>
          </cell>
          <cell r="O56" t="str">
            <v/>
          </cell>
          <cell r="P56" t="str">
            <v/>
          </cell>
          <cell r="Q56" t="str">
            <v/>
          </cell>
          <cell r="R56" t="str">
            <v/>
          </cell>
          <cell r="S56" t="str">
            <v/>
          </cell>
          <cell r="T56" t="str">
            <v/>
          </cell>
        </row>
        <row r="57">
          <cell r="A57" t="str">
            <v/>
          </cell>
          <cell r="F57" t="str">
            <v/>
          </cell>
          <cell r="G57" t="str">
            <v/>
          </cell>
          <cell r="H57" t="str">
            <v/>
          </cell>
          <cell r="I57" t="str">
            <v/>
          </cell>
          <cell r="J57" t="str">
            <v/>
          </cell>
          <cell r="K57" t="str">
            <v/>
          </cell>
          <cell r="L57" t="str">
            <v/>
          </cell>
          <cell r="M57" t="str">
            <v/>
          </cell>
          <cell r="N57" t="str">
            <v/>
          </cell>
          <cell r="O57" t="str">
            <v/>
          </cell>
          <cell r="P57" t="str">
            <v/>
          </cell>
          <cell r="Q57" t="str">
            <v/>
          </cell>
          <cell r="R57" t="str">
            <v/>
          </cell>
          <cell r="S57" t="str">
            <v/>
          </cell>
          <cell r="T57" t="str">
            <v/>
          </cell>
        </row>
        <row r="58">
          <cell r="A58" t="str">
            <v/>
          </cell>
          <cell r="F58" t="str">
            <v/>
          </cell>
          <cell r="G58" t="str">
            <v/>
          </cell>
          <cell r="H58" t="str">
            <v/>
          </cell>
          <cell r="I58" t="str">
            <v/>
          </cell>
          <cell r="J58" t="str">
            <v/>
          </cell>
          <cell r="K58" t="str">
            <v/>
          </cell>
          <cell r="L58" t="str">
            <v/>
          </cell>
          <cell r="M58" t="str">
            <v/>
          </cell>
          <cell r="N58" t="str">
            <v/>
          </cell>
          <cell r="O58" t="str">
            <v/>
          </cell>
          <cell r="P58" t="str">
            <v/>
          </cell>
          <cell r="Q58" t="str">
            <v/>
          </cell>
          <cell r="R58" t="str">
            <v/>
          </cell>
          <cell r="S58" t="str">
            <v/>
          </cell>
          <cell r="T58" t="str">
            <v/>
          </cell>
        </row>
        <row r="59">
          <cell r="A59" t="str">
            <v/>
          </cell>
          <cell r="F59" t="str">
            <v/>
          </cell>
          <cell r="G59" t="str">
            <v/>
          </cell>
          <cell r="H59" t="str">
            <v/>
          </cell>
          <cell r="I59" t="str">
            <v/>
          </cell>
          <cell r="J59" t="str">
            <v/>
          </cell>
          <cell r="K59" t="str">
            <v/>
          </cell>
          <cell r="L59" t="str">
            <v/>
          </cell>
          <cell r="M59" t="str">
            <v/>
          </cell>
          <cell r="N59" t="str">
            <v/>
          </cell>
          <cell r="O59" t="str">
            <v/>
          </cell>
          <cell r="P59" t="str">
            <v/>
          </cell>
          <cell r="Q59" t="str">
            <v/>
          </cell>
          <cell r="R59" t="str">
            <v/>
          </cell>
          <cell r="S59" t="str">
            <v/>
          </cell>
          <cell r="T59" t="str">
            <v/>
          </cell>
        </row>
        <row r="60">
          <cell r="A60" t="str">
            <v/>
          </cell>
          <cell r="F60" t="str">
            <v/>
          </cell>
          <cell r="G60" t="str">
            <v/>
          </cell>
          <cell r="H60" t="str">
            <v/>
          </cell>
          <cell r="I60" t="str">
            <v/>
          </cell>
          <cell r="J60" t="str">
            <v/>
          </cell>
          <cell r="K60" t="str">
            <v/>
          </cell>
          <cell r="L60" t="str">
            <v/>
          </cell>
          <cell r="M60" t="str">
            <v/>
          </cell>
          <cell r="N60" t="str">
            <v/>
          </cell>
          <cell r="O60" t="str">
            <v/>
          </cell>
          <cell r="P60" t="str">
            <v/>
          </cell>
          <cell r="Q60" t="str">
            <v/>
          </cell>
          <cell r="R60" t="str">
            <v/>
          </cell>
          <cell r="S60" t="str">
            <v/>
          </cell>
          <cell r="T60" t="str">
            <v/>
          </cell>
        </row>
        <row r="61">
          <cell r="A61" t="str">
            <v/>
          </cell>
          <cell r="F61" t="str">
            <v/>
          </cell>
          <cell r="G61" t="str">
            <v/>
          </cell>
          <cell r="H61" t="str">
            <v/>
          </cell>
          <cell r="I61" t="str">
            <v/>
          </cell>
          <cell r="J61" t="str">
            <v/>
          </cell>
          <cell r="K61" t="str">
            <v/>
          </cell>
          <cell r="L61" t="str">
            <v/>
          </cell>
          <cell r="M61" t="str">
            <v/>
          </cell>
          <cell r="N61" t="str">
            <v/>
          </cell>
          <cell r="O61" t="str">
            <v/>
          </cell>
          <cell r="P61" t="str">
            <v/>
          </cell>
          <cell r="Q61" t="str">
            <v/>
          </cell>
          <cell r="R61" t="str">
            <v/>
          </cell>
          <cell r="S61" t="str">
            <v/>
          </cell>
          <cell r="T61" t="str">
            <v/>
          </cell>
        </row>
        <row r="62">
          <cell r="A62" t="str">
            <v/>
          </cell>
          <cell r="F62" t="str">
            <v/>
          </cell>
          <cell r="G62" t="str">
            <v/>
          </cell>
          <cell r="H62" t="str">
            <v/>
          </cell>
          <cell r="I62" t="str">
            <v/>
          </cell>
          <cell r="J62" t="str">
            <v/>
          </cell>
          <cell r="K62" t="str">
            <v/>
          </cell>
          <cell r="L62" t="str">
            <v/>
          </cell>
          <cell r="M62" t="str">
            <v/>
          </cell>
          <cell r="N62" t="str">
            <v/>
          </cell>
          <cell r="O62" t="str">
            <v/>
          </cell>
          <cell r="P62" t="str">
            <v/>
          </cell>
          <cell r="Q62" t="str">
            <v/>
          </cell>
          <cell r="R62" t="str">
            <v/>
          </cell>
          <cell r="S62" t="str">
            <v/>
          </cell>
          <cell r="T62" t="str">
            <v/>
          </cell>
        </row>
        <row r="63">
          <cell r="A63" t="str">
            <v/>
          </cell>
          <cell r="F63" t="str">
            <v/>
          </cell>
          <cell r="G63" t="str">
            <v/>
          </cell>
          <cell r="H63" t="str">
            <v/>
          </cell>
          <cell r="I63" t="str">
            <v/>
          </cell>
          <cell r="J63" t="str">
            <v/>
          </cell>
          <cell r="K63" t="str">
            <v/>
          </cell>
          <cell r="L63" t="str">
            <v/>
          </cell>
          <cell r="M63" t="str">
            <v/>
          </cell>
          <cell r="N63" t="str">
            <v/>
          </cell>
          <cell r="O63" t="str">
            <v/>
          </cell>
          <cell r="P63" t="str">
            <v/>
          </cell>
          <cell r="Q63" t="str">
            <v/>
          </cell>
          <cell r="R63" t="str">
            <v/>
          </cell>
          <cell r="S63" t="str">
            <v/>
          </cell>
          <cell r="T63" t="str">
            <v/>
          </cell>
        </row>
        <row r="64">
          <cell r="A64" t="str">
            <v/>
          </cell>
          <cell r="F64" t="str">
            <v/>
          </cell>
          <cell r="G64" t="str">
            <v/>
          </cell>
          <cell r="H64" t="str">
            <v/>
          </cell>
          <cell r="I64" t="str">
            <v/>
          </cell>
          <cell r="J64" t="str">
            <v/>
          </cell>
          <cell r="K64" t="str">
            <v/>
          </cell>
          <cell r="L64" t="str">
            <v/>
          </cell>
          <cell r="M64" t="str">
            <v/>
          </cell>
          <cell r="N64" t="str">
            <v/>
          </cell>
          <cell r="O64" t="str">
            <v/>
          </cell>
          <cell r="P64" t="str">
            <v/>
          </cell>
          <cell r="Q64" t="str">
            <v/>
          </cell>
          <cell r="R64" t="str">
            <v/>
          </cell>
          <cell r="S64" t="str">
            <v/>
          </cell>
          <cell r="T64" t="str">
            <v/>
          </cell>
        </row>
        <row r="65">
          <cell r="A65" t="str">
            <v/>
          </cell>
          <cell r="F65" t="str">
            <v/>
          </cell>
          <cell r="G65" t="str">
            <v/>
          </cell>
          <cell r="H65" t="str">
            <v/>
          </cell>
          <cell r="I65" t="str">
            <v/>
          </cell>
          <cell r="J65" t="str">
            <v/>
          </cell>
          <cell r="K65" t="str">
            <v/>
          </cell>
          <cell r="L65" t="str">
            <v/>
          </cell>
          <cell r="M65" t="str">
            <v/>
          </cell>
          <cell r="N65" t="str">
            <v/>
          </cell>
          <cell r="O65" t="str">
            <v/>
          </cell>
          <cell r="P65" t="str">
            <v/>
          </cell>
          <cell r="Q65" t="str">
            <v/>
          </cell>
          <cell r="R65" t="str">
            <v/>
          </cell>
          <cell r="S65" t="str">
            <v/>
          </cell>
          <cell r="T65" t="str">
            <v/>
          </cell>
        </row>
        <row r="66">
          <cell r="A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row>
        <row r="67">
          <cell r="A67" t="str">
            <v/>
          </cell>
          <cell r="F67" t="str">
            <v/>
          </cell>
          <cell r="G67" t="str">
            <v/>
          </cell>
          <cell r="H67" t="str">
            <v/>
          </cell>
          <cell r="I67" t="str">
            <v/>
          </cell>
          <cell r="J67" t="str">
            <v/>
          </cell>
          <cell r="K67" t="str">
            <v/>
          </cell>
          <cell r="L67" t="str">
            <v/>
          </cell>
          <cell r="M67" t="str">
            <v/>
          </cell>
          <cell r="N67" t="str">
            <v/>
          </cell>
          <cell r="O67" t="str">
            <v/>
          </cell>
          <cell r="P67" t="str">
            <v/>
          </cell>
          <cell r="Q67" t="str">
            <v/>
          </cell>
          <cell r="R67" t="str">
            <v/>
          </cell>
          <cell r="S67" t="str">
            <v/>
          </cell>
          <cell r="T67" t="str">
            <v/>
          </cell>
        </row>
        <row r="68">
          <cell r="A68" t="str">
            <v/>
          </cell>
          <cell r="F68" t="str">
            <v/>
          </cell>
          <cell r="G68" t="str">
            <v/>
          </cell>
          <cell r="H68" t="str">
            <v/>
          </cell>
          <cell r="I68" t="str">
            <v/>
          </cell>
          <cell r="J68" t="str">
            <v/>
          </cell>
          <cell r="K68" t="str">
            <v/>
          </cell>
          <cell r="L68" t="str">
            <v/>
          </cell>
          <cell r="M68" t="str">
            <v/>
          </cell>
          <cell r="N68" t="str">
            <v/>
          </cell>
          <cell r="O68" t="str">
            <v/>
          </cell>
          <cell r="P68" t="str">
            <v/>
          </cell>
          <cell r="Q68" t="str">
            <v/>
          </cell>
          <cell r="R68" t="str">
            <v/>
          </cell>
          <cell r="S68" t="str">
            <v/>
          </cell>
          <cell r="T68" t="str">
            <v/>
          </cell>
        </row>
        <row r="69">
          <cell r="A69" t="str">
            <v/>
          </cell>
          <cell r="F69" t="str">
            <v/>
          </cell>
          <cell r="G69" t="str">
            <v/>
          </cell>
          <cell r="H69" t="str">
            <v/>
          </cell>
          <cell r="I69" t="str">
            <v/>
          </cell>
          <cell r="J69" t="str">
            <v/>
          </cell>
          <cell r="K69" t="str">
            <v/>
          </cell>
          <cell r="L69" t="str">
            <v/>
          </cell>
          <cell r="M69" t="str">
            <v/>
          </cell>
          <cell r="N69" t="str">
            <v/>
          </cell>
          <cell r="O69" t="str">
            <v/>
          </cell>
          <cell r="P69" t="str">
            <v/>
          </cell>
          <cell r="Q69" t="str">
            <v/>
          </cell>
          <cell r="R69" t="str">
            <v/>
          </cell>
          <cell r="S69" t="str">
            <v/>
          </cell>
          <cell r="T69" t="str">
            <v/>
          </cell>
        </row>
        <row r="70">
          <cell r="A70" t="str">
            <v/>
          </cell>
          <cell r="F70" t="str">
            <v/>
          </cell>
          <cell r="G70" t="str">
            <v/>
          </cell>
          <cell r="H70" t="str">
            <v/>
          </cell>
          <cell r="I70" t="str">
            <v/>
          </cell>
          <cell r="J70" t="str">
            <v/>
          </cell>
          <cell r="K70" t="str">
            <v/>
          </cell>
          <cell r="L70" t="str">
            <v/>
          </cell>
          <cell r="M70" t="str">
            <v/>
          </cell>
          <cell r="N70" t="str">
            <v/>
          </cell>
          <cell r="O70" t="str">
            <v/>
          </cell>
          <cell r="P70" t="str">
            <v/>
          </cell>
          <cell r="Q70" t="str">
            <v/>
          </cell>
          <cell r="R70" t="str">
            <v/>
          </cell>
          <cell r="S70" t="str">
            <v/>
          </cell>
          <cell r="T70" t="str">
            <v/>
          </cell>
        </row>
        <row r="71">
          <cell r="A71" t="str">
            <v/>
          </cell>
          <cell r="F71" t="str">
            <v/>
          </cell>
          <cell r="G71" t="str">
            <v/>
          </cell>
          <cell r="H71" t="str">
            <v/>
          </cell>
          <cell r="I71" t="str">
            <v/>
          </cell>
          <cell r="J71" t="str">
            <v/>
          </cell>
          <cell r="K71" t="str">
            <v/>
          </cell>
          <cell r="L71" t="str">
            <v/>
          </cell>
          <cell r="M71" t="str">
            <v/>
          </cell>
          <cell r="N71" t="str">
            <v/>
          </cell>
          <cell r="O71" t="str">
            <v/>
          </cell>
          <cell r="P71" t="str">
            <v/>
          </cell>
          <cell r="Q71" t="str">
            <v/>
          </cell>
          <cell r="R71" t="str">
            <v/>
          </cell>
          <cell r="S71" t="str">
            <v/>
          </cell>
          <cell r="T71" t="str">
            <v/>
          </cell>
        </row>
        <row r="72">
          <cell r="A72" t="str">
            <v/>
          </cell>
          <cell r="F72" t="str">
            <v/>
          </cell>
          <cell r="G72" t="str">
            <v/>
          </cell>
          <cell r="H72" t="str">
            <v/>
          </cell>
          <cell r="I72" t="str">
            <v/>
          </cell>
          <cell r="J72" t="str">
            <v/>
          </cell>
          <cell r="K72" t="str">
            <v/>
          </cell>
          <cell r="L72" t="str">
            <v/>
          </cell>
          <cell r="M72" t="str">
            <v/>
          </cell>
          <cell r="N72" t="str">
            <v/>
          </cell>
          <cell r="O72" t="str">
            <v/>
          </cell>
          <cell r="P72" t="str">
            <v/>
          </cell>
          <cell r="Q72" t="str">
            <v/>
          </cell>
          <cell r="R72" t="str">
            <v/>
          </cell>
          <cell r="S72" t="str">
            <v/>
          </cell>
          <cell r="T72" t="str">
            <v/>
          </cell>
        </row>
        <row r="73">
          <cell r="A73" t="str">
            <v/>
          </cell>
          <cell r="F73" t="str">
            <v/>
          </cell>
          <cell r="G73" t="str">
            <v/>
          </cell>
          <cell r="H73" t="str">
            <v/>
          </cell>
          <cell r="I73" t="str">
            <v/>
          </cell>
          <cell r="J73" t="str">
            <v/>
          </cell>
          <cell r="K73" t="str">
            <v/>
          </cell>
          <cell r="L73" t="str">
            <v/>
          </cell>
          <cell r="M73" t="str">
            <v/>
          </cell>
          <cell r="N73" t="str">
            <v/>
          </cell>
          <cell r="O73" t="str">
            <v/>
          </cell>
          <cell r="P73" t="str">
            <v/>
          </cell>
          <cell r="Q73" t="str">
            <v/>
          </cell>
          <cell r="R73" t="str">
            <v/>
          </cell>
          <cell r="S73" t="str">
            <v/>
          </cell>
          <cell r="T73" t="str">
            <v/>
          </cell>
        </row>
        <row r="74">
          <cell r="A74" t="str">
            <v/>
          </cell>
          <cell r="F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row>
        <row r="75">
          <cell r="A75" t="str">
            <v/>
          </cell>
          <cell r="F75" t="str">
            <v/>
          </cell>
          <cell r="G75" t="str">
            <v/>
          </cell>
          <cell r="H75" t="str">
            <v/>
          </cell>
          <cell r="I75" t="str">
            <v/>
          </cell>
          <cell r="J75" t="str">
            <v/>
          </cell>
          <cell r="K75" t="str">
            <v/>
          </cell>
          <cell r="L75" t="str">
            <v/>
          </cell>
          <cell r="M75" t="str">
            <v/>
          </cell>
          <cell r="N75" t="str">
            <v/>
          </cell>
          <cell r="O75" t="str">
            <v/>
          </cell>
          <cell r="P75" t="str">
            <v/>
          </cell>
          <cell r="Q75" t="str">
            <v/>
          </cell>
          <cell r="R75" t="str">
            <v/>
          </cell>
          <cell r="S75" t="str">
            <v/>
          </cell>
          <cell r="T75" t="str">
            <v/>
          </cell>
        </row>
        <row r="76">
          <cell r="A76" t="str">
            <v/>
          </cell>
          <cell r="F76" t="str">
            <v/>
          </cell>
          <cell r="G76" t="str">
            <v/>
          </cell>
          <cell r="H76" t="str">
            <v/>
          </cell>
          <cell r="I76" t="str">
            <v/>
          </cell>
          <cell r="J76" t="str">
            <v/>
          </cell>
          <cell r="K76" t="str">
            <v/>
          </cell>
          <cell r="L76" t="str">
            <v/>
          </cell>
          <cell r="M76" t="str">
            <v/>
          </cell>
          <cell r="N76" t="str">
            <v/>
          </cell>
          <cell r="O76" t="str">
            <v/>
          </cell>
          <cell r="P76" t="str">
            <v/>
          </cell>
          <cell r="Q76" t="str">
            <v/>
          </cell>
          <cell r="R76" t="str">
            <v/>
          </cell>
          <cell r="S76" t="str">
            <v/>
          </cell>
          <cell r="T76" t="str">
            <v/>
          </cell>
        </row>
        <row r="77">
          <cell r="A77" t="str">
            <v/>
          </cell>
          <cell r="F77" t="str">
            <v/>
          </cell>
          <cell r="G77" t="str">
            <v/>
          </cell>
          <cell r="H77" t="str">
            <v/>
          </cell>
          <cell r="I77" t="str">
            <v/>
          </cell>
          <cell r="J77" t="str">
            <v/>
          </cell>
          <cell r="K77" t="str">
            <v/>
          </cell>
          <cell r="L77" t="str">
            <v/>
          </cell>
          <cell r="M77" t="str">
            <v/>
          </cell>
          <cell r="N77" t="str">
            <v/>
          </cell>
          <cell r="O77" t="str">
            <v/>
          </cell>
          <cell r="P77" t="str">
            <v/>
          </cell>
          <cell r="Q77" t="str">
            <v/>
          </cell>
          <cell r="R77" t="str">
            <v/>
          </cell>
          <cell r="S77" t="str">
            <v/>
          </cell>
          <cell r="T77" t="str">
            <v/>
          </cell>
        </row>
        <row r="78">
          <cell r="A78" t="str">
            <v/>
          </cell>
          <cell r="F78" t="str">
            <v/>
          </cell>
          <cell r="G78" t="str">
            <v/>
          </cell>
          <cell r="H78" t="str">
            <v/>
          </cell>
          <cell r="I78" t="str">
            <v/>
          </cell>
          <cell r="J78" t="str">
            <v/>
          </cell>
          <cell r="K78" t="str">
            <v/>
          </cell>
          <cell r="L78" t="str">
            <v/>
          </cell>
          <cell r="M78" t="str">
            <v/>
          </cell>
          <cell r="N78" t="str">
            <v/>
          </cell>
          <cell r="O78" t="str">
            <v/>
          </cell>
          <cell r="P78" t="str">
            <v/>
          </cell>
          <cell r="Q78" t="str">
            <v/>
          </cell>
          <cell r="R78" t="str">
            <v/>
          </cell>
          <cell r="S78" t="str">
            <v/>
          </cell>
          <cell r="T78" t="str">
            <v/>
          </cell>
        </row>
        <row r="79">
          <cell r="A79" t="str">
            <v/>
          </cell>
          <cell r="F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t="str">
            <v/>
          </cell>
          <cell r="T79" t="str">
            <v/>
          </cell>
        </row>
        <row r="80">
          <cell r="A80" t="str">
            <v/>
          </cell>
          <cell r="F80" t="str">
            <v/>
          </cell>
          <cell r="G80" t="str">
            <v/>
          </cell>
          <cell r="H80" t="str">
            <v/>
          </cell>
          <cell r="I80" t="str">
            <v/>
          </cell>
          <cell r="J80" t="str">
            <v/>
          </cell>
          <cell r="K80" t="str">
            <v/>
          </cell>
          <cell r="L80" t="str">
            <v/>
          </cell>
          <cell r="M80" t="str">
            <v/>
          </cell>
          <cell r="N80" t="str">
            <v/>
          </cell>
          <cell r="O80" t="str">
            <v/>
          </cell>
          <cell r="P80" t="str">
            <v/>
          </cell>
          <cell r="Q80" t="str">
            <v/>
          </cell>
          <cell r="R80" t="str">
            <v/>
          </cell>
          <cell r="S80" t="str">
            <v/>
          </cell>
          <cell r="T80" t="str">
            <v/>
          </cell>
        </row>
        <row r="81">
          <cell r="A81" t="str">
            <v/>
          </cell>
          <cell r="F81" t="str">
            <v/>
          </cell>
          <cell r="G81" t="str">
            <v/>
          </cell>
          <cell r="H81" t="str">
            <v/>
          </cell>
          <cell r="I81" t="str">
            <v/>
          </cell>
          <cell r="J81" t="str">
            <v/>
          </cell>
          <cell r="K81" t="str">
            <v/>
          </cell>
          <cell r="L81" t="str">
            <v/>
          </cell>
          <cell r="M81" t="str">
            <v/>
          </cell>
          <cell r="N81" t="str">
            <v/>
          </cell>
          <cell r="O81" t="str">
            <v/>
          </cell>
          <cell r="P81" t="str">
            <v/>
          </cell>
          <cell r="Q81" t="str">
            <v/>
          </cell>
          <cell r="R81" t="str">
            <v/>
          </cell>
          <cell r="S81" t="str">
            <v/>
          </cell>
          <cell r="T81" t="str">
            <v/>
          </cell>
        </row>
        <row r="82">
          <cell r="A82" t="str">
            <v/>
          </cell>
          <cell r="F82" t="str">
            <v/>
          </cell>
          <cell r="G82" t="str">
            <v/>
          </cell>
          <cell r="H82" t="str">
            <v/>
          </cell>
          <cell r="I82" t="str">
            <v/>
          </cell>
          <cell r="J82" t="str">
            <v/>
          </cell>
          <cell r="K82" t="str">
            <v/>
          </cell>
          <cell r="L82" t="str">
            <v/>
          </cell>
          <cell r="M82" t="str">
            <v/>
          </cell>
          <cell r="N82" t="str">
            <v/>
          </cell>
          <cell r="O82" t="str">
            <v/>
          </cell>
          <cell r="P82" t="str">
            <v/>
          </cell>
          <cell r="Q82" t="str">
            <v/>
          </cell>
          <cell r="R82" t="str">
            <v/>
          </cell>
          <cell r="S82" t="str">
            <v/>
          </cell>
          <cell r="T82" t="str">
            <v/>
          </cell>
        </row>
        <row r="83">
          <cell r="A83" t="str">
            <v/>
          </cell>
          <cell r="F83" t="str">
            <v/>
          </cell>
          <cell r="G83" t="str">
            <v/>
          </cell>
          <cell r="H83" t="str">
            <v/>
          </cell>
          <cell r="I83" t="str">
            <v/>
          </cell>
          <cell r="J83" t="str">
            <v/>
          </cell>
          <cell r="K83" t="str">
            <v/>
          </cell>
          <cell r="L83" t="str">
            <v/>
          </cell>
          <cell r="M83" t="str">
            <v/>
          </cell>
          <cell r="N83" t="str">
            <v/>
          </cell>
          <cell r="O83" t="str">
            <v/>
          </cell>
          <cell r="P83" t="str">
            <v/>
          </cell>
          <cell r="Q83" t="str">
            <v/>
          </cell>
          <cell r="R83" t="str">
            <v/>
          </cell>
          <cell r="S83" t="str">
            <v/>
          </cell>
          <cell r="T83" t="str">
            <v/>
          </cell>
        </row>
        <row r="84">
          <cell r="A84" t="str">
            <v/>
          </cell>
          <cell r="F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t="str">
            <v/>
          </cell>
          <cell r="T84" t="str">
            <v/>
          </cell>
        </row>
        <row r="85">
          <cell r="A85" t="str">
            <v/>
          </cell>
          <cell r="F85" t="str">
            <v/>
          </cell>
          <cell r="G85" t="str">
            <v/>
          </cell>
          <cell r="H85" t="str">
            <v/>
          </cell>
          <cell r="I85" t="str">
            <v/>
          </cell>
          <cell r="J85" t="str">
            <v/>
          </cell>
          <cell r="K85" t="str">
            <v/>
          </cell>
          <cell r="L85" t="str">
            <v/>
          </cell>
          <cell r="M85" t="str">
            <v/>
          </cell>
          <cell r="N85" t="str">
            <v/>
          </cell>
          <cell r="O85" t="str">
            <v/>
          </cell>
          <cell r="P85" t="str">
            <v/>
          </cell>
          <cell r="Q85" t="str">
            <v/>
          </cell>
          <cell r="R85" t="str">
            <v/>
          </cell>
          <cell r="S85" t="str">
            <v/>
          </cell>
          <cell r="T85" t="str">
            <v/>
          </cell>
        </row>
        <row r="86">
          <cell r="A86" t="str">
            <v/>
          </cell>
          <cell r="F86" t="str">
            <v/>
          </cell>
          <cell r="G86" t="str">
            <v/>
          </cell>
          <cell r="H86" t="str">
            <v/>
          </cell>
          <cell r="I86" t="str">
            <v/>
          </cell>
          <cell r="J86" t="str">
            <v/>
          </cell>
          <cell r="K86" t="str">
            <v/>
          </cell>
          <cell r="L86" t="str">
            <v/>
          </cell>
          <cell r="M86" t="str">
            <v/>
          </cell>
          <cell r="N86" t="str">
            <v/>
          </cell>
          <cell r="O86" t="str">
            <v/>
          </cell>
          <cell r="P86" t="str">
            <v/>
          </cell>
          <cell r="Q86" t="str">
            <v/>
          </cell>
          <cell r="R86" t="str">
            <v/>
          </cell>
          <cell r="S86" t="str">
            <v/>
          </cell>
          <cell r="T86" t="str">
            <v/>
          </cell>
        </row>
        <row r="87">
          <cell r="A87" t="str">
            <v/>
          </cell>
          <cell r="F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row>
        <row r="88">
          <cell r="A88" t="str">
            <v/>
          </cell>
          <cell r="F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row>
        <row r="89">
          <cell r="A89" t="str">
            <v/>
          </cell>
          <cell r="F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row>
        <row r="90">
          <cell r="A90" t="str">
            <v/>
          </cell>
          <cell r="F90" t="str">
            <v/>
          </cell>
          <cell r="G90" t="str">
            <v/>
          </cell>
          <cell r="H90" t="str">
            <v/>
          </cell>
          <cell r="I90" t="str">
            <v/>
          </cell>
          <cell r="J90" t="str">
            <v/>
          </cell>
          <cell r="K90" t="str">
            <v/>
          </cell>
          <cell r="L90" t="str">
            <v/>
          </cell>
          <cell r="M90" t="str">
            <v/>
          </cell>
          <cell r="N90" t="str">
            <v/>
          </cell>
          <cell r="O90" t="str">
            <v/>
          </cell>
          <cell r="P90" t="str">
            <v/>
          </cell>
          <cell r="Q90" t="str">
            <v/>
          </cell>
          <cell r="R90" t="str">
            <v/>
          </cell>
          <cell r="S90" t="str">
            <v/>
          </cell>
          <cell r="T90" t="str">
            <v/>
          </cell>
        </row>
        <row r="91">
          <cell r="A91" t="str">
            <v/>
          </cell>
          <cell r="F91" t="str">
            <v/>
          </cell>
          <cell r="G91" t="str">
            <v/>
          </cell>
          <cell r="H91" t="str">
            <v/>
          </cell>
          <cell r="I91" t="str">
            <v/>
          </cell>
          <cell r="J91" t="str">
            <v/>
          </cell>
          <cell r="K91" t="str">
            <v/>
          </cell>
          <cell r="L91" t="str">
            <v/>
          </cell>
          <cell r="M91" t="str">
            <v/>
          </cell>
          <cell r="N91" t="str">
            <v/>
          </cell>
          <cell r="O91" t="str">
            <v/>
          </cell>
          <cell r="P91" t="str">
            <v/>
          </cell>
          <cell r="Q91" t="str">
            <v/>
          </cell>
          <cell r="R91" t="str">
            <v/>
          </cell>
          <cell r="S91" t="str">
            <v/>
          </cell>
          <cell r="T91" t="str">
            <v/>
          </cell>
        </row>
        <row r="92">
          <cell r="A92" t="str">
            <v/>
          </cell>
          <cell r="F92" t="str">
            <v/>
          </cell>
          <cell r="G92" t="str">
            <v/>
          </cell>
          <cell r="H92" t="str">
            <v/>
          </cell>
          <cell r="I92" t="str">
            <v/>
          </cell>
          <cell r="J92" t="str">
            <v/>
          </cell>
          <cell r="K92" t="str">
            <v/>
          </cell>
          <cell r="L92" t="str">
            <v/>
          </cell>
          <cell r="M92" t="str">
            <v/>
          </cell>
          <cell r="N92" t="str">
            <v/>
          </cell>
          <cell r="O92" t="str">
            <v/>
          </cell>
          <cell r="P92" t="str">
            <v/>
          </cell>
          <cell r="Q92" t="str">
            <v/>
          </cell>
          <cell r="R92" t="str">
            <v/>
          </cell>
          <cell r="S92" t="str">
            <v/>
          </cell>
          <cell r="T92" t="str">
            <v/>
          </cell>
        </row>
        <row r="93">
          <cell r="A93" t="str">
            <v/>
          </cell>
          <cell r="F93" t="str">
            <v/>
          </cell>
          <cell r="G93" t="str">
            <v/>
          </cell>
          <cell r="H93" t="str">
            <v/>
          </cell>
          <cell r="I93" t="str">
            <v/>
          </cell>
          <cell r="J93" t="str">
            <v/>
          </cell>
          <cell r="K93" t="str">
            <v/>
          </cell>
          <cell r="L93" t="str">
            <v/>
          </cell>
          <cell r="M93" t="str">
            <v/>
          </cell>
          <cell r="N93" t="str">
            <v/>
          </cell>
          <cell r="O93" t="str">
            <v/>
          </cell>
          <cell r="P93" t="str">
            <v/>
          </cell>
          <cell r="Q93" t="str">
            <v/>
          </cell>
          <cell r="R93" t="str">
            <v/>
          </cell>
          <cell r="S93" t="str">
            <v/>
          </cell>
          <cell r="T93" t="str">
            <v/>
          </cell>
        </row>
        <row r="94">
          <cell r="A94" t="str">
            <v/>
          </cell>
          <cell r="F94" t="str">
            <v/>
          </cell>
          <cell r="G94" t="str">
            <v/>
          </cell>
          <cell r="H94" t="str">
            <v/>
          </cell>
          <cell r="I94" t="str">
            <v/>
          </cell>
          <cell r="J94" t="str">
            <v/>
          </cell>
          <cell r="K94" t="str">
            <v/>
          </cell>
          <cell r="L94" t="str">
            <v/>
          </cell>
          <cell r="M94" t="str">
            <v/>
          </cell>
          <cell r="N94" t="str">
            <v/>
          </cell>
          <cell r="O94" t="str">
            <v/>
          </cell>
          <cell r="P94" t="str">
            <v/>
          </cell>
          <cell r="Q94" t="str">
            <v/>
          </cell>
          <cell r="R94" t="str">
            <v/>
          </cell>
          <cell r="S94" t="str">
            <v/>
          </cell>
          <cell r="T94" t="str">
            <v/>
          </cell>
        </row>
        <row r="95">
          <cell r="A95" t="str">
            <v/>
          </cell>
          <cell r="F95" t="str">
            <v/>
          </cell>
          <cell r="G95" t="str">
            <v/>
          </cell>
          <cell r="H95" t="str">
            <v/>
          </cell>
          <cell r="I95" t="str">
            <v/>
          </cell>
          <cell r="J95" t="str">
            <v/>
          </cell>
          <cell r="K95" t="str">
            <v/>
          </cell>
          <cell r="L95" t="str">
            <v/>
          </cell>
          <cell r="M95" t="str">
            <v/>
          </cell>
          <cell r="N95" t="str">
            <v/>
          </cell>
          <cell r="O95" t="str">
            <v/>
          </cell>
          <cell r="P95" t="str">
            <v/>
          </cell>
          <cell r="Q95" t="str">
            <v/>
          </cell>
          <cell r="R95" t="str">
            <v/>
          </cell>
          <cell r="S95" t="str">
            <v/>
          </cell>
          <cell r="T95" t="str">
            <v/>
          </cell>
        </row>
        <row r="96">
          <cell r="A96" t="str">
            <v/>
          </cell>
          <cell r="F96" t="str">
            <v/>
          </cell>
          <cell r="G96" t="str">
            <v/>
          </cell>
          <cell r="H96" t="str">
            <v/>
          </cell>
          <cell r="I96" t="str">
            <v/>
          </cell>
          <cell r="J96" t="str">
            <v/>
          </cell>
          <cell r="K96" t="str">
            <v/>
          </cell>
          <cell r="L96" t="str">
            <v/>
          </cell>
          <cell r="M96" t="str">
            <v/>
          </cell>
          <cell r="N96" t="str">
            <v/>
          </cell>
          <cell r="O96" t="str">
            <v/>
          </cell>
          <cell r="P96" t="str">
            <v/>
          </cell>
          <cell r="Q96" t="str">
            <v/>
          </cell>
          <cell r="R96" t="str">
            <v/>
          </cell>
          <cell r="S96" t="str">
            <v/>
          </cell>
          <cell r="T96" t="str">
            <v/>
          </cell>
        </row>
        <row r="97">
          <cell r="A97" t="str">
            <v/>
          </cell>
          <cell r="F97" t="str">
            <v/>
          </cell>
          <cell r="G97" t="str">
            <v/>
          </cell>
          <cell r="H97" t="str">
            <v/>
          </cell>
          <cell r="I97" t="str">
            <v/>
          </cell>
          <cell r="J97" t="str">
            <v/>
          </cell>
          <cell r="K97" t="str">
            <v/>
          </cell>
          <cell r="L97" t="str">
            <v/>
          </cell>
          <cell r="M97" t="str">
            <v/>
          </cell>
          <cell r="N97" t="str">
            <v/>
          </cell>
          <cell r="O97" t="str">
            <v/>
          </cell>
          <cell r="P97" t="str">
            <v/>
          </cell>
          <cell r="Q97" t="str">
            <v/>
          </cell>
          <cell r="R97" t="str">
            <v/>
          </cell>
          <cell r="S97" t="str">
            <v/>
          </cell>
          <cell r="T97" t="str">
            <v/>
          </cell>
        </row>
        <row r="98">
          <cell r="A98" t="str">
            <v/>
          </cell>
          <cell r="F98" t="str">
            <v/>
          </cell>
          <cell r="G98" t="str">
            <v/>
          </cell>
          <cell r="H98" t="str">
            <v/>
          </cell>
          <cell r="I98" t="str">
            <v/>
          </cell>
          <cell r="J98" t="str">
            <v/>
          </cell>
          <cell r="K98" t="str">
            <v/>
          </cell>
          <cell r="L98" t="str">
            <v/>
          </cell>
          <cell r="M98" t="str">
            <v/>
          </cell>
          <cell r="N98" t="str">
            <v/>
          </cell>
          <cell r="O98" t="str">
            <v/>
          </cell>
          <cell r="P98" t="str">
            <v/>
          </cell>
          <cell r="Q98" t="str">
            <v/>
          </cell>
          <cell r="R98" t="str">
            <v/>
          </cell>
          <cell r="S98" t="str">
            <v/>
          </cell>
          <cell r="T98" t="str">
            <v/>
          </cell>
        </row>
        <row r="99">
          <cell r="A99" t="str">
            <v/>
          </cell>
          <cell r="F99" t="str">
            <v/>
          </cell>
          <cell r="G99" t="str">
            <v/>
          </cell>
          <cell r="H99" t="str">
            <v/>
          </cell>
          <cell r="I99" t="str">
            <v/>
          </cell>
          <cell r="J99" t="str">
            <v/>
          </cell>
          <cell r="K99" t="str">
            <v/>
          </cell>
          <cell r="L99" t="str">
            <v/>
          </cell>
          <cell r="M99" t="str">
            <v/>
          </cell>
          <cell r="N99" t="str">
            <v/>
          </cell>
          <cell r="O99" t="str">
            <v/>
          </cell>
          <cell r="P99" t="str">
            <v/>
          </cell>
          <cell r="Q99" t="str">
            <v/>
          </cell>
          <cell r="R99" t="str">
            <v/>
          </cell>
          <cell r="S99" t="str">
            <v/>
          </cell>
          <cell r="T99" t="str">
            <v/>
          </cell>
        </row>
        <row r="100">
          <cell r="A100" t="str">
            <v/>
          </cell>
          <cell r="F100" t="str">
            <v/>
          </cell>
          <cell r="G100" t="str">
            <v/>
          </cell>
          <cell r="H100" t="str">
            <v/>
          </cell>
          <cell r="I100" t="str">
            <v/>
          </cell>
          <cell r="J100" t="str">
            <v/>
          </cell>
          <cell r="K100" t="str">
            <v/>
          </cell>
          <cell r="L100" t="str">
            <v/>
          </cell>
          <cell r="M100" t="str">
            <v/>
          </cell>
          <cell r="N100" t="str">
            <v/>
          </cell>
          <cell r="O100" t="str">
            <v/>
          </cell>
          <cell r="P100" t="str">
            <v/>
          </cell>
          <cell r="Q100" t="str">
            <v/>
          </cell>
          <cell r="R100" t="str">
            <v/>
          </cell>
          <cell r="S100" t="str">
            <v/>
          </cell>
          <cell r="T100" t="str">
            <v/>
          </cell>
        </row>
        <row r="101">
          <cell r="A101" t="str">
            <v/>
          </cell>
          <cell r="F101" t="str">
            <v/>
          </cell>
          <cell r="G101" t="str">
            <v/>
          </cell>
          <cell r="H101" t="str">
            <v/>
          </cell>
          <cell r="I101" t="str">
            <v/>
          </cell>
          <cell r="J101" t="str">
            <v/>
          </cell>
          <cell r="K101" t="str">
            <v/>
          </cell>
          <cell r="L101" t="str">
            <v/>
          </cell>
          <cell r="M101" t="str">
            <v/>
          </cell>
          <cell r="N101" t="str">
            <v/>
          </cell>
          <cell r="O101" t="str">
            <v/>
          </cell>
          <cell r="P101" t="str">
            <v/>
          </cell>
          <cell r="Q101" t="str">
            <v/>
          </cell>
          <cell r="R101" t="str">
            <v/>
          </cell>
          <cell r="S101" t="str">
            <v/>
          </cell>
          <cell r="T101" t="str">
            <v/>
          </cell>
        </row>
        <row r="102">
          <cell r="A102" t="str">
            <v/>
          </cell>
          <cell r="F102" t="str">
            <v/>
          </cell>
          <cell r="G102" t="str">
            <v/>
          </cell>
          <cell r="H102" t="str">
            <v/>
          </cell>
          <cell r="I102" t="str">
            <v/>
          </cell>
          <cell r="J102" t="str">
            <v/>
          </cell>
          <cell r="K102" t="str">
            <v/>
          </cell>
          <cell r="L102" t="str">
            <v/>
          </cell>
          <cell r="M102" t="str">
            <v/>
          </cell>
          <cell r="N102" t="str">
            <v/>
          </cell>
          <cell r="O102" t="str">
            <v/>
          </cell>
          <cell r="P102" t="str">
            <v/>
          </cell>
          <cell r="Q102" t="str">
            <v/>
          </cell>
          <cell r="R102" t="str">
            <v/>
          </cell>
          <cell r="S102" t="str">
            <v/>
          </cell>
          <cell r="T102" t="str">
            <v/>
          </cell>
        </row>
        <row r="103">
          <cell r="A103" t="str">
            <v/>
          </cell>
          <cell r="F103" t="str">
            <v/>
          </cell>
          <cell r="G103" t="str">
            <v/>
          </cell>
          <cell r="H103" t="str">
            <v/>
          </cell>
          <cell r="I103" t="str">
            <v/>
          </cell>
          <cell r="J103" t="str">
            <v/>
          </cell>
          <cell r="K103" t="str">
            <v/>
          </cell>
          <cell r="L103" t="str">
            <v/>
          </cell>
          <cell r="M103" t="str">
            <v/>
          </cell>
          <cell r="N103" t="str">
            <v/>
          </cell>
          <cell r="O103" t="str">
            <v/>
          </cell>
          <cell r="P103" t="str">
            <v/>
          </cell>
          <cell r="Q103" t="str">
            <v/>
          </cell>
          <cell r="R103" t="str">
            <v/>
          </cell>
          <cell r="S103" t="str">
            <v/>
          </cell>
          <cell r="T103" t="str">
            <v/>
          </cell>
        </row>
        <row r="104">
          <cell r="A104" t="str">
            <v/>
          </cell>
          <cell r="F104" t="str">
            <v/>
          </cell>
          <cell r="G104" t="str">
            <v/>
          </cell>
          <cell r="H104" t="str">
            <v/>
          </cell>
          <cell r="I104" t="str">
            <v/>
          </cell>
          <cell r="J104" t="str">
            <v/>
          </cell>
          <cell r="K104" t="str">
            <v/>
          </cell>
          <cell r="L104" t="str">
            <v/>
          </cell>
          <cell r="M104" t="str">
            <v/>
          </cell>
          <cell r="N104" t="str">
            <v/>
          </cell>
          <cell r="O104" t="str">
            <v/>
          </cell>
          <cell r="P104" t="str">
            <v/>
          </cell>
          <cell r="Q104" t="str">
            <v/>
          </cell>
          <cell r="R104" t="str">
            <v/>
          </cell>
          <cell r="S104" t="str">
            <v/>
          </cell>
          <cell r="T104" t="str">
            <v/>
          </cell>
        </row>
        <row r="105">
          <cell r="A105" t="str">
            <v/>
          </cell>
          <cell r="F105" t="str">
            <v/>
          </cell>
          <cell r="G105" t="str">
            <v/>
          </cell>
          <cell r="H105" t="str">
            <v/>
          </cell>
          <cell r="I105" t="str">
            <v/>
          </cell>
          <cell r="J105" t="str">
            <v/>
          </cell>
          <cell r="K105" t="str">
            <v/>
          </cell>
          <cell r="L105" t="str">
            <v/>
          </cell>
          <cell r="M105" t="str">
            <v/>
          </cell>
          <cell r="N105" t="str">
            <v/>
          </cell>
          <cell r="O105" t="str">
            <v/>
          </cell>
          <cell r="P105" t="str">
            <v/>
          </cell>
          <cell r="Q105" t="str">
            <v/>
          </cell>
          <cell r="R105" t="str">
            <v/>
          </cell>
          <cell r="S105" t="str">
            <v/>
          </cell>
          <cell r="T105" t="str">
            <v/>
          </cell>
        </row>
        <row r="106">
          <cell r="A106" t="str">
            <v/>
          </cell>
          <cell r="F106" t="str">
            <v/>
          </cell>
          <cell r="G106" t="str">
            <v/>
          </cell>
          <cell r="H106" t="str">
            <v/>
          </cell>
          <cell r="I106" t="str">
            <v/>
          </cell>
          <cell r="J106" t="str">
            <v/>
          </cell>
          <cell r="K106" t="str">
            <v/>
          </cell>
          <cell r="L106" t="str">
            <v/>
          </cell>
          <cell r="M106" t="str">
            <v/>
          </cell>
          <cell r="N106" t="str">
            <v/>
          </cell>
          <cell r="O106" t="str">
            <v/>
          </cell>
          <cell r="P106" t="str">
            <v/>
          </cell>
          <cell r="Q106" t="str">
            <v/>
          </cell>
          <cell r="R106" t="str">
            <v/>
          </cell>
          <cell r="S106" t="str">
            <v/>
          </cell>
          <cell r="T106" t="str">
            <v/>
          </cell>
        </row>
        <row r="107">
          <cell r="A107" t="str">
            <v/>
          </cell>
          <cell r="F107" t="str">
            <v/>
          </cell>
          <cell r="G107" t="str">
            <v/>
          </cell>
          <cell r="H107" t="str">
            <v/>
          </cell>
          <cell r="I107" t="str">
            <v/>
          </cell>
          <cell r="J107" t="str">
            <v/>
          </cell>
          <cell r="K107" t="str">
            <v/>
          </cell>
          <cell r="L107" t="str">
            <v/>
          </cell>
          <cell r="M107" t="str">
            <v/>
          </cell>
          <cell r="N107" t="str">
            <v/>
          </cell>
          <cell r="O107" t="str">
            <v/>
          </cell>
          <cell r="P107" t="str">
            <v/>
          </cell>
          <cell r="Q107" t="str">
            <v/>
          </cell>
          <cell r="R107" t="str">
            <v/>
          </cell>
          <cell r="S107" t="str">
            <v/>
          </cell>
          <cell r="T107" t="str">
            <v/>
          </cell>
        </row>
        <row r="108">
          <cell r="A108" t="str">
            <v/>
          </cell>
          <cell r="F108" t="str">
            <v/>
          </cell>
          <cell r="G108" t="str">
            <v/>
          </cell>
          <cell r="H108" t="str">
            <v/>
          </cell>
          <cell r="I108" t="str">
            <v/>
          </cell>
          <cell r="J108" t="str">
            <v/>
          </cell>
          <cell r="K108" t="str">
            <v/>
          </cell>
          <cell r="L108" t="str">
            <v/>
          </cell>
          <cell r="M108" t="str">
            <v/>
          </cell>
          <cell r="N108" t="str">
            <v/>
          </cell>
          <cell r="O108" t="str">
            <v/>
          </cell>
          <cell r="P108" t="str">
            <v/>
          </cell>
          <cell r="Q108" t="str">
            <v/>
          </cell>
          <cell r="R108" t="str">
            <v/>
          </cell>
          <cell r="S108" t="str">
            <v/>
          </cell>
          <cell r="T108" t="str">
            <v/>
          </cell>
        </row>
        <row r="109">
          <cell r="A109" t="str">
            <v/>
          </cell>
          <cell r="F109" t="str">
            <v/>
          </cell>
          <cell r="G109" t="str">
            <v/>
          </cell>
          <cell r="H109" t="str">
            <v/>
          </cell>
          <cell r="I109" t="str">
            <v/>
          </cell>
          <cell r="J109" t="str">
            <v/>
          </cell>
          <cell r="K109" t="str">
            <v/>
          </cell>
          <cell r="L109" t="str">
            <v/>
          </cell>
          <cell r="M109" t="str">
            <v/>
          </cell>
          <cell r="N109" t="str">
            <v/>
          </cell>
          <cell r="O109" t="str">
            <v/>
          </cell>
          <cell r="P109" t="str">
            <v/>
          </cell>
          <cell r="Q109" t="str">
            <v/>
          </cell>
          <cell r="R109" t="str">
            <v/>
          </cell>
          <cell r="S109" t="str">
            <v/>
          </cell>
          <cell r="T109" t="str">
            <v/>
          </cell>
        </row>
        <row r="110">
          <cell r="A110" t="str">
            <v/>
          </cell>
          <cell r="F110" t="str">
            <v/>
          </cell>
          <cell r="G110" t="str">
            <v/>
          </cell>
          <cell r="H110" t="str">
            <v/>
          </cell>
          <cell r="I110" t="str">
            <v/>
          </cell>
          <cell r="J110" t="str">
            <v/>
          </cell>
          <cell r="K110" t="str">
            <v/>
          </cell>
          <cell r="L110" t="str">
            <v/>
          </cell>
          <cell r="M110" t="str">
            <v/>
          </cell>
          <cell r="N110" t="str">
            <v/>
          </cell>
          <cell r="O110" t="str">
            <v/>
          </cell>
          <cell r="P110" t="str">
            <v/>
          </cell>
          <cell r="Q110" t="str">
            <v/>
          </cell>
          <cell r="R110" t="str">
            <v/>
          </cell>
          <cell r="S110" t="str">
            <v/>
          </cell>
          <cell r="T110" t="str">
            <v/>
          </cell>
        </row>
        <row r="111">
          <cell r="A111" t="str">
            <v/>
          </cell>
          <cell r="F111" t="str">
            <v/>
          </cell>
          <cell r="G111" t="str">
            <v/>
          </cell>
          <cell r="H111" t="str">
            <v/>
          </cell>
          <cell r="I111" t="str">
            <v/>
          </cell>
          <cell r="J111" t="str">
            <v/>
          </cell>
          <cell r="K111" t="str">
            <v/>
          </cell>
          <cell r="L111" t="str">
            <v/>
          </cell>
          <cell r="M111" t="str">
            <v/>
          </cell>
          <cell r="N111" t="str">
            <v/>
          </cell>
          <cell r="O111" t="str">
            <v/>
          </cell>
          <cell r="P111" t="str">
            <v/>
          </cell>
          <cell r="Q111" t="str">
            <v/>
          </cell>
          <cell r="R111" t="str">
            <v/>
          </cell>
          <cell r="S111" t="str">
            <v/>
          </cell>
          <cell r="T111" t="str">
            <v/>
          </cell>
        </row>
        <row r="112">
          <cell r="A112" t="str">
            <v/>
          </cell>
          <cell r="F112" t="str">
            <v/>
          </cell>
          <cell r="G112" t="str">
            <v/>
          </cell>
          <cell r="H112" t="str">
            <v/>
          </cell>
          <cell r="I112" t="str">
            <v/>
          </cell>
          <cell r="J112" t="str">
            <v/>
          </cell>
          <cell r="K112" t="str">
            <v/>
          </cell>
          <cell r="L112" t="str">
            <v/>
          </cell>
          <cell r="M112" t="str">
            <v/>
          </cell>
          <cell r="N112" t="str">
            <v/>
          </cell>
          <cell r="O112" t="str">
            <v/>
          </cell>
          <cell r="P112" t="str">
            <v/>
          </cell>
          <cell r="Q112" t="str">
            <v/>
          </cell>
          <cell r="R112" t="str">
            <v/>
          </cell>
          <cell r="S112" t="str">
            <v/>
          </cell>
          <cell r="T112" t="str">
            <v/>
          </cell>
        </row>
        <row r="113">
          <cell r="A113" t="str">
            <v/>
          </cell>
          <cell r="F113" t="str">
            <v/>
          </cell>
          <cell r="G113" t="str">
            <v/>
          </cell>
          <cell r="H113" t="str">
            <v/>
          </cell>
          <cell r="I113" t="str">
            <v/>
          </cell>
          <cell r="J113" t="str">
            <v/>
          </cell>
          <cell r="K113" t="str">
            <v/>
          </cell>
          <cell r="L113" t="str">
            <v/>
          </cell>
          <cell r="M113" t="str">
            <v/>
          </cell>
          <cell r="N113" t="str">
            <v/>
          </cell>
          <cell r="O113" t="str">
            <v/>
          </cell>
          <cell r="P113" t="str">
            <v/>
          </cell>
          <cell r="Q113" t="str">
            <v/>
          </cell>
          <cell r="R113" t="str">
            <v/>
          </cell>
          <cell r="S113" t="str">
            <v/>
          </cell>
          <cell r="T113" t="str">
            <v/>
          </cell>
        </row>
        <row r="114">
          <cell r="A114" t="str">
            <v/>
          </cell>
          <cell r="F114" t="str">
            <v/>
          </cell>
          <cell r="G114" t="str">
            <v/>
          </cell>
          <cell r="H114" t="str">
            <v/>
          </cell>
          <cell r="I114" t="str">
            <v/>
          </cell>
          <cell r="J114" t="str">
            <v/>
          </cell>
          <cell r="K114" t="str">
            <v/>
          </cell>
          <cell r="L114" t="str">
            <v/>
          </cell>
          <cell r="M114" t="str">
            <v/>
          </cell>
          <cell r="N114" t="str">
            <v/>
          </cell>
          <cell r="O114" t="str">
            <v/>
          </cell>
          <cell r="P114" t="str">
            <v/>
          </cell>
          <cell r="Q114" t="str">
            <v/>
          </cell>
          <cell r="R114" t="str">
            <v/>
          </cell>
          <cell r="S114" t="str">
            <v/>
          </cell>
          <cell r="T114" t="str">
            <v/>
          </cell>
        </row>
        <row r="115">
          <cell r="A115" t="str">
            <v/>
          </cell>
          <cell r="F115" t="str">
            <v/>
          </cell>
          <cell r="G115" t="str">
            <v/>
          </cell>
          <cell r="H115" t="str">
            <v/>
          </cell>
          <cell r="I115" t="str">
            <v/>
          </cell>
          <cell r="J115" t="str">
            <v/>
          </cell>
          <cell r="K115" t="str">
            <v/>
          </cell>
          <cell r="L115" t="str">
            <v/>
          </cell>
          <cell r="M115" t="str">
            <v/>
          </cell>
          <cell r="N115" t="str">
            <v/>
          </cell>
          <cell r="O115" t="str">
            <v/>
          </cell>
          <cell r="P115" t="str">
            <v/>
          </cell>
          <cell r="Q115" t="str">
            <v/>
          </cell>
          <cell r="R115" t="str">
            <v/>
          </cell>
          <cell r="S115" t="str">
            <v/>
          </cell>
          <cell r="T115" t="str">
            <v/>
          </cell>
        </row>
        <row r="116">
          <cell r="A116" t="str">
            <v/>
          </cell>
          <cell r="F116" t="str">
            <v/>
          </cell>
          <cell r="G116" t="str">
            <v/>
          </cell>
          <cell r="H116" t="str">
            <v/>
          </cell>
          <cell r="I116" t="str">
            <v/>
          </cell>
          <cell r="J116" t="str">
            <v/>
          </cell>
          <cell r="K116" t="str">
            <v/>
          </cell>
          <cell r="L116" t="str">
            <v/>
          </cell>
          <cell r="M116" t="str">
            <v/>
          </cell>
          <cell r="N116" t="str">
            <v/>
          </cell>
          <cell r="O116" t="str">
            <v/>
          </cell>
          <cell r="P116" t="str">
            <v/>
          </cell>
          <cell r="Q116" t="str">
            <v/>
          </cell>
          <cell r="R116" t="str">
            <v/>
          </cell>
          <cell r="S116" t="str">
            <v/>
          </cell>
          <cell r="T116" t="str">
            <v/>
          </cell>
        </row>
        <row r="117">
          <cell r="A117" t="str">
            <v/>
          </cell>
          <cell r="F117" t="str">
            <v/>
          </cell>
          <cell r="G117" t="str">
            <v/>
          </cell>
          <cell r="H117" t="str">
            <v/>
          </cell>
          <cell r="I117" t="str">
            <v/>
          </cell>
          <cell r="J117" t="str">
            <v/>
          </cell>
          <cell r="K117" t="str">
            <v/>
          </cell>
          <cell r="L117" t="str">
            <v/>
          </cell>
          <cell r="M117" t="str">
            <v/>
          </cell>
          <cell r="N117" t="str">
            <v/>
          </cell>
          <cell r="O117" t="str">
            <v/>
          </cell>
          <cell r="P117" t="str">
            <v/>
          </cell>
          <cell r="Q117" t="str">
            <v/>
          </cell>
          <cell r="R117" t="str">
            <v/>
          </cell>
          <cell r="S117" t="str">
            <v/>
          </cell>
          <cell r="T117" t="str">
            <v/>
          </cell>
        </row>
        <row r="118">
          <cell r="A118" t="str">
            <v/>
          </cell>
          <cell r="F118" t="str">
            <v/>
          </cell>
          <cell r="G118" t="str">
            <v/>
          </cell>
          <cell r="H118" t="str">
            <v/>
          </cell>
          <cell r="I118" t="str">
            <v/>
          </cell>
          <cell r="J118" t="str">
            <v/>
          </cell>
          <cell r="K118" t="str">
            <v/>
          </cell>
          <cell r="L118" t="str">
            <v/>
          </cell>
          <cell r="M118" t="str">
            <v/>
          </cell>
          <cell r="N118" t="str">
            <v/>
          </cell>
          <cell r="O118" t="str">
            <v/>
          </cell>
          <cell r="P118" t="str">
            <v/>
          </cell>
          <cell r="Q118" t="str">
            <v/>
          </cell>
          <cell r="R118" t="str">
            <v/>
          </cell>
          <cell r="S118" t="str">
            <v/>
          </cell>
          <cell r="T118" t="str">
            <v/>
          </cell>
        </row>
        <row r="119">
          <cell r="A119" t="str">
            <v/>
          </cell>
          <cell r="F119" t="str">
            <v/>
          </cell>
          <cell r="G119" t="str">
            <v/>
          </cell>
          <cell r="H119" t="str">
            <v/>
          </cell>
          <cell r="I119" t="str">
            <v/>
          </cell>
          <cell r="J119" t="str">
            <v/>
          </cell>
          <cell r="K119" t="str">
            <v/>
          </cell>
          <cell r="L119" t="str">
            <v/>
          </cell>
          <cell r="M119" t="str">
            <v/>
          </cell>
          <cell r="N119" t="str">
            <v/>
          </cell>
          <cell r="O119" t="str">
            <v/>
          </cell>
          <cell r="P119" t="str">
            <v/>
          </cell>
          <cell r="Q119" t="str">
            <v/>
          </cell>
          <cell r="R119" t="str">
            <v/>
          </cell>
          <cell r="S119" t="str">
            <v/>
          </cell>
          <cell r="T119" t="str">
            <v/>
          </cell>
        </row>
        <row r="120">
          <cell r="A120" t="str">
            <v/>
          </cell>
          <cell r="F120" t="str">
            <v/>
          </cell>
          <cell r="G120" t="str">
            <v/>
          </cell>
          <cell r="H120" t="str">
            <v/>
          </cell>
          <cell r="I120" t="str">
            <v/>
          </cell>
          <cell r="J120" t="str">
            <v/>
          </cell>
          <cell r="K120" t="str">
            <v/>
          </cell>
          <cell r="L120" t="str">
            <v/>
          </cell>
          <cell r="M120" t="str">
            <v/>
          </cell>
          <cell r="N120" t="str">
            <v/>
          </cell>
          <cell r="O120" t="str">
            <v/>
          </cell>
          <cell r="P120" t="str">
            <v/>
          </cell>
          <cell r="Q120" t="str">
            <v/>
          </cell>
          <cell r="R120" t="str">
            <v/>
          </cell>
          <cell r="S120" t="str">
            <v/>
          </cell>
          <cell r="T120" t="str">
            <v/>
          </cell>
        </row>
        <row r="121">
          <cell r="A121" t="str">
            <v/>
          </cell>
          <cell r="F121" t="str">
            <v/>
          </cell>
          <cell r="G121" t="str">
            <v/>
          </cell>
          <cell r="H121" t="str">
            <v/>
          </cell>
          <cell r="I121" t="str">
            <v/>
          </cell>
          <cell r="J121" t="str">
            <v/>
          </cell>
          <cell r="K121" t="str">
            <v/>
          </cell>
          <cell r="L121" t="str">
            <v/>
          </cell>
          <cell r="M121" t="str">
            <v/>
          </cell>
          <cell r="N121" t="str">
            <v/>
          </cell>
          <cell r="O121" t="str">
            <v/>
          </cell>
          <cell r="P121" t="str">
            <v/>
          </cell>
          <cell r="Q121" t="str">
            <v/>
          </cell>
          <cell r="R121" t="str">
            <v/>
          </cell>
          <cell r="S121" t="str">
            <v/>
          </cell>
          <cell r="T121" t="str">
            <v/>
          </cell>
        </row>
        <row r="122">
          <cell r="A122" t="str">
            <v/>
          </cell>
          <cell r="F122" t="str">
            <v/>
          </cell>
          <cell r="G122" t="str">
            <v/>
          </cell>
          <cell r="H122" t="str">
            <v/>
          </cell>
          <cell r="I122" t="str">
            <v/>
          </cell>
          <cell r="J122" t="str">
            <v/>
          </cell>
          <cell r="K122" t="str">
            <v/>
          </cell>
          <cell r="L122" t="str">
            <v/>
          </cell>
          <cell r="M122" t="str">
            <v/>
          </cell>
          <cell r="N122" t="str">
            <v/>
          </cell>
          <cell r="O122" t="str">
            <v/>
          </cell>
          <cell r="P122" t="str">
            <v/>
          </cell>
          <cell r="Q122" t="str">
            <v/>
          </cell>
          <cell r="R122" t="str">
            <v/>
          </cell>
          <cell r="S122" t="str">
            <v/>
          </cell>
          <cell r="T122" t="str">
            <v/>
          </cell>
        </row>
        <row r="123">
          <cell r="A123" t="str">
            <v/>
          </cell>
          <cell r="F123" t="str">
            <v/>
          </cell>
          <cell r="G123" t="str">
            <v/>
          </cell>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row>
        <row r="124">
          <cell r="A124" t="str">
            <v/>
          </cell>
          <cell r="F124" t="str">
            <v/>
          </cell>
          <cell r="G124" t="str">
            <v/>
          </cell>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L"/>
      <sheetName val="3ªCAT.F.C."/>
      <sheetName val="Replan"/>
      <sheetName val="Resumo"/>
      <sheetName val="Plan1"/>
      <sheetName val="PLANILH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L"/>
      <sheetName val="MATERIAIS"/>
      <sheetName val="TABELA"/>
      <sheetName val="SERVIÇOS"/>
      <sheetName val="ESPELHO  "/>
      <sheetName val="Módulo1"/>
      <sheetName val="PLANILHA DE QUANT. E CUSTOS A"/>
      <sheetName val="Replan"/>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ços Água"/>
      <sheetName val="QCI - 10-01-06"/>
      <sheetName val="Serviços Esgoto"/>
      <sheetName val="Remanejamento de Famílas"/>
      <sheetName val="Sistema Viário e Drenagem"/>
      <sheetName val="UHB"/>
      <sheetName val="Reflorestamento"/>
      <sheetName val="CEI"/>
      <sheetName val="BAIXO GUANDU ITAIMBE"/>
      <sheetName val="MEMORIAL"/>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FINANCEIRO"/>
      <sheetName val="1.1.1.1"/>
      <sheetName val="1.1.2.1"/>
      <sheetName val="1.1.2.2"/>
      <sheetName val="1.1.2.3"/>
      <sheetName val="1.1.2.4"/>
      <sheetName val="1.1.2.5"/>
      <sheetName val="1.1.2.6"/>
      <sheetName val="1.1.2.7"/>
      <sheetName val="1.1.2.8"/>
      <sheetName val="1.1.2.9"/>
      <sheetName val="1.2.1.1"/>
      <sheetName val="2.3.2.1"/>
      <sheetName val="2.4.3.1"/>
      <sheetName val="3.1.2.1"/>
      <sheetName val="3.1.2.2"/>
      <sheetName val="3.1.1.1"/>
      <sheetName val="3.2.1.1"/>
      <sheetName val="3.2.1.2"/>
      <sheetName val="3.3.2.1"/>
      <sheetName val="3.4.3.1"/>
      <sheetName val="3.4.1.1"/>
      <sheetName val="3.4.1.2"/>
      <sheetName val="3.4.1.3"/>
      <sheetName val="3.4.1.4"/>
      <sheetName val="3.4.1.5"/>
      <sheetName val="3.4.1.6"/>
      <sheetName val="4.3.2.1"/>
      <sheetName val="3.4.1.8"/>
      <sheetName val="3.5.1.1"/>
      <sheetName val="4.4.3.1"/>
      <sheetName val="5.4.1.1"/>
      <sheetName val="5.1.1.1"/>
      <sheetName val="5.4.1.2"/>
      <sheetName val="5.4.1.3"/>
      <sheetName val="5.4.1.4"/>
      <sheetName val="5.4.1.5"/>
      <sheetName val="5.3.2.1"/>
      <sheetName val="5.4.3.1"/>
      <sheetName val="5.5.1.1"/>
    </sheetNames>
    <sheetDataSet>
      <sheetData sheetId="0"/>
      <sheetData sheetId="1">
        <row r="18">
          <cell r="F18">
            <v>20807.46</v>
          </cell>
        </row>
      </sheetData>
      <sheetData sheetId="2">
        <row r="1">
          <cell r="B1" t="str">
            <v xml:space="preserve">GOVERNO DO ESTADO DO ESPÍRITO SANTO
Secretaria do Estado de Mobilidade e Infraestrutura- SEMOBI
</v>
          </cell>
        </row>
      </sheetData>
      <sheetData sheetId="3">
        <row r="1">
          <cell r="B1" t="str">
            <v xml:space="preserve">GOVERNO DO ESTADO DO ESPÍRITO SANTO
Secretaria do Estado de Mobilidade e Infraestrutura- SEMOBI
</v>
          </cell>
        </row>
      </sheetData>
      <sheetData sheetId="4">
        <row r="1">
          <cell r="B1" t="str">
            <v xml:space="preserve">GOVERNO DO ESTADO DO ESPÍRITO SANTO
Secretaria do Estado de Mobilidade e Infraestrutura- SEMOBI
</v>
          </cell>
        </row>
      </sheetData>
      <sheetData sheetId="5">
        <row r="1">
          <cell r="B1" t="str">
            <v xml:space="preserve">GOVERNO DO ESTADO DO ESPÍRITO SANTO
Secretaria do Estado de Mobilidade e Infraestrutura- SEMOBI
</v>
          </cell>
        </row>
      </sheetData>
      <sheetData sheetId="6">
        <row r="1">
          <cell r="B1" t="str">
            <v xml:space="preserve">GOVERNO DO ESTADO DO ESPÍRITO SANTO
Secretaria do Estado de Mobilidade e Infraestrutura- SEMOBI
</v>
          </cell>
        </row>
      </sheetData>
      <sheetData sheetId="7">
        <row r="1">
          <cell r="B1" t="str">
            <v xml:space="preserve">GOVERNO DO ESTADO DO ESPÍRITO SANTO
Secretaria do Estado de Mobilidade e Infraestrutura- SEMOBI
</v>
          </cell>
        </row>
      </sheetData>
      <sheetData sheetId="8">
        <row r="1">
          <cell r="B1" t="str">
            <v xml:space="preserve">GOVERNO DO ESTADO DO ESPÍRITO SANTO
Secretaria do Estado de Mobilidade e Infraestrutura- SEMOBI
</v>
          </cell>
        </row>
      </sheetData>
      <sheetData sheetId="9">
        <row r="1">
          <cell r="B1" t="str">
            <v xml:space="preserve">GOVERNO DO ESTADO DO ESPÍRITO SANTO
Secretaria do Estado de Mobilidade e Infraestrutura- SEMOBI
</v>
          </cell>
        </row>
      </sheetData>
      <sheetData sheetId="10">
        <row r="1">
          <cell r="B1" t="str">
            <v xml:space="preserve">GOVERNO DO ESTADO DO ESPÍRITO SANTO
Secretaria do Estado de Mobilidade e Infraestrutura- SEMOBI
</v>
          </cell>
        </row>
      </sheetData>
      <sheetData sheetId="11">
        <row r="1">
          <cell r="B1" t="str">
            <v xml:space="preserve">GOVERNO DO ESTADO DO ESPÍRITO SANTO
Secretaria do Estado de Mobilidade e Infraestrutura- SEMOBI
</v>
          </cell>
        </row>
      </sheetData>
      <sheetData sheetId="12">
        <row r="1">
          <cell r="B1" t="str">
            <v xml:space="preserve">GOVERNO DO ESTADO DO ESPÍRITO SANTO
Secretaria do Estado de Mobilidade e Infraestrutura- SEMOBI
</v>
          </cell>
        </row>
      </sheetData>
      <sheetData sheetId="13">
        <row r="1">
          <cell r="B1" t="str">
            <v xml:space="preserve">GOVERNO DO ESTADO DO ESPÍRITO SANTO
Secretaria do Estado de Mobilidade e Infraestrutura- SEMOBI
</v>
          </cell>
        </row>
      </sheetData>
      <sheetData sheetId="14">
        <row r="1">
          <cell r="B1" t="str">
            <v xml:space="preserve">GOVERNO DO ESTADO DO ESPÍRITO SANTO
Secretaria do Estado de Mobilidade e Infraestrutura- SEMOBI
</v>
          </cell>
        </row>
      </sheetData>
      <sheetData sheetId="15">
        <row r="1">
          <cell r="B1" t="str">
            <v xml:space="preserve">GOVERNO DO ESTADO DO ESPÍRITO SANTO
Secretaria do Estado de Mobilidade e Infraestrutura- SEMOBI
</v>
          </cell>
        </row>
      </sheetData>
      <sheetData sheetId="16">
        <row r="1">
          <cell r="B1" t="str">
            <v xml:space="preserve">GOVERNO DO ESTADO DO ESPÍRITO SANTO
Secretaria do Estado de Mobilidade e Infraestrutura- SEMOBI
</v>
          </cell>
        </row>
      </sheetData>
      <sheetData sheetId="17">
        <row r="1">
          <cell r="B1" t="str">
            <v xml:space="preserve">GOVERNO DO ESTADO DO ESPÍRITO SANTO
Secretaria do Estado de Mobilidade e Infraestrutura- SEMOBI
</v>
          </cell>
        </row>
      </sheetData>
      <sheetData sheetId="18">
        <row r="1">
          <cell r="B1" t="str">
            <v xml:space="preserve">GOVERNO DO ESTADO DO ESPÍRITO SANTO
Secretaria do Estado de Mobilidade e Infraestrutura- SEMOBI
</v>
          </cell>
        </row>
      </sheetData>
      <sheetData sheetId="19">
        <row r="1">
          <cell r="B1" t="str">
            <v xml:space="preserve">GOVERNO DO ESTADO DO ESPÍRITO SANTO
Secretaria do Estado de Mobilidade e Infraestrutura- SEMOBI
</v>
          </cell>
        </row>
      </sheetData>
      <sheetData sheetId="20">
        <row r="1">
          <cell r="B1" t="str">
            <v xml:space="preserve">GOVERNO DO ESTADO DO ESPÍRITO SANTO
Secretaria do Estado de Mobilidade e Infraestrutura- SEMOBI
</v>
          </cell>
        </row>
      </sheetData>
      <sheetData sheetId="21">
        <row r="1">
          <cell r="B1" t="str">
            <v xml:space="preserve">GOVERNO DO ESTADO DO ESPÍRITO SANTO
Secretaria do Estado de Mobilidade e Infraestrutura- SEMOBI
</v>
          </cell>
        </row>
      </sheetData>
      <sheetData sheetId="22">
        <row r="1">
          <cell r="B1" t="str">
            <v xml:space="preserve">GOVERNO DO ESTADO DO ESPÍRITO SANTO
Secretaria do Estado de Mobilidade e Infraestrutura- SEMOBI
</v>
          </cell>
        </row>
      </sheetData>
      <sheetData sheetId="23">
        <row r="1">
          <cell r="B1" t="str">
            <v xml:space="preserve">GOVERNO DO ESTADO DO ESPÍRITO SANTO
Secretaria do Estado de Mobilidade e Infraestrutura- SEMOBI
</v>
          </cell>
        </row>
      </sheetData>
      <sheetData sheetId="24">
        <row r="1">
          <cell r="B1" t="str">
            <v xml:space="preserve">GOVERNO DO ESTADO DO ESPÍRITO SANTO
Secretaria do Estado de Mobilidade e Infraestrutura- SEMOBI
</v>
          </cell>
        </row>
      </sheetData>
      <sheetData sheetId="25">
        <row r="1">
          <cell r="B1" t="str">
            <v xml:space="preserve">GOVERNO DO ESTADO DO ESPÍRITO SANTO
Secretaria do Estado de Mobilidade e Infraestrutura- SEMOBI
</v>
          </cell>
        </row>
      </sheetData>
      <sheetData sheetId="26">
        <row r="1">
          <cell r="B1" t="str">
            <v xml:space="preserve">GOVERNO DO ESTADO DO ESPÍRITO SANTO
Secretaria do Estado de Mobilidade e Infraestrutura- SEMOBI
</v>
          </cell>
        </row>
      </sheetData>
      <sheetData sheetId="27">
        <row r="1">
          <cell r="B1" t="str">
            <v xml:space="preserve">GOVERNO DO ESTADO DO ESPÍRITO SANTO
Secretaria do Estado de Mobilidade e Infraestrutura- SEMOBI
</v>
          </cell>
        </row>
      </sheetData>
      <sheetData sheetId="28">
        <row r="1">
          <cell r="B1" t="str">
            <v xml:space="preserve">GOVERNO DO ESTADO DO ESPÍRITO SANTO
Secretaria do Estado de Mobilidade e Infraestrutura- SEMOBI
</v>
          </cell>
        </row>
      </sheetData>
      <sheetData sheetId="29">
        <row r="1">
          <cell r="B1" t="str">
            <v xml:space="preserve">GOVERNO DO ESTADO DO ESPÍRITO SANTO
Secretaria do Estado de Mobilidade e Infraestrutura- SEMOBI
</v>
          </cell>
        </row>
      </sheetData>
      <sheetData sheetId="30">
        <row r="1">
          <cell r="B1" t="str">
            <v xml:space="preserve">GOVERNO DO ESTADO DO ESPÍRITO SANTO
Secretaria do Estado de Mobilidade e Infraestrutura- SEMOBI
</v>
          </cell>
        </row>
      </sheetData>
      <sheetData sheetId="31">
        <row r="1">
          <cell r="B1" t="str">
            <v xml:space="preserve">GOVERNO DO ESTADO DO ESPÍRITO SANTO
Secretaria do Estado de Mobilidade e Infraestrutura- SEMOBI
</v>
          </cell>
        </row>
      </sheetData>
      <sheetData sheetId="32">
        <row r="1">
          <cell r="B1" t="str">
            <v xml:space="preserve">GOVERNO DO ESTADO DO ESPÍRITO SANTO
Secretaria do Estado de Mobilidade e Infraestrutura- SEMOBI
</v>
          </cell>
        </row>
      </sheetData>
      <sheetData sheetId="33">
        <row r="1">
          <cell r="B1" t="str">
            <v xml:space="preserve">GOVERNO DO ESTADO DO ESPÍRITO SANTO
Secretaria do Estado de Mobilidade e Infraestrutura- SEMOBI
</v>
          </cell>
        </row>
      </sheetData>
      <sheetData sheetId="34">
        <row r="1">
          <cell r="B1" t="str">
            <v xml:space="preserve">GOVERNO DO ESTADO DO ESPÍRITO SANTO
Secretaria do Estado de Mobilidade e Infraestrutura- SEMOBI
</v>
          </cell>
        </row>
      </sheetData>
      <sheetData sheetId="35">
        <row r="1">
          <cell r="B1" t="str">
            <v xml:space="preserve">GOVERNO DO ESTADO DO ESPÍRITO SANTO
Secretaria do Estado de Mobilidade e Infraestrutura- SEMOBI
</v>
          </cell>
        </row>
      </sheetData>
      <sheetData sheetId="36">
        <row r="1">
          <cell r="B1" t="str">
            <v xml:space="preserve">GOVERNO DO ESTADO DO ESPÍRITO SANTO
Secretaria do Estado de Mobilidade e Infraestrutura- SEMOBI
</v>
          </cell>
        </row>
      </sheetData>
      <sheetData sheetId="37">
        <row r="1">
          <cell r="B1" t="str">
            <v xml:space="preserve">GOVERNO DO ESTADO DO ESPÍRITO SANTO
Secretaria do Estado de Mobilidade e Infraestrutura- SEMOBI
</v>
          </cell>
        </row>
      </sheetData>
      <sheetData sheetId="38">
        <row r="1">
          <cell r="B1" t="str">
            <v xml:space="preserve">GOVERNO DO ESTADO DO ESPÍRITO SANTO
Secretaria do Estado de Mobilidade e Infraestrutura- SEMOBI
</v>
          </cell>
        </row>
      </sheetData>
      <sheetData sheetId="39">
        <row r="1">
          <cell r="B1" t="str">
            <v xml:space="preserve">GOVERNO DO ESTADO DO ESPÍRITO SANTO
Secretaria do Estado de Mobilidade e Infraestrutura- SEMOBI
</v>
          </cell>
        </row>
      </sheetData>
      <sheetData sheetId="40">
        <row r="1">
          <cell r="B1" t="str">
            <v xml:space="preserve">GOVERNO DO ESTADO DO ESPÍRITO SANTO
Secretaria do Estado de Mobilidade e Infraestrutura- SEMOBI
</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EIRO"/>
      <sheetName val="REPLANILHAMENTO"/>
      <sheetName val="MC "/>
      <sheetName val="MC  (2)"/>
      <sheetName val="COMP37-1"/>
      <sheetName val="COMPOSIÇÃO ROLETES E PRANCHÕES"/>
      <sheetName val="COMPOSIÇÃO CAMISAS 400 MM"/>
      <sheetName val="RESUMO"/>
      <sheetName val="COMP FORMA"/>
      <sheetName val="COMP6"/>
      <sheetName val="COMP12-1"/>
      <sheetName val="COMP16-1 "/>
      <sheetName val="041503"/>
      <sheetName val="041499"/>
      <sheetName val="COMP36-1"/>
      <sheetName val="COMP38-1"/>
      <sheetName val="COMP39"/>
      <sheetName val="COMP4-1"/>
      <sheetName val="COMP42-1"/>
    </sheetNames>
    <sheetDataSet>
      <sheetData sheetId="0">
        <row r="19">
          <cell r="F19">
            <v>6489.59</v>
          </cell>
        </row>
        <row r="22">
          <cell r="F22">
            <v>138.65</v>
          </cell>
        </row>
        <row r="23">
          <cell r="F23">
            <v>783.92</v>
          </cell>
        </row>
        <row r="24">
          <cell r="F24">
            <v>823.11</v>
          </cell>
        </row>
        <row r="25">
          <cell r="F25">
            <v>479.75</v>
          </cell>
        </row>
        <row r="26">
          <cell r="F26">
            <v>841.92</v>
          </cell>
        </row>
        <row r="27">
          <cell r="F27">
            <v>489.95</v>
          </cell>
        </row>
        <row r="28">
          <cell r="F28">
            <v>1028.8900000000001</v>
          </cell>
        </row>
        <row r="29">
          <cell r="F29">
            <v>160.19999999999999</v>
          </cell>
        </row>
        <row r="30">
          <cell r="F30">
            <v>216.68</v>
          </cell>
        </row>
        <row r="42">
          <cell r="F42">
            <v>18130.12</v>
          </cell>
        </row>
        <row r="46">
          <cell r="F46">
            <v>222.96</v>
          </cell>
        </row>
        <row r="49">
          <cell r="F49">
            <v>3.74</v>
          </cell>
        </row>
        <row r="50">
          <cell r="F50">
            <v>56.45</v>
          </cell>
        </row>
        <row r="54">
          <cell r="F54">
            <v>9.81</v>
          </cell>
        </row>
        <row r="55">
          <cell r="F55">
            <v>25.99</v>
          </cell>
        </row>
        <row r="56">
          <cell r="F56">
            <v>111.49</v>
          </cell>
        </row>
        <row r="57">
          <cell r="F57">
            <v>56.45</v>
          </cell>
        </row>
        <row r="60">
          <cell r="F60">
            <v>7.69</v>
          </cell>
        </row>
        <row r="63">
          <cell r="F63">
            <v>462.96</v>
          </cell>
        </row>
        <row r="64">
          <cell r="F64">
            <v>596.34</v>
          </cell>
          <cell r="G64">
            <v>35.71</v>
          </cell>
        </row>
        <row r="65">
          <cell r="F65">
            <v>4.82</v>
          </cell>
          <cell r="G65">
            <v>512</v>
          </cell>
        </row>
        <row r="66">
          <cell r="F66">
            <v>6.12</v>
          </cell>
          <cell r="G66">
            <v>4419.01</v>
          </cell>
        </row>
        <row r="67">
          <cell r="F67">
            <v>48.58</v>
          </cell>
        </row>
        <row r="68">
          <cell r="F68">
            <v>91.04</v>
          </cell>
        </row>
        <row r="69">
          <cell r="F69">
            <v>7.98</v>
          </cell>
        </row>
        <row r="70">
          <cell r="F70">
            <v>8.41</v>
          </cell>
        </row>
        <row r="71">
          <cell r="F71">
            <v>8.08</v>
          </cell>
        </row>
        <row r="72">
          <cell r="F72">
            <v>486.08</v>
          </cell>
        </row>
        <row r="73">
          <cell r="F73">
            <v>64.3</v>
          </cell>
        </row>
        <row r="76">
          <cell r="F76">
            <v>91.41</v>
          </cell>
        </row>
        <row r="79">
          <cell r="F79">
            <v>91.41</v>
          </cell>
          <cell r="G79">
            <v>29.33</v>
          </cell>
        </row>
        <row r="80">
          <cell r="F80">
            <v>125.94</v>
          </cell>
          <cell r="G80">
            <v>6.62</v>
          </cell>
        </row>
        <row r="81">
          <cell r="F81">
            <v>94.9</v>
          </cell>
          <cell r="G81">
            <v>2.7</v>
          </cell>
        </row>
        <row r="84">
          <cell r="F84">
            <v>91.04</v>
          </cell>
          <cell r="G84">
            <v>51</v>
          </cell>
        </row>
        <row r="85">
          <cell r="F85">
            <v>7.98</v>
          </cell>
          <cell r="G85">
            <v>160</v>
          </cell>
        </row>
        <row r="86">
          <cell r="F86">
            <v>8.41</v>
          </cell>
          <cell r="G86">
            <v>199</v>
          </cell>
        </row>
        <row r="87">
          <cell r="F87">
            <v>8.08</v>
          </cell>
          <cell r="G87">
            <v>50</v>
          </cell>
        </row>
        <row r="88">
          <cell r="F88">
            <v>486.08</v>
          </cell>
          <cell r="G88">
            <v>3.3</v>
          </cell>
        </row>
        <row r="91">
          <cell r="F91">
            <v>91.04</v>
          </cell>
          <cell r="G91">
            <v>100</v>
          </cell>
        </row>
        <row r="92">
          <cell r="F92">
            <v>7.98</v>
          </cell>
          <cell r="G92">
            <v>481</v>
          </cell>
        </row>
        <row r="93">
          <cell r="F93">
            <v>8.41</v>
          </cell>
          <cell r="G93">
            <v>287</v>
          </cell>
        </row>
        <row r="94">
          <cell r="F94">
            <v>8.08</v>
          </cell>
          <cell r="G94">
            <v>33</v>
          </cell>
        </row>
        <row r="95">
          <cell r="F95">
            <v>486.08</v>
          </cell>
          <cell r="G95">
            <v>10.199999999999999</v>
          </cell>
        </row>
        <row r="98">
          <cell r="F98">
            <v>91.04</v>
          </cell>
          <cell r="G98">
            <v>33</v>
          </cell>
        </row>
        <row r="99">
          <cell r="F99">
            <v>7.98</v>
          </cell>
          <cell r="G99">
            <v>344</v>
          </cell>
        </row>
        <row r="100">
          <cell r="F100">
            <v>486.08</v>
          </cell>
          <cell r="G100">
            <v>7.34</v>
          </cell>
        </row>
        <row r="101">
          <cell r="F101">
            <v>79.41</v>
          </cell>
          <cell r="G101">
            <v>184</v>
          </cell>
        </row>
        <row r="104">
          <cell r="F104">
            <v>89.99</v>
          </cell>
          <cell r="G104">
            <v>208.03</v>
          </cell>
        </row>
        <row r="105">
          <cell r="F105">
            <v>124.46</v>
          </cell>
          <cell r="G105">
            <v>209.41</v>
          </cell>
        </row>
        <row r="106">
          <cell r="F106">
            <v>91.04</v>
          </cell>
          <cell r="G106">
            <v>23.5</v>
          </cell>
        </row>
        <row r="107">
          <cell r="F107">
            <v>7.98</v>
          </cell>
          <cell r="G107">
            <v>112</v>
          </cell>
        </row>
        <row r="108">
          <cell r="F108">
            <v>486.08</v>
          </cell>
          <cell r="G108">
            <v>1.2</v>
          </cell>
        </row>
        <row r="109">
          <cell r="F109">
            <v>62.2</v>
          </cell>
          <cell r="G109">
            <v>59.43</v>
          </cell>
        </row>
        <row r="112">
          <cell r="F112">
            <v>72.83</v>
          </cell>
          <cell r="G112">
            <v>39.799999999999997</v>
          </cell>
        </row>
        <row r="113">
          <cell r="F113">
            <v>31.38</v>
          </cell>
          <cell r="G113">
            <v>62.2</v>
          </cell>
        </row>
        <row r="114">
          <cell r="F114">
            <v>61.57</v>
          </cell>
          <cell r="G114">
            <v>10</v>
          </cell>
        </row>
        <row r="115">
          <cell r="F115">
            <v>80.5</v>
          </cell>
          <cell r="G115">
            <v>11</v>
          </cell>
        </row>
        <row r="118">
          <cell r="F118">
            <v>280.31</v>
          </cell>
          <cell r="G118">
            <v>118.46</v>
          </cell>
        </row>
        <row r="119">
          <cell r="F119">
            <v>645.84</v>
          </cell>
          <cell r="G119">
            <v>11.14</v>
          </cell>
        </row>
        <row r="120">
          <cell r="F120">
            <v>651.87</v>
          </cell>
          <cell r="G120">
            <v>11.25</v>
          </cell>
        </row>
        <row r="121">
          <cell r="F121">
            <v>91.5</v>
          </cell>
          <cell r="G121">
            <v>17.55</v>
          </cell>
        </row>
        <row r="122">
          <cell r="F122">
            <v>366.23</v>
          </cell>
          <cell r="G122">
            <v>4.1500000000000004</v>
          </cell>
        </row>
        <row r="123">
          <cell r="F123">
            <v>88.68</v>
          </cell>
          <cell r="G123">
            <v>6.97</v>
          </cell>
        </row>
        <row r="124">
          <cell r="F124">
            <v>5.64</v>
          </cell>
          <cell r="G124">
            <v>540.16999999999996</v>
          </cell>
        </row>
        <row r="125">
          <cell r="F125">
            <v>49.24</v>
          </cell>
          <cell r="G125">
            <v>540.16999999999996</v>
          </cell>
        </row>
        <row r="126">
          <cell r="F126">
            <v>18.27</v>
          </cell>
          <cell r="G126">
            <v>540.16999999999996</v>
          </cell>
        </row>
        <row r="127">
          <cell r="F127">
            <v>106.19</v>
          </cell>
          <cell r="G127">
            <v>157.13</v>
          </cell>
        </row>
        <row r="128">
          <cell r="F128">
            <v>333.45</v>
          </cell>
          <cell r="G128">
            <v>22</v>
          </cell>
        </row>
        <row r="132">
          <cell r="F132">
            <v>86.33</v>
          </cell>
          <cell r="G132">
            <v>341</v>
          </cell>
        </row>
        <row r="133">
          <cell r="F133">
            <v>7.33</v>
          </cell>
          <cell r="G133">
            <v>3966.02</v>
          </cell>
        </row>
        <row r="134">
          <cell r="F134">
            <v>7.98</v>
          </cell>
          <cell r="G134">
            <v>1880</v>
          </cell>
        </row>
        <row r="135">
          <cell r="F135">
            <v>11.02</v>
          </cell>
          <cell r="G135">
            <v>73</v>
          </cell>
        </row>
        <row r="136">
          <cell r="F136">
            <v>777.83</v>
          </cell>
          <cell r="G136">
            <v>28.05</v>
          </cell>
        </row>
        <row r="137">
          <cell r="F137">
            <v>641.15</v>
          </cell>
          <cell r="G137">
            <v>113.84</v>
          </cell>
        </row>
        <row r="138">
          <cell r="F138">
            <v>14345.61</v>
          </cell>
          <cell r="G138">
            <v>4</v>
          </cell>
        </row>
        <row r="139">
          <cell r="F139">
            <v>5478.19</v>
          </cell>
          <cell r="G139">
            <v>2</v>
          </cell>
        </row>
        <row r="140">
          <cell r="F140">
            <v>3001.6</v>
          </cell>
          <cell r="G140">
            <v>0.03</v>
          </cell>
        </row>
        <row r="141">
          <cell r="F141">
            <v>2011.04</v>
          </cell>
          <cell r="G141">
            <v>15</v>
          </cell>
        </row>
        <row r="142">
          <cell r="F142">
            <v>28185.33</v>
          </cell>
        </row>
        <row r="143">
          <cell r="F143">
            <v>340.73</v>
          </cell>
        </row>
        <row r="146">
          <cell r="F146">
            <v>1246.9100000000001</v>
          </cell>
        </row>
        <row r="149">
          <cell r="F149">
            <v>18178.13</v>
          </cell>
        </row>
        <row r="150">
          <cell r="F150">
            <v>1268.83</v>
          </cell>
          <cell r="G150">
            <v>86.8</v>
          </cell>
        </row>
      </sheetData>
      <sheetData sheetId="1"/>
      <sheetData sheetId="2"/>
      <sheetData sheetId="3"/>
      <sheetData sheetId="4"/>
      <sheetData sheetId="5"/>
      <sheetData sheetId="6">
        <row r="41">
          <cell r="J41">
            <v>689.21</v>
          </cell>
        </row>
      </sheetData>
      <sheetData sheetId="7"/>
      <sheetData sheetId="8"/>
      <sheetData sheetId="9"/>
      <sheetData sheetId="10"/>
      <sheetData sheetId="11"/>
      <sheetData sheetId="12">
        <row r="43">
          <cell r="J43">
            <v>450.33</v>
          </cell>
        </row>
      </sheetData>
      <sheetData sheetId="13">
        <row r="43">
          <cell r="J43">
            <v>315.81</v>
          </cell>
        </row>
      </sheetData>
      <sheetData sheetId="14"/>
      <sheetData sheetId="15"/>
      <sheetData sheetId="16"/>
      <sheetData sheetId="17"/>
      <sheetData sheetId="1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DIÇÃO ACUMULATIVA ADITIVO"/>
      <sheetName val="REPLANILHAMENTO"/>
      <sheetName val="CONCRETO VV"/>
      <sheetName val="RESUMO ADITIVO VALOR"/>
      <sheetName val="CANTEIROS"/>
      <sheetName val="COMPOSIÇÕES ADITIVO"/>
      <sheetName val="VALORES NOVOS DER-ROD"/>
      <sheetName val="VALORES NOVOS DER"/>
      <sheetName val="COMPOSIÇÕES ADITIVO (2)"/>
    </sheetNames>
    <sheetDataSet>
      <sheetData sheetId="0" refreshError="1"/>
      <sheetData sheetId="1" refreshError="1"/>
      <sheetData sheetId="2" refreshError="1"/>
      <sheetData sheetId="3" refreshError="1"/>
      <sheetData sheetId="4">
        <row r="11">
          <cell r="I11">
            <v>100</v>
          </cell>
        </row>
        <row r="13">
          <cell r="I13">
            <v>30</v>
          </cell>
        </row>
      </sheetData>
      <sheetData sheetId="5">
        <row r="183">
          <cell r="I183">
            <v>13295.45</v>
          </cell>
        </row>
        <row r="231">
          <cell r="I231">
            <v>742.5</v>
          </cell>
        </row>
        <row r="323">
          <cell r="I323">
            <v>6550.59</v>
          </cell>
        </row>
        <row r="363">
          <cell r="I363">
            <v>147.34</v>
          </cell>
        </row>
        <row r="448">
          <cell r="I448">
            <v>575.30999999999995</v>
          </cell>
        </row>
        <row r="635">
          <cell r="I635">
            <v>118.92</v>
          </cell>
        </row>
        <row r="640">
          <cell r="H640" t="str">
            <v>m3</v>
          </cell>
        </row>
        <row r="674">
          <cell r="I674">
            <v>51.84</v>
          </cell>
        </row>
      </sheetData>
      <sheetData sheetId="6" refreshError="1"/>
      <sheetData sheetId="7" refreshError="1"/>
      <sheetData sheetId="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1.1"/>
      <sheetName val="1.1.2.1"/>
      <sheetName val="FINANCEIRO"/>
      <sheetName val="1.1.2.2"/>
      <sheetName val="1.1.2.3"/>
      <sheetName val="1.1.2.4"/>
      <sheetName val="1.1.2.5"/>
      <sheetName val="1.1.2.6"/>
      <sheetName val="1.1.2.7"/>
      <sheetName val="1.1.2.8"/>
      <sheetName val="1.1.2.9"/>
      <sheetName val="1.2.1.1"/>
      <sheetName val="2.4.3.1"/>
      <sheetName val="1.1.3.1"/>
      <sheetName val="1.1.3.2"/>
      <sheetName val="1.1.3.3"/>
      <sheetName val="1.1.3.4"/>
      <sheetName val="1.1.3.5"/>
      <sheetName val="1.1.3.6"/>
      <sheetName val="3.1.2.1"/>
      <sheetName val="3.1.2.2"/>
      <sheetName val="3.1.1.1"/>
      <sheetName val="2.1.1.1"/>
      <sheetName val="3.4.1.1"/>
      <sheetName val="2.3.2.1"/>
      <sheetName val="2.4.1.1"/>
      <sheetName val="2.4.1.2 "/>
      <sheetName val="2.4.1.3 "/>
      <sheetName val="3.4.1.3"/>
      <sheetName val="2.4.1.4"/>
      <sheetName val="2.4.1.5"/>
      <sheetName val="2.4.3.1 "/>
      <sheetName val="3,3.6.5"/>
      <sheetName val="3.3.7."/>
      <sheetName val="5.4.3.1"/>
      <sheetName val="3.2.1.1"/>
      <sheetName val="3.2.1.2"/>
      <sheetName val="3.3.2.1"/>
      <sheetName val="3.4.3.1"/>
      <sheetName val="3.3.1.1"/>
      <sheetName val="3.3.2.5"/>
      <sheetName val="3.3.2.6"/>
      <sheetName val="3.3.2.7"/>
      <sheetName val="3.3.2.8"/>
      <sheetName val="3.3.2.10"/>
      <sheetName val="3.3.2.11"/>
      <sheetName val="3.3.5.1"/>
      <sheetName val="3.3.5.2"/>
      <sheetName val="3.3.5.3"/>
      <sheetName val="3.3.5.4"/>
      <sheetName val="3.3.5.5"/>
      <sheetName val="3.3.6.1"/>
      <sheetName val="3.3.6.2"/>
      <sheetName val="3.3.6.3"/>
      <sheetName val="3.3.6.4"/>
      <sheetName val="3.3.6.5"/>
      <sheetName val="3.3.7.1"/>
      <sheetName val="3.3.7.2"/>
      <sheetName val="3.3.7.3"/>
      <sheetName val="3.3.7.4"/>
      <sheetName val="3.4.1.5"/>
      <sheetName val="3.4.1.11"/>
      <sheetName val="3.4.1.12"/>
      <sheetName val="3.3.8.3"/>
      <sheetName val="3.3.8.5"/>
      <sheetName val="3.3.3.1"/>
      <sheetName val="3.3.8.2"/>
      <sheetName val="3.3.8.4"/>
      <sheetName val="3.3.8.6"/>
      <sheetName val="3.3.10.1"/>
      <sheetName val="3.3.10.6"/>
      <sheetName val="3.3.10.7"/>
      <sheetName val="3.3.10.8"/>
      <sheetName val="3.3.10.9"/>
      <sheetName val="4.4.1.1"/>
      <sheetName val="4.4.1.2"/>
      <sheetName val="4.4.1.3"/>
      <sheetName val="5.2.1.2"/>
      <sheetName val="5.2.1.3"/>
      <sheetName val="5.3.1.1"/>
      <sheetName val="4.4.1.5"/>
      <sheetName val="5.1.2.1 "/>
      <sheetName val="5.1.2.2"/>
      <sheetName val="5.1.2.3"/>
      <sheetName val="5.3.2.6"/>
      <sheetName val="5.3.2.10"/>
      <sheetName val="3.4.1.2"/>
      <sheetName val="3.4.1.4"/>
      <sheetName val="3.4.1.6"/>
      <sheetName val="4.3.2.1"/>
      <sheetName val="3.4.1.8"/>
      <sheetName val="3.5.1.1"/>
      <sheetName val="4.4.3.1"/>
      <sheetName val="5.4.1.1"/>
      <sheetName val="5.1.1.1"/>
      <sheetName val="5.4.1.2"/>
      <sheetName val="5.4.1.3"/>
      <sheetName val="5.4.1.4"/>
      <sheetName val="5.2.1.1"/>
      <sheetName val="5.3.2.7"/>
      <sheetName val="5.3.2.4"/>
      <sheetName val="5.3.2.8"/>
      <sheetName val="5.3.2.9"/>
      <sheetName val="5.4.1.5"/>
      <sheetName val="5.4.1.11"/>
      <sheetName val="5.4.1.12"/>
      <sheetName val="5.4.1.6"/>
      <sheetName val="5.3.2.1"/>
      <sheetName val="5.5.1.1"/>
    </sheetNames>
    <sheetDataSet>
      <sheetData sheetId="0">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1.1.1.1</v>
          </cell>
          <cell r="C10" t="str">
            <v>COMP1A - MOBILIZAÇÃO E DESMOBILIZAÇÃO DE EQUIPAMENTOS DE PEQUENO E GRANDE PORTE</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Mobilização de equipamentos</v>
          </cell>
          <cell r="L12">
            <v>1</v>
          </cell>
          <cell r="R12">
            <v>1</v>
          </cell>
          <cell r="S12" t="str">
            <v>und</v>
          </cell>
          <cell r="T12">
            <v>1</v>
          </cell>
        </row>
        <row r="28">
          <cell r="D28" t="str">
            <v>QUANTIDADE CONTRATUAL</v>
          </cell>
          <cell r="J28">
            <v>1</v>
          </cell>
          <cell r="L28" t="str">
            <v>un</v>
          </cell>
          <cell r="M28" t="str">
            <v xml:space="preserve">QUANTIDADE TOTAL ACUMULADA </v>
          </cell>
          <cell r="R28">
            <v>1</v>
          </cell>
          <cell r="S28" t="str">
            <v>un</v>
          </cell>
        </row>
        <row r="29">
          <cell r="D29" t="str">
            <v>AVANÇO</v>
          </cell>
          <cell r="J29">
            <v>1</v>
          </cell>
          <cell r="M29" t="str">
            <v>ACUMULADA ANTERIOR</v>
          </cell>
          <cell r="R29">
            <v>1</v>
          </cell>
          <cell r="S29" t="str">
            <v>un</v>
          </cell>
        </row>
        <row r="30">
          <cell r="A30" t="str">
            <v>1.1.1.1</v>
          </cell>
          <cell r="M30" t="str">
            <v>MEDIÇÃO LÍQUIDA</v>
          </cell>
          <cell r="R30">
            <v>0</v>
          </cell>
          <cell r="S30" t="str">
            <v>un</v>
          </cell>
        </row>
        <row r="31">
          <cell r="M31" t="str">
            <v>PREÇO UNITÁRIO</v>
          </cell>
          <cell r="R31">
            <v>20807.46</v>
          </cell>
        </row>
        <row r="32">
          <cell r="M32" t="str">
            <v>VALOR DA MEDIÇÃO</v>
          </cell>
          <cell r="R32">
            <v>0</v>
          </cell>
          <cell r="S32" t="str">
            <v>R$</v>
          </cell>
        </row>
      </sheetData>
      <sheetData sheetId="1">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1.1.2.1</v>
          </cell>
          <cell r="C10" t="str">
            <v>20350 - Tapume Telha Metálica Ondulada 0,50mm Branca h=2,20m, incl. montagem estr. mad. 8"x8", c/adesivo "IOPES" 60x60cm a cada 10m, incl. faixas pint. esmalte sint. cores azul c/ h=30cm e rosa c/ h=10cm (Reaproveitamento 2x)</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Tapume instalado no perímetro do canteiro central dentro da CASCUVV conforme croqui</v>
          </cell>
          <cell r="D12">
            <v>140.08000000000001</v>
          </cell>
          <cell r="R12">
            <v>140.08000000000001</v>
          </cell>
          <cell r="S12" t="str">
            <v>m</v>
          </cell>
          <cell r="T12">
            <v>1</v>
          </cell>
        </row>
        <row r="28">
          <cell r="D28" t="str">
            <v>QUANTIDADE CONTRATUAL</v>
          </cell>
          <cell r="J28">
            <v>140.08000000000001</v>
          </cell>
          <cell r="L28" t="str">
            <v>m</v>
          </cell>
          <cell r="M28" t="str">
            <v xml:space="preserve">QUANTIDADE TOTAL ACUMULADA </v>
          </cell>
          <cell r="R28">
            <v>140.08000000000001</v>
          </cell>
          <cell r="S28" t="str">
            <v>m</v>
          </cell>
        </row>
        <row r="29">
          <cell r="D29" t="str">
            <v>AVANÇO</v>
          </cell>
          <cell r="J29">
            <v>1</v>
          </cell>
          <cell r="M29" t="str">
            <v>ACUMULADA ANTERIOR</v>
          </cell>
          <cell r="R29">
            <v>140.08000000000001</v>
          </cell>
          <cell r="S29" t="str">
            <v>m</v>
          </cell>
        </row>
        <row r="30">
          <cell r="A30" t="str">
            <v>1.1.2.1</v>
          </cell>
          <cell r="M30" t="str">
            <v>MEDIÇÃO LÍQUIDA</v>
          </cell>
          <cell r="R30">
            <v>0</v>
          </cell>
          <cell r="S30" t="str">
            <v>m</v>
          </cell>
        </row>
        <row r="31">
          <cell r="M31" t="str">
            <v>PREÇO UNITÁRIO</v>
          </cell>
          <cell r="R31">
            <v>138.65</v>
          </cell>
        </row>
        <row r="32">
          <cell r="M32" t="str">
            <v>VALOR DA MEDIÇÃO</v>
          </cell>
          <cell r="R32">
            <v>0</v>
          </cell>
          <cell r="S32" t="str">
            <v>R$</v>
          </cell>
        </row>
      </sheetData>
      <sheetData sheetId="2" refreshError="1"/>
      <sheetData sheetId="3">
        <row r="29">
          <cell r="R29">
            <v>6</v>
          </cell>
        </row>
      </sheetData>
      <sheetData sheetId="4">
        <row r="29">
          <cell r="R29">
            <v>2</v>
          </cell>
        </row>
      </sheetData>
      <sheetData sheetId="5">
        <row r="29">
          <cell r="R29">
            <v>5</v>
          </cell>
        </row>
      </sheetData>
      <sheetData sheetId="6">
        <row r="29">
          <cell r="R29">
            <v>6</v>
          </cell>
        </row>
      </sheetData>
      <sheetData sheetId="7">
        <row r="29">
          <cell r="R29">
            <v>6</v>
          </cell>
        </row>
      </sheetData>
      <sheetData sheetId="8">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1.1.2.7</v>
          </cell>
          <cell r="C10" t="str">
            <v>20344 - Mobilização e desmobilização de conteiner locado para barracão de obra</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Canteiro central instalado na CASCUVV</v>
          </cell>
        </row>
        <row r="13">
          <cell r="C13" t="str">
            <v>Vestiário</v>
          </cell>
          <cell r="M13">
            <v>0.5</v>
          </cell>
          <cell r="R13">
            <v>0.5</v>
          </cell>
          <cell r="S13" t="str">
            <v>und</v>
          </cell>
          <cell r="T13">
            <v>1</v>
          </cell>
        </row>
        <row r="14">
          <cell r="C14" t="str">
            <v>Sanitário</v>
          </cell>
          <cell r="M14">
            <v>0.5</v>
          </cell>
          <cell r="R14">
            <v>0.5</v>
          </cell>
          <cell r="S14" t="str">
            <v>und</v>
          </cell>
          <cell r="T14">
            <v>1</v>
          </cell>
        </row>
        <row r="15">
          <cell r="C15" t="str">
            <v>Almoxarifado</v>
          </cell>
          <cell r="M15">
            <v>0.5</v>
          </cell>
          <cell r="R15">
            <v>0.5</v>
          </cell>
          <cell r="S15" t="str">
            <v>und</v>
          </cell>
          <cell r="T15">
            <v>1</v>
          </cell>
        </row>
        <row r="16">
          <cell r="C16" t="str">
            <v>Escritório</v>
          </cell>
          <cell r="M16">
            <v>0.5</v>
          </cell>
          <cell r="R16">
            <v>0.5</v>
          </cell>
          <cell r="S16" t="str">
            <v>und</v>
          </cell>
          <cell r="T16">
            <v>2</v>
          </cell>
        </row>
        <row r="17">
          <cell r="C17" t="str">
            <v>Refeitório</v>
          </cell>
          <cell r="M17">
            <v>0.5</v>
          </cell>
          <cell r="R17">
            <v>0.5</v>
          </cell>
          <cell r="S17" t="str">
            <v>und</v>
          </cell>
          <cell r="T17">
            <v>3</v>
          </cell>
        </row>
        <row r="26">
          <cell r="D26" t="str">
            <v>QUANTIDADE CONTRATUAL</v>
          </cell>
          <cell r="J26">
            <v>5</v>
          </cell>
          <cell r="L26" t="str">
            <v>und</v>
          </cell>
          <cell r="M26" t="str">
            <v xml:space="preserve">QUANTIDADE TOTAL ACUMULADA </v>
          </cell>
          <cell r="R26">
            <v>2.5</v>
          </cell>
          <cell r="S26" t="str">
            <v>und</v>
          </cell>
        </row>
        <row r="27">
          <cell r="D27" t="str">
            <v>AVANÇO</v>
          </cell>
          <cell r="J27">
            <v>0.5</v>
          </cell>
          <cell r="M27" t="str">
            <v>ACUMULADA ANTERIOR</v>
          </cell>
          <cell r="R27">
            <v>2.5</v>
          </cell>
          <cell r="S27" t="str">
            <v>und</v>
          </cell>
        </row>
        <row r="28">
          <cell r="A28" t="str">
            <v>1.1.2.7</v>
          </cell>
          <cell r="M28" t="str">
            <v>MEDIÇÃO LÍQUIDA</v>
          </cell>
          <cell r="R28">
            <v>0</v>
          </cell>
          <cell r="S28" t="str">
            <v>und</v>
          </cell>
        </row>
        <row r="29">
          <cell r="M29" t="str">
            <v>PREÇO UNITÁRIO</v>
          </cell>
          <cell r="R29">
            <v>1028.8900000000001</v>
          </cell>
        </row>
        <row r="30">
          <cell r="M30" t="str">
            <v>VALOR DA MEDIÇÃO</v>
          </cell>
          <cell r="R30">
            <v>0</v>
          </cell>
          <cell r="S30" t="str">
            <v>R$</v>
          </cell>
        </row>
      </sheetData>
      <sheetData sheetId="9">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1.1.2.8</v>
          </cell>
          <cell r="C10" t="str">
            <v>20708 - Galpão para serraria e carpintaria área 12.00m2, em peça de madeira 8x8cm e contraventamento de 5x7cm, cobertura de telha de fibroc. de 6mm, inclusive ponto e cabo de alimentação da máquina, conf. projeto (1 utilização)</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Canteiro central instalado na CASCUVV</v>
          </cell>
        </row>
        <row r="13">
          <cell r="C13" t="str">
            <v>Galpão de carpintaria conforme croqui</v>
          </cell>
          <cell r="D13">
            <v>4</v>
          </cell>
          <cell r="G13">
            <v>3</v>
          </cell>
          <cell r="K13">
            <v>12</v>
          </cell>
          <cell r="R13">
            <v>12</v>
          </cell>
          <cell r="S13" t="str">
            <v>m2</v>
          </cell>
          <cell r="T13">
            <v>1</v>
          </cell>
        </row>
        <row r="28">
          <cell r="D28" t="str">
            <v>QUANTIDADE CONTRATUAL</v>
          </cell>
          <cell r="J28">
            <v>12</v>
          </cell>
          <cell r="L28" t="str">
            <v>m2</v>
          </cell>
          <cell r="M28" t="str">
            <v xml:space="preserve">QUANTIDADE TOTAL ACUMULADA </v>
          </cell>
          <cell r="R28">
            <v>12</v>
          </cell>
          <cell r="S28" t="str">
            <v>m2</v>
          </cell>
        </row>
        <row r="29">
          <cell r="D29" t="str">
            <v>AVANÇO</v>
          </cell>
          <cell r="J29">
            <v>1</v>
          </cell>
          <cell r="M29" t="str">
            <v>ACUMULADA ANTERIOR</v>
          </cell>
          <cell r="R29">
            <v>12</v>
          </cell>
          <cell r="S29" t="str">
            <v>m2</v>
          </cell>
        </row>
        <row r="30">
          <cell r="A30" t="str">
            <v>1.1.2.8</v>
          </cell>
          <cell r="M30" t="str">
            <v>MEDIÇÃO LÍQUIDA</v>
          </cell>
          <cell r="R30">
            <v>0</v>
          </cell>
          <cell r="S30" t="str">
            <v>m2</v>
          </cell>
        </row>
        <row r="31">
          <cell r="M31" t="str">
            <v>PREÇO UNITÁRIO</v>
          </cell>
          <cell r="R31">
            <v>160.19999999999999</v>
          </cell>
        </row>
        <row r="32">
          <cell r="M32" t="str">
            <v>VALOR DA MEDIÇÃO</v>
          </cell>
          <cell r="R32">
            <v>0</v>
          </cell>
          <cell r="S32" t="str">
            <v>R$</v>
          </cell>
        </row>
      </sheetData>
      <sheetData sheetId="10">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1.1.2.9</v>
          </cell>
          <cell r="C10" t="str">
            <v>20709 - Galpão para corte e armação com área de 6.00m2, em peças de madeira 8x8cm e contraventamento de 5x7cm, cobertura de telhas de fibroc. de 6mm, inclusive ponto e cabo de alimentação da máquina, conf. projeto (1 utilização)</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Canteiro central instalado na CASCUVV</v>
          </cell>
        </row>
        <row r="13">
          <cell r="C13" t="str">
            <v>Galpão de corte e armação conforme croqui</v>
          </cell>
          <cell r="D13">
            <v>3</v>
          </cell>
          <cell r="G13">
            <v>2</v>
          </cell>
          <cell r="K13">
            <v>6</v>
          </cell>
          <cell r="R13">
            <v>6</v>
          </cell>
          <cell r="S13" t="str">
            <v>m2</v>
          </cell>
          <cell r="T13">
            <v>1</v>
          </cell>
        </row>
        <row r="28">
          <cell r="D28" t="str">
            <v>QUANTIDADE CONTRATUAL</v>
          </cell>
          <cell r="J28">
            <v>6</v>
          </cell>
          <cell r="L28" t="str">
            <v>m2</v>
          </cell>
          <cell r="M28" t="str">
            <v xml:space="preserve">QUANTIDADE TOTAL ACUMULADA </v>
          </cell>
          <cell r="R28">
            <v>6</v>
          </cell>
          <cell r="S28" t="str">
            <v>m2</v>
          </cell>
        </row>
        <row r="29">
          <cell r="D29" t="str">
            <v>AVANÇO</v>
          </cell>
          <cell r="J29">
            <v>1</v>
          </cell>
          <cell r="M29" t="str">
            <v>ACUMULADA ANTERIOR</v>
          </cell>
          <cell r="R29">
            <v>6</v>
          </cell>
          <cell r="S29" t="str">
            <v>m2</v>
          </cell>
        </row>
        <row r="30">
          <cell r="A30" t="str">
            <v>1.1.2.9</v>
          </cell>
          <cell r="M30" t="str">
            <v>MEDIÇÃO LÍQUIDA</v>
          </cell>
          <cell r="R30">
            <v>0</v>
          </cell>
          <cell r="S30" t="str">
            <v>m2</v>
          </cell>
        </row>
        <row r="31">
          <cell r="M31" t="str">
            <v>PREÇO UNITÁRIO</v>
          </cell>
          <cell r="R31">
            <v>216.68</v>
          </cell>
        </row>
        <row r="32">
          <cell r="M32" t="str">
            <v>VALOR DA MEDIÇÃO</v>
          </cell>
          <cell r="R32">
            <v>0</v>
          </cell>
          <cell r="S32" t="str">
            <v>R$</v>
          </cell>
        </row>
      </sheetData>
      <sheetData sheetId="11">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1.2.1.1</v>
          </cell>
          <cell r="C10" t="str">
            <v>10512 - Equipe topográfica para serviços simples de locação e nivelamento (incluindo equipamento, transporte e profissionais nivel médio)</v>
          </cell>
          <cell r="D10" t="str">
            <v>COMPRIM. (m)</v>
          </cell>
          <cell r="G10" t="str">
            <v>LARGURA (m)</v>
          </cell>
          <cell r="J10" t="str">
            <v>ALTURA (m)</v>
          </cell>
          <cell r="K10" t="str">
            <v>ÁREA (m2)</v>
          </cell>
          <cell r="L10" t="str">
            <v>VOLUME (m3)</v>
          </cell>
          <cell r="M10" t="str">
            <v>QUANT. (und)</v>
          </cell>
          <cell r="N10" t="str">
            <v>Tempo (mês)</v>
          </cell>
          <cell r="R10" t="str">
            <v>QUANT. A MEDIR</v>
          </cell>
          <cell r="S10" t="str">
            <v>UND</v>
          </cell>
          <cell r="T10" t="str">
            <v>MEDIÇÃO</v>
          </cell>
          <cell r="U10" t="str">
            <v>OBSERVAÇÕES</v>
          </cell>
        </row>
        <row r="12">
          <cell r="C12" t="str">
            <v xml:space="preserve">Marcação dos pontos de sondagem SPT nas salas de espera da Prainha e Porto de Santana </v>
          </cell>
          <cell r="N12">
            <v>0.13300000000000001</v>
          </cell>
          <cell r="R12">
            <v>0.13300000000000001</v>
          </cell>
          <cell r="S12" t="str">
            <v>mês</v>
          </cell>
          <cell r="T12">
            <v>1</v>
          </cell>
        </row>
        <row r="13">
          <cell r="C13" t="str">
            <v>Marcação dos pontos de sondagem rotativa embarcada nas estacas dos flutuantes da Prainha e Porto de Santana</v>
          </cell>
          <cell r="N13">
            <v>0.4</v>
          </cell>
          <cell r="R13">
            <v>0.4</v>
          </cell>
          <cell r="S13" t="str">
            <v>mês</v>
          </cell>
          <cell r="T13">
            <v>1</v>
          </cell>
        </row>
        <row r="14">
          <cell r="C14" t="str">
            <v>Marcação dos pontos de sondagem SPT nas salas de espera do Centro de Vitória</v>
          </cell>
          <cell r="N14">
            <v>7.0000000000000007E-2</v>
          </cell>
          <cell r="R14">
            <v>7.0000000000000007E-2</v>
          </cell>
          <cell r="S14" t="str">
            <v>mês</v>
          </cell>
          <cell r="T14">
            <v>3</v>
          </cell>
        </row>
        <row r="15">
          <cell r="C15" t="str">
            <v>Marcação dos pontos de sondagem rotativa embarcada nas estacas do flutuante do Centro de Vitória</v>
          </cell>
          <cell r="N15">
            <v>0.2</v>
          </cell>
          <cell r="R15">
            <v>0.2</v>
          </cell>
          <cell r="S15" t="str">
            <v>mês</v>
          </cell>
          <cell r="T15">
            <v>3</v>
          </cell>
        </row>
        <row r="16">
          <cell r="C16" t="str">
            <v>Marcação dos pontos de locação e de nível das salas de espera de Porto de Santana e Prainha</v>
          </cell>
          <cell r="N16">
            <v>0.3</v>
          </cell>
          <cell r="R16">
            <v>0.3</v>
          </cell>
          <cell r="S16" t="str">
            <v>mês</v>
          </cell>
          <cell r="T16">
            <v>3</v>
          </cell>
        </row>
        <row r="28">
          <cell r="D28" t="str">
            <v>QUANTIDADE CONTRATUAL</v>
          </cell>
          <cell r="J28">
            <v>2</v>
          </cell>
          <cell r="L28" t="str">
            <v>mês</v>
          </cell>
          <cell r="M28" t="str">
            <v xml:space="preserve">QUANTIDADE TOTAL ACUMULADA </v>
          </cell>
          <cell r="R28">
            <v>1.103</v>
          </cell>
          <cell r="S28" t="str">
            <v>mês</v>
          </cell>
        </row>
        <row r="29">
          <cell r="D29" t="str">
            <v>AVANÇO</v>
          </cell>
          <cell r="J29">
            <v>0.55149999999999999</v>
          </cell>
          <cell r="M29" t="str">
            <v>ACUMULADA ANTERIOR</v>
          </cell>
          <cell r="R29">
            <v>1.103</v>
          </cell>
          <cell r="S29" t="str">
            <v>mês</v>
          </cell>
        </row>
        <row r="30">
          <cell r="A30" t="str">
            <v>1.2.1.1</v>
          </cell>
          <cell r="M30" t="str">
            <v>MEDIÇÃO LÍQUIDA</v>
          </cell>
          <cell r="R30">
            <v>0</v>
          </cell>
          <cell r="S30" t="str">
            <v>mês</v>
          </cell>
        </row>
        <row r="31">
          <cell r="M31" t="str">
            <v>PREÇO UNITÁRIO</v>
          </cell>
          <cell r="R31">
            <v>18130.12</v>
          </cell>
        </row>
        <row r="32">
          <cell r="M32" t="str">
            <v>VALOR DA MEDIÇÃO</v>
          </cell>
          <cell r="R32">
            <v>0</v>
          </cell>
          <cell r="S32" t="str">
            <v>R$</v>
          </cell>
        </row>
      </sheetData>
      <sheetData sheetId="12" refreshError="1"/>
      <sheetData sheetId="13">
        <row r="28">
          <cell r="R28">
            <v>191</v>
          </cell>
        </row>
        <row r="29">
          <cell r="R29">
            <v>60.25</v>
          </cell>
        </row>
      </sheetData>
      <sheetData sheetId="14">
        <row r="29">
          <cell r="R29">
            <v>5</v>
          </cell>
        </row>
        <row r="30">
          <cell r="R30">
            <v>3</v>
          </cell>
        </row>
      </sheetData>
      <sheetData sheetId="15">
        <row r="26">
          <cell r="R26">
            <v>4</v>
          </cell>
        </row>
      </sheetData>
      <sheetData sheetId="16">
        <row r="29">
          <cell r="R29">
            <v>5</v>
          </cell>
        </row>
      </sheetData>
      <sheetData sheetId="17">
        <row r="29">
          <cell r="R29">
            <v>5</v>
          </cell>
        </row>
        <row r="30">
          <cell r="R30">
            <v>3</v>
          </cell>
        </row>
      </sheetData>
      <sheetData sheetId="18">
        <row r="29">
          <cell r="R29">
            <v>2</v>
          </cell>
        </row>
      </sheetData>
      <sheetData sheetId="19" refreshError="1"/>
      <sheetData sheetId="20" refreshError="1"/>
      <sheetData sheetId="21">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3.1.1.1</v>
          </cell>
          <cell r="C10" t="str">
            <v>20305 - Placa de obra nas dimensões de 2.0 x 4.0 m, padrão IOPES</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Placa de obra</v>
          </cell>
          <cell r="D12">
            <v>4</v>
          </cell>
          <cell r="J12">
            <v>2</v>
          </cell>
          <cell r="R12">
            <v>8</v>
          </cell>
          <cell r="S12" t="str">
            <v>und</v>
          </cell>
          <cell r="T12">
            <v>2</v>
          </cell>
        </row>
        <row r="23">
          <cell r="D23" t="str">
            <v>QUANTIDADE CONTRATUAL</v>
          </cell>
          <cell r="J23">
            <v>8</v>
          </cell>
          <cell r="L23" t="str">
            <v>m2</v>
          </cell>
          <cell r="M23" t="str">
            <v xml:space="preserve">QUANTIDADE TOTAL ACUMULADA </v>
          </cell>
          <cell r="R23">
            <v>8</v>
          </cell>
          <cell r="S23" t="str">
            <v>m2</v>
          </cell>
        </row>
        <row r="24">
          <cell r="D24" t="str">
            <v>AVANÇO</v>
          </cell>
          <cell r="J24">
            <v>1</v>
          </cell>
          <cell r="M24" t="str">
            <v>ACUMULADA ANTERIOR</v>
          </cell>
          <cell r="R24">
            <v>8</v>
          </cell>
          <cell r="S24" t="str">
            <v>m2</v>
          </cell>
        </row>
        <row r="25">
          <cell r="A25" t="str">
            <v>3.1.1.1</v>
          </cell>
          <cell r="M25" t="str">
            <v>MEDIÇÃO LÍQUIDA</v>
          </cell>
          <cell r="R25">
            <v>0</v>
          </cell>
          <cell r="S25" t="str">
            <v>m2</v>
          </cell>
        </row>
        <row r="26">
          <cell r="M26" t="str">
            <v>PREÇO UNITÁRIO</v>
          </cell>
          <cell r="R26">
            <v>222.96</v>
          </cell>
        </row>
        <row r="27">
          <cell r="M27" t="str">
            <v>VALOR DA MEDIÇÃO</v>
          </cell>
          <cell r="R27">
            <v>0</v>
          </cell>
          <cell r="S27" t="str">
            <v>R$</v>
          </cell>
        </row>
      </sheetData>
      <sheetData sheetId="22">
        <row r="24">
          <cell r="R24">
            <v>8</v>
          </cell>
        </row>
        <row r="25">
          <cell r="R25">
            <v>0</v>
          </cell>
        </row>
      </sheetData>
      <sheetData sheetId="23" refreshError="1"/>
      <sheetData sheetId="24" refreshError="1"/>
      <sheetData sheetId="25">
        <row r="24">
          <cell r="R24">
            <v>170.5</v>
          </cell>
        </row>
        <row r="25">
          <cell r="R25">
            <v>170.5</v>
          </cell>
        </row>
      </sheetData>
      <sheetData sheetId="26">
        <row r="25">
          <cell r="R25">
            <v>3569.4180000000001</v>
          </cell>
        </row>
        <row r="26">
          <cell r="R26">
            <v>78.30199999999968</v>
          </cell>
        </row>
      </sheetData>
      <sheetData sheetId="27">
        <row r="25">
          <cell r="R25">
            <v>1880</v>
          </cell>
        </row>
        <row r="26">
          <cell r="R26">
            <v>0</v>
          </cell>
        </row>
      </sheetData>
      <sheetData sheetId="28">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3.4.1.3</v>
          </cell>
          <cell r="C10" t="str">
            <v>40328 - Fornecimento, dobragem e colocação em fôrma, de armadura CA-50 A média, diâmetro de 6.3 a 10.0 mm</v>
          </cell>
          <cell r="D10" t="str">
            <v>PESO TOTAL (kg)</v>
          </cell>
          <cell r="G10" t="str">
            <v>PERCENTUAL (%)</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Aço do flutuante de Porto de Santana conforme projeto</v>
          </cell>
          <cell r="D12">
            <v>1880</v>
          </cell>
          <cell r="R12">
            <v>1880</v>
          </cell>
          <cell r="S12" t="str">
            <v>kg</v>
          </cell>
          <cell r="T12">
            <v>2</v>
          </cell>
        </row>
        <row r="24">
          <cell r="D24" t="str">
            <v>QUANTIDADE CONTRATUAL</v>
          </cell>
          <cell r="J24">
            <v>1880</v>
          </cell>
          <cell r="L24" t="str">
            <v>kg</v>
          </cell>
          <cell r="M24" t="str">
            <v xml:space="preserve">QUANTIDADE TOTAL ACUMULADA </v>
          </cell>
          <cell r="R24">
            <v>1880</v>
          </cell>
          <cell r="S24" t="str">
            <v>kg</v>
          </cell>
        </row>
        <row r="25">
          <cell r="D25" t="str">
            <v>AVANÇO</v>
          </cell>
          <cell r="J25">
            <v>1</v>
          </cell>
          <cell r="M25" t="str">
            <v>ACUMULADA ANTERIOR</v>
          </cell>
          <cell r="R25">
            <v>1880</v>
          </cell>
          <cell r="S25" t="str">
            <v>kg</v>
          </cell>
        </row>
        <row r="26">
          <cell r="A26" t="str">
            <v>3.4.1.3</v>
          </cell>
          <cell r="M26" t="str">
            <v>MEDIÇÃO LÍQUIDA</v>
          </cell>
          <cell r="R26">
            <v>0</v>
          </cell>
          <cell r="S26" t="str">
            <v>kg</v>
          </cell>
        </row>
        <row r="27">
          <cell r="M27" t="str">
            <v>PREÇO UNITÁRIO</v>
          </cell>
          <cell r="R27">
            <v>7.98</v>
          </cell>
        </row>
        <row r="28">
          <cell r="M28" t="str">
            <v>VALOR DA MEDIÇÃO</v>
          </cell>
          <cell r="R28">
            <v>0</v>
          </cell>
          <cell r="S28" t="str">
            <v>R$</v>
          </cell>
        </row>
      </sheetData>
      <sheetData sheetId="29">
        <row r="26">
          <cell r="R26">
            <v>73</v>
          </cell>
        </row>
      </sheetData>
      <sheetData sheetId="30">
        <row r="25">
          <cell r="R25">
            <v>9</v>
          </cell>
        </row>
        <row r="26">
          <cell r="R26">
            <v>9.0500000000000007</v>
          </cell>
        </row>
      </sheetData>
      <sheetData sheetId="31">
        <row r="20">
          <cell r="R20">
            <v>2</v>
          </cell>
        </row>
        <row r="21">
          <cell r="R21">
            <v>0</v>
          </cell>
        </row>
      </sheetData>
      <sheetData sheetId="32">
        <row r="27">
          <cell r="R27">
            <v>10.199999999999999</v>
          </cell>
        </row>
        <row r="28">
          <cell r="R28">
            <v>0</v>
          </cell>
        </row>
      </sheetData>
      <sheetData sheetId="33" refreshError="1"/>
      <sheetData sheetId="34">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5.4.3.1</v>
          </cell>
          <cell r="C10" t="str">
            <v>COT16 - SONDAGEM ROTATIVA EM LÂMINA D'ÁGUA (PRAINHA DE VILA VELHA) - INCLUSIVE MOBILIZAÇÃO E DESMOBILIZAÇÃO DE EQUIPAMENTO</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Sondagens rotativas da Prainha</v>
          </cell>
        </row>
        <row r="13">
          <cell r="C13" t="str">
            <v>SR 01</v>
          </cell>
          <cell r="M13">
            <v>1</v>
          </cell>
          <cell r="R13">
            <v>1</v>
          </cell>
          <cell r="S13" t="str">
            <v>und</v>
          </cell>
          <cell r="T13">
            <v>1</v>
          </cell>
        </row>
        <row r="14">
          <cell r="C14" t="str">
            <v>SR 02</v>
          </cell>
          <cell r="M14">
            <v>1</v>
          </cell>
          <cell r="R14">
            <v>1</v>
          </cell>
          <cell r="S14" t="str">
            <v>und</v>
          </cell>
          <cell r="T14">
            <v>1</v>
          </cell>
        </row>
        <row r="28">
          <cell r="D28" t="str">
            <v>QUANTIDADE CONTRATUAL</v>
          </cell>
          <cell r="J28">
            <v>2</v>
          </cell>
          <cell r="L28" t="str">
            <v>UN</v>
          </cell>
          <cell r="M28" t="str">
            <v xml:space="preserve">QUANTIDADE TOTAL ACUMULADA </v>
          </cell>
          <cell r="R28">
            <v>2</v>
          </cell>
          <cell r="S28" t="str">
            <v>UN</v>
          </cell>
        </row>
        <row r="29">
          <cell r="D29" t="str">
            <v>AVANÇO</v>
          </cell>
          <cell r="J29">
            <v>1</v>
          </cell>
          <cell r="M29" t="str">
            <v>ACUMULADA ANTERIOR</v>
          </cell>
          <cell r="R29">
            <v>2</v>
          </cell>
          <cell r="S29" t="str">
            <v>UN</v>
          </cell>
        </row>
        <row r="30">
          <cell r="A30" t="str">
            <v>5.4.3.1</v>
          </cell>
          <cell r="M30" t="str">
            <v>MEDIÇÃO LÍQUIDA</v>
          </cell>
          <cell r="R30">
            <v>0</v>
          </cell>
          <cell r="S30" t="str">
            <v>UN</v>
          </cell>
        </row>
        <row r="31">
          <cell r="M31" t="str">
            <v>PREÇO UNITÁRIO</v>
          </cell>
          <cell r="R31">
            <v>18178.13</v>
          </cell>
        </row>
        <row r="32">
          <cell r="M32" t="str">
            <v>VALOR DA MEDIÇÃO</v>
          </cell>
          <cell r="R32">
            <v>0</v>
          </cell>
          <cell r="S32" t="str">
            <v>R$</v>
          </cell>
        </row>
      </sheetData>
      <sheetData sheetId="35">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3.2.1.1</v>
          </cell>
          <cell r="C10" t="str">
            <v>30103 - Escavação mecânica em material de 1a. categoria</v>
          </cell>
          <cell r="D10" t="str">
            <v>COMPRIM. (m)</v>
          </cell>
          <cell r="G10" t="str">
            <v>LARGURA (m)</v>
          </cell>
          <cell r="J10" t="str">
            <v>ESPESSURA (m)</v>
          </cell>
          <cell r="K10" t="str">
            <v>ÁREA (m2)</v>
          </cell>
          <cell r="L10" t="str">
            <v>VOLUME (m3)</v>
          </cell>
          <cell r="M10" t="str">
            <v>QUANT. (und)</v>
          </cell>
          <cell r="R10" t="str">
            <v>QUANT. A MEDIR</v>
          </cell>
          <cell r="S10" t="str">
            <v>UND</v>
          </cell>
          <cell r="T10" t="str">
            <v>MEDIÇÃO</v>
          </cell>
          <cell r="U10" t="str">
            <v>OBSERVAÇÕES</v>
          </cell>
        </row>
        <row r="12">
          <cell r="C12" t="str">
            <v>Terraplanagem do canteiro de obras da CASCUVV</v>
          </cell>
        </row>
        <row r="13">
          <cell r="C13" t="str">
            <v>Terraplanagem na área de fabricação dos flutuantes</v>
          </cell>
          <cell r="D13">
            <v>30</v>
          </cell>
          <cell r="G13">
            <v>20</v>
          </cell>
          <cell r="J13">
            <v>0.2</v>
          </cell>
          <cell r="K13">
            <v>600</v>
          </cell>
          <cell r="L13">
            <v>120</v>
          </cell>
          <cell r="R13">
            <v>120</v>
          </cell>
          <cell r="S13" t="str">
            <v>m3</v>
          </cell>
          <cell r="T13">
            <v>1</v>
          </cell>
        </row>
        <row r="14">
          <cell r="C14" t="str">
            <v>Terraplanagem estrada para flutuantes</v>
          </cell>
          <cell r="D14">
            <v>30</v>
          </cell>
          <cell r="G14">
            <v>4</v>
          </cell>
          <cell r="J14">
            <v>0.2</v>
          </cell>
          <cell r="K14">
            <v>120</v>
          </cell>
          <cell r="L14">
            <v>24</v>
          </cell>
          <cell r="R14">
            <v>24</v>
          </cell>
          <cell r="S14" t="str">
            <v>m3</v>
          </cell>
          <cell r="T14">
            <v>1</v>
          </cell>
        </row>
        <row r="15">
          <cell r="C15" t="str">
            <v>Canteiro de obras de Porto de Santana</v>
          </cell>
        </row>
        <row r="16">
          <cell r="C16" t="str">
            <v>Escavação na área da sala de espera</v>
          </cell>
          <cell r="L16">
            <v>205.44</v>
          </cell>
          <cell r="R16">
            <v>205.44</v>
          </cell>
          <cell r="S16" t="str">
            <v>m3</v>
          </cell>
          <cell r="T16">
            <v>4</v>
          </cell>
        </row>
        <row r="26">
          <cell r="D26" t="str">
            <v>QUANTIDADE CONTRATUAL</v>
          </cell>
          <cell r="J26">
            <v>349.44</v>
          </cell>
          <cell r="L26" t="str">
            <v>m3</v>
          </cell>
          <cell r="M26" t="str">
            <v xml:space="preserve">QUANTIDADE TOTAL ACUMULADA </v>
          </cell>
          <cell r="R26">
            <v>349.44</v>
          </cell>
          <cell r="S26" t="str">
            <v>m3</v>
          </cell>
        </row>
        <row r="27">
          <cell r="D27" t="str">
            <v>AVANÇO</v>
          </cell>
          <cell r="J27">
            <v>1</v>
          </cell>
          <cell r="M27" t="str">
            <v>ACUMULADA ANTERIOR</v>
          </cell>
          <cell r="R27">
            <v>349.44</v>
          </cell>
          <cell r="S27" t="str">
            <v>m3</v>
          </cell>
        </row>
        <row r="28">
          <cell r="A28" t="str">
            <v>3.2.1.1</v>
          </cell>
          <cell r="M28" t="str">
            <v>MEDIÇÃO LÍQUIDA</v>
          </cell>
          <cell r="R28">
            <v>0</v>
          </cell>
          <cell r="S28" t="str">
            <v>m3</v>
          </cell>
        </row>
        <row r="29">
          <cell r="M29" t="str">
            <v>PREÇO UNITÁRIO</v>
          </cell>
          <cell r="R29">
            <v>9.81</v>
          </cell>
        </row>
        <row r="30">
          <cell r="M30" t="str">
            <v>VALOR DA MEDIÇÃO</v>
          </cell>
          <cell r="R30">
            <v>0</v>
          </cell>
          <cell r="S30" t="str">
            <v>R$</v>
          </cell>
        </row>
      </sheetData>
      <sheetData sheetId="36">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3.2.1.2</v>
          </cell>
          <cell r="C10" t="str">
            <v>30304 - Índice de preço para remoção de entulho decorrente da execução de obras (Classe A CONAMA - NBR 10.004 - Classe II-B), incluindo aluguel da caçamba, carga, transporte e descarga em área licenciada</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Terraplanagem do canteiro de obras da CASCUVV</v>
          </cell>
        </row>
        <row r="13">
          <cell r="C13" t="str">
            <v>Terraplanagem na área de fabricação dos flutuantes</v>
          </cell>
          <cell r="D13">
            <v>30</v>
          </cell>
          <cell r="G13">
            <v>20</v>
          </cell>
          <cell r="J13">
            <v>0.2</v>
          </cell>
          <cell r="K13">
            <v>600</v>
          </cell>
          <cell r="L13">
            <v>120</v>
          </cell>
          <cell r="R13">
            <v>120</v>
          </cell>
          <cell r="S13" t="str">
            <v>m3</v>
          </cell>
          <cell r="T13">
            <v>1</v>
          </cell>
        </row>
        <row r="14">
          <cell r="C14" t="str">
            <v>Terraplanagem estrada para flutuantes</v>
          </cell>
          <cell r="D14">
            <v>30</v>
          </cell>
          <cell r="G14">
            <v>4</v>
          </cell>
          <cell r="J14">
            <v>0.2</v>
          </cell>
          <cell r="K14">
            <v>120</v>
          </cell>
          <cell r="L14">
            <v>24</v>
          </cell>
          <cell r="R14">
            <v>24</v>
          </cell>
          <cell r="S14" t="str">
            <v>m3</v>
          </cell>
          <cell r="T14">
            <v>1</v>
          </cell>
        </row>
        <row r="15">
          <cell r="C15" t="str">
            <v>Entulho Porto de Santana</v>
          </cell>
          <cell r="L15">
            <v>205.44</v>
          </cell>
          <cell r="R15">
            <v>205.44</v>
          </cell>
          <cell r="S15" t="str">
            <v>m3</v>
          </cell>
          <cell r="T15">
            <v>4</v>
          </cell>
        </row>
        <row r="25">
          <cell r="D25" t="str">
            <v>QUANTIDADE CONTRATUAL</v>
          </cell>
          <cell r="J25">
            <v>349.44</v>
          </cell>
          <cell r="L25" t="str">
            <v>m3</v>
          </cell>
          <cell r="M25" t="str">
            <v xml:space="preserve">QUANTIDADE TOTAL ACUMULADA </v>
          </cell>
          <cell r="R25">
            <v>349.44</v>
          </cell>
          <cell r="S25" t="str">
            <v>m3</v>
          </cell>
        </row>
        <row r="26">
          <cell r="D26" t="str">
            <v>AVANÇO</v>
          </cell>
          <cell r="J26">
            <v>1</v>
          </cell>
          <cell r="M26" t="str">
            <v>ACUMULADA ANTERIOR</v>
          </cell>
          <cell r="R26">
            <v>349.44</v>
          </cell>
          <cell r="S26" t="str">
            <v>m3</v>
          </cell>
        </row>
        <row r="27">
          <cell r="A27" t="str">
            <v>3.2.1.2</v>
          </cell>
          <cell r="M27" t="str">
            <v>MEDIÇÃO LÍQUIDA</v>
          </cell>
          <cell r="R27">
            <v>0</v>
          </cell>
          <cell r="S27" t="str">
            <v>m3</v>
          </cell>
        </row>
        <row r="28">
          <cell r="M28" t="str">
            <v>PREÇO UNITÁRIO</v>
          </cell>
          <cell r="R28">
            <v>56.45</v>
          </cell>
        </row>
        <row r="29">
          <cell r="M29" t="str">
            <v>VALOR DA MEDIÇÃO</v>
          </cell>
          <cell r="R29">
            <v>0</v>
          </cell>
          <cell r="S29" t="str">
            <v>R$</v>
          </cell>
        </row>
      </sheetData>
      <sheetData sheetId="37">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3.3.2.1</v>
          </cell>
          <cell r="C10" t="str">
            <v>COT14 - SONDAGEM A PERCUSSÃO COM ENSAIO SPT - INCLUSIVE MOBILIZAÇÃO E DESMOBILIZAÇÃO DE EQUIPAMENTO</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Sondagens SPT na sala de espera de Porto de Santana conforme boletins</v>
          </cell>
        </row>
        <row r="13">
          <cell r="C13" t="str">
            <v>SPT 01</v>
          </cell>
          <cell r="D13">
            <v>1.07</v>
          </cell>
          <cell r="R13">
            <v>1.07</v>
          </cell>
          <cell r="S13" t="str">
            <v>m</v>
          </cell>
          <cell r="T13">
            <v>1</v>
          </cell>
        </row>
        <row r="14">
          <cell r="C14" t="str">
            <v>SPT 02</v>
          </cell>
          <cell r="D14">
            <v>1.46</v>
          </cell>
          <cell r="R14">
            <v>1.46</v>
          </cell>
          <cell r="S14" t="str">
            <v>m</v>
          </cell>
          <cell r="T14">
            <v>1</v>
          </cell>
        </row>
        <row r="15">
          <cell r="C15" t="str">
            <v>SPT 03</v>
          </cell>
          <cell r="D15">
            <v>1.28</v>
          </cell>
          <cell r="R15">
            <v>1.28</v>
          </cell>
          <cell r="S15" t="str">
            <v>m</v>
          </cell>
          <cell r="T15">
            <v>1</v>
          </cell>
        </row>
        <row r="16">
          <cell r="C16" t="str">
            <v>SPT 04</v>
          </cell>
          <cell r="D16">
            <v>4.16</v>
          </cell>
          <cell r="R16">
            <v>4.16</v>
          </cell>
          <cell r="S16" t="str">
            <v>m</v>
          </cell>
          <cell r="T16">
            <v>1</v>
          </cell>
        </row>
        <row r="17">
          <cell r="C17" t="str">
            <v>SPT 05</v>
          </cell>
          <cell r="D17">
            <v>0.62</v>
          </cell>
          <cell r="R17">
            <v>0.62</v>
          </cell>
          <cell r="S17" t="str">
            <v>m</v>
          </cell>
          <cell r="T17">
            <v>1</v>
          </cell>
        </row>
        <row r="18">
          <cell r="C18" t="str">
            <v>Saldo das sondagens SPT na sala de espera da Prainha conforme boletins</v>
          </cell>
        </row>
        <row r="19">
          <cell r="C19" t="str">
            <v>SPT 01</v>
          </cell>
          <cell r="D19">
            <v>27.45</v>
          </cell>
          <cell r="R19">
            <v>10.45</v>
          </cell>
          <cell r="S19" t="str">
            <v>m</v>
          </cell>
          <cell r="T19">
            <v>1</v>
          </cell>
          <cell r="U19" t="str">
            <v>Foram medidos somente 17 metros de comprimento de cada furo no item 5.3.2.1, o saldo foi inserido nesse item, referente a sondagem de Porto de Santana que teve o comprimento menor deixando saldo.</v>
          </cell>
        </row>
        <row r="20">
          <cell r="C20" t="str">
            <v>SPT 02</v>
          </cell>
          <cell r="D20">
            <v>17.45</v>
          </cell>
          <cell r="R20">
            <v>0.44999999999999929</v>
          </cell>
          <cell r="S20" t="str">
            <v>m</v>
          </cell>
          <cell r="T20">
            <v>1</v>
          </cell>
        </row>
        <row r="21">
          <cell r="C21" t="str">
            <v>SPT 03</v>
          </cell>
          <cell r="D21">
            <v>26.45</v>
          </cell>
          <cell r="R21">
            <v>9.4499999999999993</v>
          </cell>
          <cell r="S21" t="str">
            <v>m</v>
          </cell>
          <cell r="T21">
            <v>1</v>
          </cell>
        </row>
        <row r="22">
          <cell r="C22" t="str">
            <v>SPT 04</v>
          </cell>
          <cell r="D22">
            <v>25.45</v>
          </cell>
          <cell r="R22">
            <v>8.4499999999999993</v>
          </cell>
          <cell r="S22" t="str">
            <v>m</v>
          </cell>
          <cell r="T22">
            <v>1</v>
          </cell>
        </row>
        <row r="23">
          <cell r="C23" t="str">
            <v>SPT 05</v>
          </cell>
          <cell r="D23">
            <v>27.45</v>
          </cell>
          <cell r="R23">
            <v>10.45</v>
          </cell>
          <cell r="S23" t="str">
            <v>m</v>
          </cell>
          <cell r="T23">
            <v>1</v>
          </cell>
        </row>
        <row r="24">
          <cell r="C24" t="str">
            <v>Saldo das sondagens SPT na sala de espera do Cento de Vitória conforme boletins</v>
          </cell>
        </row>
        <row r="25">
          <cell r="C25" t="str">
            <v>SPT 01</v>
          </cell>
          <cell r="D25">
            <v>27.45</v>
          </cell>
          <cell r="R25">
            <v>3.9400000000000013</v>
          </cell>
          <cell r="S25" t="str">
            <v>m</v>
          </cell>
          <cell r="T25">
            <v>3</v>
          </cell>
          <cell r="U25" t="str">
            <v>Foram medidos somente 17 metros de comprimento de cada furo no item 4.3.2.1, o saldo foi inserido nesse item, referente a sondagem de Porto de Santana que teve o comprimento menor deixando saldo.</v>
          </cell>
        </row>
        <row r="26">
          <cell r="C26" t="str">
            <v>SPT 02</v>
          </cell>
          <cell r="D26">
            <v>17.45</v>
          </cell>
          <cell r="R26">
            <v>1.7800000000000011</v>
          </cell>
          <cell r="S26" t="str">
            <v>m</v>
          </cell>
          <cell r="T26">
            <v>3</v>
          </cell>
        </row>
        <row r="27">
          <cell r="C27" t="str">
            <v>SPT 03</v>
          </cell>
          <cell r="D27">
            <v>26.45</v>
          </cell>
          <cell r="R27">
            <v>1.1400000000000006</v>
          </cell>
          <cell r="S27" t="str">
            <v>m</v>
          </cell>
          <cell r="T27">
            <v>3</v>
          </cell>
        </row>
        <row r="28">
          <cell r="C28" t="str">
            <v>SPT 04</v>
          </cell>
          <cell r="D28">
            <v>25.45</v>
          </cell>
          <cell r="R28">
            <v>2.2600000000000016</v>
          </cell>
          <cell r="S28" t="str">
            <v>m</v>
          </cell>
          <cell r="T28">
            <v>3</v>
          </cell>
        </row>
        <row r="29">
          <cell r="C29" t="str">
            <v>SPT 05</v>
          </cell>
          <cell r="D29">
            <v>27.45</v>
          </cell>
          <cell r="R29">
            <v>2.6900000000000013</v>
          </cell>
          <cell r="S29" t="str">
            <v>m</v>
          </cell>
          <cell r="T29">
            <v>3</v>
          </cell>
        </row>
        <row r="31">
          <cell r="D31" t="str">
            <v>QUANTIDADE CONTRATUAL</v>
          </cell>
          <cell r="J31">
            <v>85</v>
          </cell>
          <cell r="L31" t="str">
            <v>M</v>
          </cell>
          <cell r="M31" t="str">
            <v xml:space="preserve">QUANTIDADE TOTAL ACUMULADA </v>
          </cell>
          <cell r="R31">
            <v>59.650000000000006</v>
          </cell>
          <cell r="S31" t="str">
            <v>M</v>
          </cell>
        </row>
        <row r="32">
          <cell r="D32" t="str">
            <v>AVANÇO</v>
          </cell>
          <cell r="J32">
            <v>0.70176470588235296</v>
          </cell>
          <cell r="M32" t="str">
            <v>ACUMULADA ANTERIOR</v>
          </cell>
          <cell r="R32">
            <v>59.650000000000006</v>
          </cell>
          <cell r="S32" t="str">
            <v>M</v>
          </cell>
        </row>
        <row r="33">
          <cell r="A33" t="str">
            <v>3.3.2.1</v>
          </cell>
          <cell r="M33" t="str">
            <v>MEDIÇÃO LÍQUIDA</v>
          </cell>
          <cell r="R33">
            <v>0</v>
          </cell>
          <cell r="S33" t="str">
            <v>M</v>
          </cell>
        </row>
        <row r="34">
          <cell r="M34" t="str">
            <v>PREÇO UNITÁRIO</v>
          </cell>
          <cell r="R34">
            <v>462.96</v>
          </cell>
        </row>
        <row r="35">
          <cell r="M35" t="str">
            <v>VALOR DA MEDIÇÃO</v>
          </cell>
          <cell r="R35">
            <v>0</v>
          </cell>
          <cell r="S35" t="str">
            <v>R$</v>
          </cell>
        </row>
      </sheetData>
      <sheetData sheetId="38">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3.4.3.1</v>
          </cell>
          <cell r="C10" t="str">
            <v>COT15 - SONDAGEM ROTATIVA EM LÂMINA D'ÁGUA (PORTO DE SANTANA CARIACICA) - INCLUSIVE MOBILIZAÇÃO E DESMOBILIZAÇÃO DE EQUIPAMENTO</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Sondagens rotativas de Porto de Santana</v>
          </cell>
        </row>
        <row r="13">
          <cell r="C13" t="str">
            <v>SR 01</v>
          </cell>
          <cell r="M13">
            <v>1</v>
          </cell>
          <cell r="R13">
            <v>1</v>
          </cell>
          <cell r="S13" t="str">
            <v>und</v>
          </cell>
          <cell r="T13">
            <v>1</v>
          </cell>
        </row>
        <row r="14">
          <cell r="C14" t="str">
            <v>SR 02</v>
          </cell>
          <cell r="M14">
            <v>1</v>
          </cell>
          <cell r="R14">
            <v>1</v>
          </cell>
          <cell r="S14" t="str">
            <v>und</v>
          </cell>
          <cell r="T14">
            <v>1</v>
          </cell>
        </row>
        <row r="25">
          <cell r="D25" t="str">
            <v>QUANTIDADE CONTRATUAL</v>
          </cell>
          <cell r="J25">
            <v>2</v>
          </cell>
          <cell r="L25" t="str">
            <v>UN</v>
          </cell>
          <cell r="M25" t="str">
            <v xml:space="preserve">QUANTIDADE TOTAL ACUMULADA </v>
          </cell>
          <cell r="R25">
            <v>2</v>
          </cell>
          <cell r="S25" t="str">
            <v>UN</v>
          </cell>
        </row>
        <row r="26">
          <cell r="D26" t="str">
            <v>AVANÇO</v>
          </cell>
          <cell r="J26">
            <v>1</v>
          </cell>
          <cell r="M26" t="str">
            <v>ACUMULADA ANTERIOR</v>
          </cell>
          <cell r="R26">
            <v>2</v>
          </cell>
          <cell r="S26" t="str">
            <v>UN</v>
          </cell>
        </row>
        <row r="27">
          <cell r="A27" t="str">
            <v>3.4.3.1</v>
          </cell>
          <cell r="M27" t="str">
            <v>MEDIÇÃO LÍQUIDA</v>
          </cell>
          <cell r="R27">
            <v>0</v>
          </cell>
          <cell r="S27" t="str">
            <v>UN</v>
          </cell>
        </row>
        <row r="28">
          <cell r="M28" t="str">
            <v>PREÇO UNITÁRIO</v>
          </cell>
          <cell r="R28">
            <v>11945.63</v>
          </cell>
        </row>
        <row r="29">
          <cell r="M29" t="str">
            <v>VALOR DA MEDIÇÃO</v>
          </cell>
          <cell r="R29">
            <v>0</v>
          </cell>
          <cell r="S29" t="str">
            <v>R$</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ow r="26">
          <cell r="R26">
            <v>33</v>
          </cell>
        </row>
        <row r="27">
          <cell r="R27">
            <v>0</v>
          </cell>
        </row>
      </sheetData>
      <sheetData sheetId="57" refreshError="1"/>
      <sheetData sheetId="58">
        <row r="26">
          <cell r="R26">
            <v>7.34</v>
          </cell>
        </row>
        <row r="27">
          <cell r="R27">
            <v>0</v>
          </cell>
        </row>
      </sheetData>
      <sheetData sheetId="59">
        <row r="26">
          <cell r="R26">
            <v>184</v>
          </cell>
        </row>
        <row r="27">
          <cell r="R27">
            <v>0</v>
          </cell>
        </row>
      </sheetData>
      <sheetData sheetId="60">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3.4.1.5</v>
          </cell>
          <cell r="C10" t="str">
            <v>COMP6 - FORNECIMENTO E APLICAÇÃO DE CONCRETO USINADO FCK=50 MPA COM ADITIVO LIQUIDO IMPERMEABILIZANTE E SÍLICA ATIVA - CONSIDERANDO BOMBEAMENTO (5% DE PERDAS JÁ INCLUÍDO NO CUSTO) (6% DE TAXA P/CONCR. BOMBEAVEL)</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Concreto da laje de fundo e paredes do flutuante, exceto tampa (Área da tampa x Espessura da tampa = 90,00 m2 x 0,09 m = 8,10 m3)</v>
          </cell>
          <cell r="L12">
            <v>19.950000000000003</v>
          </cell>
          <cell r="R12">
            <v>19.950000000000003</v>
          </cell>
          <cell r="S12" t="str">
            <v>m3</v>
          </cell>
          <cell r="T12">
            <v>3</v>
          </cell>
        </row>
        <row r="13">
          <cell r="C13" t="str">
            <v xml:space="preserve">Concreto laje </v>
          </cell>
          <cell r="L13">
            <v>8.1</v>
          </cell>
          <cell r="R13">
            <v>8.1</v>
          </cell>
          <cell r="S13" t="str">
            <v>m3</v>
          </cell>
          <cell r="T13">
            <v>5</v>
          </cell>
        </row>
        <row r="23">
          <cell r="D23" t="str">
            <v>QUANTIDADE CONTRATUAL</v>
          </cell>
          <cell r="J23">
            <v>28.05</v>
          </cell>
          <cell r="L23" t="str">
            <v>m3</v>
          </cell>
          <cell r="M23" t="str">
            <v xml:space="preserve">QUANTIDADE TOTAL ACUMULADA </v>
          </cell>
          <cell r="R23">
            <v>28.050000000000004</v>
          </cell>
          <cell r="S23" t="str">
            <v>m3</v>
          </cell>
        </row>
        <row r="24">
          <cell r="D24" t="str">
            <v>AVANÇO</v>
          </cell>
          <cell r="J24">
            <v>1.0000000000000002</v>
          </cell>
          <cell r="M24" t="str">
            <v>ACUMULADA ANTERIOR</v>
          </cell>
          <cell r="R24">
            <v>28.05</v>
          </cell>
          <cell r="S24" t="str">
            <v>m3</v>
          </cell>
        </row>
        <row r="25">
          <cell r="A25" t="str">
            <v>3.4.1.5</v>
          </cell>
          <cell r="M25" t="str">
            <v>MEDIÇÃO LÍQUIDA</v>
          </cell>
          <cell r="R25">
            <v>0</v>
          </cell>
          <cell r="S25" t="str">
            <v>m3</v>
          </cell>
        </row>
        <row r="26">
          <cell r="M26" t="str">
            <v>PREÇO UNITÁRIO</v>
          </cell>
          <cell r="R26">
            <v>777.83</v>
          </cell>
        </row>
        <row r="27">
          <cell r="M27" t="str">
            <v>VALOR DA MEDIÇÃO</v>
          </cell>
          <cell r="R27">
            <v>0</v>
          </cell>
          <cell r="S27" t="str">
            <v>R$</v>
          </cell>
        </row>
        <row r="30">
          <cell r="C30">
            <v>90</v>
          </cell>
        </row>
        <row r="31">
          <cell r="C31">
            <v>8.1</v>
          </cell>
        </row>
      </sheetData>
      <sheetData sheetId="61" refreshError="1"/>
      <sheetData sheetId="62" refreshError="1"/>
      <sheetData sheetId="63">
        <row r="24">
          <cell r="R24">
            <v>23.5</v>
          </cell>
        </row>
        <row r="25">
          <cell r="R25">
            <v>0</v>
          </cell>
        </row>
      </sheetData>
      <sheetData sheetId="64">
        <row r="24">
          <cell r="R24">
            <v>1.2</v>
          </cell>
        </row>
        <row r="25">
          <cell r="R25">
            <v>0</v>
          </cell>
        </row>
      </sheetData>
      <sheetData sheetId="65">
        <row r="25">
          <cell r="R25">
            <v>165.89999999999998</v>
          </cell>
        </row>
      </sheetData>
      <sheetData sheetId="66">
        <row r="25">
          <cell r="R25">
            <v>104.705</v>
          </cell>
        </row>
      </sheetData>
      <sheetData sheetId="67">
        <row r="25">
          <cell r="R25">
            <v>112</v>
          </cell>
        </row>
      </sheetData>
      <sheetData sheetId="68">
        <row r="25">
          <cell r="R25">
            <v>59.43</v>
          </cell>
        </row>
      </sheetData>
      <sheetData sheetId="69">
        <row r="25">
          <cell r="R25">
            <v>118.46</v>
          </cell>
        </row>
      </sheetData>
      <sheetData sheetId="70">
        <row r="25">
          <cell r="R25">
            <v>6.97</v>
          </cell>
        </row>
      </sheetData>
      <sheetData sheetId="71">
        <row r="25">
          <cell r="R25">
            <v>540.16999999999996</v>
          </cell>
        </row>
      </sheetData>
      <sheetData sheetId="72">
        <row r="25">
          <cell r="R25">
            <v>540.16999999999996</v>
          </cell>
        </row>
      </sheetData>
      <sheetData sheetId="73">
        <row r="25">
          <cell r="R25">
            <v>540.16999999999996</v>
          </cell>
        </row>
      </sheetData>
      <sheetData sheetId="74">
        <row r="24">
          <cell r="R24">
            <v>90</v>
          </cell>
        </row>
        <row r="25">
          <cell r="R25">
            <v>251</v>
          </cell>
        </row>
      </sheetData>
      <sheetData sheetId="75">
        <row r="24">
          <cell r="R24">
            <v>3569.4180000000001</v>
          </cell>
        </row>
        <row r="25">
          <cell r="R25">
            <v>78.30199999999968</v>
          </cell>
        </row>
      </sheetData>
      <sheetData sheetId="76">
        <row r="24">
          <cell r="R24">
            <v>1880</v>
          </cell>
        </row>
        <row r="25">
          <cell r="R25">
            <v>0</v>
          </cell>
        </row>
      </sheetData>
      <sheetData sheetId="77" refreshError="1"/>
      <sheetData sheetId="78" refreshError="1"/>
      <sheetData sheetId="79" refreshError="1"/>
      <sheetData sheetId="80">
        <row r="25">
          <cell r="R25">
            <v>9</v>
          </cell>
        </row>
      </sheetData>
      <sheetData sheetId="81">
        <row r="24">
          <cell r="R24">
            <v>180.88</v>
          </cell>
        </row>
        <row r="25">
          <cell r="R25">
            <v>0</v>
          </cell>
        </row>
      </sheetData>
      <sheetData sheetId="82">
        <row r="24">
          <cell r="R24">
            <v>1</v>
          </cell>
        </row>
        <row r="25">
          <cell r="R25">
            <v>0</v>
          </cell>
        </row>
      </sheetData>
      <sheetData sheetId="83">
        <row r="24">
          <cell r="R24">
            <v>27.13</v>
          </cell>
        </row>
        <row r="25">
          <cell r="R25">
            <v>0</v>
          </cell>
        </row>
      </sheetData>
      <sheetData sheetId="84">
        <row r="25">
          <cell r="R25">
            <v>122.6</v>
          </cell>
        </row>
      </sheetData>
      <sheetData sheetId="85">
        <row r="26">
          <cell r="R26">
            <v>16.8</v>
          </cell>
        </row>
      </sheetData>
      <sheetData sheetId="86">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3.4.1.2</v>
          </cell>
          <cell r="C10" t="str">
            <v>COMP3 - ARMAÇÃO DO SISTEMA DE PAREDES DE CONCRETO COM TELA Q785</v>
          </cell>
          <cell r="D10" t="str">
            <v>PESO TOTAL (kg)</v>
          </cell>
          <cell r="G10" t="str">
            <v>PERCENTUAL (%)</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Aço do flutuante de Porto de Santana</v>
          </cell>
          <cell r="D12">
            <v>3966.02</v>
          </cell>
          <cell r="R12">
            <v>3966.02</v>
          </cell>
          <cell r="S12" t="str">
            <v>kg</v>
          </cell>
          <cell r="T12">
            <v>3</v>
          </cell>
        </row>
        <row r="24">
          <cell r="D24" t="str">
            <v>QUANTIDADE CONTRATUAL</v>
          </cell>
          <cell r="J24">
            <v>3966.02</v>
          </cell>
          <cell r="L24" t="str">
            <v>kg</v>
          </cell>
          <cell r="M24" t="str">
            <v xml:space="preserve">QUANTIDADE TOTAL ACUMULADA </v>
          </cell>
          <cell r="R24">
            <v>3966.02</v>
          </cell>
          <cell r="S24" t="str">
            <v>kg</v>
          </cell>
        </row>
        <row r="25">
          <cell r="D25" t="str">
            <v>AVANÇO</v>
          </cell>
          <cell r="J25">
            <v>1</v>
          </cell>
          <cell r="M25" t="str">
            <v>ACUMULADA ANTERIOR</v>
          </cell>
          <cell r="R25">
            <v>3966.02</v>
          </cell>
          <cell r="S25" t="str">
            <v>kg</v>
          </cell>
        </row>
        <row r="26">
          <cell r="A26" t="str">
            <v>3.4.1.2</v>
          </cell>
          <cell r="M26" t="str">
            <v>MEDIÇÃO LÍQUIDA</v>
          </cell>
          <cell r="R26">
            <v>0</v>
          </cell>
          <cell r="S26" t="str">
            <v>kg</v>
          </cell>
        </row>
        <row r="27">
          <cell r="M27" t="str">
            <v>PREÇO UNITÁRIO</v>
          </cell>
          <cell r="R27">
            <v>7.33</v>
          </cell>
        </row>
        <row r="28">
          <cell r="M28" t="str">
            <v>VALOR DA MEDIÇÃO</v>
          </cell>
          <cell r="R28">
            <v>0</v>
          </cell>
          <cell r="S28" t="str">
            <v>R$</v>
          </cell>
        </row>
      </sheetData>
      <sheetData sheetId="87">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3.4.1.4</v>
          </cell>
          <cell r="C10" t="str">
            <v>COMP18 - Cordoalha CP 190 RB D = 15,2 mm - fornecimento, preparo e colocação</v>
          </cell>
          <cell r="D10" t="str">
            <v>PESO TOTAL (kg)</v>
          </cell>
          <cell r="G10" t="str">
            <v>PERCENTUAL (%)</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Cordoalhas do flutuante de Proto de Santana</v>
          </cell>
          <cell r="D12">
            <v>73</v>
          </cell>
          <cell r="R12">
            <v>73</v>
          </cell>
          <cell r="S12" t="str">
            <v>kg</v>
          </cell>
          <cell r="T12">
            <v>2</v>
          </cell>
        </row>
        <row r="24">
          <cell r="D24" t="str">
            <v>QUANTIDADE CONTRATUAL</v>
          </cell>
          <cell r="J24">
            <v>73</v>
          </cell>
          <cell r="L24" t="str">
            <v>kg</v>
          </cell>
          <cell r="M24" t="str">
            <v xml:space="preserve">QUANTIDADE TOTAL ACUMULADA </v>
          </cell>
          <cell r="R24">
            <v>73</v>
          </cell>
          <cell r="S24" t="str">
            <v>kg</v>
          </cell>
        </row>
        <row r="25">
          <cell r="D25" t="str">
            <v>AVANÇO</v>
          </cell>
          <cell r="J25">
            <v>1</v>
          </cell>
          <cell r="M25" t="str">
            <v>ACUMULADA ANTERIOR</v>
          </cell>
          <cell r="R25">
            <v>73</v>
          </cell>
          <cell r="S25" t="str">
            <v>kg</v>
          </cell>
        </row>
        <row r="26">
          <cell r="A26" t="str">
            <v>3.4.1.4</v>
          </cell>
          <cell r="M26" t="str">
            <v>MEDIÇÃO LÍQUIDA</v>
          </cell>
          <cell r="R26">
            <v>0</v>
          </cell>
          <cell r="S26" t="str">
            <v>kg</v>
          </cell>
        </row>
        <row r="27">
          <cell r="M27" t="str">
            <v>PREÇO UNITÁRIO</v>
          </cell>
          <cell r="R27">
            <v>11.02</v>
          </cell>
        </row>
        <row r="28">
          <cell r="M28" t="str">
            <v>VALOR DA MEDIÇÃO</v>
          </cell>
          <cell r="R28">
            <v>0</v>
          </cell>
          <cell r="S28" t="str">
            <v>R$</v>
          </cell>
        </row>
      </sheetData>
      <sheetData sheetId="88">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3.4.1.6</v>
          </cell>
          <cell r="C10" t="str">
            <v>COMP40 - Poliestireno espandido (EPS) de alta densidade - fornecimento e instalação</v>
          </cell>
          <cell r="D10" t="str">
            <v>PESO TOTAL (kg)</v>
          </cell>
          <cell r="G10" t="str">
            <v>PERCENTUAL (%)</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EPS do flutuante de Porto de Santana</v>
          </cell>
          <cell r="G12">
            <v>1</v>
          </cell>
          <cell r="L12">
            <v>113.84</v>
          </cell>
          <cell r="R12">
            <v>113.84</v>
          </cell>
          <cell r="S12" t="str">
            <v>m3</v>
          </cell>
          <cell r="T12">
            <v>3</v>
          </cell>
        </row>
        <row r="24">
          <cell r="D24" t="str">
            <v>QUANTIDADE CONTRATUAL</v>
          </cell>
          <cell r="J24">
            <v>113.84</v>
          </cell>
          <cell r="L24" t="str">
            <v>m³</v>
          </cell>
          <cell r="M24" t="str">
            <v xml:space="preserve">QUANTIDADE TOTAL ACUMULADA </v>
          </cell>
          <cell r="R24">
            <v>113.84</v>
          </cell>
          <cell r="S24" t="str">
            <v>m³</v>
          </cell>
        </row>
        <row r="25">
          <cell r="D25" t="str">
            <v>AVANÇO</v>
          </cell>
          <cell r="J25">
            <v>1</v>
          </cell>
          <cell r="M25" t="str">
            <v>ACUMULADA ANTERIOR</v>
          </cell>
          <cell r="R25">
            <v>113.84</v>
          </cell>
          <cell r="S25" t="str">
            <v>m³</v>
          </cell>
        </row>
        <row r="26">
          <cell r="A26" t="str">
            <v>3.4.1.6</v>
          </cell>
          <cell r="M26" t="str">
            <v>MEDIÇÃO LÍQUIDA</v>
          </cell>
          <cell r="R26">
            <v>0</v>
          </cell>
          <cell r="S26" t="str">
            <v>m³</v>
          </cell>
        </row>
        <row r="27">
          <cell r="M27" t="str">
            <v>PREÇO UNITÁRIO</v>
          </cell>
          <cell r="R27">
            <v>641.15</v>
          </cell>
        </row>
        <row r="28">
          <cell r="M28" t="str">
            <v>VALOR DA MEDIÇÃO</v>
          </cell>
          <cell r="R28">
            <v>0</v>
          </cell>
          <cell r="S28" t="str">
            <v>R$</v>
          </cell>
        </row>
      </sheetData>
      <sheetData sheetId="89">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4.3.2.1</v>
          </cell>
          <cell r="C10" t="str">
            <v>COT14 - SONDAGEM A PERCUSSÃO COM ENSAIO SPT - INCLUSIVE MOBILIZAÇÃO E DESMOBILIZAÇÃO DE EQUIPAMENTO</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Sondagens SPT na sala de espera do Centro de Vitória</v>
          </cell>
        </row>
        <row r="13">
          <cell r="C13" t="str">
            <v>SP 01</v>
          </cell>
          <cell r="R13">
            <v>17</v>
          </cell>
          <cell r="S13" t="str">
            <v>m</v>
          </cell>
          <cell r="T13">
            <v>3</v>
          </cell>
          <cell r="U13" t="str">
            <v>Foram medidos somente 17 metros de comprimento de cada furo, o saldo foi inserido no item 3.3.2.1, referente a sondagem de Porto de Santana que teve o comprimento menor deixando saldo.</v>
          </cell>
        </row>
        <row r="14">
          <cell r="C14" t="str">
            <v>SP 02</v>
          </cell>
          <cell r="R14">
            <v>17</v>
          </cell>
          <cell r="S14" t="str">
            <v>m</v>
          </cell>
          <cell r="T14">
            <v>3</v>
          </cell>
        </row>
        <row r="15">
          <cell r="C15" t="str">
            <v>SP 03</v>
          </cell>
          <cell r="R15">
            <v>17</v>
          </cell>
          <cell r="S15" t="str">
            <v>m</v>
          </cell>
          <cell r="T15">
            <v>3</v>
          </cell>
        </row>
        <row r="16">
          <cell r="C16" t="str">
            <v>SP 04</v>
          </cell>
          <cell r="R16">
            <v>17</v>
          </cell>
          <cell r="S16" t="str">
            <v>m</v>
          </cell>
          <cell r="T16">
            <v>3</v>
          </cell>
        </row>
        <row r="17">
          <cell r="C17" t="str">
            <v>SP 05</v>
          </cell>
          <cell r="R17">
            <v>17</v>
          </cell>
          <cell r="S17" t="str">
            <v>m</v>
          </cell>
          <cell r="T17">
            <v>3</v>
          </cell>
        </row>
        <row r="18">
          <cell r="D18" t="str">
            <v>QUANTIDADE CONTRATUAL</v>
          </cell>
          <cell r="J18">
            <v>85</v>
          </cell>
          <cell r="L18" t="str">
            <v>M</v>
          </cell>
          <cell r="M18" t="str">
            <v xml:space="preserve">QUANTIDADE TOTAL ACUMULADA </v>
          </cell>
          <cell r="R18">
            <v>85</v>
          </cell>
          <cell r="S18" t="str">
            <v>M</v>
          </cell>
        </row>
        <row r="19">
          <cell r="D19" t="str">
            <v>AVANÇO</v>
          </cell>
          <cell r="J19">
            <v>1</v>
          </cell>
          <cell r="M19" t="str">
            <v>ACUMULADA ANTERIOR</v>
          </cell>
          <cell r="R19">
            <v>85</v>
          </cell>
          <cell r="S19" t="str">
            <v>M</v>
          </cell>
        </row>
        <row r="20">
          <cell r="A20" t="str">
            <v>4.3.2.1</v>
          </cell>
          <cell r="M20" t="str">
            <v>MEDIÇÃO LÍQUIDA</v>
          </cell>
          <cell r="R20">
            <v>0</v>
          </cell>
          <cell r="S20" t="str">
            <v>M</v>
          </cell>
        </row>
        <row r="21">
          <cell r="M21" t="str">
            <v>PREÇO UNITÁRIO</v>
          </cell>
          <cell r="R21">
            <v>462.96</v>
          </cell>
        </row>
        <row r="22">
          <cell r="M22" t="str">
            <v>VALOR DA MEDIÇÃO</v>
          </cell>
          <cell r="R22">
            <v>0</v>
          </cell>
          <cell r="S22" t="str">
            <v>R$</v>
          </cell>
        </row>
      </sheetData>
      <sheetData sheetId="90">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3.4.1.8</v>
          </cell>
          <cell r="C10" t="str">
            <v>COMP29 - Cabeço de amarração conforme especificações de projeto - fornecimento e instalação</v>
          </cell>
          <cell r="D10" t="str">
            <v>PESO TOTAL (kg)</v>
          </cell>
          <cell r="G10" t="str">
            <v>PERCENTUAL (%)</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Cabeços do flutuante de Porto de Santana</v>
          </cell>
          <cell r="M12">
            <v>2</v>
          </cell>
          <cell r="R12">
            <v>2</v>
          </cell>
          <cell r="S12" t="str">
            <v>und</v>
          </cell>
          <cell r="T12">
            <v>2</v>
          </cell>
        </row>
        <row r="24">
          <cell r="D24" t="str">
            <v>QUANTIDADE CONTRATUAL</v>
          </cell>
          <cell r="J24">
            <v>2</v>
          </cell>
          <cell r="L24" t="str">
            <v>un</v>
          </cell>
          <cell r="M24" t="str">
            <v xml:space="preserve">QUANTIDADE TOTAL ACUMULADA </v>
          </cell>
          <cell r="R24">
            <v>2</v>
          </cell>
          <cell r="S24" t="str">
            <v>un</v>
          </cell>
        </row>
        <row r="25">
          <cell r="D25" t="str">
            <v>AVANÇO</v>
          </cell>
          <cell r="J25">
            <v>1</v>
          </cell>
          <cell r="M25" t="str">
            <v>ACUMULADA ANTERIOR</v>
          </cell>
          <cell r="R25">
            <v>2</v>
          </cell>
          <cell r="S25" t="str">
            <v>un</v>
          </cell>
        </row>
        <row r="26">
          <cell r="A26" t="str">
            <v>3.4.1.8</v>
          </cell>
          <cell r="M26" t="str">
            <v>MEDIÇÃO LÍQUIDA</v>
          </cell>
          <cell r="R26">
            <v>0</v>
          </cell>
          <cell r="S26" t="str">
            <v>un</v>
          </cell>
        </row>
        <row r="27">
          <cell r="M27" t="str">
            <v>PREÇO UNITÁRIO</v>
          </cell>
          <cell r="R27">
            <v>5478.19</v>
          </cell>
        </row>
        <row r="28">
          <cell r="M28" t="str">
            <v>VALOR DA MEDIÇÃO</v>
          </cell>
          <cell r="R28">
            <v>0</v>
          </cell>
          <cell r="S28" t="str">
            <v>R$</v>
          </cell>
        </row>
      </sheetData>
      <sheetData sheetId="91">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3.5.1.1</v>
          </cell>
          <cell r="C10" t="str">
            <v>COMP22 - Passarela metálica conforme especificações de projeto - fornecimento e instalação</v>
          </cell>
          <cell r="D10" t="str">
            <v>PERCENTUAL (%)</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Passarela de Porto de Santana</v>
          </cell>
          <cell r="R12">
            <v>0</v>
          </cell>
          <cell r="S12" t="str">
            <v>und</v>
          </cell>
          <cell r="T12">
            <v>2</v>
          </cell>
        </row>
        <row r="28">
          <cell r="D28" t="str">
            <v>QUANTIDADE CONTRATUAL</v>
          </cell>
          <cell r="J28">
            <v>1</v>
          </cell>
          <cell r="L28" t="str">
            <v>und</v>
          </cell>
          <cell r="M28" t="str">
            <v xml:space="preserve">QUANTIDADE TOTAL ACUMULADA </v>
          </cell>
          <cell r="R28">
            <v>0</v>
          </cell>
          <cell r="S28" t="str">
            <v>und</v>
          </cell>
        </row>
        <row r="29">
          <cell r="D29" t="str">
            <v>AVANÇO</v>
          </cell>
          <cell r="J29">
            <v>0</v>
          </cell>
          <cell r="M29" t="str">
            <v>ACUMULADA ANTERIOR</v>
          </cell>
          <cell r="R29">
            <v>0</v>
          </cell>
          <cell r="S29" t="str">
            <v>und</v>
          </cell>
        </row>
        <row r="30">
          <cell r="A30" t="str">
            <v>3.5.1.1</v>
          </cell>
          <cell r="M30" t="str">
            <v>MEDIÇÃO LÍQUIDA</v>
          </cell>
          <cell r="R30">
            <v>0</v>
          </cell>
          <cell r="S30" t="str">
            <v>und</v>
          </cell>
        </row>
        <row r="31">
          <cell r="M31" t="str">
            <v>PREÇO UNITÁRIO</v>
          </cell>
          <cell r="R31">
            <v>409453.83</v>
          </cell>
        </row>
        <row r="32">
          <cell r="M32" t="str">
            <v>VALOR DA MEDIÇÃO</v>
          </cell>
          <cell r="R32">
            <v>0</v>
          </cell>
          <cell r="S32" t="str">
            <v>R$</v>
          </cell>
        </row>
      </sheetData>
      <sheetData sheetId="92">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4.4.3.1</v>
          </cell>
          <cell r="C10" t="str">
            <v>COT17 - SONDAGEM ROTATIVA EM LÂMINA D'ÁGUA (CENTRO DE VITÓRIA) - INCLUSIVE MOBILIZAÇÃO E DESMOBILIZAÇÃO DE EQUIPAMENTO</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Sondagens rotativas  no Centro de Vitória</v>
          </cell>
        </row>
        <row r="13">
          <cell r="C13" t="str">
            <v>SR 01</v>
          </cell>
          <cell r="R13">
            <v>1</v>
          </cell>
          <cell r="S13" t="str">
            <v>und</v>
          </cell>
          <cell r="T13">
            <v>3</v>
          </cell>
        </row>
        <row r="14">
          <cell r="C14" t="str">
            <v>SR 02</v>
          </cell>
          <cell r="R14">
            <v>1</v>
          </cell>
          <cell r="S14" t="str">
            <v>und</v>
          </cell>
          <cell r="T14">
            <v>3</v>
          </cell>
        </row>
        <row r="28">
          <cell r="D28" t="str">
            <v>QUANTIDADE CONTRATUAL</v>
          </cell>
          <cell r="J28">
            <v>2</v>
          </cell>
          <cell r="L28" t="str">
            <v>UN</v>
          </cell>
          <cell r="M28" t="str">
            <v xml:space="preserve">QUANTIDADE TOTAL ACUMULADA </v>
          </cell>
          <cell r="R28">
            <v>2</v>
          </cell>
          <cell r="S28" t="str">
            <v>UN</v>
          </cell>
        </row>
        <row r="29">
          <cell r="D29" t="str">
            <v>AVANÇO</v>
          </cell>
          <cell r="J29">
            <v>1</v>
          </cell>
          <cell r="M29" t="str">
            <v>ACUMULADA ANTERIOR</v>
          </cell>
          <cell r="R29">
            <v>2</v>
          </cell>
          <cell r="S29" t="str">
            <v>UN</v>
          </cell>
        </row>
        <row r="30">
          <cell r="A30" t="str">
            <v>4.4.3.1</v>
          </cell>
          <cell r="M30" t="str">
            <v>MEDIÇÃO LÍQUIDA</v>
          </cell>
          <cell r="R30">
            <v>0</v>
          </cell>
          <cell r="S30" t="str">
            <v>UN</v>
          </cell>
        </row>
        <row r="31">
          <cell r="M31" t="str">
            <v>PREÇO UNITÁRIO</v>
          </cell>
          <cell r="R31">
            <v>16620.009999999998</v>
          </cell>
        </row>
        <row r="32">
          <cell r="M32" t="str">
            <v>VALOR DA MEDIÇÃO</v>
          </cell>
          <cell r="R32">
            <v>0</v>
          </cell>
          <cell r="S32" t="str">
            <v>R$</v>
          </cell>
        </row>
      </sheetData>
      <sheetData sheetId="93">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5.4.1.1</v>
          </cell>
          <cell r="C10" t="str">
            <v>40405 - Fôrma com chapa compensada plastificada esp. 12mm, utização 5 vezes</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Formas da laje de fundo e formas das paredes</v>
          </cell>
          <cell r="K12">
            <v>341</v>
          </cell>
          <cell r="R12">
            <v>341</v>
          </cell>
          <cell r="S12" t="str">
            <v>m2</v>
          </cell>
          <cell r="T12">
            <v>3</v>
          </cell>
        </row>
        <row r="23">
          <cell r="D23" t="str">
            <v>QUANTIDADE CONTRATUAL</v>
          </cell>
          <cell r="J23">
            <v>341</v>
          </cell>
          <cell r="L23" t="str">
            <v>m2</v>
          </cell>
          <cell r="M23" t="str">
            <v xml:space="preserve">QUANTIDADE TOTAL ACUMULADA </v>
          </cell>
          <cell r="R23">
            <v>341</v>
          </cell>
          <cell r="S23" t="str">
            <v>m2</v>
          </cell>
        </row>
        <row r="24">
          <cell r="D24" t="str">
            <v>AVANÇO</v>
          </cell>
          <cell r="J24">
            <v>1</v>
          </cell>
          <cell r="M24" t="str">
            <v>ACUMULADA ANTERIOR</v>
          </cell>
          <cell r="R24">
            <v>341</v>
          </cell>
          <cell r="S24" t="str">
            <v>m2</v>
          </cell>
        </row>
        <row r="25">
          <cell r="A25" t="str">
            <v>5.4.1.1</v>
          </cell>
          <cell r="M25" t="str">
            <v>MEDIÇÃO LÍQUIDA</v>
          </cell>
          <cell r="R25">
            <v>0</v>
          </cell>
          <cell r="S25" t="str">
            <v>m2</v>
          </cell>
        </row>
        <row r="26">
          <cell r="M26" t="str">
            <v>PREÇO UNITÁRIO</v>
          </cell>
          <cell r="R26">
            <v>86.33</v>
          </cell>
        </row>
        <row r="27">
          <cell r="M27" t="str">
            <v>VALOR DA MEDIÇÃO</v>
          </cell>
          <cell r="R27">
            <v>0</v>
          </cell>
          <cell r="S27" t="str">
            <v>R$</v>
          </cell>
        </row>
      </sheetData>
      <sheetData sheetId="94">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5.1.1.1</v>
          </cell>
          <cell r="C10" t="str">
            <v>20305 - Placa de obra nas dimensões de 2.0 x 4.0 m, padrão IOPES</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Placa de obra</v>
          </cell>
          <cell r="D12">
            <v>4</v>
          </cell>
          <cell r="J12">
            <v>2</v>
          </cell>
          <cell r="R12">
            <v>8</v>
          </cell>
          <cell r="S12" t="str">
            <v>und</v>
          </cell>
          <cell r="T12">
            <v>2</v>
          </cell>
        </row>
        <row r="23">
          <cell r="D23" t="str">
            <v>QUANTIDADE CONTRATUAL</v>
          </cell>
          <cell r="J23">
            <v>8</v>
          </cell>
          <cell r="L23" t="str">
            <v>m2</v>
          </cell>
          <cell r="M23" t="str">
            <v xml:space="preserve">QUANTIDADE TOTAL ACUMULADA </v>
          </cell>
          <cell r="R23">
            <v>8</v>
          </cell>
          <cell r="S23" t="str">
            <v>m2</v>
          </cell>
        </row>
        <row r="24">
          <cell r="D24" t="str">
            <v>AVANÇO</v>
          </cell>
          <cell r="J24">
            <v>1</v>
          </cell>
          <cell r="M24" t="str">
            <v>ACUMULADA ANTERIOR</v>
          </cell>
          <cell r="R24">
            <v>8</v>
          </cell>
          <cell r="S24" t="str">
            <v>m2</v>
          </cell>
        </row>
        <row r="25">
          <cell r="A25" t="str">
            <v>5.1.1.1</v>
          </cell>
          <cell r="M25" t="str">
            <v>MEDIÇÃO LÍQUIDA</v>
          </cell>
          <cell r="R25">
            <v>0</v>
          </cell>
          <cell r="S25" t="str">
            <v>m2</v>
          </cell>
        </row>
        <row r="26">
          <cell r="M26" t="str">
            <v>PREÇO UNITÁRIO</v>
          </cell>
          <cell r="R26">
            <v>222.96</v>
          </cell>
        </row>
        <row r="27">
          <cell r="M27" t="str">
            <v>VALOR DA MEDIÇÃO</v>
          </cell>
          <cell r="R27">
            <v>0</v>
          </cell>
          <cell r="S27" t="str">
            <v>R$</v>
          </cell>
        </row>
      </sheetData>
      <sheetData sheetId="95" refreshError="1"/>
      <sheetData sheetId="96">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5.4.1.3</v>
          </cell>
          <cell r="C10" t="str">
            <v>40328 - Fornecimento, dobragem e colocação em fôrma, de armadura CA-50 A média, diâmetro de 6.3 a 10.0 mm</v>
          </cell>
          <cell r="D10" t="str">
            <v>PESO TOTAL (kg)</v>
          </cell>
          <cell r="G10" t="str">
            <v>PERCENTUAL (%)</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Aço do flutuante de Porto de Santana conforme projeto</v>
          </cell>
          <cell r="D12">
            <v>1880</v>
          </cell>
          <cell r="G12">
            <v>1</v>
          </cell>
          <cell r="R12">
            <v>1880</v>
          </cell>
          <cell r="S12" t="str">
            <v>kg</v>
          </cell>
          <cell r="T12">
            <v>3</v>
          </cell>
        </row>
        <row r="24">
          <cell r="D24" t="str">
            <v>QUANTIDADE CONTRATUAL</v>
          </cell>
          <cell r="J24">
            <v>1880</v>
          </cell>
          <cell r="L24" t="str">
            <v>kg</v>
          </cell>
          <cell r="M24" t="str">
            <v xml:space="preserve">QUANTIDADE TOTAL ACUMULADA </v>
          </cell>
          <cell r="R24">
            <v>1880</v>
          </cell>
          <cell r="S24" t="str">
            <v>kg</v>
          </cell>
        </row>
        <row r="25">
          <cell r="D25" t="str">
            <v>AVANÇO</v>
          </cell>
          <cell r="J25">
            <v>1</v>
          </cell>
          <cell r="M25" t="str">
            <v>ACUMULADA ANTERIOR</v>
          </cell>
          <cell r="R25">
            <v>1880</v>
          </cell>
          <cell r="S25" t="str">
            <v>kg</v>
          </cell>
        </row>
        <row r="26">
          <cell r="A26" t="str">
            <v>5.4.1.3</v>
          </cell>
          <cell r="M26" t="str">
            <v>MEDIÇÃO LÍQUIDA</v>
          </cell>
          <cell r="R26">
            <v>0</v>
          </cell>
          <cell r="S26" t="str">
            <v>kg</v>
          </cell>
        </row>
        <row r="27">
          <cell r="M27" t="str">
            <v>PREÇO UNITÁRIO</v>
          </cell>
          <cell r="R27">
            <v>7.98</v>
          </cell>
        </row>
        <row r="28">
          <cell r="M28" t="str">
            <v>VALOR DA MEDIÇÃO</v>
          </cell>
          <cell r="R28">
            <v>0</v>
          </cell>
          <cell r="S28" t="str">
            <v>R$</v>
          </cell>
        </row>
      </sheetData>
      <sheetData sheetId="97">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5.4.1.4</v>
          </cell>
          <cell r="C10" t="str">
            <v>COMP18 - Cordoalha CP 190 RB D = 15,2 mm - fornecimento, preparo e colocação</v>
          </cell>
          <cell r="D10" t="str">
            <v>PESO TOTAL (kg)</v>
          </cell>
          <cell r="G10" t="str">
            <v>PERCENTUAL (%)</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Cordoalhas para içamento</v>
          </cell>
          <cell r="D12">
            <v>73</v>
          </cell>
          <cell r="R12">
            <v>73</v>
          </cell>
          <cell r="S12" t="str">
            <v>kg</v>
          </cell>
          <cell r="T12">
            <v>3</v>
          </cell>
        </row>
        <row r="24">
          <cell r="D24" t="str">
            <v>QUANTIDADE CONTRATUAL</v>
          </cell>
          <cell r="J24">
            <v>73</v>
          </cell>
          <cell r="L24" t="str">
            <v>kg</v>
          </cell>
          <cell r="M24" t="str">
            <v xml:space="preserve">QUANTIDADE TOTAL ACUMULADA </v>
          </cell>
          <cell r="R24">
            <v>73</v>
          </cell>
          <cell r="S24" t="str">
            <v>kg</v>
          </cell>
        </row>
        <row r="25">
          <cell r="D25" t="str">
            <v>AVANÇO</v>
          </cell>
          <cell r="J25">
            <v>1</v>
          </cell>
          <cell r="M25" t="str">
            <v>ACUMULADA ANTERIOR</v>
          </cell>
          <cell r="R25">
            <v>73</v>
          </cell>
          <cell r="S25" t="str">
            <v>kg</v>
          </cell>
        </row>
        <row r="26">
          <cell r="A26" t="str">
            <v>5.4.1.4</v>
          </cell>
          <cell r="M26" t="str">
            <v>MEDIÇÃO LÍQUIDA</v>
          </cell>
          <cell r="R26">
            <v>0</v>
          </cell>
          <cell r="S26" t="str">
            <v>kg</v>
          </cell>
        </row>
        <row r="27">
          <cell r="M27" t="str">
            <v>PREÇO UNITÁRIO</v>
          </cell>
          <cell r="R27">
            <v>11.02</v>
          </cell>
        </row>
        <row r="28">
          <cell r="M28" t="str">
            <v>VALOR DA MEDIÇÃO</v>
          </cell>
          <cell r="R28">
            <v>0</v>
          </cell>
          <cell r="S28" t="str">
            <v>R$</v>
          </cell>
        </row>
      </sheetData>
      <sheetData sheetId="98" refreshError="1"/>
      <sheetData sheetId="99">
        <row r="24">
          <cell r="R24">
            <v>584</v>
          </cell>
        </row>
        <row r="25">
          <cell r="R25">
            <v>0</v>
          </cell>
        </row>
      </sheetData>
      <sheetData sheetId="100" refreshError="1"/>
      <sheetData sheetId="101" refreshError="1"/>
      <sheetData sheetId="102" refreshError="1"/>
      <sheetData sheetId="103" refreshError="1"/>
      <sheetData sheetId="104" refreshError="1"/>
      <sheetData sheetId="105" refreshError="1"/>
      <sheetData sheetId="106" refreshError="1"/>
      <sheetData sheetId="107">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5.3.2.1</v>
          </cell>
          <cell r="C10" t="str">
            <v>COT14 - SONDAGEM A PERCUSSÃO COM ENSAIO SPT - INCLUSIVE MOBILIZAÇÃO E DESMOBILIZAÇÃO DE EQUIPAMENTO</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12">
          <cell r="C12" t="str">
            <v>Sondagens SPT na sala de espera da Prainha conforme boletins</v>
          </cell>
        </row>
        <row r="13">
          <cell r="C13" t="str">
            <v>SPT 01</v>
          </cell>
          <cell r="D13">
            <v>27.45</v>
          </cell>
          <cell r="R13">
            <v>17</v>
          </cell>
          <cell r="S13" t="str">
            <v>m</v>
          </cell>
          <cell r="T13">
            <v>1</v>
          </cell>
          <cell r="U13" t="str">
            <v>Foram medidos somente 17 metros de comprimento de cada furo, o saldo foi inserido no item 3.3.2.1, referente a sondagem de Porto de Santana que teve o comprimento menor deixando saldo.</v>
          </cell>
        </row>
        <row r="14">
          <cell r="C14" t="str">
            <v>SPT 02</v>
          </cell>
          <cell r="D14">
            <v>17.45</v>
          </cell>
          <cell r="R14">
            <v>17</v>
          </cell>
          <cell r="S14" t="str">
            <v>m</v>
          </cell>
          <cell r="T14">
            <v>1</v>
          </cell>
        </row>
        <row r="15">
          <cell r="C15" t="str">
            <v>SPT 03</v>
          </cell>
          <cell r="D15">
            <v>26.45</v>
          </cell>
          <cell r="R15">
            <v>17</v>
          </cell>
          <cell r="S15" t="str">
            <v>m</v>
          </cell>
          <cell r="T15">
            <v>1</v>
          </cell>
        </row>
        <row r="16">
          <cell r="C16" t="str">
            <v>SPT 04</v>
          </cell>
          <cell r="D16">
            <v>25.45</v>
          </cell>
          <cell r="R16">
            <v>17</v>
          </cell>
          <cell r="S16" t="str">
            <v>m</v>
          </cell>
          <cell r="T16">
            <v>1</v>
          </cell>
        </row>
        <row r="17">
          <cell r="C17" t="str">
            <v>SPT 05</v>
          </cell>
          <cell r="D17">
            <v>27.45</v>
          </cell>
          <cell r="R17">
            <v>17</v>
          </cell>
          <cell r="S17" t="str">
            <v>m</v>
          </cell>
          <cell r="T17">
            <v>1</v>
          </cell>
        </row>
        <row r="28">
          <cell r="D28" t="str">
            <v>QUANTIDADE CONTRATUAL</v>
          </cell>
          <cell r="J28">
            <v>85</v>
          </cell>
          <cell r="L28" t="str">
            <v>M</v>
          </cell>
          <cell r="M28" t="str">
            <v xml:space="preserve">QUANTIDADE TOTAL ACUMULADA </v>
          </cell>
          <cell r="R28">
            <v>85</v>
          </cell>
          <cell r="S28" t="str">
            <v>M</v>
          </cell>
        </row>
        <row r="29">
          <cell r="D29" t="str">
            <v>AVANÇO</v>
          </cell>
          <cell r="J29">
            <v>1</v>
          </cell>
          <cell r="M29" t="str">
            <v>ACUMULADA ANTERIOR</v>
          </cell>
          <cell r="R29">
            <v>85</v>
          </cell>
          <cell r="S29" t="str">
            <v>M</v>
          </cell>
        </row>
        <row r="30">
          <cell r="A30" t="str">
            <v>5.3.2.1</v>
          </cell>
          <cell r="M30" t="str">
            <v>MEDIÇÃO LÍQUIDA</v>
          </cell>
          <cell r="R30">
            <v>0</v>
          </cell>
          <cell r="S30" t="str">
            <v>M</v>
          </cell>
        </row>
        <row r="31">
          <cell r="M31" t="str">
            <v>PREÇO UNITÁRIO</v>
          </cell>
          <cell r="R31">
            <v>462.96</v>
          </cell>
        </row>
        <row r="32">
          <cell r="M32" t="str">
            <v>VALOR DA MEDIÇÃO</v>
          </cell>
          <cell r="R32">
            <v>0</v>
          </cell>
          <cell r="S32" t="str">
            <v>R$</v>
          </cell>
        </row>
      </sheetData>
      <sheetData sheetId="108">
        <row r="1">
          <cell r="B1" t="str">
            <v xml:space="preserve">GOVERNO DO ESTADO DO ESPÍRITO SANTO
Secretaria do Estado de Mobilidade e Infraestrutura- SEMOBI
</v>
          </cell>
        </row>
        <row r="5">
          <cell r="B5" t="str">
            <v>INFORMAÇÕES GERAIS DA MEDIÇÃO</v>
          </cell>
          <cell r="J5" t="str">
            <v>CONTRATO DE EMPREITEIRA</v>
          </cell>
        </row>
        <row r="6">
          <cell r="B6" t="str">
            <v>DESCRIÇÃO:</v>
          </cell>
          <cell r="C6" t="str">
            <v>Execução de quatro pontos de embarque e desembarque do sistema aquaviário</v>
          </cell>
          <cell r="J6" t="str">
            <v xml:space="preserve">EMPREITEIRA:  </v>
          </cell>
          <cell r="L6" t="str">
            <v>AMF Engenharia e Serviços Ltda.</v>
          </cell>
        </row>
        <row r="7">
          <cell r="J7" t="str">
            <v xml:space="preserve">CONTRATO N°: </v>
          </cell>
          <cell r="L7" t="str">
            <v>06/2021</v>
          </cell>
        </row>
        <row r="8">
          <cell r="B8" t="str">
            <v>MEDIÇÃO:</v>
          </cell>
          <cell r="C8">
            <v>7</v>
          </cell>
          <cell r="J8" t="str">
            <v xml:space="preserve">ASSINATURA: </v>
          </cell>
          <cell r="L8">
            <v>44349</v>
          </cell>
        </row>
        <row r="9">
          <cell r="B9" t="str">
            <v>PERÍODO:</v>
          </cell>
          <cell r="C9" t="str">
            <v>01/04/2022 a 30/04/2022</v>
          </cell>
          <cell r="J9" t="str">
            <v xml:space="preserve">INÍCIO DOS SERVIÇOS: </v>
          </cell>
          <cell r="L9">
            <v>44473</v>
          </cell>
        </row>
        <row r="10">
          <cell r="B10" t="str">
            <v>5.5.1.1</v>
          </cell>
          <cell r="C10" t="str">
            <v>COMP22 - Passarela metálica conforme especificações de projeto - fornecimento e instalação</v>
          </cell>
          <cell r="D10" t="str">
            <v>COMPRIM. (m)</v>
          </cell>
          <cell r="G10" t="str">
            <v>LARGURA (m)</v>
          </cell>
          <cell r="J10" t="str">
            <v>ALTURA (m)</v>
          </cell>
          <cell r="K10" t="str">
            <v>ÁREA (m2)</v>
          </cell>
          <cell r="L10" t="str">
            <v>VOLUME (m3)</v>
          </cell>
          <cell r="M10" t="str">
            <v>QUANT. (und)</v>
          </cell>
          <cell r="R10" t="str">
            <v>QUANT. A MEDIR</v>
          </cell>
          <cell r="S10" t="str">
            <v>UND</v>
          </cell>
          <cell r="T10" t="str">
            <v>MEDIÇÃO</v>
          </cell>
          <cell r="U10" t="str">
            <v>OBSERVAÇÕES</v>
          </cell>
        </row>
        <row r="28">
          <cell r="D28" t="str">
            <v>QUANTIDADE CONTRATUAL</v>
          </cell>
          <cell r="J28">
            <v>1</v>
          </cell>
          <cell r="L28" t="str">
            <v>und</v>
          </cell>
          <cell r="M28" t="str">
            <v xml:space="preserve">QUANTIDADE TOTAL ACUMULADA </v>
          </cell>
          <cell r="R28">
            <v>0</v>
          </cell>
          <cell r="S28" t="str">
            <v>und</v>
          </cell>
        </row>
        <row r="29">
          <cell r="D29" t="str">
            <v>AVANÇO</v>
          </cell>
          <cell r="J29">
            <v>0</v>
          </cell>
          <cell r="M29" t="str">
            <v>ACUMULADA ANTERIOR</v>
          </cell>
          <cell r="R29">
            <v>0</v>
          </cell>
          <cell r="S29" t="str">
            <v>und</v>
          </cell>
        </row>
        <row r="30">
          <cell r="A30" t="str">
            <v>5.5.1.1</v>
          </cell>
          <cell r="M30" t="str">
            <v>MEDIÇÃO LÍQUIDA</v>
          </cell>
          <cell r="R30">
            <v>0</v>
          </cell>
          <cell r="S30" t="str">
            <v>und</v>
          </cell>
        </row>
        <row r="31">
          <cell r="M31" t="str">
            <v>PREÇO UNITÁRIO</v>
          </cell>
          <cell r="R31">
            <v>409453.83</v>
          </cell>
        </row>
        <row r="32">
          <cell r="M32" t="str">
            <v>VALOR DA MEDIÇÃO</v>
          </cell>
          <cell r="R32">
            <v>0</v>
          </cell>
          <cell r="S32" t="str">
            <v>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DE QUANT_ E CUSTOS A"/>
      <sheetName val="ENTRADA DE DADOS (2)"/>
      <sheetName val="RESUMO GERAL (2)"/>
      <sheetName val="DISTRIBUICAO (2)"/>
      <sheetName val="FORMULAS NÃO MEXER (2)"/>
      <sheetName val="TERRAP EST 1871 A 2169 (2)"/>
      <sheetName val="ENTRADA DE DADOS"/>
      <sheetName val="RESUMO GERAL"/>
      <sheetName val="DISTRIBUICAO"/>
      <sheetName val="FORMULAS NÃO MEXER"/>
      <sheetName val="Plan1 (2)"/>
      <sheetName val="REL. EMP. LAT."/>
      <sheetName val="CORTE PISTA"/>
      <sheetName val=" EMPR. LE"/>
      <sheetName val=" EMPR. LD"/>
      <sheetName val=" ATERRO 100%"/>
      <sheetName val=" ATERRO 95%"/>
      <sheetName val="Plan4"/>
      <sheetName val="JUN. 01"/>
      <sheetName val="resumo"/>
      <sheetName val="Plan1"/>
      <sheetName val="Plan3"/>
      <sheetName val="Plan2"/>
      <sheetName val=" ATER. A 100%(SUB.)"/>
      <sheetName val="PLANILHA DE QUANT. E CUSTOS A"/>
      <sheetName val="SERVIÇOS"/>
      <sheetName val="Dados não apagar"/>
      <sheetName val="DISTRIBUIÇÃO VOLUMES"/>
      <sheetName val="PLANILHA"/>
      <sheetName val="LIMPEZA LD"/>
      <sheetName val="ATERRO 95% LD"/>
      <sheetName val="REBAIXO LD"/>
      <sheetName val="CORTE LD"/>
      <sheetName val="CORTE LE"/>
      <sheetName val="RACHÃO LD"/>
      <sheetName val="RACHÃO LE"/>
      <sheetName val="COLCHÃO LD"/>
      <sheetName val="ATERRO 100% LD "/>
      <sheetName val="ESCAVAÇAO VALA LD"/>
      <sheetName val="REMOÇÃO CERCA LD"/>
      <sheetName val="ATERRO 100% LE"/>
      <sheetName val="REMOÇÃO DE CERCA"/>
      <sheetName val="CUBAÇÃO CORTE EMPRESTIMO Km 397"/>
      <sheetName val="CUBAÇÃO CORTE EMPRESTIMO Km 401"/>
      <sheetName val="ATERRO 95% LE"/>
      <sheetName val="REBAIXO LE"/>
      <sheetName val="COLCHÃO LE"/>
      <sheetName val="EXECUÇÃO DE CERCA"/>
      <sheetName val="DESTOC. ARVORES"/>
      <sheetName val="DIVERSOS"/>
      <sheetName val="DADOS"/>
      <sheetName val="eq"/>
      <sheetName val="mo"/>
      <sheetName val="CUSTO HORÁRIO"/>
      <sheetName val="Mão de obra"/>
      <sheetName val="Mater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or Out. 2001 - BDI=20% Ajust"/>
      <sheetName val="Biblioteca Out. 2001 - BDI=20%"/>
      <sheetName val=" Salas OUT 2001 COM BDI 20%"/>
      <sheetName val="Lab cienc nat BRASILIA"/>
      <sheetName val="CRONOGRAMA - 120 Dias"/>
      <sheetName val="Refor Out_ 2001 _ BDI_20_ Ajust"/>
      <sheetName val="Refor_Out__2001_-_BDI=20%_Ajust"/>
      <sheetName val="Biblioteca_Out__2001_-_BDI=20%"/>
      <sheetName val="_Salas_OUT_2001_COM_BDI_20%"/>
      <sheetName val="Lab_cienc_nat_BRASILIA"/>
      <sheetName val="CRONOGRAMA_-_120_Dias"/>
      <sheetName val="Refor_Out__2001___BDI_20__Ajust"/>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da"/>
      <sheetName val="Plan1"/>
      <sheetName val="Resumo"/>
      <sheetName val="BAIXO GUANDU ITAIMBE"/>
      <sheetName val="cff1"/>
      <sheetName val="ITAIMBE ITAGUACU"/>
      <sheetName val="cff2"/>
      <sheetName val="BAIXO GUANDU AIMORES"/>
      <sheetName val="Tudo"/>
      <sheetName val="cff3"/>
      <sheetName val="abc ápia"/>
      <sheetName val="abc órgão"/>
      <sheetName val="consolidada"/>
      <sheetName val="MEMOR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ELET&amp;AC"/>
      <sheetName val="Cabos"/>
      <sheetName val="ATERR"/>
      <sheetName val="ILUM"/>
      <sheetName val="Memoria"/>
      <sheetName val="Paineis"/>
      <sheetName val="Lista Cabos Compras"/>
      <sheetName val="Lista Cabos Compras (Apoio)"/>
      <sheetName val="Lista Materiais"/>
      <sheetName val="DADOS"/>
      <sheetName val="Anexos"/>
      <sheetName val="Capa  LISTA CAB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udo"/>
      <sheetName val="Plan1"/>
      <sheetName val="LISTAS"/>
      <sheetName val="Plan2"/>
    </sheetNames>
    <sheetDataSet>
      <sheetData sheetId="0"/>
      <sheetData sheetId="1">
        <row r="2">
          <cell r="A2" t="str">
            <v>OBJETIVO</v>
          </cell>
        </row>
        <row r="3">
          <cell r="A3" t="str">
            <v>Valor de Mercado</v>
          </cell>
        </row>
        <row r="4">
          <cell r="A4" t="str">
            <v>Liquidação Forçada</v>
          </cell>
        </row>
        <row r="5">
          <cell r="A5" t="str">
            <v>Valor de Desmonte</v>
          </cell>
        </row>
        <row r="6">
          <cell r="A6" t="str">
            <v>Valor em Risco</v>
          </cell>
        </row>
        <row r="7">
          <cell r="A7" t="str">
            <v>Outros</v>
          </cell>
        </row>
        <row r="8">
          <cell r="A8" t="str">
            <v>FINALIDADE</v>
          </cell>
        </row>
        <row r="9">
          <cell r="A9" t="str">
            <v>Alienação</v>
          </cell>
        </row>
        <row r="10">
          <cell r="A10" t="str">
            <v>Aquisição</v>
          </cell>
        </row>
        <row r="11">
          <cell r="A11" t="str">
            <v>Arrematação/Adjudicação</v>
          </cell>
        </row>
        <row r="12">
          <cell r="A12" t="str">
            <v>Doação</v>
          </cell>
        </row>
        <row r="13">
          <cell r="A13" t="str">
            <v>Dação em Pagamento</v>
          </cell>
        </row>
        <row r="14">
          <cell r="A14" t="str">
            <v>Garantia de Operação</v>
          </cell>
        </row>
        <row r="15">
          <cell r="A15" t="str">
            <v>Locação</v>
          </cell>
        </row>
        <row r="16">
          <cell r="A16" t="str">
            <v>Levantamento Patrimonial</v>
          </cell>
        </row>
        <row r="17">
          <cell r="A17" t="str">
            <v>Permuta</v>
          </cell>
        </row>
        <row r="18">
          <cell r="A18" t="str">
            <v>Taxa de Ocupação Funcional</v>
          </cell>
        </row>
        <row r="21">
          <cell r="A21" t="str">
            <v>PADRAO_CONST_PREDOM</v>
          </cell>
        </row>
        <row r="22">
          <cell r="A22" t="str">
            <v>Alto</v>
          </cell>
        </row>
        <row r="23">
          <cell r="A23" t="str">
            <v>Normal</v>
          </cell>
        </row>
        <row r="24">
          <cell r="A24" t="str">
            <v>Baixo</v>
          </cell>
        </row>
        <row r="25">
          <cell r="A25" t="str">
            <v>Proletário</v>
          </cell>
        </row>
        <row r="26">
          <cell r="A26" t="str">
            <v>CONDICOES_ACESSO</v>
          </cell>
        </row>
        <row r="27">
          <cell r="A27" t="str">
            <v>Bom/Satisfatório</v>
          </cell>
        </row>
        <row r="28">
          <cell r="A28" t="str">
            <v>Regular</v>
          </cell>
        </row>
        <row r="29">
          <cell r="A29" t="str">
            <v>Ruim/Insatisfatório</v>
          </cell>
        </row>
        <row r="30">
          <cell r="A30" t="str">
            <v>FACILID_ESTACIONAMENTO</v>
          </cell>
        </row>
        <row r="31">
          <cell r="A31" t="str">
            <v>Bom/Satisfatório</v>
          </cell>
        </row>
        <row r="32">
          <cell r="A32" t="str">
            <v>Regular</v>
          </cell>
        </row>
        <row r="33">
          <cell r="A33" t="str">
            <v>Ruim/Insatisfatório</v>
          </cell>
        </row>
        <row r="34">
          <cell r="A34" t="str">
            <v>DENSIDADE_HABITACIONAL</v>
          </cell>
        </row>
        <row r="35">
          <cell r="A35" t="str">
            <v>Alta</v>
          </cell>
        </row>
        <row r="36">
          <cell r="A36" t="str">
            <v>Média</v>
          </cell>
        </row>
        <row r="37">
          <cell r="A37" t="str">
            <v>Baixa</v>
          </cell>
        </row>
        <row r="38">
          <cell r="A38" t="str">
            <v>RESTRICOES</v>
          </cell>
        </row>
        <row r="39">
          <cell r="A39" t="str">
            <v>Físicas</v>
          </cell>
        </row>
        <row r="40">
          <cell r="A40" t="str">
            <v>Ambientais</v>
          </cell>
        </row>
        <row r="41">
          <cell r="A41" t="str">
            <v>Legais</v>
          </cell>
        </row>
        <row r="42">
          <cell r="A42" t="str">
            <v>Socioeconômicas</v>
          </cell>
        </row>
        <row r="43">
          <cell r="A43" t="str">
            <v>Nenhuma</v>
          </cell>
        </row>
        <row r="46">
          <cell r="A46" t="str">
            <v>FORMATO</v>
          </cell>
        </row>
        <row r="47">
          <cell r="A47" t="str">
            <v>Retangular</v>
          </cell>
        </row>
        <row r="48">
          <cell r="A48" t="str">
            <v>Trapezoidal</v>
          </cell>
        </row>
        <row r="49">
          <cell r="A49" t="str">
            <v>Triangular</v>
          </cell>
        </row>
        <row r="50">
          <cell r="A50" t="str">
            <v>Irregular</v>
          </cell>
        </row>
        <row r="51">
          <cell r="A51" t="str">
            <v>Outros</v>
          </cell>
        </row>
        <row r="52">
          <cell r="A52" t="str">
            <v>COTA_GREIDE</v>
          </cell>
        </row>
        <row r="53">
          <cell r="A53" t="str">
            <v>No Nível</v>
          </cell>
        </row>
        <row r="54">
          <cell r="A54" t="str">
            <v>Acima</v>
          </cell>
        </row>
        <row r="55">
          <cell r="A55" t="str">
            <v>Abaixo</v>
          </cell>
        </row>
        <row r="56">
          <cell r="A56" t="str">
            <v>INCLINACAO</v>
          </cell>
        </row>
        <row r="57">
          <cell r="A57" t="str">
            <v>Plano/Semi-plano</v>
          </cell>
        </row>
        <row r="58">
          <cell r="A58" t="str">
            <v>Aclive/Declive &gt; 10%</v>
          </cell>
        </row>
        <row r="59">
          <cell r="A59" t="str">
            <v>Acidentado</v>
          </cell>
        </row>
        <row r="60">
          <cell r="A60" t="str">
            <v>SITUACAO</v>
          </cell>
        </row>
        <row r="61">
          <cell r="A61" t="str">
            <v>Meio de Quadra</v>
          </cell>
        </row>
        <row r="62">
          <cell r="A62" t="str">
            <v>Esquina</v>
          </cell>
        </row>
        <row r="63">
          <cell r="A63" t="str">
            <v>Quadra Inteira</v>
          </cell>
        </row>
        <row r="64">
          <cell r="A64" t="str">
            <v>Outros</v>
          </cell>
        </row>
        <row r="65">
          <cell r="A65" t="str">
            <v>SUPERFICIE</v>
          </cell>
        </row>
        <row r="66">
          <cell r="A66" t="str">
            <v>Seco</v>
          </cell>
        </row>
        <row r="67">
          <cell r="A67" t="str">
            <v>Brejoso</v>
          </cell>
        </row>
        <row r="68">
          <cell r="A68" t="str">
            <v>Alagável</v>
          </cell>
        </row>
        <row r="69">
          <cell r="A69" t="str">
            <v>Outros</v>
          </cell>
        </row>
        <row r="73">
          <cell r="A73" t="str">
            <v>TIPO</v>
          </cell>
        </row>
        <row r="74">
          <cell r="A74" t="str">
            <v>Casa</v>
          </cell>
        </row>
        <row r="75">
          <cell r="A75" t="str">
            <v>Loja</v>
          </cell>
        </row>
        <row r="76">
          <cell r="A76" t="str">
            <v>Terreno</v>
          </cell>
        </row>
        <row r="77">
          <cell r="A77" t="str">
            <v>Prédio</v>
          </cell>
        </row>
        <row r="78">
          <cell r="A78" t="str">
            <v>Galpão</v>
          </cell>
        </row>
        <row r="79">
          <cell r="A79" t="str">
            <v>Outros</v>
          </cell>
        </row>
        <row r="80">
          <cell r="A80" t="str">
            <v>USO</v>
          </cell>
        </row>
        <row r="81">
          <cell r="A81" t="str">
            <v>Residencial</v>
          </cell>
        </row>
        <row r="82">
          <cell r="A82" t="str">
            <v>Comercial</v>
          </cell>
        </row>
        <row r="83">
          <cell r="A83" t="str">
            <v>Industrial</v>
          </cell>
        </row>
        <row r="84">
          <cell r="A84" t="str">
            <v>Institucional</v>
          </cell>
        </row>
        <row r="85">
          <cell r="A85" t="str">
            <v>Misto</v>
          </cell>
        </row>
        <row r="86">
          <cell r="A86" t="str">
            <v>Outros</v>
          </cell>
        </row>
        <row r="87">
          <cell r="A87" t="str">
            <v>POSICAO</v>
          </cell>
        </row>
        <row r="88">
          <cell r="A88" t="str">
            <v>Frente/Canto</v>
          </cell>
        </row>
        <row r="89">
          <cell r="A89" t="str">
            <v>Frente/Meio</v>
          </cell>
        </row>
        <row r="90">
          <cell r="A90" t="str">
            <v>Fundos/Canto</v>
          </cell>
        </row>
        <row r="91">
          <cell r="A91" t="str">
            <v xml:space="preserve">Fundos/Meio </v>
          </cell>
        </row>
        <row r="92">
          <cell r="A92" t="str">
            <v>Lateral</v>
          </cell>
        </row>
        <row r="93">
          <cell r="A93" t="str">
            <v>Outros</v>
          </cell>
        </row>
        <row r="94">
          <cell r="A94" t="str">
            <v>SISTEMA_ESTRUTURAL</v>
          </cell>
        </row>
        <row r="95">
          <cell r="A95" t="str">
            <v>Alvenaria Estrutural</v>
          </cell>
        </row>
        <row r="96">
          <cell r="A96" t="str">
            <v>Estrutura Metálica</v>
          </cell>
        </row>
        <row r="97">
          <cell r="A97" t="str">
            <v>Concreto Armado</v>
          </cell>
        </row>
        <row r="98">
          <cell r="A98" t="str">
            <v>Madeira</v>
          </cell>
        </row>
        <row r="99">
          <cell r="A99" t="str">
            <v>Misto</v>
          </cell>
        </row>
        <row r="100">
          <cell r="A100" t="str">
            <v>Outros</v>
          </cell>
        </row>
        <row r="101">
          <cell r="A101" t="str">
            <v>FECHAMENTO_PAREDES</v>
          </cell>
        </row>
        <row r="102">
          <cell r="A102" t="str">
            <v>Alvenaria</v>
          </cell>
        </row>
        <row r="103">
          <cell r="A103" t="str">
            <v>Madeira</v>
          </cell>
        </row>
        <row r="104">
          <cell r="A104" t="str">
            <v>Alvenaria/Madeira</v>
          </cell>
        </row>
        <row r="105">
          <cell r="A105" t="str">
            <v>Outros</v>
          </cell>
        </row>
        <row r="106">
          <cell r="A106" t="str">
            <v>TETOS</v>
          </cell>
        </row>
        <row r="107">
          <cell r="A107" t="str">
            <v>Forro</v>
          </cell>
        </row>
        <row r="108">
          <cell r="A108" t="str">
            <v>Laje</v>
          </cell>
        </row>
        <row r="109">
          <cell r="A109" t="str">
            <v>Telhado Aparente</v>
          </cell>
        </row>
        <row r="110">
          <cell r="A110" t="str">
            <v>Outros</v>
          </cell>
        </row>
        <row r="111">
          <cell r="A111" t="str">
            <v>PISOS</v>
          </cell>
        </row>
        <row r="112">
          <cell r="A112" t="str">
            <v>Cerâmica</v>
          </cell>
        </row>
        <row r="113">
          <cell r="A113" t="str">
            <v>Granito</v>
          </cell>
        </row>
        <row r="114">
          <cell r="A114" t="str">
            <v>Porcelanato</v>
          </cell>
        </row>
        <row r="115">
          <cell r="A115" t="str">
            <v>Madeira</v>
          </cell>
        </row>
        <row r="116">
          <cell r="A116" t="str">
            <v>Acrílico</v>
          </cell>
        </row>
        <row r="117">
          <cell r="A117" t="str">
            <v>Cimentado</v>
          </cell>
        </row>
        <row r="118">
          <cell r="A118" t="str">
            <v>Pedra</v>
          </cell>
        </row>
        <row r="119">
          <cell r="A119" t="str">
            <v>Diversos</v>
          </cell>
        </row>
        <row r="120">
          <cell r="A120" t="str">
            <v>Outros</v>
          </cell>
        </row>
        <row r="121">
          <cell r="A121" t="str">
            <v>ESQUADRIAS</v>
          </cell>
        </row>
        <row r="122">
          <cell r="A122" t="str">
            <v>Madeira</v>
          </cell>
        </row>
        <row r="123">
          <cell r="A123" t="str">
            <v>Alumínio</v>
          </cell>
        </row>
        <row r="124">
          <cell r="A124" t="str">
            <v>PVC</v>
          </cell>
        </row>
        <row r="125">
          <cell r="A125" t="str">
            <v>Outros</v>
          </cell>
        </row>
        <row r="126">
          <cell r="A126" t="str">
            <v>PADRAO_ACABAMENTO</v>
          </cell>
        </row>
        <row r="127">
          <cell r="A127" t="str">
            <v>Alto</v>
          </cell>
        </row>
        <row r="128">
          <cell r="A128" t="str">
            <v>Entre normal e alto</v>
          </cell>
        </row>
        <row r="129">
          <cell r="A129" t="str">
            <v>Normal</v>
          </cell>
        </row>
        <row r="130">
          <cell r="A130" t="str">
            <v>Entre normal e baixo</v>
          </cell>
        </row>
        <row r="131">
          <cell r="A131" t="str">
            <v>Baixo</v>
          </cell>
        </row>
        <row r="132">
          <cell r="A132" t="str">
            <v>Entre baixo e mínimo</v>
          </cell>
        </row>
        <row r="133">
          <cell r="A133" t="str">
            <v>Mínimo</v>
          </cell>
        </row>
        <row r="134">
          <cell r="A134" t="str">
            <v>ESTADO_CONSERVACAO</v>
          </cell>
        </row>
        <row r="135">
          <cell r="A135" t="str">
            <v>Novo</v>
          </cell>
        </row>
        <row r="136">
          <cell r="A136" t="str">
            <v>Bom</v>
          </cell>
        </row>
        <row r="137">
          <cell r="A137" t="str">
            <v>Regular</v>
          </cell>
        </row>
        <row r="138">
          <cell r="A138" t="str">
            <v>Necessita Reparos Simples</v>
          </cell>
        </row>
        <row r="139">
          <cell r="A139" t="str">
            <v>Necessita Reparos Importantes</v>
          </cell>
        </row>
        <row r="140">
          <cell r="A140" t="str">
            <v>Sem Valor</v>
          </cell>
        </row>
        <row r="141">
          <cell r="A141" t="str">
            <v>VENT_ILUM.NATURAL</v>
          </cell>
        </row>
        <row r="142">
          <cell r="A142" t="str">
            <v>Bom/Satistatório</v>
          </cell>
        </row>
        <row r="143">
          <cell r="A143" t="str">
            <v>Regular/Normal</v>
          </cell>
        </row>
        <row r="144">
          <cell r="A144" t="str">
            <v>Ruim/Insatisfatório</v>
          </cell>
        </row>
        <row r="145">
          <cell r="A145" t="str">
            <v>ASPECTO_ARQ</v>
          </cell>
        </row>
        <row r="146">
          <cell r="A146" t="str">
            <v>Bom/Satistatório</v>
          </cell>
        </row>
        <row r="147">
          <cell r="A147" t="str">
            <v>Regular/Normal</v>
          </cell>
        </row>
        <row r="148">
          <cell r="A148" t="str">
            <v>Ruim/Insatisfatório</v>
          </cell>
        </row>
        <row r="149">
          <cell r="A149" t="str">
            <v>REFORMA</v>
          </cell>
        </row>
        <row r="150">
          <cell r="A150" t="str">
            <v>Recente</v>
          </cell>
        </row>
        <row r="151">
          <cell r="A151" t="str">
            <v>Antiga/Parcial</v>
          </cell>
        </row>
        <row r="152">
          <cell r="A152" t="str">
            <v>Não Há</v>
          </cell>
        </row>
        <row r="153">
          <cell r="A153" t="str">
            <v>OCUPACAO</v>
          </cell>
        </row>
        <row r="154">
          <cell r="A154" t="str">
            <v>Pelo Proprietário</v>
          </cell>
        </row>
        <row r="155">
          <cell r="A155" t="str">
            <v>Alugado</v>
          </cell>
        </row>
        <row r="156">
          <cell r="A156" t="str">
            <v>Cedido/Comodato</v>
          </cell>
        </row>
        <row r="157">
          <cell r="A157" t="str">
            <v>Desocupado</v>
          </cell>
        </row>
        <row r="158">
          <cell r="A158" t="str">
            <v>Invasão</v>
          </cell>
        </row>
        <row r="159">
          <cell r="A159" t="str">
            <v>HABITABILIDADE</v>
          </cell>
        </row>
        <row r="160">
          <cell r="A160" t="str">
            <v>Sim</v>
          </cell>
        </row>
        <row r="161">
          <cell r="A161" t="str">
            <v>Não</v>
          </cell>
        </row>
        <row r="162">
          <cell r="A162" t="str">
            <v>Parcial</v>
          </cell>
        </row>
        <row r="163">
          <cell r="A163" t="str">
            <v>ESTABILIDADE</v>
          </cell>
        </row>
        <row r="164">
          <cell r="A164" t="str">
            <v>Sim</v>
          </cell>
        </row>
        <row r="165">
          <cell r="A165" t="str">
            <v>Não</v>
          </cell>
        </row>
        <row r="166">
          <cell r="A166" t="str">
            <v>VICIOS</v>
          </cell>
        </row>
        <row r="167">
          <cell r="A167" t="str">
            <v>Sim</v>
          </cell>
        </row>
        <row r="168">
          <cell r="A168" t="str">
            <v>Não</v>
          </cell>
        </row>
        <row r="171">
          <cell r="A171" t="str">
            <v>DEMANDA</v>
          </cell>
        </row>
        <row r="172">
          <cell r="A172" t="str">
            <v>Alta</v>
          </cell>
        </row>
        <row r="173">
          <cell r="A173" t="str">
            <v>Média</v>
          </cell>
        </row>
        <row r="174">
          <cell r="A174" t="str">
            <v>Baixa</v>
          </cell>
        </row>
        <row r="175">
          <cell r="A175" t="str">
            <v>OFERTAS</v>
          </cell>
        </row>
        <row r="176">
          <cell r="A176" t="str">
            <v>Alto</v>
          </cell>
        </row>
        <row r="177">
          <cell r="A177" t="str">
            <v>Médio</v>
          </cell>
        </row>
        <row r="178">
          <cell r="A178" t="str">
            <v>Baixo</v>
          </cell>
        </row>
        <row r="179">
          <cell r="A179" t="str">
            <v>Inexistente</v>
          </cell>
        </row>
        <row r="180">
          <cell r="A180" t="str">
            <v>DESEMPENHO</v>
          </cell>
        </row>
        <row r="181">
          <cell r="A181" t="str">
            <v>Aquecido</v>
          </cell>
        </row>
        <row r="182">
          <cell r="A182" t="str">
            <v>Normal</v>
          </cell>
        </row>
        <row r="183">
          <cell r="A183" t="str">
            <v>Recessivo</v>
          </cell>
        </row>
        <row r="184">
          <cell r="A184" t="str">
            <v>LIQUIDEZ</v>
          </cell>
        </row>
        <row r="185">
          <cell r="A185" t="str">
            <v>Alta</v>
          </cell>
        </row>
        <row r="186">
          <cell r="A186" t="str">
            <v>Normal</v>
          </cell>
        </row>
        <row r="187">
          <cell r="A187" t="str">
            <v>Baixa</v>
          </cell>
        </row>
        <row r="188">
          <cell r="A188" t="str">
            <v>VELOCIDADE</v>
          </cell>
        </row>
        <row r="189">
          <cell r="A189" t="str">
            <v>Até 06 meses</v>
          </cell>
        </row>
        <row r="190">
          <cell r="A190" t="str">
            <v>De 06 a 12 meses</v>
          </cell>
        </row>
        <row r="191">
          <cell r="A191" t="str">
            <v>De 12 a 24 meses</v>
          </cell>
        </row>
        <row r="192">
          <cell r="A192" t="str">
            <v>Superior a 24 meses</v>
          </cell>
        </row>
        <row r="195">
          <cell r="A195" t="str">
            <v>METODOLOGIA</v>
          </cell>
        </row>
        <row r="196">
          <cell r="A196" t="str">
            <v>Método Comparativo Direto de Dados de Mercado - Inferência Estatística</v>
          </cell>
        </row>
        <row r="197">
          <cell r="A197" t="str">
            <v>Método Comparativo Direto de Dados de Mercado - Tratamento por Fatores</v>
          </cell>
        </row>
        <row r="198">
          <cell r="A198" t="str">
            <v>Método Evolutivo</v>
          </cell>
        </row>
        <row r="199">
          <cell r="A199" t="str">
            <v>Método Involutivo</v>
          </cell>
        </row>
        <row r="200">
          <cell r="A200" t="str">
            <v>Método da Capitalização da Renda</v>
          </cell>
        </row>
        <row r="201">
          <cell r="A201" t="str">
            <v>Método Comparativo Direto de Custo</v>
          </cell>
        </row>
        <row r="202">
          <cell r="A202" t="str">
            <v>Método da Quantificação do Custo</v>
          </cell>
        </row>
        <row r="203">
          <cell r="A203" t="str">
            <v>Sem Metodologia Definida por Norma</v>
          </cell>
        </row>
        <row r="206">
          <cell r="A206" t="str">
            <v>FUNDAMENTACAO_PRECISAO</v>
          </cell>
        </row>
        <row r="207">
          <cell r="A207" t="str">
            <v>Grau III</v>
          </cell>
        </row>
        <row r="208">
          <cell r="A208" t="str">
            <v>Grau II</v>
          </cell>
        </row>
        <row r="209">
          <cell r="A209" t="str">
            <v>Grau I</v>
          </cell>
        </row>
        <row r="210">
          <cell r="A210" t="str">
            <v>Sem Classificação</v>
          </cell>
        </row>
        <row r="214">
          <cell r="A214" t="str">
            <v>VALOR_UNIT_ADOTADO</v>
          </cell>
        </row>
        <row r="215">
          <cell r="A215" t="str">
            <v>Mínimo do Campo de Arbítrio</v>
          </cell>
        </row>
        <row r="216">
          <cell r="A216" t="str">
            <v>Limite Inferior do Intervalo de Confiança</v>
          </cell>
        </row>
        <row r="217">
          <cell r="A217" t="str">
            <v>Estimativa de Tendência Central</v>
          </cell>
        </row>
        <row r="218">
          <cell r="A218" t="str">
            <v>Limite Supferior do Intervalo de Confiança</v>
          </cell>
        </row>
        <row r="219">
          <cell r="A219" t="str">
            <v>Maximo do Campo de Arbítrio</v>
          </cell>
        </row>
      </sheetData>
      <sheetData sheetId="2">
        <row r="1">
          <cell r="A1" t="str">
            <v>PROFISSIONAIS</v>
          </cell>
        </row>
        <row r="2">
          <cell r="A2" t="str">
            <v>Anderson Fonseca Figueiredo</v>
          </cell>
        </row>
        <row r="3">
          <cell r="A3" t="str">
            <v>Claudia Godoy da Rocha Micchi</v>
          </cell>
        </row>
        <row r="4">
          <cell r="A4" t="str">
            <v>Flávia Pulcheri Ribeiro</v>
          </cell>
        </row>
        <row r="5">
          <cell r="A5" t="str">
            <v>Henrique Gonçalves Pereira</v>
          </cell>
        </row>
        <row r="6">
          <cell r="A6" t="str">
            <v>Ismênia Schaeffer Freitas</v>
          </cell>
        </row>
        <row r="7">
          <cell r="A7" t="str">
            <v>João Paulo Mello Teixeira</v>
          </cell>
        </row>
        <row r="8">
          <cell r="A8" t="str">
            <v>Louise Bussolotti</v>
          </cell>
        </row>
        <row r="9">
          <cell r="A9" t="str">
            <v>Luiz Fernando Bonfim</v>
          </cell>
        </row>
        <row r="10">
          <cell r="A10" t="str">
            <v>Rodolpho Torezani Netto</v>
          </cell>
        </row>
        <row r="11">
          <cell r="A11" t="str">
            <v>Terezinha de Jesus Servino Ribeiro Vanzo</v>
          </cell>
        </row>
        <row r="12">
          <cell r="A12" t="str">
            <v>Thomas Felipe Dieter</v>
          </cell>
        </row>
        <row r="13">
          <cell r="A13" t="str">
            <v>Leandro Azevedo Terrao</v>
          </cell>
        </row>
      </sheetData>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ITENS REAJUSTADOS"/>
      <sheetName val="GIF"/>
      <sheetName val="RESUMO_COD"/>
      <sheetName val="OUT21"/>
      <sheetName val="NOV21"/>
      <sheetName val="DEZ21"/>
      <sheetName val="JAN22"/>
      <sheetName val="FEV22"/>
      <sheetName val="MAR22"/>
      <sheetName val="ABR22"/>
      <sheetName val="MAI22"/>
      <sheetName val="JUN22"/>
      <sheetName val="JUL22"/>
      <sheetName val="AGO22"/>
      <sheetName val="SET22"/>
      <sheetName val="OUT22"/>
      <sheetName val="NOV22"/>
      <sheetName val="JAN23"/>
    </sheetNames>
    <sheetDataSet>
      <sheetData sheetId="0" refreshError="1">
        <row r="1">
          <cell r="B1" t="str">
            <v>CÓDIGO</v>
          </cell>
          <cell r="C1" t="str">
            <v>ITEM</v>
          </cell>
          <cell r="D1" t="str">
            <v>DISCRIMINAÇÃO</v>
          </cell>
          <cell r="E1" t="str">
            <v>UNID</v>
          </cell>
          <cell r="F1" t="str">
            <v>QTDE</v>
          </cell>
          <cell r="G1" t="str">
            <v>BDI</v>
          </cell>
          <cell r="H1" t="str">
            <v>CUSTO UNITÁRIO - SEM DESONERAÇÃO</v>
          </cell>
          <cell r="J1" t="str">
            <v>CUSTO TOTAL COM BDI (R$)</v>
          </cell>
        </row>
        <row r="2">
          <cell r="H2" t="str">
            <v>Sintético</v>
          </cell>
          <cell r="I2" t="str">
            <v>com BDI</v>
          </cell>
        </row>
        <row r="3">
          <cell r="D3" t="str">
            <v>TOTAL</v>
          </cell>
          <cell r="J3">
            <v>6626140.8699999992</v>
          </cell>
        </row>
        <row r="4">
          <cell r="C4">
            <v>1</v>
          </cell>
          <cell r="D4" t="str">
            <v>GERAL</v>
          </cell>
          <cell r="J4">
            <v>217045.66</v>
          </cell>
        </row>
        <row r="5">
          <cell r="C5" t="str">
            <v>1.1</v>
          </cell>
          <cell r="D5" t="str">
            <v>SERVIÇOS PRELIMINARES</v>
          </cell>
          <cell r="J5">
            <v>176979.09</v>
          </cell>
        </row>
        <row r="6">
          <cell r="C6" t="str">
            <v>1.1.1</v>
          </cell>
          <cell r="D6" t="str">
            <v>MOBILIZAÇÃO E DESMOBILIZAÇÃO</v>
          </cell>
          <cell r="J6">
            <v>30162.47</v>
          </cell>
        </row>
        <row r="7">
          <cell r="B7" t="str">
            <v>COMP1A</v>
          </cell>
          <cell r="C7" t="str">
            <v>1.1.1.1</v>
          </cell>
          <cell r="D7" t="str">
            <v>MOBILIZAÇÃO E DESMOBILIZAÇÃO DE EQUIPAMENTOS DE PEQUENO E GRANDE PORTE</v>
          </cell>
          <cell r="E7" t="str">
            <v>un</v>
          </cell>
          <cell r="F7">
            <v>1</v>
          </cell>
          <cell r="G7">
            <v>0.29930000000000001</v>
          </cell>
          <cell r="H7">
            <v>17695.423007936512</v>
          </cell>
          <cell r="I7">
            <v>22991.663114211911</v>
          </cell>
          <cell r="J7">
            <v>22991.66</v>
          </cell>
        </row>
        <row r="8">
          <cell r="B8" t="str">
            <v>COMP1B</v>
          </cell>
          <cell r="C8" t="str">
            <v>1.1.1.2</v>
          </cell>
          <cell r="D8" t="str">
            <v>MOBILIZAÇÃO E DESMOBILIZAÇÃO DE EQUIPAMENTOS AUTOPROPELIDOS</v>
          </cell>
          <cell r="E8" t="str">
            <v>un</v>
          </cell>
          <cell r="F8">
            <v>1</v>
          </cell>
          <cell r="G8">
            <v>0.29930000000000001</v>
          </cell>
          <cell r="H8">
            <v>5518.9800000000005</v>
          </cell>
          <cell r="I8">
            <v>7170.8107140000011</v>
          </cell>
          <cell r="J8">
            <v>7170.81</v>
          </cell>
        </row>
        <row r="9">
          <cell r="C9" t="str">
            <v>1.1.2</v>
          </cell>
          <cell r="D9" t="str">
            <v>CANTEIRO DE OBRAS - CENTRAL</v>
          </cell>
          <cell r="J9">
            <v>68480.63</v>
          </cell>
        </row>
        <row r="10">
          <cell r="B10" t="str">
            <v>020350</v>
          </cell>
          <cell r="C10" t="str">
            <v>1.1.2.1</v>
          </cell>
          <cell r="D10" t="str">
            <v>Tapume Telha Metálica Ondulada 0,50mm Branca h=2,20m, incl. montagem estr. mad. 8"x8", c/adesivo "IOPES" 60x60cm a cada 10m, incl. faixas pint. esmalte sint. cores azul c/ h=30cm e rosa c/ h=10cm (Reaproveitamento 2x)</v>
          </cell>
          <cell r="E10" t="str">
            <v>m</v>
          </cell>
          <cell r="F10">
            <v>140.08000000000001</v>
          </cell>
          <cell r="G10">
            <v>0.29930000000000001</v>
          </cell>
          <cell r="H10">
            <v>117.91</v>
          </cell>
          <cell r="I10">
            <v>153.20046300000001</v>
          </cell>
          <cell r="J10">
            <v>21460.32</v>
          </cell>
        </row>
        <row r="11">
          <cell r="B11" t="str">
            <v>020343</v>
          </cell>
          <cell r="C11" t="str">
            <v>1.1.2.2</v>
          </cell>
          <cell r="D11" t="str">
            <v>Aluguel mensal container para escritório, sem banheiro, dim. 6.00x2.40m, incl. porta, 2 janelas, abert p/ ar cond., 2 pt iluminação, 2 tomadas elét. e 1 tomada telef. Isolamento térmico (teto e paredes), piso em comp. Naval, cert. NR18, incl. laudo descontaminação.</v>
          </cell>
          <cell r="E11" t="str">
            <v>mês</v>
          </cell>
          <cell r="F11">
            <v>10</v>
          </cell>
          <cell r="G11">
            <v>0.29930000000000001</v>
          </cell>
          <cell r="H11">
            <v>666.67</v>
          </cell>
          <cell r="I11">
            <v>866.20433100000002</v>
          </cell>
          <cell r="J11">
            <v>8662.0400000000009</v>
          </cell>
        </row>
        <row r="12">
          <cell r="B12" t="str">
            <v>020353</v>
          </cell>
          <cell r="C12" t="str">
            <v>1.1.2.3</v>
          </cell>
          <cell r="D12" t="str">
            <v>Aluguel mensal container para refeitorio, incl. porta, 2 janelas, abert p/ ar cond., 2 pt iluminação, 2 tomadas elét. e 1 tomada telef. Isolamento térmico (paredes e teto), piso em comp. Naval pintado, cert. NR18, incl. laudo descontaminação.</v>
          </cell>
          <cell r="E12" t="str">
            <v>ms</v>
          </cell>
          <cell r="F12">
            <v>10</v>
          </cell>
          <cell r="G12">
            <v>0.29930000000000001</v>
          </cell>
          <cell r="H12">
            <v>700</v>
          </cell>
          <cell r="I12">
            <v>909.5100000000001</v>
          </cell>
          <cell r="J12">
            <v>9095.1</v>
          </cell>
        </row>
        <row r="13">
          <cell r="B13" t="str">
            <v>020354</v>
          </cell>
          <cell r="C13" t="str">
            <v>1.1.2.4</v>
          </cell>
          <cell r="D13" t="str">
            <v>Aluguel mensal container para vestiário, incl. porta, venezianas de circulação, 1 pt iluminação, Isolamento térmico (teto), piso em comp. Naval pintado, cert. NR18, incl. laudo descontaminação.</v>
          </cell>
          <cell r="E13" t="str">
            <v>ms</v>
          </cell>
          <cell r="F13">
            <v>10</v>
          </cell>
          <cell r="G13">
            <v>0.29930000000000001</v>
          </cell>
          <cell r="H13">
            <v>408</v>
          </cell>
          <cell r="I13">
            <v>530.11440000000005</v>
          </cell>
          <cell r="J13">
            <v>5301.14</v>
          </cell>
        </row>
        <row r="14">
          <cell r="B14" t="str">
            <v>020355</v>
          </cell>
          <cell r="C14" t="str">
            <v>1.1.2.5</v>
          </cell>
          <cell r="D14" t="str">
            <v>Aluguel mensal container sanitário, incl porta, básc, 2 ptos luz, 1 pto aterram., 3vasos, 3lavatórios, calha mictório, 6 chuveiros (1 eletrico), torn.,registros, piso comp. Naval pintado, cert NR18 e laudo descontaminação</v>
          </cell>
          <cell r="E14" t="str">
            <v>ms</v>
          </cell>
          <cell r="F14">
            <v>10</v>
          </cell>
          <cell r="G14">
            <v>0.29930000000000001</v>
          </cell>
          <cell r="H14">
            <v>716</v>
          </cell>
          <cell r="I14">
            <v>930.29880000000014</v>
          </cell>
          <cell r="J14">
            <v>9302.99</v>
          </cell>
        </row>
        <row r="15">
          <cell r="B15" t="str">
            <v>020356</v>
          </cell>
          <cell r="C15" t="str">
            <v>1.1.2.6</v>
          </cell>
          <cell r="D15" t="str">
            <v>Aluguel mensal container para almoxarifado, incl. porta, 2 janelas, 1 pt iluminação, Isolamento térmico (teto), piso em comp. Naval pintado, cert. NR18, incl. laudo descontaminação.</v>
          </cell>
          <cell r="E15" t="str">
            <v>ms</v>
          </cell>
          <cell r="F15">
            <v>10</v>
          </cell>
          <cell r="G15">
            <v>0.29930000000000001</v>
          </cell>
          <cell r="H15">
            <v>416.67</v>
          </cell>
          <cell r="I15">
            <v>541.37933100000009</v>
          </cell>
          <cell r="J15">
            <v>5413.79</v>
          </cell>
        </row>
        <row r="16">
          <cell r="B16" t="str">
            <v>020344</v>
          </cell>
          <cell r="C16" t="str">
            <v>1.1.2.7</v>
          </cell>
          <cell r="D16" t="str">
            <v>Mobilização e desmobilização de conteiner locado para barracão de obra</v>
          </cell>
          <cell r="E16" t="str">
            <v>und</v>
          </cell>
          <cell r="F16">
            <v>5</v>
          </cell>
          <cell r="G16">
            <v>0.29930000000000001</v>
          </cell>
          <cell r="H16">
            <v>875</v>
          </cell>
          <cell r="I16">
            <v>1136.8875</v>
          </cell>
          <cell r="J16">
            <v>5684.44</v>
          </cell>
        </row>
        <row r="17">
          <cell r="B17" t="str">
            <v>020708</v>
          </cell>
          <cell r="C17" t="str">
            <v>1.1.2.8</v>
          </cell>
          <cell r="D17" t="str">
            <v>Galpão para serraria e carpintaria área 12.00m2, em peça de madeira 8x8cm e contraventamento de 5x7cm, cobertura de telha de fibroc. de 6mm, inclusive ponto e cabo de alimentação da máquina, conf. projeto (1 utilização) (1922,401)</v>
          </cell>
          <cell r="E17" t="str">
            <v>m2</v>
          </cell>
          <cell r="F17">
            <v>12</v>
          </cell>
          <cell r="G17">
            <v>0.29930000000000001</v>
          </cell>
          <cell r="H17">
            <v>136.24</v>
          </cell>
          <cell r="I17">
            <v>177.01663200000002</v>
          </cell>
          <cell r="J17">
            <v>2124.1999999999998</v>
          </cell>
        </row>
        <row r="18">
          <cell r="B18" t="str">
            <v>020709</v>
          </cell>
          <cell r="C18" t="str">
            <v>1.1.2.9</v>
          </cell>
          <cell r="D18" t="str">
            <v>Galpão para corte e armação com área de 6.00m2, em peças de madeira 8x8cm e contraventamento de 5x7cm, cobertura de telhas de fibroc. de 6mm, inclusive ponto e cabo de alimentação da máquina, conf. projeto (1 utilização) (1300,13205)</v>
          </cell>
          <cell r="E18" t="str">
            <v>m2</v>
          </cell>
          <cell r="F18">
            <v>6</v>
          </cell>
          <cell r="G18">
            <v>0.29930000000000001</v>
          </cell>
          <cell r="H18">
            <v>184.28</v>
          </cell>
          <cell r="I18">
            <v>239.43500400000002</v>
          </cell>
          <cell r="J18">
            <v>1436.61</v>
          </cell>
        </row>
        <row r="19">
          <cell r="B19">
            <v>20712</v>
          </cell>
          <cell r="D19" t="str">
            <v>Rede de água com padrão de entrada d'água diâm. 3/4", conf. espec. CESAN, incl. tubos e conexões para alimentação, distribuição, extravasor e limpeza, cons. o padrão a 25m, conf. projeto (1 utilização)</v>
          </cell>
          <cell r="E19" t="str">
            <v>m</v>
          </cell>
          <cell r="F19">
            <v>200</v>
          </cell>
          <cell r="G19">
            <v>0.29930000000000001</v>
          </cell>
          <cell r="H19">
            <v>73.7</v>
          </cell>
          <cell r="I19">
            <v>95.758410000000012</v>
          </cell>
        </row>
        <row r="20">
          <cell r="B20" t="str">
            <v/>
          </cell>
          <cell r="C20" t="str">
            <v>1.1.3</v>
          </cell>
          <cell r="D20" t="str">
            <v>CANTEIRO DE OBRAS - IMPLANTAÇÃO DE PLATAFORMAS</v>
          </cell>
          <cell r="J20">
            <v>78335.989999999991</v>
          </cell>
        </row>
        <row r="21">
          <cell r="B21" t="str">
            <v>020350</v>
          </cell>
          <cell r="C21" t="str">
            <v>1.1.3.1</v>
          </cell>
          <cell r="D21" t="str">
            <v>Tapume Telha Metálica Ondulada 0,50mm Branca h=2,20m, incl. montagem estr. mad. 8"x8", c/adesivo "IOPES" 60x60cm a cada 10m, incl. faixas pint. esmalte sint. cores azul c/ h=30cm e rosa c/ h=10cm (Reaproveitamento 2x)</v>
          </cell>
          <cell r="E21" t="str">
            <v>m</v>
          </cell>
          <cell r="F21">
            <v>251.25</v>
          </cell>
          <cell r="G21">
            <v>0.29930000000000001</v>
          </cell>
          <cell r="H21">
            <v>117.91</v>
          </cell>
          <cell r="I21">
            <v>153.20046300000001</v>
          </cell>
          <cell r="J21">
            <v>38491.620000000003</v>
          </cell>
        </row>
        <row r="22">
          <cell r="B22" t="str">
            <v>020356</v>
          </cell>
          <cell r="C22" t="str">
            <v>1.1.3.2</v>
          </cell>
          <cell r="D22" t="str">
            <v>Aluguel mensal container para almoxarifado, incl. porta, 2 janelas, 1 pt iluminação, Isolamento térmico (teto), piso em comp. Naval pintado, cert. NR18, incl. laudo descontaminação.</v>
          </cell>
          <cell r="E22" t="str">
            <v>ms</v>
          </cell>
          <cell r="F22">
            <v>9</v>
          </cell>
          <cell r="G22">
            <v>0.29930000000000001</v>
          </cell>
          <cell r="H22">
            <v>416.67</v>
          </cell>
          <cell r="I22">
            <v>541.37933100000009</v>
          </cell>
          <cell r="J22">
            <v>4872.41</v>
          </cell>
        </row>
        <row r="23">
          <cell r="B23" t="str">
            <v>020353</v>
          </cell>
          <cell r="C23" t="str">
            <v>1.1.3.3</v>
          </cell>
          <cell r="D23" t="str">
            <v>Aluguel mensal container para refeitorio, incl. porta, 2 janelas, abert p/ ar cond., 2 pt iluminação, 2 tomadas elét. e 1 tomada telef. Isolamento térmico (paredes e teto), piso em comp. Naval pintado, cert. NR18, incl. laudo descontaminação.</v>
          </cell>
          <cell r="E23" t="str">
            <v>ms</v>
          </cell>
          <cell r="F23">
            <v>9</v>
          </cell>
          <cell r="G23">
            <v>0.29930000000000001</v>
          </cell>
          <cell r="H23">
            <v>700</v>
          </cell>
          <cell r="I23">
            <v>909.5100000000001</v>
          </cell>
          <cell r="J23">
            <v>8185.59</v>
          </cell>
        </row>
        <row r="24">
          <cell r="B24" t="str">
            <v>020354</v>
          </cell>
          <cell r="C24" t="str">
            <v>1.1.3.4</v>
          </cell>
          <cell r="D24" t="str">
            <v>Aluguel mensal container para vestiário, incl. porta, venezianas de circulação, 1 pt iluminação, Isolamento térmico (teto), piso em comp. Naval pintado, cert. NR18, incl. laudo descontaminação.</v>
          </cell>
          <cell r="E24" t="str">
            <v>ms</v>
          </cell>
          <cell r="F24">
            <v>9</v>
          </cell>
          <cell r="G24">
            <v>0.29930000000000001</v>
          </cell>
          <cell r="H24">
            <v>408</v>
          </cell>
          <cell r="I24">
            <v>530.11440000000005</v>
          </cell>
          <cell r="J24">
            <v>4771.03</v>
          </cell>
        </row>
        <row r="25">
          <cell r="B25" t="str">
            <v>020355</v>
          </cell>
          <cell r="C25" t="str">
            <v>1.1.3.5</v>
          </cell>
          <cell r="D25" t="str">
            <v>Aluguel mensal container sanitário, incl porta, básc, 2 ptos luz, 1 pto aterram., 3vasos, 3lavatórios, calha mictório, 6 chuveiros (1 eletrico), torn.,registros, piso comp. Naval pintado, cert NR18 e laudo descontaminação</v>
          </cell>
          <cell r="E25" t="str">
            <v>ms</v>
          </cell>
          <cell r="F25">
            <v>9</v>
          </cell>
          <cell r="G25">
            <v>0.29930000000000001</v>
          </cell>
          <cell r="H25">
            <v>716</v>
          </cell>
          <cell r="I25">
            <v>930.29880000000014</v>
          </cell>
          <cell r="J25">
            <v>8372.69</v>
          </cell>
        </row>
        <row r="26">
          <cell r="B26" t="str">
            <v>020344</v>
          </cell>
          <cell r="C26" t="str">
            <v>1.1.3.6</v>
          </cell>
          <cell r="D26" t="str">
            <v>Mobilização e desmobilização de conteiner locado para barracão de obra</v>
          </cell>
          <cell r="E26" t="str">
            <v>und</v>
          </cell>
          <cell r="F26">
            <v>12</v>
          </cell>
          <cell r="G26">
            <v>0.29930000000000001</v>
          </cell>
          <cell r="H26">
            <v>875</v>
          </cell>
          <cell r="I26">
            <v>1136.8875</v>
          </cell>
          <cell r="J26">
            <v>13642.65</v>
          </cell>
        </row>
        <row r="27">
          <cell r="B27" t="str">
            <v/>
          </cell>
          <cell r="C27" t="str">
            <v>1.2</v>
          </cell>
          <cell r="D27" t="str">
            <v>LOCAÇÃO DA OBRA</v>
          </cell>
          <cell r="J27">
            <v>40066.57</v>
          </cell>
        </row>
        <row r="28">
          <cell r="B28" t="str">
            <v/>
          </cell>
          <cell r="C28" t="str">
            <v>1.2.1</v>
          </cell>
          <cell r="D28" t="str">
            <v>LOCAÇÃO DA OBRA</v>
          </cell>
          <cell r="J28">
            <v>40066.57</v>
          </cell>
        </row>
        <row r="29">
          <cell r="B29" t="str">
            <v>010512</v>
          </cell>
          <cell r="C29" t="str">
            <v>1.2.1.1</v>
          </cell>
          <cell r="D29" t="str">
            <v>Equipe topográfica para serviços simples de locação e nivelamento (incluindo equipamento, transporte e profissionais nivel médio)</v>
          </cell>
          <cell r="E29" t="str">
            <v>mês</v>
          </cell>
          <cell r="F29">
            <v>2</v>
          </cell>
          <cell r="G29">
            <v>0.29930000000000001</v>
          </cell>
          <cell r="H29">
            <v>15418.52</v>
          </cell>
          <cell r="I29">
            <v>20033.283036000001</v>
          </cell>
          <cell r="J29">
            <v>40066.57</v>
          </cell>
        </row>
        <row r="30">
          <cell r="B30" t="str">
            <v/>
          </cell>
          <cell r="C30">
            <v>2</v>
          </cell>
          <cell r="D30" t="str">
            <v>PRAÇA DO PAPA</v>
          </cell>
          <cell r="J30">
            <v>1599526.92</v>
          </cell>
        </row>
        <row r="31">
          <cell r="B31" t="str">
            <v/>
          </cell>
          <cell r="C31" t="str">
            <v>2.1</v>
          </cell>
          <cell r="D31" t="str">
            <v>SERVIÇOS PRELIMINARES</v>
          </cell>
          <cell r="J31">
            <v>4680.75</v>
          </cell>
        </row>
        <row r="32">
          <cell r="B32" t="str">
            <v/>
          </cell>
          <cell r="C32" t="str">
            <v>2.1.1</v>
          </cell>
          <cell r="D32" t="str">
            <v>PLACA DE OBRA</v>
          </cell>
          <cell r="I32" t="str">
            <v/>
          </cell>
          <cell r="J32">
            <v>1970.88</v>
          </cell>
        </row>
        <row r="33">
          <cell r="B33" t="str">
            <v>020305</v>
          </cell>
          <cell r="C33" t="str">
            <v>2.1.1.1</v>
          </cell>
          <cell r="D33" t="str">
            <v>Placa de obra nas dimensões de 2.0 x 4.0 m, padrão IOPES</v>
          </cell>
          <cell r="E33" t="str">
            <v>m2</v>
          </cell>
          <cell r="F33">
            <v>8</v>
          </cell>
          <cell r="G33">
            <v>0.29930000000000001</v>
          </cell>
          <cell r="H33">
            <v>189.61</v>
          </cell>
          <cell r="I33">
            <v>246.36027300000003</v>
          </cell>
          <cell r="J33">
            <v>1970.88</v>
          </cell>
        </row>
        <row r="34">
          <cell r="B34" t="str">
            <v/>
          </cell>
          <cell r="C34" t="str">
            <v>2.1.2</v>
          </cell>
          <cell r="D34" t="str">
            <v>PREPARO DO TERRENO</v>
          </cell>
          <cell r="I34" t="str">
            <v/>
          </cell>
          <cell r="J34">
            <v>2709.87</v>
          </cell>
        </row>
        <row r="35">
          <cell r="B35" t="str">
            <v>010402</v>
          </cell>
          <cell r="C35" t="str">
            <v>2.1.2.1</v>
          </cell>
          <cell r="D35" t="str">
            <v>Raspagem e limpeza do terreno (manual)</v>
          </cell>
          <cell r="E35" t="str">
            <v>m2</v>
          </cell>
          <cell r="F35">
            <v>200.9</v>
          </cell>
          <cell r="G35">
            <v>0.29930000000000001</v>
          </cell>
          <cell r="H35">
            <v>3.18</v>
          </cell>
          <cell r="I35">
            <v>4.1317740000000009</v>
          </cell>
          <cell r="J35">
            <v>830.07</v>
          </cell>
        </row>
        <row r="36">
          <cell r="B36" t="str">
            <v>030304</v>
          </cell>
          <cell r="C36" t="str">
            <v>2.1.2.2</v>
          </cell>
          <cell r="D36" t="str">
            <v>Índice de preço para remoção de entulho decorrente da execução de obras (Classe A CONAMA - NBR 10.004 - Classe II-B), incluindo aluguel da caçamba, carga, transporte e descarga em área licenciada</v>
          </cell>
          <cell r="E36" t="str">
            <v>m3</v>
          </cell>
          <cell r="F36">
            <v>30.134999999999998</v>
          </cell>
          <cell r="G36">
            <v>0.29930000000000001</v>
          </cell>
          <cell r="H36">
            <v>48.01</v>
          </cell>
          <cell r="I36">
            <v>62.379393</v>
          </cell>
          <cell r="J36">
            <v>1879.8</v>
          </cell>
        </row>
        <row r="37">
          <cell r="B37" t="str">
            <v/>
          </cell>
          <cell r="C37" t="str">
            <v>2.2</v>
          </cell>
          <cell r="D37" t="str">
            <v>TERRAPLENAGEM</v>
          </cell>
          <cell r="I37" t="str">
            <v/>
          </cell>
          <cell r="J37">
            <v>5468.83</v>
          </cell>
        </row>
        <row r="38">
          <cell r="B38" t="str">
            <v/>
          </cell>
          <cell r="C38" t="str">
            <v>2.2.1</v>
          </cell>
          <cell r="D38" t="str">
            <v>MOVIMENTOS DE TERRA</v>
          </cell>
          <cell r="I38" t="str">
            <v/>
          </cell>
          <cell r="J38">
            <v>5468.83</v>
          </cell>
        </row>
        <row r="39">
          <cell r="B39" t="str">
            <v>030103</v>
          </cell>
          <cell r="C39" t="str">
            <v>2.2.1.1</v>
          </cell>
          <cell r="D39" t="str">
            <v>Escavação mecânica em material de 1a. categoria</v>
          </cell>
          <cell r="E39" t="str">
            <v>m3</v>
          </cell>
          <cell r="F39">
            <v>75.569999999999993</v>
          </cell>
          <cell r="G39">
            <v>0.29930000000000001</v>
          </cell>
          <cell r="H39">
            <v>8.34</v>
          </cell>
          <cell r="I39">
            <v>10.836162000000002</v>
          </cell>
          <cell r="J39">
            <v>818.89</v>
          </cell>
        </row>
        <row r="40">
          <cell r="B40" t="str">
            <v>030210</v>
          </cell>
          <cell r="C40" t="str">
            <v>2.2.1.2</v>
          </cell>
          <cell r="D40" t="str">
            <v>Aterro compactado utilizando compactador de placa vibratória com reaproveitamento do material</v>
          </cell>
          <cell r="E40" t="str">
            <v>m3</v>
          </cell>
          <cell r="F40">
            <v>12.882</v>
          </cell>
          <cell r="G40">
            <v>0.29930000000000001</v>
          </cell>
          <cell r="H40">
            <v>22.1</v>
          </cell>
          <cell r="I40">
            <v>28.714530000000003</v>
          </cell>
          <cell r="J40">
            <v>369.9</v>
          </cell>
        </row>
        <row r="41">
          <cell r="B41" t="str">
            <v>010404</v>
          </cell>
          <cell r="C41" t="str">
            <v>2.2.1.3</v>
          </cell>
          <cell r="D41" t="str">
            <v>Corte e destocamento de árvores com diâmetro superior a 30 cm</v>
          </cell>
          <cell r="E41" t="str">
            <v>und</v>
          </cell>
          <cell r="F41">
            <v>3</v>
          </cell>
          <cell r="G41">
            <v>0.29930000000000001</v>
          </cell>
          <cell r="H41">
            <v>94.82</v>
          </cell>
          <cell r="I41">
            <v>123.19962600000001</v>
          </cell>
          <cell r="J41">
            <v>369.6</v>
          </cell>
        </row>
        <row r="42">
          <cell r="B42" t="str">
            <v>030304</v>
          </cell>
          <cell r="C42" t="str">
            <v>2.2.1.4</v>
          </cell>
          <cell r="D42" t="str">
            <v>Índice de preço para remoção de entulho decorrente da execução de obras (Classe A CONAMA - NBR 10.004 - Classe II-B), incluindo aluguel da caçamba, carga, transporte e descarga em área licenciada</v>
          </cell>
          <cell r="E42" t="str">
            <v>m3</v>
          </cell>
          <cell r="F42">
            <v>62.687999999999995</v>
          </cell>
          <cell r="G42">
            <v>0.29930000000000001</v>
          </cell>
          <cell r="H42">
            <v>48.01</v>
          </cell>
          <cell r="I42">
            <v>62.379393</v>
          </cell>
          <cell r="J42">
            <v>3910.44</v>
          </cell>
        </row>
        <row r="43">
          <cell r="B43" t="str">
            <v/>
          </cell>
          <cell r="C43" t="str">
            <v>2.3</v>
          </cell>
          <cell r="D43" t="str">
            <v>SALA DE ESPERA</v>
          </cell>
          <cell r="I43" t="str">
            <v/>
          </cell>
          <cell r="J43">
            <v>408125.26</v>
          </cell>
        </row>
        <row r="44">
          <cell r="B44" t="str">
            <v/>
          </cell>
          <cell r="C44" t="str">
            <v>2.3.1</v>
          </cell>
          <cell r="D44" t="str">
            <v>LOCAÇÃO DA OBRA</v>
          </cell>
          <cell r="I44" t="str">
            <v/>
          </cell>
          <cell r="J44">
            <v>1707.13</v>
          </cell>
        </row>
        <row r="45">
          <cell r="B45" t="str">
            <v>010501</v>
          </cell>
          <cell r="C45" t="str">
            <v>2.3.1.1</v>
          </cell>
          <cell r="D45" t="str">
            <v>Locação de obra com gabarito de madeira</v>
          </cell>
          <cell r="E45" t="str">
            <v>m2</v>
          </cell>
          <cell r="F45">
            <v>200.9</v>
          </cell>
          <cell r="G45">
            <v>0.29930000000000001</v>
          </cell>
          <cell r="H45">
            <v>6.54</v>
          </cell>
          <cell r="I45">
            <v>8.4974220000000003</v>
          </cell>
          <cell r="J45">
            <v>1707.13</v>
          </cell>
        </row>
        <row r="46">
          <cell r="B46" t="str">
            <v/>
          </cell>
          <cell r="C46" t="str">
            <v>2.3.2</v>
          </cell>
          <cell r="D46" t="str">
            <v>INFRAESTRUTURA</v>
          </cell>
          <cell r="I46" t="str">
            <v/>
          </cell>
          <cell r="J46">
            <v>134036.44</v>
          </cell>
        </row>
        <row r="47">
          <cell r="B47" t="str">
            <v>COT14</v>
          </cell>
          <cell r="C47" t="str">
            <v>2.3.2.1</v>
          </cell>
          <cell r="D47" t="str">
            <v>SONDAGEM A PERCUSSÃO COM ENSAIO SPT - INCLUSIVE MOBILIZAÇÃO E DESMOBILIZAÇÃO DE EQUIPAMENTO</v>
          </cell>
          <cell r="E47" t="str">
            <v>M</v>
          </cell>
          <cell r="F47">
            <v>85</v>
          </cell>
          <cell r="G47">
            <v>0.15570000000000001</v>
          </cell>
          <cell r="H47">
            <v>442.63932517729501</v>
          </cell>
          <cell r="I47">
            <v>511.55826810739984</v>
          </cell>
          <cell r="J47">
            <v>43482.45</v>
          </cell>
        </row>
        <row r="48">
          <cell r="B48" t="str">
            <v>COMP4</v>
          </cell>
          <cell r="C48" t="str">
            <v>2.3.2.2</v>
          </cell>
          <cell r="D48" t="str">
            <v>Estaca hélice contínua - confecção</v>
          </cell>
          <cell r="E48" t="str">
            <v>m³</v>
          </cell>
          <cell r="F48">
            <v>35.713625286008771</v>
          </cell>
          <cell r="G48">
            <v>0.29930000000000001</v>
          </cell>
          <cell r="H48">
            <v>507.15</v>
          </cell>
          <cell r="I48">
            <v>658.93999500000007</v>
          </cell>
          <cell r="J48">
            <v>23533.14</v>
          </cell>
        </row>
        <row r="49">
          <cell r="B49" t="str">
            <v>COMP23</v>
          </cell>
          <cell r="C49" t="str">
            <v>2.3.2.3</v>
          </cell>
          <cell r="D49" t="str">
            <v>Corte e dobra de aço CA-50, diâmetro de 6,3 mm, utilizado em estribo contínuo helicoidal</v>
          </cell>
          <cell r="E49" t="str">
            <v>kg</v>
          </cell>
          <cell r="F49">
            <v>512</v>
          </cell>
          <cell r="G49">
            <v>0.29930000000000001</v>
          </cell>
          <cell r="H49">
            <v>4.0999999999999996</v>
          </cell>
          <cell r="I49">
            <v>5.3271300000000004</v>
          </cell>
          <cell r="J49">
            <v>2727.49</v>
          </cell>
        </row>
        <row r="50">
          <cell r="B50" t="str">
            <v>COMP24</v>
          </cell>
          <cell r="C50" t="str">
            <v>2.3.2.4</v>
          </cell>
          <cell r="D50" t="str">
            <v>Montagem de armadura longitudinal/transversal de estacas de seção circular, diâmetro = 12,5 mm.</v>
          </cell>
          <cell r="E50" t="str">
            <v>kg</v>
          </cell>
          <cell r="F50">
            <v>4419.01</v>
          </cell>
          <cell r="G50">
            <v>0.29930000000000001</v>
          </cell>
          <cell r="H50">
            <v>5.2</v>
          </cell>
          <cell r="I50">
            <v>6.7563600000000008</v>
          </cell>
          <cell r="J50">
            <v>29856.42</v>
          </cell>
        </row>
        <row r="51">
          <cell r="B51" t="str">
            <v>030101</v>
          </cell>
          <cell r="C51" t="str">
            <v>2.3.2.5</v>
          </cell>
          <cell r="D51" t="str">
            <v>Escavação manual em material de 1a. categoria, até 1.50 m de profundidade</v>
          </cell>
          <cell r="E51" t="str">
            <v>m3</v>
          </cell>
          <cell r="F51">
            <v>6.3</v>
          </cell>
          <cell r="G51">
            <v>0.29930000000000001</v>
          </cell>
          <cell r="H51">
            <v>41.31</v>
          </cell>
          <cell r="I51">
            <v>53.67408300000001</v>
          </cell>
          <cell r="J51">
            <v>338.15</v>
          </cell>
        </row>
        <row r="52">
          <cell r="B52" t="str">
            <v>040339</v>
          </cell>
          <cell r="C52" t="str">
            <v>2.3.2.6</v>
          </cell>
          <cell r="D52" t="str">
            <v>Forma de chapas madeira compensada resinada, esp. 12mm, levando-se em conta a utilização 3 vezes, reforçadas com sarrafos de madeira de 2.5 x 10.0cm (incl material, corte, montagem, escoras em eucalipto e desforma)</v>
          </cell>
          <cell r="E52" t="str">
            <v>m2</v>
          </cell>
          <cell r="F52">
            <v>108</v>
          </cell>
          <cell r="G52">
            <v>0.29930000000000001</v>
          </cell>
          <cell r="H52">
            <v>77.42</v>
          </cell>
          <cell r="I52">
            <v>100.59180600000001</v>
          </cell>
          <cell r="J52">
            <v>10863.92</v>
          </cell>
        </row>
        <row r="53">
          <cell r="B53" t="str">
            <v>040328</v>
          </cell>
          <cell r="C53" t="str">
            <v>2.3.2.7</v>
          </cell>
          <cell r="D53" t="str">
            <v>Fornecimento, dobragem e colocação em fôrma, de armadura CA-50 A média, diâmetro de 6.3 a 10.0 mm</v>
          </cell>
          <cell r="E53" t="str">
            <v>kg</v>
          </cell>
          <cell r="F53">
            <v>594</v>
          </cell>
          <cell r="G53">
            <v>0.29930000000000001</v>
          </cell>
          <cell r="H53">
            <v>6.78</v>
          </cell>
          <cell r="I53">
            <v>8.809254000000001</v>
          </cell>
          <cell r="J53">
            <v>5232.7</v>
          </cell>
        </row>
        <row r="54">
          <cell r="B54" t="str">
            <v>040245</v>
          </cell>
          <cell r="C54" t="str">
            <v>2.3.2.8</v>
          </cell>
          <cell r="D54" t="str">
            <v>Fornecimento, dobragem e colocação em fôrma, de armadura CA-50 A grossa diâmetro de 12.5 a 25.0 mm (1/2 a 1")</v>
          </cell>
          <cell r="E54" t="str">
            <v>kg</v>
          </cell>
          <cell r="F54">
            <v>40</v>
          </cell>
          <cell r="G54">
            <v>0.29930000000000001</v>
          </cell>
          <cell r="H54">
            <v>7.15</v>
          </cell>
          <cell r="I54">
            <v>9.2899950000000011</v>
          </cell>
          <cell r="J54">
            <v>371.6</v>
          </cell>
        </row>
        <row r="55">
          <cell r="B55" t="str">
            <v>040246</v>
          </cell>
          <cell r="C55" t="str">
            <v>2.3.2.9</v>
          </cell>
          <cell r="D55" t="str">
            <v>Fornecimento, dobragem e colocação em fôrma, de armadura CA-60 B fina, diâmetro de 4.0 a 7.0mm</v>
          </cell>
          <cell r="E55" t="str">
            <v>kg</v>
          </cell>
          <cell r="F55">
            <v>29</v>
          </cell>
          <cell r="G55">
            <v>0.29930000000000001</v>
          </cell>
          <cell r="H55">
            <v>6.87</v>
          </cell>
          <cell r="I55">
            <v>8.9261910000000011</v>
          </cell>
          <cell r="J55">
            <v>258.86</v>
          </cell>
        </row>
        <row r="56">
          <cell r="B56" t="str">
            <v>COMP5</v>
          </cell>
          <cell r="C56" t="str">
            <v>2.3.2.10</v>
          </cell>
          <cell r="D56" t="str">
            <v>FORNECIMENTO E APLICAÇÃO DE CONCRETO USINADO FCK=40 MPA - CONSIDERANDO BOMBEAMENTO (5% DE PERDAS JÁ INCLUÍDO NO CUSTO) (6% DE TAXA P/CONCR. BOMBEAVEL)</v>
          </cell>
          <cell r="E56" t="str">
            <v>m3</v>
          </cell>
          <cell r="F56">
            <v>14.5</v>
          </cell>
          <cell r="G56">
            <v>0.29930000000000001</v>
          </cell>
          <cell r="H56">
            <v>413.38</v>
          </cell>
          <cell r="I56">
            <v>537.10463400000003</v>
          </cell>
          <cell r="J56">
            <v>7788.02</v>
          </cell>
        </row>
        <row r="57">
          <cell r="B57" t="str">
            <v>040813</v>
          </cell>
          <cell r="C57" t="str">
            <v>2.3.2.11</v>
          </cell>
          <cell r="D57" t="str">
            <v>Impermeabilização de estrutura com Sika Top 107 ou equivalente</v>
          </cell>
          <cell r="E57" t="str">
            <v>m2</v>
          </cell>
          <cell r="F57">
            <v>134.87</v>
          </cell>
          <cell r="G57">
            <v>0.29930000000000001</v>
          </cell>
          <cell r="H57">
            <v>54.69</v>
          </cell>
          <cell r="I57">
            <v>71.058717000000001</v>
          </cell>
          <cell r="J57">
            <v>9583.69</v>
          </cell>
        </row>
        <row r="58">
          <cell r="C58" t="str">
            <v>2.3.3</v>
          </cell>
          <cell r="D58" t="str">
            <v>PISO</v>
          </cell>
          <cell r="J58">
            <v>16757.16</v>
          </cell>
        </row>
        <row r="59">
          <cell r="B59" t="str">
            <v>COMP11</v>
          </cell>
          <cell r="C59" t="str">
            <v>2.3.3.1</v>
          </cell>
          <cell r="D59" t="str">
            <v>Lastro regularizado e impermeabilizado de concreto, espessura de 10 cm , com armação em tela Q-61</v>
          </cell>
          <cell r="E59" t="str">
            <v>m²</v>
          </cell>
          <cell r="F59">
            <v>165.9</v>
          </cell>
          <cell r="G59">
            <v>0.29930000000000001</v>
          </cell>
          <cell r="H59">
            <v>77.739999999999995</v>
          </cell>
          <cell r="I59">
            <v>101.007582</v>
          </cell>
          <cell r="J59">
            <v>16757.16</v>
          </cell>
        </row>
        <row r="60">
          <cell r="C60" t="str">
            <v>2.3.4</v>
          </cell>
          <cell r="D60" t="str">
            <v>RAMPAS E ESCADA</v>
          </cell>
          <cell r="J60">
            <v>4166.9800000000005</v>
          </cell>
        </row>
        <row r="61">
          <cell r="B61" t="str">
            <v>COMP11</v>
          </cell>
          <cell r="C61" t="str">
            <v>2.3.4.1</v>
          </cell>
          <cell r="D61" t="str">
            <v>Lastro regularizado e impermeabilizado de concreto, espessura de 10 cm , com armação em tela Q-61</v>
          </cell>
          <cell r="E61" t="str">
            <v>m²</v>
          </cell>
          <cell r="F61">
            <v>29.33</v>
          </cell>
          <cell r="G61">
            <v>0.29930000000000001</v>
          </cell>
          <cell r="H61">
            <v>77.739999999999995</v>
          </cell>
          <cell r="I61">
            <v>101.007582</v>
          </cell>
          <cell r="J61">
            <v>2962.55</v>
          </cell>
        </row>
        <row r="62">
          <cell r="B62" t="str">
            <v>200323</v>
          </cell>
          <cell r="C62" t="str">
            <v>2.3.4.2</v>
          </cell>
          <cell r="D62" t="str">
            <v>Fornecimento e espalhamento de pó de pedra</v>
          </cell>
          <cell r="E62" t="str">
            <v>m3</v>
          </cell>
          <cell r="F62">
            <v>6.62</v>
          </cell>
          <cell r="G62">
            <v>0.29930000000000001</v>
          </cell>
          <cell r="H62">
            <v>107.11</v>
          </cell>
          <cell r="I62">
            <v>139.16802300000001</v>
          </cell>
          <cell r="J62">
            <v>921.29</v>
          </cell>
        </row>
        <row r="63">
          <cell r="B63" t="str">
            <v>050501</v>
          </cell>
          <cell r="C63" t="str">
            <v>2.3.4.3</v>
          </cell>
          <cell r="D63" t="str">
            <v>Alvenaria de blocos de concreto estrut. (14x19x39cm) cheios, c/ resist. mín. compr. 15MPa, assentados c/ arg. de cimento e areia no traço 1:4, esp. juntas 10mm e esp. da parede s/ revest. 14cm</v>
          </cell>
          <cell r="E63" t="str">
            <v>m2</v>
          </cell>
          <cell r="F63">
            <v>2.7</v>
          </cell>
          <cell r="G63">
            <v>0.29930000000000001</v>
          </cell>
          <cell r="H63">
            <v>80.709999999999994</v>
          </cell>
          <cell r="I63">
            <v>104.86650300000001</v>
          </cell>
          <cell r="J63">
            <v>283.14</v>
          </cell>
        </row>
        <row r="64">
          <cell r="B64" t="str">
            <v/>
          </cell>
          <cell r="C64" t="str">
            <v>2.3.5</v>
          </cell>
          <cell r="D64" t="str">
            <v>PILARES</v>
          </cell>
          <cell r="I64" t="str">
            <v/>
          </cell>
          <cell r="J64">
            <v>10607.13</v>
          </cell>
        </row>
        <row r="65">
          <cell r="B65" t="str">
            <v>040339</v>
          </cell>
          <cell r="C65" t="str">
            <v>2.3.5.1</v>
          </cell>
          <cell r="D65" t="str">
            <v>Forma de chapas madeira compensada resinada, esp. 12mm, levando-se em conta a utilização 3 vezes, reforçadas com sarrafos de madeira de 2.5 x 10.0cm (incl material, corte, montagem, escoras em eucalipto e desforma)</v>
          </cell>
          <cell r="E65" t="str">
            <v>m2</v>
          </cell>
          <cell r="F65">
            <v>51</v>
          </cell>
          <cell r="G65">
            <v>0.29930000000000001</v>
          </cell>
          <cell r="H65">
            <v>77.42</v>
          </cell>
          <cell r="I65">
            <v>100.59180600000001</v>
          </cell>
          <cell r="J65">
            <v>5130.18</v>
          </cell>
        </row>
        <row r="66">
          <cell r="B66" t="str">
            <v>040328</v>
          </cell>
          <cell r="C66" t="str">
            <v>2.3.5.2</v>
          </cell>
          <cell r="D66" t="str">
            <v>Fornecimento, dobragem e colocação em fôrma, de armadura CA-50 A média, diâmetro de 6.3 a 10.0 mm</v>
          </cell>
          <cell r="E66" t="str">
            <v>kg</v>
          </cell>
          <cell r="F66">
            <v>160</v>
          </cell>
          <cell r="G66">
            <v>0.29930000000000001</v>
          </cell>
          <cell r="H66">
            <v>6.78</v>
          </cell>
          <cell r="I66">
            <v>8.809254000000001</v>
          </cell>
          <cell r="J66">
            <v>1409.48</v>
          </cell>
        </row>
        <row r="67">
          <cell r="B67" t="str">
            <v>040245</v>
          </cell>
          <cell r="C67" t="str">
            <v>2.3.5.3</v>
          </cell>
          <cell r="D67" t="str">
            <v>Fornecimento, dobragem e colocação em fôrma, de armadura CA-50 A grossa diâmetro de 12.5 a 25.0 mm (1/2 a 1")</v>
          </cell>
          <cell r="E67" t="str">
            <v>kg</v>
          </cell>
          <cell r="F67">
            <v>199</v>
          </cell>
          <cell r="G67">
            <v>0.29930000000000001</v>
          </cell>
          <cell r="H67">
            <v>7.15</v>
          </cell>
          <cell r="I67">
            <v>9.2899950000000011</v>
          </cell>
          <cell r="J67">
            <v>1848.71</v>
          </cell>
        </row>
        <row r="68">
          <cell r="B68" t="str">
            <v>040246</v>
          </cell>
          <cell r="C68" t="str">
            <v>2.3.5.4</v>
          </cell>
          <cell r="D68" t="str">
            <v>Fornecimento, dobragem e colocação em fôrma, de armadura CA-60 B fina, diâmetro de 4.0 a 7.0mm</v>
          </cell>
          <cell r="E68" t="str">
            <v>kg</v>
          </cell>
          <cell r="F68">
            <v>50</v>
          </cell>
          <cell r="G68">
            <v>0.29930000000000001</v>
          </cell>
          <cell r="H68">
            <v>6.87</v>
          </cell>
          <cell r="I68">
            <v>8.9261910000000011</v>
          </cell>
          <cell r="J68">
            <v>446.31</v>
          </cell>
        </row>
        <row r="69">
          <cell r="B69" t="str">
            <v>COMP5</v>
          </cell>
          <cell r="C69" t="str">
            <v>2.3.5.5</v>
          </cell>
          <cell r="D69" t="str">
            <v>FORNECIMENTO E APLICAÇÃO DE CONCRETO USINADO FCK=40 MPA - CONSIDERANDO BOMBEAMENTO (5% DE PERDAS JÁ INCLUÍDO NO CUSTO) (6% DE TAXA P/CONCR. BOMBEAVEL)</v>
          </cell>
          <cell r="E69" t="str">
            <v>m3</v>
          </cell>
          <cell r="F69">
            <v>3.3</v>
          </cell>
          <cell r="G69">
            <v>0.29930000000000001</v>
          </cell>
          <cell r="H69">
            <v>413.38</v>
          </cell>
          <cell r="I69">
            <v>537.10463400000003</v>
          </cell>
          <cell r="J69">
            <v>1772.45</v>
          </cell>
        </row>
        <row r="70">
          <cell r="B70" t="str">
            <v/>
          </cell>
          <cell r="C70" t="str">
            <v>2.3.6</v>
          </cell>
          <cell r="D70" t="str">
            <v>VIGAS SUPERIORES</v>
          </cell>
          <cell r="I70" t="str">
            <v/>
          </cell>
          <cell r="J70">
            <v>22735.690000000002</v>
          </cell>
        </row>
        <row r="71">
          <cell r="B71" t="str">
            <v>040339</v>
          </cell>
          <cell r="C71" t="str">
            <v>2.3.6.1</v>
          </cell>
          <cell r="D71" t="str">
            <v>Forma de chapas madeira compensada resinada, esp. 12mm, levando-se em conta a utilização 3 vezes, reforçadas com sarrafos de madeira de 2.5 x 10.0cm (incl material, corte, montagem, escoras em eucalipto e desforma)</v>
          </cell>
          <cell r="E71" t="str">
            <v>m2</v>
          </cell>
          <cell r="F71">
            <v>100</v>
          </cell>
          <cell r="G71">
            <v>0.29930000000000001</v>
          </cell>
          <cell r="H71">
            <v>77.42</v>
          </cell>
          <cell r="I71">
            <v>100.59180600000001</v>
          </cell>
          <cell r="J71">
            <v>10059.18</v>
          </cell>
        </row>
        <row r="72">
          <cell r="B72" t="str">
            <v>040328</v>
          </cell>
          <cell r="C72" t="str">
            <v>2.3.6.2</v>
          </cell>
          <cell r="D72" t="str">
            <v>Fornecimento, dobragem e colocação em fôrma, de armadura CA-50 A média, diâmetro de 6.3 a 10.0 mm</v>
          </cell>
          <cell r="E72" t="str">
            <v>kg</v>
          </cell>
          <cell r="F72">
            <v>481</v>
          </cell>
          <cell r="G72">
            <v>0.29930000000000001</v>
          </cell>
          <cell r="H72">
            <v>6.78</v>
          </cell>
          <cell r="I72">
            <v>8.809254000000001</v>
          </cell>
          <cell r="J72">
            <v>4237.25</v>
          </cell>
        </row>
        <row r="73">
          <cell r="B73" t="str">
            <v>040245</v>
          </cell>
          <cell r="C73" t="str">
            <v>2.3.6.3</v>
          </cell>
          <cell r="D73" t="str">
            <v>Fornecimento, dobragem e colocação em fôrma, de armadura CA-50 A grossa diâmetro de 12.5 a 25.0 mm (1/2 a 1")</v>
          </cell>
          <cell r="E73" t="str">
            <v>kg</v>
          </cell>
          <cell r="F73">
            <v>287</v>
          </cell>
          <cell r="G73">
            <v>0.29930000000000001</v>
          </cell>
          <cell r="H73">
            <v>7.15</v>
          </cell>
          <cell r="I73">
            <v>9.2899950000000011</v>
          </cell>
          <cell r="J73">
            <v>2666.23</v>
          </cell>
        </row>
        <row r="74">
          <cell r="B74" t="str">
            <v>040246</v>
          </cell>
          <cell r="C74" t="str">
            <v>2.3.6.4</v>
          </cell>
          <cell r="D74" t="str">
            <v>Fornecimento, dobragem e colocação em fôrma, de armadura CA-60 B fina, diâmetro de 4.0 a 7.0mm</v>
          </cell>
          <cell r="E74" t="str">
            <v>kg</v>
          </cell>
          <cell r="F74">
            <v>33</v>
          </cell>
          <cell r="G74">
            <v>0.29930000000000001</v>
          </cell>
          <cell r="H74">
            <v>6.87</v>
          </cell>
          <cell r="I74">
            <v>8.9261910000000011</v>
          </cell>
          <cell r="J74">
            <v>294.56</v>
          </cell>
        </row>
        <row r="75">
          <cell r="B75" t="str">
            <v>COMP5</v>
          </cell>
          <cell r="C75" t="str">
            <v>2.3.6.5</v>
          </cell>
          <cell r="D75" t="str">
            <v>FORNECIMENTO E APLICAÇÃO DE CONCRETO USINADO FCK=40 MPA - CONSIDERANDO BOMBEAMENTO (5% DE PERDAS JÁ INCLUÍDO NO CUSTO) (6% DE TAXA P/CONCR. BOMBEAVEL)</v>
          </cell>
          <cell r="E75" t="str">
            <v>m3</v>
          </cell>
          <cell r="F75">
            <v>10.199999999999999</v>
          </cell>
          <cell r="G75">
            <v>0.29930000000000001</v>
          </cell>
          <cell r="H75">
            <v>413.38</v>
          </cell>
          <cell r="I75">
            <v>537.10463400000003</v>
          </cell>
          <cell r="J75">
            <v>5478.47</v>
          </cell>
        </row>
        <row r="76">
          <cell r="C76" t="str">
            <v>2.3.7</v>
          </cell>
          <cell r="D76" t="str">
            <v>LAJE</v>
          </cell>
          <cell r="J76">
            <v>26439.13</v>
          </cell>
        </row>
        <row r="77">
          <cell r="B77" t="str">
            <v>040339</v>
          </cell>
          <cell r="C77" t="str">
            <v>2.3.7.1</v>
          </cell>
          <cell r="D77" t="str">
            <v>Forma de chapas madeira compensada resinada, esp. 12mm, levando-se em conta a utilização 3 vezes, reforçadas com sarrafos de madeira de 2.5 x 10.0cm (incl material, corte, montagem, escoras em eucalipto e desforma)</v>
          </cell>
          <cell r="E77" t="str">
            <v>m2</v>
          </cell>
          <cell r="F77">
            <v>33</v>
          </cell>
          <cell r="G77">
            <v>0.29930000000000001</v>
          </cell>
          <cell r="H77">
            <v>77.42</v>
          </cell>
          <cell r="I77">
            <v>100.59180600000001</v>
          </cell>
          <cell r="J77">
            <v>3319.53</v>
          </cell>
        </row>
        <row r="78">
          <cell r="B78" t="str">
            <v>040328</v>
          </cell>
          <cell r="C78" t="str">
            <v>2.3.7.2</v>
          </cell>
          <cell r="D78" t="str">
            <v>Fornecimento, dobragem e colocação em fôrma, de armadura CA-50 A média, diâmetro de 6.3 a 10.0 mm</v>
          </cell>
          <cell r="E78" t="str">
            <v>kg</v>
          </cell>
          <cell r="F78">
            <v>344</v>
          </cell>
          <cell r="G78">
            <v>0.29930000000000001</v>
          </cell>
          <cell r="H78">
            <v>6.78</v>
          </cell>
          <cell r="I78">
            <v>8.809254000000001</v>
          </cell>
          <cell r="J78">
            <v>3030.38</v>
          </cell>
        </row>
        <row r="79">
          <cell r="B79" t="str">
            <v>COMP5</v>
          </cell>
          <cell r="C79" t="str">
            <v>2.3.7.3</v>
          </cell>
          <cell r="D79" t="str">
            <v>FORNECIMENTO E APLICAÇÃO DE CONCRETO USINADO FCK=40 MPA - CONSIDERANDO BOMBEAMENTO (5% DE PERDAS JÁ INCLUÍDO NO CUSTO) (6% DE TAXA P/CONCR. BOMBEAVEL)</v>
          </cell>
          <cell r="E79" t="str">
            <v>m3</v>
          </cell>
          <cell r="F79">
            <v>7.34</v>
          </cell>
          <cell r="G79">
            <v>0.29930000000000001</v>
          </cell>
          <cell r="H79">
            <v>413.38</v>
          </cell>
          <cell r="I79">
            <v>537.10463400000003</v>
          </cell>
          <cell r="J79">
            <v>3942.35</v>
          </cell>
        </row>
        <row r="80">
          <cell r="B80" t="str">
            <v>040602</v>
          </cell>
          <cell r="C80" t="str">
            <v>2.3.7.4</v>
          </cell>
          <cell r="D80" t="str">
            <v>Laje pré-fabricada treliçada, sobrecarga 300 Kg/m2, vão de 3.5m a 4.3m, capeamento 4cm, esp. 12cm, Fck = 150 Kg/cm2</v>
          </cell>
          <cell r="E80" t="str">
            <v>m2</v>
          </cell>
          <cell r="F80">
            <v>184</v>
          </cell>
          <cell r="G80">
            <v>0.29930000000000001</v>
          </cell>
          <cell r="H80">
            <v>67.540000000000006</v>
          </cell>
          <cell r="I80">
            <v>87.754722000000015</v>
          </cell>
          <cell r="J80">
            <v>16146.87</v>
          </cell>
        </row>
        <row r="81">
          <cell r="B81" t="str">
            <v/>
          </cell>
          <cell r="C81" t="str">
            <v>2.3.8</v>
          </cell>
          <cell r="D81" t="str">
            <v>COBERTURA</v>
          </cell>
          <cell r="I81" t="str">
            <v/>
          </cell>
          <cell r="J81">
            <v>57563.06</v>
          </cell>
        </row>
        <row r="82">
          <cell r="B82" t="str">
            <v>090102</v>
          </cell>
          <cell r="C82" t="str">
            <v>2.3.8.1</v>
          </cell>
          <cell r="D82" t="str">
            <v>Estrutura de madeira de lei tipo Paraju, peroba mica, angelim pedra ou equivalente para telhado de telha ondulada de fibrocimento esp. 6mm, com pontaletes e caibros, inclusive tratamento com cupinicida, exclusive telhas</v>
          </cell>
          <cell r="E82" t="str">
            <v>m2</v>
          </cell>
          <cell r="F82">
            <v>208.03</v>
          </cell>
          <cell r="G82">
            <v>0.29930000000000001</v>
          </cell>
          <cell r="H82">
            <v>76.53</v>
          </cell>
          <cell r="I82">
            <v>99.435429000000013</v>
          </cell>
          <cell r="J82">
            <v>20685.55</v>
          </cell>
        </row>
        <row r="83">
          <cell r="B83" t="str">
            <v>090223</v>
          </cell>
          <cell r="C83" t="str">
            <v>2.3.8.2</v>
          </cell>
          <cell r="D83" t="str">
            <v>Cobertura em telha termoacustica tipo telha/telha em aço galvanizado trapez. 40, e=0.43mm, pint. face. sup. e infer. cor branca, incl. acess. fix. nucleo em poliuretano (injeção contínua), e=30mm, ref. Isoeste, Sto André, Panissol, Metform ou equi</v>
          </cell>
          <cell r="E83" t="str">
            <v>m2</v>
          </cell>
          <cell r="F83">
            <v>209.41</v>
          </cell>
          <cell r="G83">
            <v>0.29930000000000001</v>
          </cell>
          <cell r="H83">
            <v>105.84</v>
          </cell>
          <cell r="I83">
            <v>137.51791200000002</v>
          </cell>
          <cell r="J83">
            <v>28797.63</v>
          </cell>
        </row>
        <row r="84">
          <cell r="B84" t="str">
            <v>040339</v>
          </cell>
          <cell r="C84" t="str">
            <v>2.3.8.3</v>
          </cell>
          <cell r="D84" t="str">
            <v>Forma de chapas madeira compensada resinada, esp. 12mm, levando-se em conta a utilização 3 vezes, reforçadas com sarrafos de madeira de 2.5 x 10.0cm (incl material, corte, montagem, escoras em eucalipto e desforma) (Platibanda)</v>
          </cell>
          <cell r="E84" t="str">
            <v>m2</v>
          </cell>
          <cell r="F84">
            <v>23.5</v>
          </cell>
          <cell r="G84">
            <v>0.29930000000000001</v>
          </cell>
          <cell r="H84">
            <v>77.42</v>
          </cell>
          <cell r="I84">
            <v>100.59180600000001</v>
          </cell>
          <cell r="J84">
            <v>2363.91</v>
          </cell>
        </row>
        <row r="85">
          <cell r="B85" t="str">
            <v>040328</v>
          </cell>
          <cell r="C85" t="str">
            <v>2.3.8.4</v>
          </cell>
          <cell r="D85" t="str">
            <v>Fornecimento, dobragem e colocação em fôrma, de armadura CA-50 A média, diâmetro de 6.3 a 10.0 mm (Platibanda)</v>
          </cell>
          <cell r="E85" t="str">
            <v>kg</v>
          </cell>
          <cell r="F85">
            <v>112</v>
          </cell>
          <cell r="G85">
            <v>0.29930000000000001</v>
          </cell>
          <cell r="H85">
            <v>6.78</v>
          </cell>
          <cell r="I85">
            <v>8.809254000000001</v>
          </cell>
          <cell r="J85">
            <v>986.64</v>
          </cell>
        </row>
        <row r="86">
          <cell r="B86" t="str">
            <v>COMP5</v>
          </cell>
          <cell r="C86" t="str">
            <v>2.3.8.5</v>
          </cell>
          <cell r="D86" t="str">
            <v>FORNECIMENTO E APLICAÇÃO DE CONCRETO USINADO FCK=40 MPA - CONSIDERANDO BOMBEAMENTO (5% DE PERDAS JÁ INCLUÍDO NO CUSTO) (6% DE TAXA P/CONCR. BOMBEAVEL) (Platibanda)</v>
          </cell>
          <cell r="E86" t="str">
            <v>m3</v>
          </cell>
          <cell r="F86">
            <v>1.2</v>
          </cell>
          <cell r="G86">
            <v>0.29930000000000001</v>
          </cell>
          <cell r="H86">
            <v>413.38</v>
          </cell>
          <cell r="I86">
            <v>537.10463400000003</v>
          </cell>
          <cell r="J86">
            <v>644.53</v>
          </cell>
        </row>
        <row r="87">
          <cell r="B87" t="str">
            <v>050602</v>
          </cell>
          <cell r="C87" t="str">
            <v>2.3.8.6</v>
          </cell>
          <cell r="D87" t="str">
            <v>Alvenaria de blocos de concreto 14x19x39cm, c/ resist. mínimo a compres. 2.5 MPa, assent. c/ arg. de cimento, cal hidratada CH1 e areia no traço 1:0.5:8 esp. das juntas 10mm e esp. das paredes, s/ rev. 14cm (Platibanda)</v>
          </cell>
          <cell r="E87" t="str">
            <v>m2</v>
          </cell>
          <cell r="F87">
            <v>59.43</v>
          </cell>
          <cell r="G87">
            <v>0.29930000000000001</v>
          </cell>
          <cell r="H87">
            <v>52.9</v>
          </cell>
          <cell r="I87">
            <v>68.732970000000009</v>
          </cell>
          <cell r="J87">
            <v>4084.8</v>
          </cell>
        </row>
        <row r="88">
          <cell r="C88" t="str">
            <v>2.3.9</v>
          </cell>
          <cell r="D88" t="str">
            <v>DRENAGEM</v>
          </cell>
          <cell r="J88">
            <v>7018.4100000000008</v>
          </cell>
        </row>
        <row r="89">
          <cell r="B89" t="str">
            <v>COMP13</v>
          </cell>
          <cell r="C89" t="str">
            <v>2.3.9.1</v>
          </cell>
          <cell r="D89" t="str">
            <v>CALHA PLATIBANDA DE CHAPA DE AÇO GALVANIZADA NUM 26, CORTE 45 CM, FORNECIMENTO E INSTALAÇÃO</v>
          </cell>
          <cell r="E89" t="str">
            <v>M</v>
          </cell>
          <cell r="F89">
            <v>39.799999999999997</v>
          </cell>
          <cell r="G89">
            <v>0.29930000000000001</v>
          </cell>
          <cell r="H89">
            <v>61.93</v>
          </cell>
          <cell r="I89">
            <v>80.465649000000013</v>
          </cell>
          <cell r="J89">
            <v>3202.53</v>
          </cell>
        </row>
        <row r="90">
          <cell r="B90" t="str">
            <v>090302</v>
          </cell>
          <cell r="C90" t="str">
            <v>2.3.9.2</v>
          </cell>
          <cell r="D90" t="str">
            <v>Rufo de chapa metálica nº 26 com largura de 30 cm</v>
          </cell>
          <cell r="E90" t="str">
            <v>m</v>
          </cell>
          <cell r="F90">
            <v>62.2</v>
          </cell>
          <cell r="G90">
            <v>0.29930000000000001</v>
          </cell>
          <cell r="H90">
            <v>26.69</v>
          </cell>
          <cell r="I90">
            <v>34.678317000000007</v>
          </cell>
          <cell r="J90">
            <v>2156.9899999999998</v>
          </cell>
        </row>
        <row r="91">
          <cell r="B91" t="str">
            <v>141909</v>
          </cell>
          <cell r="C91" t="str">
            <v>2.3.9.3</v>
          </cell>
          <cell r="D91" t="str">
            <v>Tubo de PVC rígido soldável branco, para esgoto, diâmetro 100mm (4"), inclusive conexões</v>
          </cell>
          <cell r="E91" t="str">
            <v>m</v>
          </cell>
          <cell r="F91">
            <v>10</v>
          </cell>
          <cell r="G91">
            <v>0.29930000000000001</v>
          </cell>
          <cell r="H91">
            <v>52.37</v>
          </cell>
          <cell r="I91">
            <v>68.044341000000003</v>
          </cell>
          <cell r="J91">
            <v>680.44</v>
          </cell>
        </row>
        <row r="92">
          <cell r="B92" t="str">
            <v>140904</v>
          </cell>
          <cell r="C92" t="str">
            <v>2.3.9.4</v>
          </cell>
          <cell r="D92" t="str">
            <v>Tubo PVC rígido para esgoto no diâmetro de 150mm incluindo escavação e aterro com areia</v>
          </cell>
          <cell r="E92" t="str">
            <v>m</v>
          </cell>
          <cell r="F92">
            <v>11</v>
          </cell>
          <cell r="G92">
            <v>0.29930000000000001</v>
          </cell>
          <cell r="H92">
            <v>68.459999999999994</v>
          </cell>
          <cell r="I92">
            <v>88.950078000000005</v>
          </cell>
          <cell r="J92">
            <v>978.45</v>
          </cell>
        </row>
        <row r="93">
          <cell r="B93" t="str">
            <v/>
          </cell>
          <cell r="C93" t="str">
            <v>2.3.10</v>
          </cell>
          <cell r="D93" t="str">
            <v>DEMAIS ITENS</v>
          </cell>
          <cell r="I93" t="str">
            <v/>
          </cell>
          <cell r="J93">
            <v>127094.12999999999</v>
          </cell>
        </row>
        <row r="94">
          <cell r="B94" t="str">
            <v>COMP2</v>
          </cell>
          <cell r="C94" t="str">
            <v>2.3.10.1</v>
          </cell>
          <cell r="D94" t="str">
            <v>Cerca de engranzamento soldado, incluso instalação</v>
          </cell>
          <cell r="E94" t="str">
            <v>m²</v>
          </cell>
          <cell r="F94">
            <v>118.46</v>
          </cell>
          <cell r="G94">
            <v>0.29930000000000001</v>
          </cell>
          <cell r="H94">
            <v>238.39</v>
          </cell>
          <cell r="I94">
            <v>309.74012700000003</v>
          </cell>
          <cell r="J94">
            <v>36691.82</v>
          </cell>
        </row>
        <row r="95">
          <cell r="B95" t="str">
            <v>COMP31</v>
          </cell>
          <cell r="C95" t="str">
            <v>2.3.10.2</v>
          </cell>
          <cell r="D95" t="str">
            <v>Portão corrediço de engranzamento soldado - fornecimento e instalação</v>
          </cell>
          <cell r="E95" t="str">
            <v>m²</v>
          </cell>
          <cell r="F95">
            <v>11.14</v>
          </cell>
          <cell r="G95">
            <v>0.29930000000000001</v>
          </cell>
          <cell r="H95">
            <v>549.25</v>
          </cell>
          <cell r="I95">
            <v>713.64052500000003</v>
          </cell>
          <cell r="J95">
            <v>7949.96</v>
          </cell>
        </row>
        <row r="96">
          <cell r="B96" t="str">
            <v>COMP32</v>
          </cell>
          <cell r="C96" t="str">
            <v>2.3.10.3</v>
          </cell>
          <cell r="D96" t="str">
            <v>Portão de dupla abertura de engranzamento soldado - fornecimento e instalação</v>
          </cell>
          <cell r="E96" t="str">
            <v>m²</v>
          </cell>
          <cell r="F96">
            <v>11.25</v>
          </cell>
          <cell r="G96">
            <v>0.29930000000000001</v>
          </cell>
          <cell r="H96">
            <v>554.38</v>
          </cell>
          <cell r="I96">
            <v>720.30593400000009</v>
          </cell>
          <cell r="J96">
            <v>8103.44</v>
          </cell>
        </row>
        <row r="97">
          <cell r="B97" t="str">
            <v>210322</v>
          </cell>
          <cell r="C97" t="str">
            <v>2.3.10.4</v>
          </cell>
          <cell r="D97" t="str">
            <v>Corrimão em tubo de ferro galvanizado diam. 2" com chumbadores a cada 1.5m</v>
          </cell>
          <cell r="E97" t="str">
            <v>m</v>
          </cell>
          <cell r="F97">
            <v>17.55</v>
          </cell>
          <cell r="G97">
            <v>0.29930000000000001</v>
          </cell>
          <cell r="H97">
            <v>77.81</v>
          </cell>
          <cell r="I97">
            <v>101.09853300000002</v>
          </cell>
          <cell r="J97">
            <v>1774.28</v>
          </cell>
        </row>
        <row r="98">
          <cell r="B98" t="str">
            <v>COMP27</v>
          </cell>
          <cell r="C98" t="str">
            <v>2.3.10.5</v>
          </cell>
          <cell r="D98" t="str">
            <v>Guarda corpo de tubo de ferro galvanizado, diâm. 2" e 1/2", h= 1,1 m inclusive pintura a óleo ou esmalte</v>
          </cell>
          <cell r="E98" t="str">
            <v>m</v>
          </cell>
          <cell r="F98">
            <v>4.1500000000000004</v>
          </cell>
          <cell r="G98">
            <v>0.29930000000000001</v>
          </cell>
          <cell r="H98">
            <v>311.45999999999998</v>
          </cell>
          <cell r="I98">
            <v>404.67997800000001</v>
          </cell>
          <cell r="J98">
            <v>1679.42</v>
          </cell>
        </row>
        <row r="99">
          <cell r="B99" t="str">
            <v>050608</v>
          </cell>
          <cell r="C99" t="str">
            <v>2.3.10.6</v>
          </cell>
          <cell r="D99" t="str">
            <v>Alvenaria de blocos cerâmicos 10 furos 10x20x20cm, assentados c/argamassa de cimento, cal hidratada CH1 e areia traço 1:0,5:8, juntas 12mm e espessura das paredes, s/revestimento, 20cm (bloco comprado fábrica,posto obra)</v>
          </cell>
          <cell r="E99" t="str">
            <v>m2</v>
          </cell>
          <cell r="F99">
            <v>6.97</v>
          </cell>
          <cell r="G99">
            <v>0.29930000000000001</v>
          </cell>
          <cell r="H99">
            <v>75.41</v>
          </cell>
          <cell r="I99">
            <v>97.980213000000006</v>
          </cell>
          <cell r="J99">
            <v>682.92</v>
          </cell>
        </row>
        <row r="100">
          <cell r="B100" t="str">
            <v>120101</v>
          </cell>
          <cell r="C100" t="str">
            <v>2.3.10.7</v>
          </cell>
          <cell r="D100" t="str">
            <v>Chapisco de argamassa de cimento e areia média ou grossa lavada, no traço 1:3, espessura 5 mm</v>
          </cell>
          <cell r="E100" t="str">
            <v>m2</v>
          </cell>
          <cell r="F100">
            <v>540.16999999999996</v>
          </cell>
          <cell r="G100">
            <v>0.29930000000000001</v>
          </cell>
          <cell r="H100">
            <v>4.8</v>
          </cell>
          <cell r="I100">
            <v>6.2366400000000004</v>
          </cell>
          <cell r="J100">
            <v>3368.85</v>
          </cell>
        </row>
        <row r="101">
          <cell r="B101" t="str">
            <v>120303</v>
          </cell>
          <cell r="C101" t="str">
            <v>2.3.10.8</v>
          </cell>
          <cell r="D101" t="str">
            <v>Reboco tipo paulista de argamassa de cimento, cal hidratada CH1 e areia média ou grossa lavada no traço 1:0.5:6, espessura 25 mm</v>
          </cell>
          <cell r="E101" t="str">
            <v>m2</v>
          </cell>
          <cell r="F101">
            <v>540.16999999999996</v>
          </cell>
          <cell r="G101">
            <v>0.29930000000000001</v>
          </cell>
          <cell r="H101">
            <v>41.88</v>
          </cell>
          <cell r="I101">
            <v>54.414684000000008</v>
          </cell>
          <cell r="J101">
            <v>29393.18</v>
          </cell>
        </row>
        <row r="102">
          <cell r="B102" t="str">
            <v>190117</v>
          </cell>
          <cell r="C102" t="str">
            <v>2.3.10.9</v>
          </cell>
          <cell r="D102" t="str">
            <v>Pintura com tinta acrílica, marcas de referência Suvinil, Coral e Metalatex, inclusive selador acrílico, em paredes e forros, a duas demãos</v>
          </cell>
          <cell r="E102" t="str">
            <v>m2</v>
          </cell>
          <cell r="F102">
            <v>540.16999999999996</v>
          </cell>
          <cell r="G102">
            <v>0.29930000000000001</v>
          </cell>
          <cell r="H102">
            <v>15.54</v>
          </cell>
          <cell r="I102">
            <v>20.191122</v>
          </cell>
          <cell r="J102">
            <v>10906.64</v>
          </cell>
        </row>
        <row r="103">
          <cell r="B103" t="str">
            <v>130230</v>
          </cell>
          <cell r="C103" t="str">
            <v>2.3.10.10</v>
          </cell>
          <cell r="D103" t="str">
            <v>Piso argamassa alta resistência tipo granilite ou equiv de qualidade comprovada, esp de 10mm, com juntas plástica em quadros de 1m, na cor natural, com acabamento anti-derrapante mecanizado, inclusive regularização e=3.0cm</v>
          </cell>
          <cell r="E103" t="str">
            <v>m2</v>
          </cell>
          <cell r="F103">
            <v>157.13</v>
          </cell>
          <cell r="G103">
            <v>0.29930000000000001</v>
          </cell>
          <cell r="H103">
            <v>90.31</v>
          </cell>
          <cell r="I103">
            <v>117.33978300000001</v>
          </cell>
          <cell r="J103">
            <v>18437.599999999999</v>
          </cell>
        </row>
        <row r="104">
          <cell r="B104" t="str">
            <v>COMP41</v>
          </cell>
          <cell r="C104" t="str">
            <v>2.3.10.11</v>
          </cell>
          <cell r="D104" t="str">
            <v>Cadeira longarina com 3 lugares, estrutura em aço e encosto em polipropileno de alta resistência - fornecimento e instalação</v>
          </cell>
          <cell r="E104" t="str">
            <v>un</v>
          </cell>
          <cell r="F104">
            <v>22</v>
          </cell>
          <cell r="G104">
            <v>0.29930000000000001</v>
          </cell>
          <cell r="H104">
            <v>283.58</v>
          </cell>
          <cell r="I104">
            <v>368.45549399999999</v>
          </cell>
          <cell r="J104">
            <v>8106.02</v>
          </cell>
        </row>
        <row r="105">
          <cell r="B105" t="str">
            <v/>
          </cell>
          <cell r="C105" t="str">
            <v>2.4</v>
          </cell>
          <cell r="D105" t="str">
            <v>PLATAFORMA FLUTUANTE</v>
          </cell>
          <cell r="I105" t="str">
            <v/>
          </cell>
          <cell r="J105">
            <v>659980.38</v>
          </cell>
        </row>
        <row r="106">
          <cell r="B106" t="str">
            <v/>
          </cell>
          <cell r="C106" t="str">
            <v>2.4.1</v>
          </cell>
          <cell r="D106" t="str">
            <v>FABRICAÇÃO DO FLUTUANTE</v>
          </cell>
          <cell r="J106">
            <v>327678.98</v>
          </cell>
        </row>
        <row r="107">
          <cell r="B107" t="str">
            <v>040405</v>
          </cell>
          <cell r="C107" t="str">
            <v>2.4.1.1</v>
          </cell>
          <cell r="D107" t="str">
            <v>Fôrma com chapa compensada plastificada esp. 12mm, utização 5 vezes</v>
          </cell>
          <cell r="E107" t="str">
            <v>m2</v>
          </cell>
          <cell r="F107">
            <v>341</v>
          </cell>
          <cell r="G107">
            <v>0.29930000000000001</v>
          </cell>
          <cell r="H107">
            <v>73.41</v>
          </cell>
          <cell r="I107">
            <v>95.381613000000002</v>
          </cell>
          <cell r="J107">
            <v>32525.13</v>
          </cell>
        </row>
        <row r="108">
          <cell r="B108" t="str">
            <v>COMP3</v>
          </cell>
          <cell r="C108" t="str">
            <v>2.4.1.2</v>
          </cell>
          <cell r="D108" t="str">
            <v>ARMAÇÃO DO SISTEMA DE PAREDES DE CONCRETO COM TELA Q785</v>
          </cell>
          <cell r="E108" t="str">
            <v>kg</v>
          </cell>
          <cell r="F108">
            <v>3966.02</v>
          </cell>
          <cell r="G108">
            <v>0.29930000000000001</v>
          </cell>
          <cell r="H108">
            <v>6.23</v>
          </cell>
          <cell r="I108">
            <v>8.0946390000000008</v>
          </cell>
          <cell r="J108">
            <v>32103.5</v>
          </cell>
        </row>
        <row r="109">
          <cell r="B109" t="str">
            <v>040328</v>
          </cell>
          <cell r="C109" t="str">
            <v>2.4.1.3</v>
          </cell>
          <cell r="D109" t="str">
            <v>Fornecimento, dobragem e colocação em fôrma, de armadura CA-50 A média, diâmetro de 6.3 a 10.0 mm</v>
          </cell>
          <cell r="E109" t="str">
            <v>kg</v>
          </cell>
          <cell r="F109">
            <v>1880</v>
          </cell>
          <cell r="G109">
            <v>0.29930000000000001</v>
          </cell>
          <cell r="H109">
            <v>6.78</v>
          </cell>
          <cell r="I109">
            <v>8.809254000000001</v>
          </cell>
          <cell r="J109">
            <v>16561.400000000001</v>
          </cell>
        </row>
        <row r="110">
          <cell r="B110" t="str">
            <v>COMP18</v>
          </cell>
          <cell r="C110" t="str">
            <v>2.4.1.4</v>
          </cell>
          <cell r="D110" t="str">
            <v>Cordoalha CP 190 RB D = 15,2 mm - fornecimento, preparo e colocação</v>
          </cell>
          <cell r="E110" t="str">
            <v>kg</v>
          </cell>
          <cell r="F110">
            <v>73</v>
          </cell>
          <cell r="G110">
            <v>0.29930000000000001</v>
          </cell>
          <cell r="H110">
            <v>9.3699999999999992</v>
          </cell>
          <cell r="I110">
            <v>12.174441</v>
          </cell>
          <cell r="J110">
            <v>888.73</v>
          </cell>
        </row>
        <row r="111">
          <cell r="B111" t="str">
            <v>COMP6</v>
          </cell>
          <cell r="C111" t="str">
            <v>2.4.1.5</v>
          </cell>
          <cell r="D111" t="str">
            <v>FORNECIMENTO E APLICAÇÃO DE CONCRETO USINADO FCK=50 MPA COM ADITIVO LIQUIDO IMPERMEABILIZANTE E SÍLICA ATIVA - CONSIDERANDO BOMBEAMENTO (5% DE PERDAS JÁ INCLUÍDO NO CUSTO) (6% DE TAXA P/CONCR. BOMBEAVEL)</v>
          </cell>
          <cell r="E111" t="str">
            <v>m3</v>
          </cell>
          <cell r="F111">
            <v>28.05</v>
          </cell>
          <cell r="G111">
            <v>0.29930000000000001</v>
          </cell>
          <cell r="H111">
            <v>661.49</v>
          </cell>
          <cell r="I111">
            <v>859.47395700000004</v>
          </cell>
          <cell r="J111">
            <v>24108.240000000002</v>
          </cell>
        </row>
        <row r="112">
          <cell r="B112" t="str">
            <v>COMP40</v>
          </cell>
          <cell r="C112" t="str">
            <v>2.4.1.6</v>
          </cell>
          <cell r="D112" t="str">
            <v>Poliestireno espandido (EPS) de alta densidade - fornecimento e instalação</v>
          </cell>
          <cell r="E112" t="str">
            <v>m³</v>
          </cell>
          <cell r="F112">
            <v>113.84</v>
          </cell>
          <cell r="G112">
            <v>0.29930000000000001</v>
          </cell>
          <cell r="H112">
            <v>545.26</v>
          </cell>
          <cell r="I112">
            <v>708.45631800000001</v>
          </cell>
          <cell r="J112">
            <v>80650.67</v>
          </cell>
        </row>
        <row r="113">
          <cell r="B113" t="str">
            <v>COMP28</v>
          </cell>
          <cell r="C113" t="str">
            <v>2.4.1.7</v>
          </cell>
          <cell r="D113" t="str">
            <v>Rolete guia da estaca conforme especificações de projeto - fornecimento e instalação</v>
          </cell>
          <cell r="E113" t="str">
            <v>un</v>
          </cell>
          <cell r="F113">
            <v>4</v>
          </cell>
          <cell r="G113">
            <v>0.29930000000000001</v>
          </cell>
          <cell r="H113">
            <v>12200.03</v>
          </cell>
          <cell r="I113">
            <v>15851.498979000002</v>
          </cell>
          <cell r="J113">
            <v>63406</v>
          </cell>
        </row>
        <row r="114">
          <cell r="B114" t="str">
            <v>COMP29</v>
          </cell>
          <cell r="C114" t="str">
            <v>2.4.1.8</v>
          </cell>
          <cell r="D114" t="str">
            <v>Cabeço de amarração conforme especificações de projeto - fornecimento e instalação</v>
          </cell>
          <cell r="E114" t="str">
            <v>un</v>
          </cell>
          <cell r="F114">
            <v>2</v>
          </cell>
          <cell r="G114">
            <v>0.29930000000000001</v>
          </cell>
          <cell r="H114">
            <v>4658.8500000000004</v>
          </cell>
          <cell r="I114">
            <v>6053.243805000001</v>
          </cell>
          <cell r="J114">
            <v>12106.49</v>
          </cell>
        </row>
        <row r="115">
          <cell r="B115" t="str">
            <v>040817</v>
          </cell>
          <cell r="C115" t="str">
            <v>2.4.1.9</v>
          </cell>
          <cell r="D115" t="str">
            <v>Fornecimento e lançamento de concreto para grouteamento com adição de pedrisco (50% em peso), utilizando Sikagrout ou produto equivalente, exclusive forma</v>
          </cell>
          <cell r="E115" t="str">
            <v>m3</v>
          </cell>
          <cell r="F115">
            <v>0.03</v>
          </cell>
          <cell r="G115">
            <v>0.29930000000000001</v>
          </cell>
          <cell r="H115">
            <v>2552.67</v>
          </cell>
          <cell r="I115">
            <v>3316.6841310000004</v>
          </cell>
          <cell r="J115">
            <v>99.5</v>
          </cell>
        </row>
        <row r="116">
          <cell r="B116" t="str">
            <v>COMP30</v>
          </cell>
          <cell r="C116" t="str">
            <v>2.4.1.10</v>
          </cell>
          <cell r="D116" t="str">
            <v>Defensa barra tipo "D" 150 mm L=150 cm - fornecimento e instalação</v>
          </cell>
          <cell r="E116" t="str">
            <v>un</v>
          </cell>
          <cell r="F116">
            <v>15</v>
          </cell>
          <cell r="G116">
            <v>0.29930000000000001</v>
          </cell>
          <cell r="H116">
            <v>1710.27</v>
          </cell>
          <cell r="I116">
            <v>2222.1538110000001</v>
          </cell>
          <cell r="J116">
            <v>33332.31</v>
          </cell>
        </row>
        <row r="117">
          <cell r="B117" t="str">
            <v>COMP12</v>
          </cell>
          <cell r="C117" t="str">
            <v>2.4.1.11</v>
          </cell>
          <cell r="D117" t="str">
            <v>Içamento de flutuante para a água com guindaste rodoviário de 500t - incluso mobilização e desmobilização de equipamento</v>
          </cell>
          <cell r="E117" t="str">
            <v>un</v>
          </cell>
          <cell r="F117">
            <v>1</v>
          </cell>
          <cell r="G117">
            <v>0.15570000000000001</v>
          </cell>
          <cell r="H117">
            <v>26948.18</v>
          </cell>
          <cell r="I117">
            <v>31144.011626</v>
          </cell>
          <cell r="J117">
            <v>31144.01</v>
          </cell>
        </row>
        <row r="118">
          <cell r="B118" t="str">
            <v>COMP26</v>
          </cell>
          <cell r="C118" t="str">
            <v>2.4.1.12</v>
          </cell>
          <cell r="D118" t="str">
            <v>Chapa dobrada #8 400x700 mm, incl. chumbadores e solda.</v>
          </cell>
          <cell r="E118" t="str">
            <v>un</v>
          </cell>
          <cell r="F118">
            <v>2</v>
          </cell>
          <cell r="G118">
            <v>0.29930000000000001</v>
          </cell>
          <cell r="H118">
            <v>289.77</v>
          </cell>
          <cell r="I118">
            <v>376.49816100000004</v>
          </cell>
          <cell r="J118">
            <v>753</v>
          </cell>
        </row>
        <row r="119">
          <cell r="B119" t="str">
            <v/>
          </cell>
          <cell r="C119" t="str">
            <v>2.4.2</v>
          </cell>
          <cell r="D119" t="str">
            <v>TRANSPORTE DO FLUTUANTE</v>
          </cell>
          <cell r="I119" t="str">
            <v/>
          </cell>
          <cell r="J119">
            <v>1377.8</v>
          </cell>
        </row>
        <row r="120">
          <cell r="B120" t="str">
            <v>COMP37</v>
          </cell>
          <cell r="C120" t="str">
            <v>2.4.2.1</v>
          </cell>
          <cell r="D120" t="str">
            <v>Transporte de flutuante por rebocador, incluso manobra, amarração e desamarração (Trajeto Praça do Papa - Praça do Papa)</v>
          </cell>
          <cell r="E120" t="str">
            <v>un</v>
          </cell>
          <cell r="F120">
            <v>1</v>
          </cell>
          <cell r="G120">
            <v>0.29930000000000001</v>
          </cell>
          <cell r="H120">
            <v>1060.42</v>
          </cell>
          <cell r="I120">
            <v>1377.8037060000001</v>
          </cell>
          <cell r="J120">
            <v>1377.8</v>
          </cell>
        </row>
        <row r="121">
          <cell r="B121" t="str">
            <v/>
          </cell>
          <cell r="C121" t="str">
            <v>2.4.3</v>
          </cell>
          <cell r="D121" t="str">
            <v>ESTACAS</v>
          </cell>
          <cell r="I121" t="str">
            <v/>
          </cell>
          <cell r="J121">
            <v>321267.94</v>
          </cell>
        </row>
        <row r="122">
          <cell r="B122" t="str">
            <v>COT16</v>
          </cell>
          <cell r="C122" t="str">
            <v>2.4.3.1</v>
          </cell>
          <cell r="D122" t="str">
            <v>SONDAGEM ROTATIVA EM LÂMINA D'ÁGUA (PRAINHA DE VILA VELHA) - INCLUSIVE MOBILIZAÇÃO E DESMOBILIZAÇÃO DE EQUIPAMENTO</v>
          </cell>
          <cell r="E122" t="str">
            <v>UN</v>
          </cell>
          <cell r="F122">
            <v>2</v>
          </cell>
          <cell r="G122">
            <v>0.29930000000000001</v>
          </cell>
          <cell r="H122">
            <v>15459.349588901763</v>
          </cell>
          <cell r="I122">
            <v>20086.332920860063</v>
          </cell>
          <cell r="J122">
            <v>40172.67</v>
          </cell>
        </row>
        <row r="123">
          <cell r="B123" t="str">
            <v>COMP8</v>
          </cell>
          <cell r="C123" t="str">
            <v>2.4.3.2</v>
          </cell>
          <cell r="D123" t="str">
            <v>Camisa metálica com espessura de 8 mm D = 700 mm - cravada com martelo vibratório - sem escavação - confecção e cravação</v>
          </cell>
          <cell r="E123" t="str">
            <v>m</v>
          </cell>
          <cell r="F123">
            <v>86.8</v>
          </cell>
          <cell r="G123">
            <v>0.29930000000000001</v>
          </cell>
          <cell r="H123">
            <v>1079.06</v>
          </cell>
          <cell r="I123">
            <v>1402.0226580000001</v>
          </cell>
          <cell r="J123">
            <v>121695.57</v>
          </cell>
        </row>
        <row r="124">
          <cell r="B124" t="str">
            <v>COMP16</v>
          </cell>
          <cell r="C124" t="str">
            <v>2.4.3.3</v>
          </cell>
          <cell r="D124" t="str">
            <v>Apoio náutico para a execução da cravação de camisa metálica D = 600 a 1800 mm</v>
          </cell>
          <cell r="E124" t="str">
            <v>m</v>
          </cell>
          <cell r="F124">
            <v>86.8</v>
          </cell>
          <cell r="G124">
            <v>0.29930000000000001</v>
          </cell>
          <cell r="H124">
            <v>250.85</v>
          </cell>
          <cell r="I124">
            <v>325.92940500000003</v>
          </cell>
          <cell r="J124">
            <v>28290.67</v>
          </cell>
        </row>
        <row r="125">
          <cell r="B125" t="str">
            <v>COMP35</v>
          </cell>
          <cell r="C125" t="str">
            <v>2.4.3.4</v>
          </cell>
          <cell r="D125" t="str">
            <v>Escavação com perfuratriz tipo Wirth em solo - D = 700 mm</v>
          </cell>
          <cell r="E125" t="str">
            <v>m</v>
          </cell>
          <cell r="F125">
            <v>64</v>
          </cell>
          <cell r="G125">
            <v>0.29930000000000001</v>
          </cell>
          <cell r="H125">
            <v>263.32</v>
          </cell>
          <cell r="I125">
            <v>342.13167600000003</v>
          </cell>
          <cell r="J125">
            <v>21896.43</v>
          </cell>
        </row>
        <row r="126">
          <cell r="B126" t="str">
            <v>COMP20</v>
          </cell>
          <cell r="C126" t="str">
            <v>2.4.3.5</v>
          </cell>
          <cell r="D126" t="str">
            <v>Apoio náutico para a escavação com perfuratriz tipo Wirth em solo D = 600 mm a 1800 mm</v>
          </cell>
          <cell r="E126" t="str">
            <v>m</v>
          </cell>
          <cell r="F126">
            <v>64</v>
          </cell>
          <cell r="G126">
            <v>0.29930000000000001</v>
          </cell>
          <cell r="H126">
            <v>304.67</v>
          </cell>
          <cell r="I126">
            <v>395.85773100000006</v>
          </cell>
          <cell r="J126">
            <v>25334.89</v>
          </cell>
        </row>
        <row r="127">
          <cell r="B127" t="str">
            <v>COMP19</v>
          </cell>
          <cell r="C127" t="str">
            <v>2.4.3.6</v>
          </cell>
          <cell r="D127" t="str">
            <v>Armação de camisa metálica em aço CA-50 com apoio de guindaste - fornecimento, preparo e colocação</v>
          </cell>
          <cell r="E127" t="str">
            <v>kg</v>
          </cell>
          <cell r="F127">
            <v>5048</v>
          </cell>
          <cell r="G127">
            <v>0.29930000000000001</v>
          </cell>
          <cell r="H127">
            <v>6.91</v>
          </cell>
          <cell r="I127">
            <v>8.9781630000000003</v>
          </cell>
          <cell r="J127">
            <v>45321.77</v>
          </cell>
        </row>
        <row r="128">
          <cell r="B128" t="str">
            <v>COMP17</v>
          </cell>
          <cell r="C128" t="str">
            <v>2.4.3.7</v>
          </cell>
          <cell r="D128" t="str">
            <v>Apoio náutico para a colocação da armação em camisa metálica</v>
          </cell>
          <cell r="E128" t="str">
            <v>kg</v>
          </cell>
          <cell r="F128">
            <v>5048</v>
          </cell>
          <cell r="G128">
            <v>0.29930000000000001</v>
          </cell>
          <cell r="H128">
            <v>0.54</v>
          </cell>
          <cell r="I128">
            <v>0.70162200000000008</v>
          </cell>
          <cell r="J128">
            <v>3541.79</v>
          </cell>
        </row>
        <row r="129">
          <cell r="B129" t="str">
            <v>COMP5</v>
          </cell>
          <cell r="C129" t="str">
            <v>2.4.3.8</v>
          </cell>
          <cell r="D129" t="str">
            <v>FORNECIMENTO E APLICAÇÃO DE CONCRETO USINADO FCK=40 MPA - CONSIDERANDO BOMBEAMENTO (5% DE PERDAS JÁ INCLUÍDO NO CUSTO) (6% DE TAXA P/CONCR. BOMBEAVEL)</v>
          </cell>
          <cell r="E129" t="str">
            <v>m3</v>
          </cell>
          <cell r="F129">
            <v>31.89</v>
          </cell>
          <cell r="G129">
            <v>0.29930000000000001</v>
          </cell>
          <cell r="H129">
            <v>413.38</v>
          </cell>
          <cell r="I129">
            <v>537.10463400000003</v>
          </cell>
          <cell r="J129">
            <v>17128.27</v>
          </cell>
        </row>
        <row r="130">
          <cell r="B130" t="str">
            <v>COMP15</v>
          </cell>
          <cell r="C130" t="str">
            <v>2.4.3.9</v>
          </cell>
          <cell r="D130" t="str">
            <v>Apoio náutico para a execução da concretagem de camisas metálicas</v>
          </cell>
          <cell r="E130" t="str">
            <v>m³</v>
          </cell>
          <cell r="F130">
            <v>31.89</v>
          </cell>
          <cell r="G130">
            <v>0.29930000000000001</v>
          </cell>
          <cell r="H130">
            <v>90.12</v>
          </cell>
          <cell r="I130">
            <v>117.09291600000002</v>
          </cell>
          <cell r="J130">
            <v>3734.09</v>
          </cell>
        </row>
        <row r="131">
          <cell r="B131" t="str">
            <v>COMP25</v>
          </cell>
          <cell r="C131" t="str">
            <v>2.4.3.10</v>
          </cell>
          <cell r="D131" t="str">
            <v>Arrasamento de camisa metálica com espessura de 8 mm D = 700 mm</v>
          </cell>
          <cell r="E131" t="str">
            <v>un</v>
          </cell>
          <cell r="F131">
            <v>4</v>
          </cell>
          <cell r="G131">
            <v>0.29930000000000001</v>
          </cell>
          <cell r="H131">
            <v>1.38</v>
          </cell>
          <cell r="I131">
            <v>1.793034</v>
          </cell>
          <cell r="J131">
            <v>7.17</v>
          </cell>
        </row>
        <row r="132">
          <cell r="B132" t="str">
            <v>COMP34</v>
          </cell>
          <cell r="C132" t="str">
            <v>2.4.3.11</v>
          </cell>
          <cell r="D132" t="str">
            <v>Tubo de travamento de 12,5 mm D = 500 mm L = 2,75 m - fornecimento e instalação</v>
          </cell>
          <cell r="E132" t="str">
            <v>un</v>
          </cell>
          <cell r="F132">
            <v>2</v>
          </cell>
          <cell r="G132">
            <v>0.29930000000000001</v>
          </cell>
          <cell r="H132">
            <v>4927.21</v>
          </cell>
          <cell r="I132">
            <v>6401.9239530000004</v>
          </cell>
          <cell r="J132">
            <v>12803.85</v>
          </cell>
        </row>
        <row r="133">
          <cell r="B133" t="str">
            <v>190418</v>
          </cell>
          <cell r="C133" t="str">
            <v>2.4.3.12</v>
          </cell>
          <cell r="D133" t="str">
            <v>Pintura de superfície metálica com uma demão de primer Epoxi e duas demãos de tinta à base de Epoxi</v>
          </cell>
          <cell r="E133" t="str">
            <v>m2</v>
          </cell>
          <cell r="F133">
            <v>36.71</v>
          </cell>
          <cell r="G133">
            <v>0.29930000000000001</v>
          </cell>
          <cell r="H133">
            <v>28.11</v>
          </cell>
          <cell r="I133">
            <v>36.523323000000005</v>
          </cell>
          <cell r="J133">
            <v>1340.77</v>
          </cell>
        </row>
        <row r="134">
          <cell r="B134" t="str">
            <v/>
          </cell>
          <cell r="C134" t="str">
            <v>2.4.4</v>
          </cell>
          <cell r="D134" t="str">
            <v>DEMAIS ITENS</v>
          </cell>
          <cell r="I134" t="str">
            <v/>
          </cell>
          <cell r="J134">
            <v>9655.66</v>
          </cell>
        </row>
        <row r="135">
          <cell r="B135" t="str">
            <v>COMP27</v>
          </cell>
          <cell r="C135" t="str">
            <v>2.4.4.1</v>
          </cell>
          <cell r="D135" t="str">
            <v>Guarda corpo de tubo de ferro galvanizado, diâm. 2" e 1/2", h= 1,1 m inclusive pintura a óleo ou esmalte</v>
          </cell>
          <cell r="E135" t="str">
            <v>m</v>
          </cell>
          <cell r="F135">
            <v>23.86</v>
          </cell>
          <cell r="G135">
            <v>0.29930000000000001</v>
          </cell>
          <cell r="H135">
            <v>311.45999999999998</v>
          </cell>
          <cell r="I135">
            <v>404.67997800000001</v>
          </cell>
          <cell r="J135">
            <v>9655.66</v>
          </cell>
        </row>
        <row r="136">
          <cell r="B136" t="str">
            <v/>
          </cell>
          <cell r="C136" t="str">
            <v>2.5</v>
          </cell>
          <cell r="D136" t="str">
            <v>PASSARELA DE ACESSO</v>
          </cell>
          <cell r="I136" t="str">
            <v/>
          </cell>
          <cell r="J136">
            <v>472093.77</v>
          </cell>
        </row>
        <row r="137">
          <cell r="B137" t="str">
            <v/>
          </cell>
          <cell r="C137" t="str">
            <v>2.5.1</v>
          </cell>
          <cell r="D137" t="str">
            <v>PASSARELA DE ACESSO</v>
          </cell>
          <cell r="I137" t="str">
            <v/>
          </cell>
          <cell r="J137">
            <v>472093.77</v>
          </cell>
        </row>
        <row r="138">
          <cell r="B138" t="str">
            <v>COMP22</v>
          </cell>
          <cell r="C138" t="str">
            <v>2.5.1.1</v>
          </cell>
          <cell r="D138" t="str">
            <v>Passarela metálica conforme especificações de projeto - fornecimento e instalação</v>
          </cell>
          <cell r="E138" t="str">
            <v>und</v>
          </cell>
          <cell r="F138">
            <v>1</v>
          </cell>
          <cell r="G138">
            <v>0.15570000000000001</v>
          </cell>
          <cell r="H138">
            <v>391481.5</v>
          </cell>
          <cell r="I138">
            <v>452435.16954999999</v>
          </cell>
          <cell r="J138">
            <v>452435.17</v>
          </cell>
        </row>
        <row r="139">
          <cell r="B139" t="str">
            <v>COMP42</v>
          </cell>
          <cell r="C139" t="str">
            <v>2.5.1.2</v>
          </cell>
          <cell r="D139" t="str">
            <v>Içamento de passarela metálica para flutuante de apoio</v>
          </cell>
          <cell r="E139" t="str">
            <v>und</v>
          </cell>
          <cell r="F139">
            <v>1</v>
          </cell>
          <cell r="G139">
            <v>0.29930000000000001</v>
          </cell>
          <cell r="H139">
            <v>3241.96</v>
          </cell>
          <cell r="I139">
            <v>4212.278628</v>
          </cell>
          <cell r="J139">
            <v>4212.28</v>
          </cell>
        </row>
        <row r="140">
          <cell r="B140" t="str">
            <v>COMP7</v>
          </cell>
          <cell r="C140" t="str">
            <v>2.5.1.3</v>
          </cell>
          <cell r="D140" t="str">
            <v>Telha trapezoidal calandrada galvalume - inclusive fornecimento, instalação e pintura</v>
          </cell>
          <cell r="E140" t="str">
            <v>m²</v>
          </cell>
          <cell r="F140">
            <v>120.68</v>
          </cell>
          <cell r="G140">
            <v>0.29930000000000001</v>
          </cell>
          <cell r="H140">
            <v>98.51</v>
          </cell>
          <cell r="I140">
            <v>127.99404300000002</v>
          </cell>
          <cell r="J140">
            <v>15446.32</v>
          </cell>
        </row>
        <row r="141">
          <cell r="B141" t="str">
            <v/>
          </cell>
          <cell r="C141" t="str">
            <v>2.6</v>
          </cell>
          <cell r="D141" t="str">
            <v>INSTALAÇÕES ELÉTRICAS</v>
          </cell>
          <cell r="I141" t="str">
            <v/>
          </cell>
          <cell r="J141">
            <v>46900.19</v>
          </cell>
        </row>
        <row r="142">
          <cell r="B142" t="str">
            <v/>
          </cell>
          <cell r="C142" t="str">
            <v>2.6.1</v>
          </cell>
          <cell r="D142" t="str">
            <v>INSTALAÇÕES ELÉTRICAS</v>
          </cell>
          <cell r="I142" t="str">
            <v/>
          </cell>
          <cell r="J142">
            <v>43240.12</v>
          </cell>
        </row>
        <row r="143">
          <cell r="B143" t="str">
            <v>151701</v>
          </cell>
          <cell r="C143" t="str">
            <v>2.6.1.1</v>
          </cell>
          <cell r="D143" t="str">
            <v>Padrão de entrada de energia elétrica, monofásico, entrada aérea, a 2 fios, carga instalada em muro de 3500 até 9000W - 220/127V</v>
          </cell>
          <cell r="E143" t="str">
            <v>und</v>
          </cell>
          <cell r="F143">
            <v>1</v>
          </cell>
          <cell r="G143">
            <v>0.29930000000000001</v>
          </cell>
          <cell r="H143">
            <v>1284.71</v>
          </cell>
          <cell r="I143">
            <v>1669.2237030000001</v>
          </cell>
          <cell r="J143">
            <v>1669.22</v>
          </cell>
        </row>
        <row r="144">
          <cell r="B144" t="str">
            <v>150312</v>
          </cell>
          <cell r="C144" t="str">
            <v>2.6.1.2</v>
          </cell>
          <cell r="D144" t="str">
            <v>Quadro de distribuição de energia, de embutir, com 3 divisões modulares, sem barramento</v>
          </cell>
          <cell r="E144" t="str">
            <v>und</v>
          </cell>
          <cell r="F144">
            <v>1</v>
          </cell>
          <cell r="G144">
            <v>0.29930000000000001</v>
          </cell>
          <cell r="H144">
            <v>88.27</v>
          </cell>
          <cell r="I144">
            <v>114.689211</v>
          </cell>
          <cell r="J144">
            <v>114.69</v>
          </cell>
        </row>
        <row r="145">
          <cell r="B145" t="str">
            <v>150628</v>
          </cell>
          <cell r="C145" t="str">
            <v>2.6.1.3</v>
          </cell>
          <cell r="D145" t="str">
            <v>Caixa de embutir marca de referência Tigreflex, 4x2"</v>
          </cell>
          <cell r="E145" t="str">
            <v>und</v>
          </cell>
          <cell r="F145">
            <v>19</v>
          </cell>
          <cell r="G145">
            <v>0.29930000000000001</v>
          </cell>
          <cell r="H145">
            <v>6.35</v>
          </cell>
          <cell r="I145">
            <v>8.2505550000000003</v>
          </cell>
          <cell r="J145">
            <v>156.76</v>
          </cell>
        </row>
        <row r="146">
          <cell r="B146" t="str">
            <v>151417</v>
          </cell>
          <cell r="C146" t="str">
            <v>2.6.1.4</v>
          </cell>
          <cell r="D146" t="str">
            <v>Cabo de cobre termoplástico, com isolamento para 1000V, seção de 2.5 mm2</v>
          </cell>
          <cell r="E146" t="str">
            <v>m</v>
          </cell>
          <cell r="F146">
            <v>147.4</v>
          </cell>
          <cell r="G146">
            <v>0.29930000000000001</v>
          </cell>
          <cell r="H146">
            <v>4.9800000000000004</v>
          </cell>
          <cell r="I146">
            <v>6.4705140000000014</v>
          </cell>
          <cell r="J146">
            <v>953.75</v>
          </cell>
        </row>
        <row r="147">
          <cell r="B147" t="str">
            <v>151418</v>
          </cell>
          <cell r="C147" t="str">
            <v>2.6.1.5</v>
          </cell>
          <cell r="D147" t="str">
            <v>Cabo de cobre termoplástico, com isolamento para 1000V, seção de 4.0 mm2</v>
          </cell>
          <cell r="E147" t="str">
            <v>m</v>
          </cell>
          <cell r="F147">
            <v>315.39999999999998</v>
          </cell>
          <cell r="G147">
            <v>0.29930000000000001</v>
          </cell>
          <cell r="H147">
            <v>5.74</v>
          </cell>
          <cell r="I147">
            <v>7.4579820000000012</v>
          </cell>
          <cell r="J147">
            <v>2352.25</v>
          </cell>
        </row>
        <row r="148">
          <cell r="B148" t="str">
            <v>151420</v>
          </cell>
          <cell r="C148" t="str">
            <v>2.6.1.6</v>
          </cell>
          <cell r="D148" t="str">
            <v>Cabo de cobre termoplástico, com isolamento para 1000V, seção de 10 mm2</v>
          </cell>
          <cell r="E148" t="str">
            <v>m</v>
          </cell>
          <cell r="F148">
            <v>60</v>
          </cell>
          <cell r="G148">
            <v>0.29930000000000001</v>
          </cell>
          <cell r="H148">
            <v>9.0399999999999991</v>
          </cell>
          <cell r="I148">
            <v>11.745672000000001</v>
          </cell>
          <cell r="J148">
            <v>704.74</v>
          </cell>
        </row>
        <row r="149">
          <cell r="B149" t="str">
            <v>151809</v>
          </cell>
          <cell r="C149" t="str">
            <v>2.6.1.7</v>
          </cell>
          <cell r="D149" t="str">
            <v>Ponto padrão de interruptor de 2 teclas simples - considerando eletroduto PVC rígido de 3/4" inclusive conexões (3.3m), fio isolado PVC de 2.5mm2 (17.2m) e caixa estampada 4x2" (1 und)</v>
          </cell>
          <cell r="E149" t="str">
            <v>und</v>
          </cell>
          <cell r="F149">
            <v>1</v>
          </cell>
          <cell r="G149">
            <v>0.29930000000000001</v>
          </cell>
          <cell r="H149">
            <v>127.68</v>
          </cell>
          <cell r="I149">
            <v>165.89462400000002</v>
          </cell>
          <cell r="J149">
            <v>165.89</v>
          </cell>
        </row>
        <row r="150">
          <cell r="B150" t="str">
            <v>151803</v>
          </cell>
          <cell r="C150" t="str">
            <v>2.6.1.8</v>
          </cell>
          <cell r="D150" t="str">
            <v>Ponto padrão de tomada 2 pólos mais terra - considerando eletroduto PVC rígido de 3/4" inclusive conexões (5.0m), fio isolado PVC de 2.5mm2 (16.5m) e caixa estampada 4x2" (1 und)</v>
          </cell>
          <cell r="E150" t="str">
            <v>und</v>
          </cell>
          <cell r="F150">
            <v>10</v>
          </cell>
          <cell r="G150">
            <v>0.29930000000000001</v>
          </cell>
          <cell r="H150">
            <v>145.30000000000001</v>
          </cell>
          <cell r="I150">
            <v>188.78829000000005</v>
          </cell>
          <cell r="J150">
            <v>1887.88</v>
          </cell>
        </row>
        <row r="151">
          <cell r="B151" t="str">
            <v>151338</v>
          </cell>
          <cell r="C151" t="str">
            <v>2.6.1.9</v>
          </cell>
          <cell r="D151" t="str">
            <v>Mini-Disjuntor monopolar 10 A, curva C - 5KA 220/127VCA (NBR IEC 60947-2), Ref. Siemens, GE, Schneider ou equivalente</v>
          </cell>
          <cell r="E151" t="str">
            <v>und</v>
          </cell>
          <cell r="F151">
            <v>1</v>
          </cell>
          <cell r="G151">
            <v>0.29930000000000001</v>
          </cell>
          <cell r="H151">
            <v>15.43</v>
          </cell>
          <cell r="I151">
            <v>20.048199</v>
          </cell>
          <cell r="J151">
            <v>20.05</v>
          </cell>
        </row>
        <row r="152">
          <cell r="B152" t="str">
            <v>151301</v>
          </cell>
          <cell r="C152" t="str">
            <v>2.6.1.10</v>
          </cell>
          <cell r="D152" t="str">
            <v>Mini-Disjuntor monopolar 16 A, curva C - 5KA 220/127VCA (NBR IEC 60947-2), Ref. Siemens, GE, Schneider ou equivalente</v>
          </cell>
          <cell r="E152" t="str">
            <v>und</v>
          </cell>
          <cell r="F152">
            <v>1</v>
          </cell>
          <cell r="G152">
            <v>0.29930000000000001</v>
          </cell>
          <cell r="H152">
            <v>15.43</v>
          </cell>
          <cell r="I152">
            <v>20.048199</v>
          </cell>
          <cell r="J152">
            <v>20.05</v>
          </cell>
        </row>
        <row r="153">
          <cell r="B153" t="str">
            <v>151303</v>
          </cell>
          <cell r="C153" t="str">
            <v>2.6.1.11</v>
          </cell>
          <cell r="D153" t="str">
            <v>Mini-Disjuntor monopolar 25 A, curva C - 5KA 220/127VCA (NBR IEC 60947-2), Ref. Siemens, GE, Schneider ou equivalente</v>
          </cell>
          <cell r="E153" t="str">
            <v>und</v>
          </cell>
          <cell r="F153">
            <v>1</v>
          </cell>
          <cell r="G153">
            <v>0.29930000000000001</v>
          </cell>
          <cell r="H153">
            <v>15.43</v>
          </cell>
          <cell r="I153">
            <v>20.048199</v>
          </cell>
          <cell r="J153">
            <v>20.05</v>
          </cell>
        </row>
        <row r="154">
          <cell r="B154" t="str">
            <v>151318</v>
          </cell>
          <cell r="C154" t="str">
            <v>2.6.1.12</v>
          </cell>
          <cell r="D154" t="str">
            <v>Mini-Disjuntor monopolar 63 A, curva C - 5KA 220/127VCA (NBR IEC 60947-2), Ref. Siemens, GE, Schneider ou equivalente</v>
          </cell>
          <cell r="E154" t="str">
            <v>und</v>
          </cell>
          <cell r="F154">
            <v>1</v>
          </cell>
          <cell r="G154">
            <v>0.29930000000000001</v>
          </cell>
          <cell r="H154">
            <v>19.25</v>
          </cell>
          <cell r="I154">
            <v>25.011525000000002</v>
          </cell>
          <cell r="J154">
            <v>25.01</v>
          </cell>
        </row>
        <row r="155">
          <cell r="B155" t="str">
            <v>151350</v>
          </cell>
          <cell r="C155" t="str">
            <v>2.6.1.13</v>
          </cell>
          <cell r="D155" t="str">
            <v>Interruptor Diferencial DR 16A a 25A, 30mA, 2 módulos</v>
          </cell>
          <cell r="E155" t="str">
            <v>und</v>
          </cell>
          <cell r="F155">
            <v>1</v>
          </cell>
          <cell r="G155">
            <v>0.29930000000000001</v>
          </cell>
          <cell r="H155">
            <v>113.14</v>
          </cell>
          <cell r="I155">
            <v>147.002802</v>
          </cell>
          <cell r="J155">
            <v>147</v>
          </cell>
        </row>
        <row r="156">
          <cell r="B156" t="str">
            <v>151132</v>
          </cell>
          <cell r="C156" t="str">
            <v>2.6.1.14</v>
          </cell>
          <cell r="D156" t="str">
            <v>Eletroduto flexível corrugado 3/4" , marca de referência TIGRE</v>
          </cell>
          <cell r="E156" t="str">
            <v>m</v>
          </cell>
          <cell r="F156">
            <v>75.7</v>
          </cell>
          <cell r="G156">
            <v>0.29930000000000001</v>
          </cell>
          <cell r="H156">
            <v>6.38</v>
          </cell>
          <cell r="I156">
            <v>8.2895340000000015</v>
          </cell>
          <cell r="J156">
            <v>627.52</v>
          </cell>
        </row>
        <row r="157">
          <cell r="B157" t="str">
            <v>150801</v>
          </cell>
          <cell r="C157" t="str">
            <v>2.6.1.15</v>
          </cell>
          <cell r="D157" t="str">
            <v>Eletroduto aparente de PVC rígido roscável diâmetro 3/4", inclusive abraçadeira de fixação</v>
          </cell>
          <cell r="E157" t="str">
            <v>m</v>
          </cell>
          <cell r="F157">
            <v>66</v>
          </cell>
          <cell r="G157">
            <v>0.29930000000000001</v>
          </cell>
          <cell r="H157">
            <v>10.77</v>
          </cell>
          <cell r="I157">
            <v>13.993461</v>
          </cell>
          <cell r="J157">
            <v>923.57</v>
          </cell>
        </row>
        <row r="158">
          <cell r="B158" t="str">
            <v>180110</v>
          </cell>
          <cell r="C158" t="str">
            <v>2.6.1.16</v>
          </cell>
          <cell r="D158" t="str">
            <v>Arandela com lâmpada incandescente de 100W</v>
          </cell>
          <cell r="E158" t="str">
            <v>und</v>
          </cell>
          <cell r="F158">
            <v>5</v>
          </cell>
          <cell r="G158">
            <v>0.29930000000000001</v>
          </cell>
          <cell r="H158">
            <v>90.28</v>
          </cell>
          <cell r="I158">
            <v>117.30080400000001</v>
          </cell>
          <cell r="J158">
            <v>586.5</v>
          </cell>
        </row>
        <row r="159">
          <cell r="B159" t="str">
            <v>COMP21</v>
          </cell>
          <cell r="C159" t="str">
            <v>2.6.1.17</v>
          </cell>
          <cell r="D159" t="str">
            <v>Instalação e fornecimento de luminária High Bay LED 100W</v>
          </cell>
          <cell r="E159" t="str">
            <v>un</v>
          </cell>
          <cell r="F159">
            <v>19</v>
          </cell>
          <cell r="G159">
            <v>0.29930000000000001</v>
          </cell>
          <cell r="H159">
            <v>308.23</v>
          </cell>
          <cell r="I159">
            <v>400.48323900000008</v>
          </cell>
          <cell r="J159">
            <v>7609.18</v>
          </cell>
        </row>
        <row r="160">
          <cell r="B160" t="str">
            <v>COMP14</v>
          </cell>
          <cell r="C160" t="str">
            <v>2.6.1.18</v>
          </cell>
          <cell r="D160" t="str">
            <v xml:space="preserve">Fornecimento e instalação de lanterna de sinalização náutica com alcance luminoso de 2 MN </v>
          </cell>
          <cell r="E160" t="str">
            <v>un</v>
          </cell>
          <cell r="F160">
            <v>2</v>
          </cell>
          <cell r="G160">
            <v>0.29930000000000001</v>
          </cell>
          <cell r="H160">
            <v>4232.34</v>
          </cell>
          <cell r="I160">
            <v>5499.0793620000004</v>
          </cell>
          <cell r="J160">
            <v>10998.16</v>
          </cell>
        </row>
        <row r="161">
          <cell r="B161" t="str">
            <v>COT11</v>
          </cell>
          <cell r="C161" t="str">
            <v>2.6.1.19</v>
          </cell>
          <cell r="D161" t="str">
            <v>SISTEMA ON-GRID COM 8x PAINEL SOLAR 325 WP (2 m x 1m) OU EQUIVALENTE - FORNECIMENTO E INSTALAÇÃO</v>
          </cell>
          <cell r="E161" t="str">
            <v>UND</v>
          </cell>
          <cell r="F161">
            <v>1</v>
          </cell>
          <cell r="G161">
            <v>0.15570000000000001</v>
          </cell>
          <cell r="H161">
            <v>12336.985608806206</v>
          </cell>
          <cell r="I161">
            <v>14257.854268097331</v>
          </cell>
          <cell r="J161">
            <v>14257.85</v>
          </cell>
        </row>
        <row r="162">
          <cell r="B162" t="str">
            <v/>
          </cell>
          <cell r="C162" t="str">
            <v>2.6.2</v>
          </cell>
          <cell r="D162" t="str">
            <v>ATERRAMENTO</v>
          </cell>
          <cell r="I162" t="str">
            <v/>
          </cell>
          <cell r="J162">
            <v>3660.07</v>
          </cell>
        </row>
        <row r="163">
          <cell r="B163" t="str">
            <v>150610</v>
          </cell>
          <cell r="C163" t="str">
            <v>2.6.2.1</v>
          </cell>
          <cell r="D163" t="str">
            <v>Caixa de aterramento de concreto simples, nas dimensões de 30x30x25cm, com revest. int. em chapisco e reboco, tampa de concreto esp.5cm e lastro de brita esp. 5 cm, incl. haste 5/8"x2400mm</v>
          </cell>
          <cell r="E163" t="str">
            <v>und</v>
          </cell>
          <cell r="F163">
            <v>4</v>
          </cell>
          <cell r="G163">
            <v>0.29930000000000001</v>
          </cell>
          <cell r="H163">
            <v>160.28</v>
          </cell>
          <cell r="I163">
            <v>208.25180400000002</v>
          </cell>
          <cell r="J163">
            <v>833.01</v>
          </cell>
        </row>
        <row r="164">
          <cell r="B164" t="str">
            <v>160324</v>
          </cell>
          <cell r="C164" t="str">
            <v>2.6.2.2</v>
          </cell>
          <cell r="D164" t="str">
            <v>Caixa de equalização de potenciais para uso interno e externo com cinco (5) terminais para aterramento (BEP), em polipropileno, ref. TEL-902, marca de referência Termotécnica ou equivalente</v>
          </cell>
          <cell r="E164" t="str">
            <v>und</v>
          </cell>
          <cell r="F164">
            <v>1</v>
          </cell>
          <cell r="G164">
            <v>0.29930000000000001</v>
          </cell>
          <cell r="H164">
            <v>170.01</v>
          </cell>
          <cell r="I164">
            <v>220.89399299999999</v>
          </cell>
          <cell r="J164">
            <v>220.89</v>
          </cell>
        </row>
        <row r="165">
          <cell r="B165" t="str">
            <v>160317</v>
          </cell>
          <cell r="C165" t="str">
            <v>2.6.2.3</v>
          </cell>
          <cell r="D165" t="str">
            <v>Cabo de cobre nú 50mm2, ref. TEL 5750, marca de referência Termotécnica ou equivalente</v>
          </cell>
          <cell r="E165" t="str">
            <v>m</v>
          </cell>
          <cell r="F165">
            <v>68.900000000000006</v>
          </cell>
          <cell r="G165">
            <v>0.29930000000000001</v>
          </cell>
          <cell r="H165">
            <v>28.38</v>
          </cell>
          <cell r="I165">
            <v>36.874134000000005</v>
          </cell>
          <cell r="J165">
            <v>2540.63</v>
          </cell>
        </row>
        <row r="166">
          <cell r="B166" t="str">
            <v>160334</v>
          </cell>
          <cell r="C166" t="str">
            <v>2.6.2.4</v>
          </cell>
          <cell r="D166" t="str">
            <v>Terminal estanhado de 1 compressão 1 furo, 50mm², ref. TEL-5150, marca de referência Termotécnica ou equivalente</v>
          </cell>
          <cell r="E166" t="str">
            <v>und</v>
          </cell>
          <cell r="F166">
            <v>2</v>
          </cell>
          <cell r="G166">
            <v>0.29930000000000001</v>
          </cell>
          <cell r="H166">
            <v>25.22</v>
          </cell>
          <cell r="I166">
            <v>32.768346000000001</v>
          </cell>
          <cell r="J166">
            <v>65.540000000000006</v>
          </cell>
        </row>
        <row r="167">
          <cell r="C167" t="str">
            <v>2.7</v>
          </cell>
          <cell r="D167" t="str">
            <v>PREVENTIVO CONTRA INCÊNDIO</v>
          </cell>
          <cell r="J167">
            <v>2277.7399999999998</v>
          </cell>
        </row>
        <row r="168">
          <cell r="C168" t="str">
            <v>2.7.1</v>
          </cell>
          <cell r="D168" t="str">
            <v>PREVENTIVO CONTRA INCÊNDIO</v>
          </cell>
          <cell r="J168">
            <v>2277.7399999999998</v>
          </cell>
        </row>
        <row r="169">
          <cell r="B169" t="str">
            <v>160612</v>
          </cell>
          <cell r="C169" t="str">
            <v>2.7.1.1</v>
          </cell>
          <cell r="D169" t="str">
            <v>Placa de sinalização de segurança CODIGO 14 - 315/158(NBR 13.434); CÓDIGO S3(NT 14/2010-ES) ("SAIDA DE EMERGÊNCIA" - seta vertical)</v>
          </cell>
          <cell r="E169" t="str">
            <v>und</v>
          </cell>
          <cell r="F169">
            <v>2</v>
          </cell>
          <cell r="G169">
            <v>0.29930000000000001</v>
          </cell>
          <cell r="H169">
            <v>25.48</v>
          </cell>
          <cell r="I169">
            <v>33.106164000000007</v>
          </cell>
          <cell r="J169">
            <v>66.209999999999994</v>
          </cell>
        </row>
        <row r="170">
          <cell r="B170" t="str">
            <v>160608</v>
          </cell>
          <cell r="C170" t="str">
            <v>2.7.1.2</v>
          </cell>
          <cell r="D170" t="str">
            <v>Ponto para seta indicativa de saída, incl. seta em acrílico, com fonte alimentadora própria que assegure um funcionamento mínimo de 1h, para quando ocorrer falta de energia elétrica na rede pública, conforme projeto</v>
          </cell>
          <cell r="E170" t="str">
            <v>und</v>
          </cell>
          <cell r="F170">
            <v>3</v>
          </cell>
          <cell r="G170">
            <v>0.29930000000000001</v>
          </cell>
          <cell r="H170">
            <v>272.64999999999998</v>
          </cell>
          <cell r="I170">
            <v>354.25414499999999</v>
          </cell>
          <cell r="J170">
            <v>1062.76</v>
          </cell>
        </row>
        <row r="171">
          <cell r="B171" t="str">
            <v>160613</v>
          </cell>
          <cell r="C171" t="str">
            <v>2.7.1.3</v>
          </cell>
          <cell r="D171" t="str">
            <v>Ponto para iluminação de emergência completo, inclusive bloco autônomo de iluminação 2x9W com tomada universal</v>
          </cell>
          <cell r="E171" t="str">
            <v>und</v>
          </cell>
          <cell r="F171">
            <v>3</v>
          </cell>
          <cell r="G171">
            <v>0.29930000000000001</v>
          </cell>
          <cell r="H171">
            <v>167.92</v>
          </cell>
          <cell r="I171">
            <v>218.17845600000001</v>
          </cell>
          <cell r="J171">
            <v>654.54</v>
          </cell>
        </row>
        <row r="172">
          <cell r="B172" t="str">
            <v>160607</v>
          </cell>
          <cell r="C172" t="str">
            <v>2.7.1.4</v>
          </cell>
          <cell r="D172" t="str">
            <v>Extintor de incêndio portátil de pó químico ABC com capacidade 2A-20B:C (4 kg), inclusive suporte para fixação, EXCLUSIVE placa sinalizadora em PVC fotoluminescente</v>
          </cell>
          <cell r="E172" t="str">
            <v>und</v>
          </cell>
          <cell r="F172">
            <v>2</v>
          </cell>
          <cell r="G172">
            <v>0.29930000000000001</v>
          </cell>
          <cell r="H172">
            <v>151.79</v>
          </cell>
          <cell r="I172">
            <v>197.22074700000002</v>
          </cell>
          <cell r="J172">
            <v>394.44</v>
          </cell>
        </row>
        <row r="173">
          <cell r="B173" t="str">
            <v>190605</v>
          </cell>
          <cell r="C173" t="str">
            <v>2.7.1.5</v>
          </cell>
          <cell r="D173" t="str">
            <v>Aplicação de tinta epóxi de alta espessura semibrilhante sobre piso de concreto a três demãos, inclusive selador epóxi a uma demão - Ref. Intergard 2005 e 2001 - Internacional ou equivalente</v>
          </cell>
          <cell r="E173" t="str">
            <v>m2</v>
          </cell>
          <cell r="F173">
            <v>1.8</v>
          </cell>
          <cell r="G173">
            <v>0.29930000000000001</v>
          </cell>
          <cell r="H173">
            <v>42.67</v>
          </cell>
          <cell r="I173">
            <v>55.441131000000006</v>
          </cell>
          <cell r="J173">
            <v>99.79</v>
          </cell>
        </row>
        <row r="174">
          <cell r="B174" t="str">
            <v/>
          </cell>
          <cell r="C174">
            <v>3</v>
          </cell>
          <cell r="D174" t="str">
            <v>PORTO DE SANTANA CARIACICA</v>
          </cell>
          <cell r="J174">
            <v>1508436.5999999999</v>
          </cell>
        </row>
        <row r="175">
          <cell r="B175" t="str">
            <v/>
          </cell>
          <cell r="C175" t="str">
            <v>3.1</v>
          </cell>
          <cell r="D175" t="str">
            <v>SERVIÇOS PRELIMINARES</v>
          </cell>
          <cell r="J175">
            <v>11024.27</v>
          </cell>
        </row>
        <row r="176">
          <cell r="B176" t="str">
            <v/>
          </cell>
          <cell r="C176" t="str">
            <v>3.1.1</v>
          </cell>
          <cell r="D176" t="str">
            <v>PLACA DE OBRA</v>
          </cell>
          <cell r="I176" t="str">
            <v/>
          </cell>
          <cell r="J176">
            <v>1970.88</v>
          </cell>
        </row>
        <row r="177">
          <cell r="B177" t="str">
            <v>020305</v>
          </cell>
          <cell r="C177" t="str">
            <v>3.1.1.1</v>
          </cell>
          <cell r="D177" t="str">
            <v>Placa de obra nas dimensões de 2.0 x 4.0 m, padrão IOPES</v>
          </cell>
          <cell r="E177" t="str">
            <v>m2</v>
          </cell>
          <cell r="F177">
            <v>8</v>
          </cell>
          <cell r="G177">
            <v>0.29930000000000001</v>
          </cell>
          <cell r="H177">
            <v>189.61</v>
          </cell>
          <cell r="I177">
            <v>246.36027300000003</v>
          </cell>
          <cell r="J177">
            <v>1970.88</v>
          </cell>
        </row>
        <row r="178">
          <cell r="B178" t="str">
            <v/>
          </cell>
          <cell r="C178" t="str">
            <v>3.1.2</v>
          </cell>
          <cell r="D178" t="str">
            <v>PREPARO DO TERRENO</v>
          </cell>
          <cell r="I178" t="str">
            <v/>
          </cell>
          <cell r="J178">
            <v>9053.39</v>
          </cell>
        </row>
        <row r="179">
          <cell r="B179" t="str">
            <v>010201</v>
          </cell>
          <cell r="C179" t="str">
            <v>3.1.2.1</v>
          </cell>
          <cell r="D179" t="str">
            <v>Demolição de piso cimentado inclusive lastro de concreto</v>
          </cell>
          <cell r="E179" t="str">
            <v>m2</v>
          </cell>
          <cell r="F179">
            <v>268.29000000000002</v>
          </cell>
          <cell r="G179">
            <v>0.29930000000000001</v>
          </cell>
          <cell r="H179">
            <v>18.77</v>
          </cell>
          <cell r="I179">
            <v>24.387861000000001</v>
          </cell>
          <cell r="J179">
            <v>6543.02</v>
          </cell>
        </row>
        <row r="180">
          <cell r="B180" t="str">
            <v>030304</v>
          </cell>
          <cell r="C180" t="str">
            <v>3.1.2.2</v>
          </cell>
          <cell r="D180" t="str">
            <v>Índice de preço para remoção de entulho decorrente da execução de obras (Classe A CONAMA - NBR 10.004 - Classe II-B), incluindo aluguel da caçamba, carga, transporte e descarga em área licenciada</v>
          </cell>
          <cell r="E180" t="str">
            <v>m3</v>
          </cell>
          <cell r="F180">
            <v>40.243500000000004</v>
          </cell>
          <cell r="G180">
            <v>0.29930000000000001</v>
          </cell>
          <cell r="H180">
            <v>48.01</v>
          </cell>
          <cell r="I180">
            <v>62.379393</v>
          </cell>
          <cell r="J180">
            <v>2510.37</v>
          </cell>
        </row>
        <row r="181">
          <cell r="B181" t="str">
            <v/>
          </cell>
          <cell r="C181" t="str">
            <v>3.2</v>
          </cell>
          <cell r="D181" t="str">
            <v>TERRAPLENAGEM</v>
          </cell>
          <cell r="I181" t="str">
            <v/>
          </cell>
          <cell r="J181">
            <v>25584.45</v>
          </cell>
        </row>
        <row r="182">
          <cell r="B182" t="str">
            <v/>
          </cell>
          <cell r="C182" t="str">
            <v>3.2.1</v>
          </cell>
          <cell r="D182" t="str">
            <v>MOVIMENTOS DE TERRA</v>
          </cell>
          <cell r="I182" t="str">
            <v/>
          </cell>
          <cell r="J182">
            <v>25584.45</v>
          </cell>
        </row>
        <row r="183">
          <cell r="B183" t="str">
            <v>030103</v>
          </cell>
          <cell r="C183" t="str">
            <v>3.2.1.1</v>
          </cell>
          <cell r="D183" t="str">
            <v>Escavação mecânica em material de 1a. categoria</v>
          </cell>
          <cell r="E183" t="str">
            <v>m3</v>
          </cell>
          <cell r="F183">
            <v>349.44</v>
          </cell>
          <cell r="G183">
            <v>0.29930000000000001</v>
          </cell>
          <cell r="H183">
            <v>8.34</v>
          </cell>
          <cell r="I183">
            <v>10.836162000000002</v>
          </cell>
          <cell r="J183">
            <v>3786.59</v>
          </cell>
        </row>
        <row r="184">
          <cell r="B184" t="str">
            <v>030304</v>
          </cell>
          <cell r="C184" t="str">
            <v>3.2.1.2</v>
          </cell>
          <cell r="D184" t="str">
            <v>Índice de preço para remoção de entulho decorrente da execução de obras (Classe A CONAMA - NBR 10.004 - Classe II-B), incluindo aluguel da caçamba, carga, transporte e descarga em área licenciada</v>
          </cell>
          <cell r="E184" t="str">
            <v>m3</v>
          </cell>
          <cell r="F184">
            <v>349.44</v>
          </cell>
          <cell r="G184">
            <v>0.29930000000000001</v>
          </cell>
          <cell r="H184">
            <v>48.01</v>
          </cell>
          <cell r="I184">
            <v>62.379393</v>
          </cell>
          <cell r="J184">
            <v>21797.86</v>
          </cell>
        </row>
        <row r="185">
          <cell r="B185" t="str">
            <v/>
          </cell>
          <cell r="C185" t="str">
            <v>3.3</v>
          </cell>
          <cell r="D185" t="str">
            <v>SALA DE ESPERA</v>
          </cell>
          <cell r="I185" t="str">
            <v/>
          </cell>
          <cell r="J185">
            <v>408125.26</v>
          </cell>
        </row>
        <row r="186">
          <cell r="B186" t="str">
            <v/>
          </cell>
          <cell r="C186" t="str">
            <v>3.3.1</v>
          </cell>
          <cell r="D186" t="str">
            <v>LOCAÇÃO DA OBRA</v>
          </cell>
          <cell r="I186" t="str">
            <v/>
          </cell>
          <cell r="J186">
            <v>1707.13</v>
          </cell>
        </row>
        <row r="187">
          <cell r="B187" t="str">
            <v>010501</v>
          </cell>
          <cell r="C187" t="str">
            <v>3.3.1.1</v>
          </cell>
          <cell r="D187" t="str">
            <v>Locação de obra com gabarito de madeira</v>
          </cell>
          <cell r="E187" t="str">
            <v>m2</v>
          </cell>
          <cell r="F187">
            <v>200.9</v>
          </cell>
          <cell r="G187">
            <v>0.29930000000000001</v>
          </cell>
          <cell r="H187">
            <v>6.54</v>
          </cell>
          <cell r="I187">
            <v>8.4974220000000003</v>
          </cell>
          <cell r="J187">
            <v>1707.13</v>
          </cell>
        </row>
        <row r="188">
          <cell r="B188" t="str">
            <v/>
          </cell>
          <cell r="C188" t="str">
            <v>3.3.2</v>
          </cell>
          <cell r="D188" t="str">
            <v>INFRAESTRUTURA</v>
          </cell>
          <cell r="I188" t="str">
            <v/>
          </cell>
          <cell r="J188">
            <v>134036.44</v>
          </cell>
        </row>
        <row r="189">
          <cell r="B189" t="str">
            <v>COT14</v>
          </cell>
          <cell r="C189" t="str">
            <v>3.3.2.1</v>
          </cell>
          <cell r="D189" t="str">
            <v>SONDAGEM A PERCUSSÃO COM ENSAIO SPT - INCLUSIVE MOBILIZAÇÃO E DESMOBILIZAÇÃO DE EQUIPAMENTO</v>
          </cell>
          <cell r="E189" t="str">
            <v>M</v>
          </cell>
          <cell r="F189">
            <v>85</v>
          </cell>
          <cell r="G189">
            <v>0.15570000000000001</v>
          </cell>
          <cell r="H189">
            <v>442.63932517729501</v>
          </cell>
          <cell r="I189">
            <v>511.55826810739984</v>
          </cell>
          <cell r="J189">
            <v>43482.45</v>
          </cell>
        </row>
        <row r="190">
          <cell r="B190" t="str">
            <v>COMP4</v>
          </cell>
          <cell r="C190" t="str">
            <v>3.3.2.2</v>
          </cell>
          <cell r="D190" t="str">
            <v>Estaca hélice contínua - confecção</v>
          </cell>
          <cell r="E190" t="str">
            <v>m³</v>
          </cell>
          <cell r="F190">
            <v>35.713625286008771</v>
          </cell>
          <cell r="G190">
            <v>0.29930000000000001</v>
          </cell>
          <cell r="H190">
            <v>507.15</v>
          </cell>
          <cell r="I190">
            <v>658.93999500000007</v>
          </cell>
          <cell r="J190">
            <v>23533.14</v>
          </cell>
        </row>
        <row r="191">
          <cell r="B191" t="str">
            <v>COMP23</v>
          </cell>
          <cell r="C191" t="str">
            <v>3.3.2.3</v>
          </cell>
          <cell r="D191" t="str">
            <v>Corte e dobra de aço CA-50, diâmetro de 6,3 mm, utilizado em estribo contínuo helicoidal</v>
          </cell>
          <cell r="E191" t="str">
            <v>kg</v>
          </cell>
          <cell r="F191">
            <v>512</v>
          </cell>
          <cell r="G191">
            <v>0.29930000000000001</v>
          </cell>
          <cell r="H191">
            <v>4.0999999999999996</v>
          </cell>
          <cell r="I191">
            <v>5.3271300000000004</v>
          </cell>
          <cell r="J191">
            <v>2727.49</v>
          </cell>
        </row>
        <row r="192">
          <cell r="B192" t="str">
            <v>COMP24</v>
          </cell>
          <cell r="C192" t="str">
            <v>3.3.2.4</v>
          </cell>
          <cell r="D192" t="str">
            <v>Montagem de armadura longitudinal/transversal de estacas de seção circular, diâmetro = 12,5 mm.</v>
          </cell>
          <cell r="E192" t="str">
            <v>kg</v>
          </cell>
          <cell r="F192">
            <v>4419.01</v>
          </cell>
          <cell r="G192">
            <v>0.29930000000000001</v>
          </cell>
          <cell r="H192">
            <v>5.2</v>
          </cell>
          <cell r="I192">
            <v>6.7563600000000008</v>
          </cell>
          <cell r="J192">
            <v>29856.42</v>
          </cell>
        </row>
        <row r="193">
          <cell r="B193" t="str">
            <v>030101</v>
          </cell>
          <cell r="C193" t="str">
            <v>3.3.2.5</v>
          </cell>
          <cell r="D193" t="str">
            <v>Escavação manual em material de 1a. categoria, até 1.50 m de profundidade</v>
          </cell>
          <cell r="E193" t="str">
            <v>m3</v>
          </cell>
          <cell r="F193">
            <v>6.3</v>
          </cell>
          <cell r="G193">
            <v>0.29930000000000001</v>
          </cell>
          <cell r="H193">
            <v>41.31</v>
          </cell>
          <cell r="I193">
            <v>53.67408300000001</v>
          </cell>
          <cell r="J193">
            <v>338.15</v>
          </cell>
        </row>
        <row r="194">
          <cell r="B194" t="str">
            <v>040339</v>
          </cell>
          <cell r="C194" t="str">
            <v>3.3.2.6</v>
          </cell>
          <cell r="D194" t="str">
            <v>Forma de chapas madeira compensada resinada, esp. 12mm, levando-se em conta a utilização 3 vezes, reforçadas com sarrafos de madeira de 2.5 x 10.0cm (incl material, corte, montagem, escoras em eucalipto e desforma)</v>
          </cell>
          <cell r="E194" t="str">
            <v>m2</v>
          </cell>
          <cell r="F194">
            <v>108</v>
          </cell>
          <cell r="G194">
            <v>0.29930000000000001</v>
          </cell>
          <cell r="H194">
            <v>77.42</v>
          </cell>
          <cell r="I194">
            <v>100.59180600000001</v>
          </cell>
          <cell r="J194">
            <v>10863.92</v>
          </cell>
        </row>
        <row r="195">
          <cell r="B195" t="str">
            <v>040328</v>
          </cell>
          <cell r="C195" t="str">
            <v>3.3.2.7</v>
          </cell>
          <cell r="D195" t="str">
            <v>Fornecimento, dobragem e colocação em fôrma, de armadura CA-50 A média, diâmetro de 6.3 a 10.0 mm</v>
          </cell>
          <cell r="E195" t="str">
            <v>kg</v>
          </cell>
          <cell r="F195">
            <v>594</v>
          </cell>
          <cell r="G195">
            <v>0.29930000000000001</v>
          </cell>
          <cell r="H195">
            <v>6.78</v>
          </cell>
          <cell r="I195">
            <v>8.809254000000001</v>
          </cell>
          <cell r="J195">
            <v>5232.7</v>
          </cell>
        </row>
        <row r="196">
          <cell r="B196" t="str">
            <v>040245</v>
          </cell>
          <cell r="C196" t="str">
            <v>3.3.2.8</v>
          </cell>
          <cell r="D196" t="str">
            <v>Fornecimento, dobragem e colocação em fôrma, de armadura CA-50 A grossa diâmetro de 12.5 a 25.0 mm (1/2 a 1")</v>
          </cell>
          <cell r="E196" t="str">
            <v>kg</v>
          </cell>
          <cell r="F196">
            <v>40</v>
          </cell>
          <cell r="G196">
            <v>0.29930000000000001</v>
          </cell>
          <cell r="H196">
            <v>7.15</v>
          </cell>
          <cell r="I196">
            <v>9.2899950000000011</v>
          </cell>
          <cell r="J196">
            <v>371.6</v>
          </cell>
        </row>
        <row r="197">
          <cell r="B197" t="str">
            <v>040246</v>
          </cell>
          <cell r="C197" t="str">
            <v>3.3.2.9</v>
          </cell>
          <cell r="D197" t="str">
            <v>Fornecimento, dobragem e colocação em fôrma, de armadura CA-60 B fina, diâmetro de 4.0 a 7.0mm</v>
          </cell>
          <cell r="E197" t="str">
            <v>kg</v>
          </cell>
          <cell r="F197">
            <v>29</v>
          </cell>
          <cell r="G197">
            <v>0.29930000000000001</v>
          </cell>
          <cell r="H197">
            <v>6.87</v>
          </cell>
          <cell r="I197">
            <v>8.9261910000000011</v>
          </cell>
          <cell r="J197">
            <v>258.86</v>
          </cell>
        </row>
        <row r="198">
          <cell r="B198" t="str">
            <v>COMP5</v>
          </cell>
          <cell r="C198" t="str">
            <v>3.3.2.10</v>
          </cell>
          <cell r="D198" t="str">
            <v>FORNECIMENTO E APLICAÇÃO DE CONCRETO USINADO FCK=40 MPA - CONSIDERANDO BOMBEAMENTO (5% DE PERDAS JÁ INCLUÍDO NO CUSTO) (6% DE TAXA P/CONCR. BOMBEAVEL)</v>
          </cell>
          <cell r="E198" t="str">
            <v>m3</v>
          </cell>
          <cell r="F198">
            <v>14.5</v>
          </cell>
          <cell r="G198">
            <v>0.29930000000000001</v>
          </cell>
          <cell r="H198">
            <v>413.38</v>
          </cell>
          <cell r="I198">
            <v>537.10463400000003</v>
          </cell>
          <cell r="J198">
            <v>7788.02</v>
          </cell>
        </row>
        <row r="199">
          <cell r="B199" t="str">
            <v>040813</v>
          </cell>
          <cell r="C199" t="str">
            <v>3.3.2.11</v>
          </cell>
          <cell r="D199" t="str">
            <v>Impermeabilização de estrutura com Sika Top 107 ou equivalente</v>
          </cell>
          <cell r="E199" t="str">
            <v>m2</v>
          </cell>
          <cell r="F199">
            <v>134.87</v>
          </cell>
          <cell r="G199">
            <v>0.29930000000000001</v>
          </cell>
          <cell r="H199">
            <v>54.69</v>
          </cell>
          <cell r="I199">
            <v>71.058717000000001</v>
          </cell>
          <cell r="J199">
            <v>9583.69</v>
          </cell>
        </row>
        <row r="200">
          <cell r="C200" t="str">
            <v>3.3.3</v>
          </cell>
          <cell r="D200" t="str">
            <v>PISO</v>
          </cell>
          <cell r="J200">
            <v>16757.16</v>
          </cell>
        </row>
        <row r="201">
          <cell r="B201" t="str">
            <v>COMP11</v>
          </cell>
          <cell r="C201" t="str">
            <v>3.3.3.1</v>
          </cell>
          <cell r="D201" t="str">
            <v>Lastro regularizado e impermeabilizado de concreto, espessura de 10 cm , com armação em tela Q-61</v>
          </cell>
          <cell r="E201" t="str">
            <v>m²</v>
          </cell>
          <cell r="F201">
            <v>165.9</v>
          </cell>
          <cell r="G201">
            <v>0.29930000000000001</v>
          </cell>
          <cell r="H201">
            <v>77.739999999999995</v>
          </cell>
          <cell r="I201">
            <v>101.007582</v>
          </cell>
          <cell r="J201">
            <v>16757.16</v>
          </cell>
        </row>
        <row r="202">
          <cell r="C202" t="str">
            <v>3.3.4</v>
          </cell>
          <cell r="D202" t="str">
            <v>RAMPAS E ESCADA</v>
          </cell>
          <cell r="J202">
            <v>4166.9800000000005</v>
          </cell>
        </row>
        <row r="203">
          <cell r="B203" t="str">
            <v>COMP11</v>
          </cell>
          <cell r="C203" t="str">
            <v>3.3.4.1</v>
          </cell>
          <cell r="D203" t="str">
            <v>Lastro regularizado e impermeabilizado de concreto, espessura de 10 cm , com armação em tela Q-61</v>
          </cell>
          <cell r="E203" t="str">
            <v>m²</v>
          </cell>
          <cell r="F203">
            <v>29.33</v>
          </cell>
          <cell r="G203">
            <v>0.29930000000000001</v>
          </cell>
          <cell r="H203">
            <v>77.739999999999995</v>
          </cell>
          <cell r="I203">
            <v>101.007582</v>
          </cell>
          <cell r="J203">
            <v>2962.55</v>
          </cell>
        </row>
        <row r="204">
          <cell r="B204" t="str">
            <v>200323</v>
          </cell>
          <cell r="C204" t="str">
            <v>3.3.4.2</v>
          </cell>
          <cell r="D204" t="str">
            <v>Fornecimento e espalhamento de pó de pedra</v>
          </cell>
          <cell r="E204" t="str">
            <v>m3</v>
          </cell>
          <cell r="F204">
            <v>6.62</v>
          </cell>
          <cell r="G204">
            <v>0.29930000000000001</v>
          </cell>
          <cell r="H204">
            <v>107.11</v>
          </cell>
          <cell r="I204">
            <v>139.16802300000001</v>
          </cell>
          <cell r="J204">
            <v>921.29</v>
          </cell>
        </row>
        <row r="205">
          <cell r="B205" t="str">
            <v>050501</v>
          </cell>
          <cell r="C205" t="str">
            <v>3.3.4.3</v>
          </cell>
          <cell r="D205" t="str">
            <v>Alvenaria de blocos de concreto estrut. (14x19x39cm) cheios, c/ resist. mín. compr. 15MPa, assentados c/ arg. de cimento e areia no traço 1:4, esp. juntas 10mm e esp. da parede s/ revest. 14cm</v>
          </cell>
          <cell r="E205" t="str">
            <v>m2</v>
          </cell>
          <cell r="F205">
            <v>2.7</v>
          </cell>
          <cell r="G205">
            <v>0.29930000000000001</v>
          </cell>
          <cell r="H205">
            <v>80.709999999999994</v>
          </cell>
          <cell r="I205">
            <v>104.86650300000001</v>
          </cell>
          <cell r="J205">
            <v>283.14</v>
          </cell>
        </row>
        <row r="206">
          <cell r="B206" t="str">
            <v/>
          </cell>
          <cell r="C206" t="str">
            <v>3.3.5</v>
          </cell>
          <cell r="D206" t="str">
            <v>PILARES</v>
          </cell>
          <cell r="I206" t="str">
            <v/>
          </cell>
          <cell r="J206">
            <v>10607.13</v>
          </cell>
        </row>
        <row r="207">
          <cell r="B207" t="str">
            <v>040339</v>
          </cell>
          <cell r="C207" t="str">
            <v>3.3.5.1</v>
          </cell>
          <cell r="D207" t="str">
            <v>Forma de chapas madeira compensada resinada, esp. 12mm, levando-se em conta a utilização 3 vezes, reforçadas com sarrafos de madeira de 2.5 x 10.0cm (incl material, corte, montagem, escoras em eucalipto e desforma)</v>
          </cell>
          <cell r="E207" t="str">
            <v>m2</v>
          </cell>
          <cell r="F207">
            <v>51</v>
          </cell>
          <cell r="G207">
            <v>0.29930000000000001</v>
          </cell>
          <cell r="H207">
            <v>77.42</v>
          </cell>
          <cell r="I207">
            <v>100.59180600000001</v>
          </cell>
          <cell r="J207">
            <v>5130.18</v>
          </cell>
        </row>
        <row r="208">
          <cell r="B208" t="str">
            <v>040328</v>
          </cell>
          <cell r="C208" t="str">
            <v>3.3.5.2</v>
          </cell>
          <cell r="D208" t="str">
            <v>Fornecimento, dobragem e colocação em fôrma, de armadura CA-50 A média, diâmetro de 6.3 a 10.0 mm</v>
          </cell>
          <cell r="E208" t="str">
            <v>kg</v>
          </cell>
          <cell r="F208">
            <v>160</v>
          </cell>
          <cell r="G208">
            <v>0.29930000000000001</v>
          </cell>
          <cell r="H208">
            <v>6.78</v>
          </cell>
          <cell r="I208">
            <v>8.809254000000001</v>
          </cell>
          <cell r="J208">
            <v>1409.48</v>
          </cell>
        </row>
        <row r="209">
          <cell r="B209" t="str">
            <v>040245</v>
          </cell>
          <cell r="C209" t="str">
            <v>3.3.5.3</v>
          </cell>
          <cell r="D209" t="str">
            <v>Fornecimento, dobragem e colocação em fôrma, de armadura CA-50 A grossa diâmetro de 12.5 a 25.0 mm (1/2 a 1")</v>
          </cell>
          <cell r="E209" t="str">
            <v>kg</v>
          </cell>
          <cell r="F209">
            <v>199</v>
          </cell>
          <cell r="G209">
            <v>0.29930000000000001</v>
          </cell>
          <cell r="H209">
            <v>7.15</v>
          </cell>
          <cell r="I209">
            <v>9.2899950000000011</v>
          </cell>
          <cell r="J209">
            <v>1848.71</v>
          </cell>
        </row>
        <row r="210">
          <cell r="B210" t="str">
            <v>040246</v>
          </cell>
          <cell r="C210" t="str">
            <v>3.3.5.4</v>
          </cell>
          <cell r="D210" t="str">
            <v>Fornecimento, dobragem e colocação em fôrma, de armadura CA-60 B fina, diâmetro de 4.0 a 7.0mm</v>
          </cell>
          <cell r="E210" t="str">
            <v>kg</v>
          </cell>
          <cell r="F210">
            <v>50</v>
          </cell>
          <cell r="G210">
            <v>0.29930000000000001</v>
          </cell>
          <cell r="H210">
            <v>6.87</v>
          </cell>
          <cell r="I210">
            <v>8.9261910000000011</v>
          </cell>
          <cell r="J210">
            <v>446.31</v>
          </cell>
        </row>
        <row r="211">
          <cell r="B211" t="str">
            <v>COMP5</v>
          </cell>
          <cell r="C211" t="str">
            <v>3.3.5.5</v>
          </cell>
          <cell r="D211" t="str">
            <v>FORNECIMENTO E APLICAÇÃO DE CONCRETO USINADO FCK=40 MPA - CONSIDERANDO BOMBEAMENTO (5% DE PERDAS JÁ INCLUÍDO NO CUSTO) (6% DE TAXA P/CONCR. BOMBEAVEL)</v>
          </cell>
          <cell r="E211" t="str">
            <v>m3</v>
          </cell>
          <cell r="F211">
            <v>3.3</v>
          </cell>
          <cell r="G211">
            <v>0.29930000000000001</v>
          </cell>
          <cell r="H211">
            <v>413.38</v>
          </cell>
          <cell r="I211">
            <v>537.10463400000003</v>
          </cell>
          <cell r="J211">
            <v>1772.45</v>
          </cell>
        </row>
        <row r="212">
          <cell r="B212" t="str">
            <v/>
          </cell>
          <cell r="C212" t="str">
            <v>3.3.6</v>
          </cell>
          <cell r="D212" t="str">
            <v>VIGAS SUPERIORES</v>
          </cell>
          <cell r="I212" t="str">
            <v/>
          </cell>
          <cell r="J212">
            <v>22735.690000000002</v>
          </cell>
        </row>
        <row r="213">
          <cell r="B213" t="str">
            <v>040339</v>
          </cell>
          <cell r="C213" t="str">
            <v>3.3.6.1</v>
          </cell>
          <cell r="D213" t="str">
            <v>Forma de chapas madeira compensada resinada, esp. 12mm, levando-se em conta a utilização 3 vezes, reforçadas com sarrafos de madeira de 2.5 x 10.0cm (incl material, corte, montagem, escoras em eucalipto e desforma)</v>
          </cell>
          <cell r="E213" t="str">
            <v>m2</v>
          </cell>
          <cell r="F213">
            <v>100</v>
          </cell>
          <cell r="G213">
            <v>0.29930000000000001</v>
          </cell>
          <cell r="H213">
            <v>77.42</v>
          </cell>
          <cell r="I213">
            <v>100.59180600000001</v>
          </cell>
          <cell r="J213">
            <v>10059.18</v>
          </cell>
        </row>
        <row r="214">
          <cell r="B214" t="str">
            <v>040328</v>
          </cell>
          <cell r="C214" t="str">
            <v>3.3.6.2</v>
          </cell>
          <cell r="D214" t="str">
            <v>Fornecimento, dobragem e colocação em fôrma, de armadura CA-50 A média, diâmetro de 6.3 a 10.0 mm</v>
          </cell>
          <cell r="E214" t="str">
            <v>kg</v>
          </cell>
          <cell r="F214">
            <v>481</v>
          </cell>
          <cell r="G214">
            <v>0.29930000000000001</v>
          </cell>
          <cell r="H214">
            <v>6.78</v>
          </cell>
          <cell r="I214">
            <v>8.809254000000001</v>
          </cell>
          <cell r="J214">
            <v>4237.25</v>
          </cell>
        </row>
        <row r="215">
          <cell r="B215" t="str">
            <v>040245</v>
          </cell>
          <cell r="C215" t="str">
            <v>3.3.6.3</v>
          </cell>
          <cell r="D215" t="str">
            <v>Fornecimento, dobragem e colocação em fôrma, de armadura CA-50 A grossa diâmetro de 12.5 a 25.0 mm (1/2 a 1")</v>
          </cell>
          <cell r="E215" t="str">
            <v>kg</v>
          </cell>
          <cell r="F215">
            <v>287</v>
          </cell>
          <cell r="G215">
            <v>0.29930000000000001</v>
          </cell>
          <cell r="H215">
            <v>7.15</v>
          </cell>
          <cell r="I215">
            <v>9.2899950000000011</v>
          </cell>
          <cell r="J215">
            <v>2666.23</v>
          </cell>
        </row>
        <row r="216">
          <cell r="B216" t="str">
            <v>040246</v>
          </cell>
          <cell r="C216" t="str">
            <v>3.3.6.4</v>
          </cell>
          <cell r="D216" t="str">
            <v>Fornecimento, dobragem e colocação em fôrma, de armadura CA-60 B fina, diâmetro de 4.0 a 7.0mm</v>
          </cell>
          <cell r="E216" t="str">
            <v>kg</v>
          </cell>
          <cell r="F216">
            <v>33</v>
          </cell>
          <cell r="G216">
            <v>0.29930000000000001</v>
          </cell>
          <cell r="H216">
            <v>6.87</v>
          </cell>
          <cell r="I216">
            <v>8.9261910000000011</v>
          </cell>
          <cell r="J216">
            <v>294.56</v>
          </cell>
        </row>
        <row r="217">
          <cell r="B217" t="str">
            <v>COMP5</v>
          </cell>
          <cell r="C217" t="str">
            <v>3.3.6.5</v>
          </cell>
          <cell r="D217" t="str">
            <v>FORNECIMENTO E APLICAÇÃO DE CONCRETO USINADO FCK=40 MPA - CONSIDERANDO BOMBEAMENTO (5% DE PERDAS JÁ INCLUÍDO NO CUSTO) (6% DE TAXA P/CONCR. BOMBEAVEL)</v>
          </cell>
          <cell r="E217" t="str">
            <v>m3</v>
          </cell>
          <cell r="F217">
            <v>10.199999999999999</v>
          </cell>
          <cell r="G217">
            <v>0.29930000000000001</v>
          </cell>
          <cell r="H217">
            <v>413.38</v>
          </cell>
          <cell r="I217">
            <v>537.10463400000003</v>
          </cell>
          <cell r="J217">
            <v>5478.47</v>
          </cell>
        </row>
        <row r="218">
          <cell r="C218" t="str">
            <v>3.3.7</v>
          </cell>
          <cell r="D218" t="str">
            <v>LAJE</v>
          </cell>
          <cell r="J218">
            <v>26439.13</v>
          </cell>
        </row>
        <row r="219">
          <cell r="B219" t="str">
            <v>040339</v>
          </cell>
          <cell r="C219" t="str">
            <v>3.3.7.1</v>
          </cell>
          <cell r="D219" t="str">
            <v>Forma de chapas madeira compensada resinada, esp. 12mm, levando-se em conta a utilização 3 vezes, reforçadas com sarrafos de madeira de 2.5 x 10.0cm (incl material, corte, montagem, escoras em eucalipto e desforma)</v>
          </cell>
          <cell r="E219" t="str">
            <v>m2</v>
          </cell>
          <cell r="F219">
            <v>33</v>
          </cell>
          <cell r="G219">
            <v>0.29930000000000001</v>
          </cell>
          <cell r="H219">
            <v>77.42</v>
          </cell>
          <cell r="I219">
            <v>100.59180600000001</v>
          </cell>
          <cell r="J219">
            <v>3319.53</v>
          </cell>
        </row>
        <row r="220">
          <cell r="B220" t="str">
            <v>040328</v>
          </cell>
          <cell r="C220" t="str">
            <v>3.3.7.2</v>
          </cell>
          <cell r="D220" t="str">
            <v>Fornecimento, dobragem e colocação em fôrma, de armadura CA-50 A média, diâmetro de 6.3 a 10.0 mm</v>
          </cell>
          <cell r="E220" t="str">
            <v>kg</v>
          </cell>
          <cell r="F220">
            <v>344</v>
          </cell>
          <cell r="G220">
            <v>0.29930000000000001</v>
          </cell>
          <cell r="H220">
            <v>6.78</v>
          </cell>
          <cell r="I220">
            <v>8.809254000000001</v>
          </cell>
          <cell r="J220">
            <v>3030.38</v>
          </cell>
        </row>
        <row r="221">
          <cell r="B221" t="str">
            <v>COMP5</v>
          </cell>
          <cell r="C221" t="str">
            <v>3.3.7.3</v>
          </cell>
          <cell r="D221" t="str">
            <v>FORNECIMENTO E APLICAÇÃO DE CONCRETO USINADO FCK=40 MPA - CONSIDERANDO BOMBEAMENTO (5% DE PERDAS JÁ INCLUÍDO NO CUSTO) (6% DE TAXA P/CONCR. BOMBEAVEL)</v>
          </cell>
          <cell r="E221" t="str">
            <v>m3</v>
          </cell>
          <cell r="F221">
            <v>7.339999999999999</v>
          </cell>
          <cell r="G221">
            <v>0.29930000000000001</v>
          </cell>
          <cell r="H221">
            <v>413.38</v>
          </cell>
          <cell r="I221">
            <v>537.10463400000003</v>
          </cell>
          <cell r="J221">
            <v>3942.35</v>
          </cell>
        </row>
        <row r="222">
          <cell r="B222" t="str">
            <v>040602</v>
          </cell>
          <cell r="C222" t="str">
            <v>3.3.7.4</v>
          </cell>
          <cell r="D222" t="str">
            <v>Laje pré-fabricada treliçada, sobrecarga 300 Kg/m2, vão de 3.5m a 4.3m, capeamento 4cm, esp. 12cm, Fck = 150 Kg/cm2</v>
          </cell>
          <cell r="E222" t="str">
            <v>m2</v>
          </cell>
          <cell r="F222">
            <v>184</v>
          </cell>
          <cell r="G222">
            <v>0.29930000000000001</v>
          </cell>
          <cell r="H222">
            <v>67.540000000000006</v>
          </cell>
          <cell r="I222">
            <v>87.754722000000015</v>
          </cell>
          <cell r="J222">
            <v>16146.87</v>
          </cell>
        </row>
        <row r="223">
          <cell r="B223" t="str">
            <v/>
          </cell>
          <cell r="C223" t="str">
            <v>3.3.8</v>
          </cell>
          <cell r="D223" t="str">
            <v>COBERTURA</v>
          </cell>
          <cell r="I223" t="str">
            <v/>
          </cell>
          <cell r="J223">
            <v>57563.06</v>
          </cell>
        </row>
        <row r="224">
          <cell r="B224" t="str">
            <v>090102</v>
          </cell>
          <cell r="C224" t="str">
            <v>3.3.8.1</v>
          </cell>
          <cell r="D224" t="str">
            <v>Estrutura de madeira de lei tipo Paraju, peroba mica, angelim pedra ou equivalente para telhado de telha ondulada de fibrocimento esp. 6mm, com pontaletes e caibros, inclusive tratamento com cupinicida, exclusive telhas</v>
          </cell>
          <cell r="E224" t="str">
            <v>m2</v>
          </cell>
          <cell r="F224">
            <v>208.03</v>
          </cell>
          <cell r="G224">
            <v>0.29930000000000001</v>
          </cell>
          <cell r="H224">
            <v>76.53</v>
          </cell>
          <cell r="I224">
            <v>99.435429000000013</v>
          </cell>
          <cell r="J224">
            <v>20685.55</v>
          </cell>
        </row>
        <row r="225">
          <cell r="B225" t="str">
            <v>090223</v>
          </cell>
          <cell r="C225" t="str">
            <v>3.3.8.2</v>
          </cell>
          <cell r="D225" t="str">
            <v>Cobertura em telha termoacustica tipo telha/telha em aço galvanizado trapez. 40, e=0.43mm, pint. face. sup. e infer. cor branca, incl. acess. fix. nucleo em poliuretano (injeção contínua), e=30mm, ref. Isoeste, Sto André, Panissol, Metform ou equi</v>
          </cell>
          <cell r="E225" t="str">
            <v>m2</v>
          </cell>
          <cell r="F225">
            <v>209.41</v>
          </cell>
          <cell r="G225">
            <v>0.29930000000000001</v>
          </cell>
          <cell r="H225">
            <v>105.84</v>
          </cell>
          <cell r="I225">
            <v>137.51791200000002</v>
          </cell>
          <cell r="J225">
            <v>28797.63</v>
          </cell>
        </row>
        <row r="226">
          <cell r="B226" t="str">
            <v>040339</v>
          </cell>
          <cell r="C226" t="str">
            <v>3.3.8.3</v>
          </cell>
          <cell r="D226" t="str">
            <v>Forma de chapas madeira compensada resinada, esp. 12mm, levando-se em conta a utilização 3 vezes, reforçadas com sarrafos de madeira de 2.5 x 10.0cm (incl material, corte, montagem, escoras em eucalipto e desforma) (Platibanda)</v>
          </cell>
          <cell r="E226" t="str">
            <v>m2</v>
          </cell>
          <cell r="F226">
            <v>23.5</v>
          </cell>
          <cell r="G226">
            <v>0.29930000000000001</v>
          </cell>
          <cell r="H226">
            <v>77.42</v>
          </cell>
          <cell r="I226">
            <v>100.59180600000001</v>
          </cell>
          <cell r="J226">
            <v>2363.91</v>
          </cell>
        </row>
        <row r="227">
          <cell r="B227" t="str">
            <v>040328</v>
          </cell>
          <cell r="C227" t="str">
            <v>3.3.8.4</v>
          </cell>
          <cell r="D227" t="str">
            <v>Fornecimento, dobragem e colocação em fôrma, de armadura CA-50 A média, diâmetro de 6.3 a 10.0 mm (Platibanda)</v>
          </cell>
          <cell r="E227" t="str">
            <v>kg</v>
          </cell>
          <cell r="F227">
            <v>112</v>
          </cell>
          <cell r="G227">
            <v>0.29930000000000001</v>
          </cell>
          <cell r="H227">
            <v>6.78</v>
          </cell>
          <cell r="I227">
            <v>8.809254000000001</v>
          </cell>
          <cell r="J227">
            <v>986.64</v>
          </cell>
        </row>
        <row r="228">
          <cell r="B228" t="str">
            <v>COMP5</v>
          </cell>
          <cell r="C228" t="str">
            <v>3.3.8.5</v>
          </cell>
          <cell r="D228" t="str">
            <v>FORNECIMENTO E APLICAÇÃO DE CONCRETO USINADO FCK=40 MPA - CONSIDERANDO BOMBEAMENTO (5% DE PERDAS JÁ INCLUÍDO NO CUSTO) (6% DE TAXA P/CONCR. BOMBEAVEL) (Platibanda)</v>
          </cell>
          <cell r="E228" t="str">
            <v>m3</v>
          </cell>
          <cell r="F228">
            <v>1.2</v>
          </cell>
          <cell r="G228">
            <v>0.29930000000000001</v>
          </cell>
          <cell r="H228">
            <v>413.38</v>
          </cell>
          <cell r="I228">
            <v>537.10463400000003</v>
          </cell>
          <cell r="J228">
            <v>644.53</v>
          </cell>
        </row>
        <row r="229">
          <cell r="B229" t="str">
            <v>050602</v>
          </cell>
          <cell r="C229" t="str">
            <v>3.3.8.6</v>
          </cell>
          <cell r="D229" t="str">
            <v>Alvenaria de blocos de concreto 14x19x39cm, c/ resist. mínimo a compres. 2.5 MPa, assent. c/ arg. de cimento, cal hidratada CH1 e areia no traço 1:0.5:8 esp. das juntas 10mm e esp. das paredes, s/ rev. 14cm (Platibanda)</v>
          </cell>
          <cell r="E229" t="str">
            <v>m2</v>
          </cell>
          <cell r="F229">
            <v>59.43</v>
          </cell>
          <cell r="G229">
            <v>0.29930000000000001</v>
          </cell>
          <cell r="H229">
            <v>52.9</v>
          </cell>
          <cell r="I229">
            <v>68.732970000000009</v>
          </cell>
          <cell r="J229">
            <v>4084.8</v>
          </cell>
        </row>
        <row r="230">
          <cell r="C230" t="str">
            <v>3.3.9</v>
          </cell>
          <cell r="D230" t="str">
            <v>DRENAGEM</v>
          </cell>
          <cell r="J230">
            <v>7018.4100000000008</v>
          </cell>
        </row>
        <row r="231">
          <cell r="B231" t="str">
            <v>COMP13</v>
          </cell>
          <cell r="C231" t="str">
            <v>3.3.9.1</v>
          </cell>
          <cell r="D231" t="str">
            <v>CALHA PLATIBANDA DE CHAPA DE AÇO GALVANIZADA NUM 26, CORTE 45 CM, FORNECIMENTO E INSTALAÇÃO</v>
          </cell>
          <cell r="E231" t="str">
            <v>M</v>
          </cell>
          <cell r="F231">
            <v>39.799999999999997</v>
          </cell>
          <cell r="G231">
            <v>0.29930000000000001</v>
          </cell>
          <cell r="H231">
            <v>61.93</v>
          </cell>
          <cell r="I231">
            <v>80.465649000000013</v>
          </cell>
          <cell r="J231">
            <v>3202.53</v>
          </cell>
        </row>
        <row r="232">
          <cell r="B232" t="str">
            <v>090302</v>
          </cell>
          <cell r="C232" t="str">
            <v>3.3.9.2</v>
          </cell>
          <cell r="D232" t="str">
            <v>Rufo de chapa metálica nº 26 com largura de 30 cm</v>
          </cell>
          <cell r="E232" t="str">
            <v>m</v>
          </cell>
          <cell r="F232">
            <v>62.2</v>
          </cell>
          <cell r="G232">
            <v>0.29930000000000001</v>
          </cell>
          <cell r="H232">
            <v>26.69</v>
          </cell>
          <cell r="I232">
            <v>34.678317000000007</v>
          </cell>
          <cell r="J232">
            <v>2156.9899999999998</v>
          </cell>
        </row>
        <row r="233">
          <cell r="B233" t="str">
            <v>141909</v>
          </cell>
          <cell r="C233" t="str">
            <v>3.3.9.3</v>
          </cell>
          <cell r="D233" t="str">
            <v>Tubo de PVC rígido soldável branco, para esgoto, diâmetro 100mm (4"), inclusive conexões</v>
          </cell>
          <cell r="E233" t="str">
            <v>m</v>
          </cell>
          <cell r="F233">
            <v>10</v>
          </cell>
          <cell r="G233">
            <v>0.29930000000000001</v>
          </cell>
          <cell r="H233">
            <v>52.37</v>
          </cell>
          <cell r="I233">
            <v>68.044341000000003</v>
          </cell>
          <cell r="J233">
            <v>680.44</v>
          </cell>
        </row>
        <row r="234">
          <cell r="B234" t="str">
            <v>140904</v>
          </cell>
          <cell r="C234" t="str">
            <v>3.3.9.4</v>
          </cell>
          <cell r="D234" t="str">
            <v>Tubo PVC rígido para esgoto no diâmetro de 150mm incluindo escavação e aterro com areia</v>
          </cell>
          <cell r="E234" t="str">
            <v>m</v>
          </cell>
          <cell r="F234">
            <v>11</v>
          </cell>
          <cell r="G234">
            <v>0.29930000000000001</v>
          </cell>
          <cell r="H234">
            <v>68.459999999999994</v>
          </cell>
          <cell r="I234">
            <v>88.950078000000005</v>
          </cell>
          <cell r="J234">
            <v>978.45</v>
          </cell>
        </row>
        <row r="235">
          <cell r="B235" t="str">
            <v/>
          </cell>
          <cell r="C235" t="str">
            <v>3.3.10</v>
          </cell>
          <cell r="D235" t="str">
            <v>DEMAIS ITENS</v>
          </cell>
          <cell r="I235" t="str">
            <v/>
          </cell>
          <cell r="J235">
            <v>127094.12999999999</v>
          </cell>
        </row>
        <row r="236">
          <cell r="B236" t="str">
            <v>COMP2</v>
          </cell>
          <cell r="C236" t="str">
            <v>3.3.10.1</v>
          </cell>
          <cell r="D236" t="str">
            <v>Cerca de engranzamento soldado, incluso instalação</v>
          </cell>
          <cell r="E236" t="str">
            <v>m²</v>
          </cell>
          <cell r="F236">
            <v>118.46</v>
          </cell>
          <cell r="G236">
            <v>0.29930000000000001</v>
          </cell>
          <cell r="H236">
            <v>238.39</v>
          </cell>
          <cell r="I236">
            <v>309.74012700000003</v>
          </cell>
          <cell r="J236">
            <v>36691.82</v>
          </cell>
        </row>
        <row r="237">
          <cell r="B237" t="str">
            <v>COMP31</v>
          </cell>
          <cell r="C237" t="str">
            <v>3.3.10.2</v>
          </cell>
          <cell r="D237" t="str">
            <v>Portão corrediço de engranzamento soldado - fornecimento e instalação</v>
          </cell>
          <cell r="E237" t="str">
            <v>m²</v>
          </cell>
          <cell r="F237">
            <v>11.14</v>
          </cell>
          <cell r="G237">
            <v>0.29930000000000001</v>
          </cell>
          <cell r="H237">
            <v>549.25</v>
          </cell>
          <cell r="I237">
            <v>713.64052500000003</v>
          </cell>
          <cell r="J237">
            <v>7949.96</v>
          </cell>
        </row>
        <row r="238">
          <cell r="B238" t="str">
            <v>COMP32</v>
          </cell>
          <cell r="C238" t="str">
            <v>3.3.10.3</v>
          </cell>
          <cell r="D238" t="str">
            <v>Portão de dupla abertura de engranzamento soldado - fornecimento e instalação</v>
          </cell>
          <cell r="E238" t="str">
            <v>m²</v>
          </cell>
          <cell r="F238">
            <v>11.25</v>
          </cell>
          <cell r="G238">
            <v>0.29930000000000001</v>
          </cell>
          <cell r="H238">
            <v>554.38</v>
          </cell>
          <cell r="I238">
            <v>720.30593400000009</v>
          </cell>
          <cell r="J238">
            <v>8103.44</v>
          </cell>
        </row>
        <row r="239">
          <cell r="B239" t="str">
            <v>210322</v>
          </cell>
          <cell r="C239" t="str">
            <v>3.3.10.4</v>
          </cell>
          <cell r="D239" t="str">
            <v>Corrimão em tubo de ferro galvanizado diam. 2" com chumbadores a cada 1.5m</v>
          </cell>
          <cell r="E239" t="str">
            <v>m</v>
          </cell>
          <cell r="F239">
            <v>17.55</v>
          </cell>
          <cell r="G239">
            <v>0.29930000000000001</v>
          </cell>
          <cell r="H239">
            <v>77.81</v>
          </cell>
          <cell r="I239">
            <v>101.09853300000002</v>
          </cell>
          <cell r="J239">
            <v>1774.28</v>
          </cell>
        </row>
        <row r="240">
          <cell r="B240" t="str">
            <v>COMP27</v>
          </cell>
          <cell r="C240" t="str">
            <v>3.3.10.5</v>
          </cell>
          <cell r="D240" t="str">
            <v>Guarda corpo de tubo de ferro galvanizado, diâm. 2" e 1/2", h= 1,1 m inclusive pintura a óleo ou esmalte</v>
          </cell>
          <cell r="E240" t="str">
            <v>m</v>
          </cell>
          <cell r="F240">
            <v>4.1500000000000004</v>
          </cell>
          <cell r="G240">
            <v>0.29930000000000001</v>
          </cell>
          <cell r="H240">
            <v>311.45999999999998</v>
          </cell>
          <cell r="I240">
            <v>404.67997800000001</v>
          </cell>
          <cell r="J240">
            <v>1679.42</v>
          </cell>
        </row>
        <row r="241">
          <cell r="B241" t="str">
            <v>050608</v>
          </cell>
          <cell r="C241" t="str">
            <v>3.3.10.6</v>
          </cell>
          <cell r="D241" t="str">
            <v>Alvenaria de blocos cerâmicos 10 furos 10x20x20cm, assentados c/argamassa de cimento, cal hidratada CH1 e areia traço 1:0,5:8, juntas 12mm e espessura das paredes, s/revestimento, 20cm (bloco comprado fábrica,posto obra)</v>
          </cell>
          <cell r="E241" t="str">
            <v>m2</v>
          </cell>
          <cell r="F241">
            <v>6.97</v>
          </cell>
          <cell r="G241">
            <v>0.29930000000000001</v>
          </cell>
          <cell r="H241">
            <v>75.41</v>
          </cell>
          <cell r="I241">
            <v>97.980213000000006</v>
          </cell>
          <cell r="J241">
            <v>682.92</v>
          </cell>
        </row>
        <row r="242">
          <cell r="B242" t="str">
            <v>120101</v>
          </cell>
          <cell r="C242" t="str">
            <v>3.3.10.7</v>
          </cell>
          <cell r="D242" t="str">
            <v>Chapisco de argamassa de cimento e areia média ou grossa lavada, no traço 1:3, espessura 5 mm</v>
          </cell>
          <cell r="E242" t="str">
            <v>m2</v>
          </cell>
          <cell r="F242">
            <v>540.16999999999996</v>
          </cell>
          <cell r="G242">
            <v>0.29930000000000001</v>
          </cell>
          <cell r="H242">
            <v>4.8</v>
          </cell>
          <cell r="I242">
            <v>6.2366400000000004</v>
          </cell>
          <cell r="J242">
            <v>3368.85</v>
          </cell>
        </row>
        <row r="243">
          <cell r="B243" t="str">
            <v>120303</v>
          </cell>
          <cell r="C243" t="str">
            <v>3.3.10.8</v>
          </cell>
          <cell r="D243" t="str">
            <v>Reboco tipo paulista de argamassa de cimento, cal hidratada CH1 e areia média ou grossa lavada no traço 1:0.5:6, espessura 25 mm</v>
          </cell>
          <cell r="E243" t="str">
            <v>m2</v>
          </cell>
          <cell r="F243">
            <v>540.16999999999996</v>
          </cell>
          <cell r="G243">
            <v>0.29930000000000001</v>
          </cell>
          <cell r="H243">
            <v>41.88</v>
          </cell>
          <cell r="I243">
            <v>54.414684000000008</v>
          </cell>
          <cell r="J243">
            <v>29393.18</v>
          </cell>
        </row>
        <row r="244">
          <cell r="B244" t="str">
            <v>190117</v>
          </cell>
          <cell r="C244" t="str">
            <v>3.3.10.9</v>
          </cell>
          <cell r="D244" t="str">
            <v>Pintura com tinta acrílica, marcas de referência Suvinil, Coral e Metalatex, inclusive selador acrílico, em paredes e forros, a duas demãos</v>
          </cell>
          <cell r="E244" t="str">
            <v>m2</v>
          </cell>
          <cell r="F244">
            <v>540.16999999999996</v>
          </cell>
          <cell r="G244">
            <v>0.29930000000000001</v>
          </cell>
          <cell r="H244">
            <v>15.54</v>
          </cell>
          <cell r="I244">
            <v>20.191122</v>
          </cell>
          <cell r="J244">
            <v>10906.64</v>
          </cell>
        </row>
        <row r="245">
          <cell r="B245" t="str">
            <v>130230</v>
          </cell>
          <cell r="C245" t="str">
            <v>3.3.10.10</v>
          </cell>
          <cell r="D245" t="str">
            <v>Piso argamassa alta resistência tipo granilite ou equiv de qualidade comprovada, esp de 10mm, com juntas plástica em quadros de 1m, na cor natural, com acabamento anti-derrapante mecanizado, inclusive regularização e=3.0cm</v>
          </cell>
          <cell r="E245" t="str">
            <v>m2</v>
          </cell>
          <cell r="F245">
            <v>157.13</v>
          </cell>
          <cell r="G245">
            <v>0.29930000000000001</v>
          </cell>
          <cell r="H245">
            <v>90.31</v>
          </cell>
          <cell r="I245">
            <v>117.33978300000001</v>
          </cell>
          <cell r="J245">
            <v>18437.599999999999</v>
          </cell>
        </row>
        <row r="246">
          <cell r="B246" t="str">
            <v>COMP41</v>
          </cell>
          <cell r="C246" t="str">
            <v>3.3.10.11</v>
          </cell>
          <cell r="D246" t="str">
            <v>Cadeira longarina com 3 lugares, estrutura em aço e encosto em polipropileno de alta resistência - fornecimento e instalação</v>
          </cell>
          <cell r="E246" t="str">
            <v>un</v>
          </cell>
          <cell r="F246">
            <v>22</v>
          </cell>
          <cell r="G246">
            <v>0.29930000000000001</v>
          </cell>
          <cell r="H246">
            <v>283.58</v>
          </cell>
          <cell r="I246">
            <v>368.45549399999999</v>
          </cell>
          <cell r="J246">
            <v>8106.02</v>
          </cell>
        </row>
        <row r="247">
          <cell r="B247" t="str">
            <v/>
          </cell>
          <cell r="C247" t="str">
            <v>3.4</v>
          </cell>
          <cell r="D247" t="str">
            <v>PLATAFORMA FLUTUANTE</v>
          </cell>
          <cell r="I247" t="str">
            <v/>
          </cell>
          <cell r="J247">
            <v>540513.47</v>
          </cell>
        </row>
        <row r="248">
          <cell r="B248" t="str">
            <v/>
          </cell>
          <cell r="C248" t="str">
            <v>3.4.1</v>
          </cell>
          <cell r="D248" t="str">
            <v>FABRICAÇÃO DO FLUTUANTE</v>
          </cell>
          <cell r="J248">
            <v>327678.98</v>
          </cell>
        </row>
        <row r="249">
          <cell r="B249" t="str">
            <v>040405</v>
          </cell>
          <cell r="C249" t="str">
            <v>3.4.1.1</v>
          </cell>
          <cell r="D249" t="str">
            <v>Fôrma com chapa compensada plastificada esp. 12mm, utização 5 vezes</v>
          </cell>
          <cell r="E249" t="str">
            <v>m2</v>
          </cell>
          <cell r="F249">
            <v>341</v>
          </cell>
          <cell r="G249">
            <v>0.29930000000000001</v>
          </cell>
          <cell r="H249">
            <v>73.41</v>
          </cell>
          <cell r="I249">
            <v>95.381613000000002</v>
          </cell>
          <cell r="J249">
            <v>32525.13</v>
          </cell>
        </row>
        <row r="250">
          <cell r="B250" t="str">
            <v>COMP3</v>
          </cell>
          <cell r="C250" t="str">
            <v>3.4.1.2</v>
          </cell>
          <cell r="D250" t="str">
            <v>ARMAÇÃO DO SISTEMA DE PAREDES DE CONCRETO COM TELA Q785</v>
          </cell>
          <cell r="E250" t="str">
            <v>kg</v>
          </cell>
          <cell r="F250">
            <v>3966.02</v>
          </cell>
          <cell r="G250">
            <v>0.29930000000000001</v>
          </cell>
          <cell r="H250">
            <v>6.23</v>
          </cell>
          <cell r="I250">
            <v>8.0946390000000008</v>
          </cell>
          <cell r="J250">
            <v>32103.5</v>
          </cell>
        </row>
        <row r="251">
          <cell r="B251" t="str">
            <v>040328</v>
          </cell>
          <cell r="C251" t="str">
            <v>3.4.1.3</v>
          </cell>
          <cell r="D251" t="str">
            <v>Fornecimento, dobragem e colocação em fôrma, de armadura CA-50 A média, diâmetro de 6.3 a 10.0 mm</v>
          </cell>
          <cell r="E251" t="str">
            <v>kg</v>
          </cell>
          <cell r="F251">
            <v>1880</v>
          </cell>
          <cell r="G251">
            <v>0.29930000000000001</v>
          </cell>
          <cell r="H251">
            <v>6.78</v>
          </cell>
          <cell r="I251">
            <v>8.809254000000001</v>
          </cell>
          <cell r="J251">
            <v>16561.400000000001</v>
          </cell>
        </row>
        <row r="252">
          <cell r="B252" t="str">
            <v>COMP18</v>
          </cell>
          <cell r="C252" t="str">
            <v>3.4.1.4</v>
          </cell>
          <cell r="D252" t="str">
            <v>Cordoalha CP 190 RB D = 15,2 mm - fornecimento, preparo e colocação</v>
          </cell>
          <cell r="E252" t="str">
            <v>kg</v>
          </cell>
          <cell r="F252">
            <v>73</v>
          </cell>
          <cell r="G252">
            <v>0.29930000000000001</v>
          </cell>
          <cell r="H252">
            <v>9.3699999999999992</v>
          </cell>
          <cell r="I252">
            <v>12.174441</v>
          </cell>
          <cell r="J252">
            <v>888.73</v>
          </cell>
        </row>
        <row r="253">
          <cell r="B253" t="str">
            <v>COMP6</v>
          </cell>
          <cell r="C253" t="str">
            <v>3.4.1.5</v>
          </cell>
          <cell r="D253" t="str">
            <v>FORNECIMENTO E APLICAÇÃO DE CONCRETO USINADO FCK=50 MPA COM ADITIVO LIQUIDO IMPERMEABILIZANTE E SÍLICA ATIVA - CONSIDERANDO BOMBEAMENTO (5% DE PERDAS JÁ INCLUÍDO NO CUSTO) (6% DE TAXA P/CONCR. BOMBEAVEL)</v>
          </cell>
          <cell r="E253" t="str">
            <v>m3</v>
          </cell>
          <cell r="F253">
            <v>28.05</v>
          </cell>
          <cell r="G253">
            <v>0.29930000000000001</v>
          </cell>
          <cell r="H253">
            <v>661.49</v>
          </cell>
          <cell r="I253">
            <v>859.47395700000004</v>
          </cell>
          <cell r="J253">
            <v>24108.240000000002</v>
          </cell>
        </row>
        <row r="254">
          <cell r="B254" t="str">
            <v>COMP40</v>
          </cell>
          <cell r="C254" t="str">
            <v>3.4.1.6</v>
          </cell>
          <cell r="D254" t="str">
            <v>Poliestireno espandido (EPS) de alta densidade - fornecimento e instalação</v>
          </cell>
          <cell r="E254" t="str">
            <v>m³</v>
          </cell>
          <cell r="F254">
            <v>113.84</v>
          </cell>
          <cell r="G254">
            <v>0.29930000000000001</v>
          </cell>
          <cell r="H254">
            <v>545.26</v>
          </cell>
          <cell r="I254">
            <v>708.45631800000001</v>
          </cell>
          <cell r="J254">
            <v>80650.67</v>
          </cell>
        </row>
        <row r="255">
          <cell r="B255" t="str">
            <v>COMP28</v>
          </cell>
          <cell r="C255" t="str">
            <v>3.4.1.7</v>
          </cell>
          <cell r="D255" t="str">
            <v>Rolete guia da estaca conforme especificações de projeto - fornecimento e instalação</v>
          </cell>
          <cell r="E255" t="str">
            <v>un</v>
          </cell>
          <cell r="F255">
            <v>4</v>
          </cell>
          <cell r="G255">
            <v>0.29930000000000001</v>
          </cell>
          <cell r="H255">
            <v>12200.03</v>
          </cell>
          <cell r="I255">
            <v>15851.498979000002</v>
          </cell>
          <cell r="J255">
            <v>63406</v>
          </cell>
        </row>
        <row r="256">
          <cell r="B256" t="str">
            <v>COMP29</v>
          </cell>
          <cell r="C256" t="str">
            <v>3.4.1.8</v>
          </cell>
          <cell r="D256" t="str">
            <v>Cabeço de amarração conforme especificações de projeto - fornecimento e instalação</v>
          </cell>
          <cell r="E256" t="str">
            <v>un</v>
          </cell>
          <cell r="F256">
            <v>2</v>
          </cell>
          <cell r="G256">
            <v>0.29930000000000001</v>
          </cell>
          <cell r="H256">
            <v>4658.8500000000004</v>
          </cell>
          <cell r="I256">
            <v>6053.243805000001</v>
          </cell>
          <cell r="J256">
            <v>12106.49</v>
          </cell>
        </row>
        <row r="257">
          <cell r="B257" t="str">
            <v>040817</v>
          </cell>
          <cell r="C257" t="str">
            <v>3.4.1.9</v>
          </cell>
          <cell r="D257" t="str">
            <v>Fornecimento e lançamento de concreto para grouteamento com adição de pedrisco (50% em peso), utilizando Sikagrout ou produto equivalente, exclusive forma</v>
          </cell>
          <cell r="E257" t="str">
            <v>m3</v>
          </cell>
          <cell r="F257">
            <v>0.03</v>
          </cell>
          <cell r="G257">
            <v>0.29930000000000001</v>
          </cell>
          <cell r="H257">
            <v>2552.67</v>
          </cell>
          <cell r="I257">
            <v>3316.6841310000004</v>
          </cell>
          <cell r="J257">
            <v>99.5</v>
          </cell>
        </row>
        <row r="258">
          <cell r="B258" t="str">
            <v>COMP30</v>
          </cell>
          <cell r="C258" t="str">
            <v>3.4.1.10</v>
          </cell>
          <cell r="D258" t="str">
            <v>Defensa barra tipo "D" 150 mm L=150 cm - fornecimento e instalação</v>
          </cell>
          <cell r="E258" t="str">
            <v>un</v>
          </cell>
          <cell r="F258">
            <v>15</v>
          </cell>
          <cell r="G258">
            <v>0.29930000000000001</v>
          </cell>
          <cell r="H258">
            <v>1710.27</v>
          </cell>
          <cell r="I258">
            <v>2222.1538110000001</v>
          </cell>
          <cell r="J258">
            <v>33332.31</v>
          </cell>
        </row>
        <row r="259">
          <cell r="B259" t="str">
            <v>COMP12</v>
          </cell>
          <cell r="C259" t="str">
            <v>3.4.1.11</v>
          </cell>
          <cell r="D259" t="str">
            <v>Içamento de flutuante para a água com guindaste rodoviário de 500t - incluso mobilização e desmobilização de equipamento</v>
          </cell>
          <cell r="E259" t="str">
            <v>un</v>
          </cell>
          <cell r="F259">
            <v>1</v>
          </cell>
          <cell r="G259">
            <v>0.15570000000000001</v>
          </cell>
          <cell r="H259">
            <v>26948.18</v>
          </cell>
          <cell r="I259">
            <v>31144.011626</v>
          </cell>
          <cell r="J259">
            <v>31144.01</v>
          </cell>
        </row>
        <row r="260">
          <cell r="B260" t="str">
            <v>COMP26</v>
          </cell>
          <cell r="C260" t="str">
            <v>3.4.1.12</v>
          </cell>
          <cell r="D260" t="str">
            <v>Chapa dobrada #8 400x700 mm, incl. chumbadores e solda.</v>
          </cell>
          <cell r="E260" t="str">
            <v>un</v>
          </cell>
          <cell r="F260">
            <v>2</v>
          </cell>
          <cell r="G260">
            <v>0.29930000000000001</v>
          </cell>
          <cell r="H260">
            <v>289.77</v>
          </cell>
          <cell r="I260">
            <v>376.49816100000004</v>
          </cell>
          <cell r="J260">
            <v>753</v>
          </cell>
        </row>
        <row r="261">
          <cell r="B261" t="str">
            <v/>
          </cell>
          <cell r="C261" t="str">
            <v>3.4.2</v>
          </cell>
          <cell r="D261" t="str">
            <v>TRANSPORTE DO FLUTUANTE</v>
          </cell>
          <cell r="I261" t="str">
            <v/>
          </cell>
          <cell r="J261">
            <v>2452.48</v>
          </cell>
        </row>
        <row r="262">
          <cell r="B262" t="str">
            <v>COMP36</v>
          </cell>
          <cell r="C262" t="str">
            <v>3.4.2.1</v>
          </cell>
          <cell r="D262" t="str">
            <v>Transporte de flutuante por rebocador, incluso manobra, amarração e desamarração (Trajeto Praça do Papa - Porto de Santana Cariacica)</v>
          </cell>
          <cell r="E262" t="str">
            <v>un</v>
          </cell>
          <cell r="F262">
            <v>1</v>
          </cell>
          <cell r="G262">
            <v>0.29930000000000001</v>
          </cell>
          <cell r="H262">
            <v>1887.54</v>
          </cell>
          <cell r="I262">
            <v>2452.4807220000002</v>
          </cell>
          <cell r="J262">
            <v>2452.48</v>
          </cell>
        </row>
        <row r="263">
          <cell r="B263" t="str">
            <v/>
          </cell>
          <cell r="C263" t="str">
            <v>3.4.3</v>
          </cell>
          <cell r="D263" t="str">
            <v>ESTACAS</v>
          </cell>
          <cell r="I263" t="str">
            <v/>
          </cell>
          <cell r="J263">
            <v>200726.35</v>
          </cell>
        </row>
        <row r="264">
          <cell r="B264" t="str">
            <v>COT15</v>
          </cell>
          <cell r="C264" t="str">
            <v>3.4.3.1</v>
          </cell>
          <cell r="D264" t="str">
            <v>SONDAGEM ROTATIVA EM LÂMINA D'ÁGUA (PORTO DE SANTANA CARIACICA) - INCLUSIVE MOBILIZAÇÃO E DESMOBILIZAÇÃO DE EQUIPAMENTO</v>
          </cell>
          <cell r="E264" t="str">
            <v>UN</v>
          </cell>
          <cell r="F264">
            <v>2</v>
          </cell>
          <cell r="G264">
            <v>0.29930000000000001</v>
          </cell>
          <cell r="H264">
            <v>10159.001158421159</v>
          </cell>
          <cell r="I264">
            <v>13199.590205136614</v>
          </cell>
          <cell r="J264">
            <v>26399.18</v>
          </cell>
        </row>
        <row r="265">
          <cell r="B265" t="str">
            <v>COMP8</v>
          </cell>
          <cell r="C265" t="str">
            <v>3.4.3.2</v>
          </cell>
          <cell r="D265" t="str">
            <v>Camisa metálica com espessura de 8 mm D = 700 mm - cravada com martelo vibratório - sem escavação - confecção e cravação</v>
          </cell>
          <cell r="E265" t="str">
            <v>m</v>
          </cell>
          <cell r="F265">
            <v>35.799999999999997</v>
          </cell>
          <cell r="G265">
            <v>0.29930000000000001</v>
          </cell>
          <cell r="H265">
            <v>1079.06</v>
          </cell>
          <cell r="I265">
            <v>1402.0226580000001</v>
          </cell>
          <cell r="J265">
            <v>50192.41</v>
          </cell>
        </row>
        <row r="266">
          <cell r="B266" t="str">
            <v>COMP16</v>
          </cell>
          <cell r="C266" t="str">
            <v>3.4.3.3</v>
          </cell>
          <cell r="D266" t="str">
            <v>Apoio náutico para a execução da cravação de camisa metálica D = 600 a 1800 mm</v>
          </cell>
          <cell r="E266" t="str">
            <v>m</v>
          </cell>
          <cell r="F266">
            <v>35.799999999999997</v>
          </cell>
          <cell r="G266">
            <v>0.29930000000000001</v>
          </cell>
          <cell r="H266">
            <v>250.85</v>
          </cell>
          <cell r="I266">
            <v>325.92940500000003</v>
          </cell>
          <cell r="J266">
            <v>11668.27</v>
          </cell>
        </row>
        <row r="267">
          <cell r="B267" t="str">
            <v>COMP35</v>
          </cell>
          <cell r="C267" t="str">
            <v>3.4.3.4</v>
          </cell>
          <cell r="D267" t="str">
            <v>Escavação com perfuratriz tipo Wirth em solo - D = 700 mm</v>
          </cell>
          <cell r="E267" t="str">
            <v>m</v>
          </cell>
          <cell r="F267">
            <v>2.8</v>
          </cell>
          <cell r="G267">
            <v>0.29930000000000001</v>
          </cell>
          <cell r="H267">
            <v>263.32</v>
          </cell>
          <cell r="I267">
            <v>342.13167600000003</v>
          </cell>
          <cell r="J267">
            <v>957.97</v>
          </cell>
        </row>
        <row r="268">
          <cell r="B268" t="str">
            <v>COMP20</v>
          </cell>
          <cell r="C268" t="str">
            <v>3.4.3.5</v>
          </cell>
          <cell r="D268" t="str">
            <v>Apoio náutico para a escavação com perfuratriz tipo Wirth em solo D = 600 mm a 1800 mm</v>
          </cell>
          <cell r="E268" t="str">
            <v>m</v>
          </cell>
          <cell r="F268">
            <v>2.8</v>
          </cell>
          <cell r="G268">
            <v>0.29930000000000001</v>
          </cell>
          <cell r="H268">
            <v>304.67</v>
          </cell>
          <cell r="I268">
            <v>395.85773100000006</v>
          </cell>
          <cell r="J268">
            <v>1108.4000000000001</v>
          </cell>
        </row>
        <row r="269">
          <cell r="B269" t="str">
            <v>COMP9</v>
          </cell>
          <cell r="C269" t="str">
            <v>3.4.3.6</v>
          </cell>
          <cell r="D269" t="str">
            <v>Escavação com perfuratriz tipo Wirth em rocha de alta dureza e alta abrasão - resistência a compressão acima de 80 MPa - D = 600 mm</v>
          </cell>
          <cell r="E269" t="str">
            <v>m</v>
          </cell>
          <cell r="F269">
            <v>8</v>
          </cell>
          <cell r="G269">
            <v>0.29930000000000001</v>
          </cell>
          <cell r="H269">
            <v>2925.8</v>
          </cell>
          <cell r="I269">
            <v>3801.4919400000008</v>
          </cell>
          <cell r="J269">
            <v>30411.94</v>
          </cell>
        </row>
        <row r="270">
          <cell r="B270" t="str">
            <v>COMP10</v>
          </cell>
          <cell r="C270" t="str">
            <v>3.4.3.7</v>
          </cell>
          <cell r="D270" t="str">
            <v>Apoio náutico para a escavação com perfuratriz tipo Wirth em rocha de alta dureza e alta abrasão - resistência a compressão acima de 80 MPa - D = 600 a 1800 mm</v>
          </cell>
          <cell r="E270" t="str">
            <v>m</v>
          </cell>
          <cell r="F270">
            <v>8</v>
          </cell>
          <cell r="G270">
            <v>0.29930000000000001</v>
          </cell>
          <cell r="H270">
            <v>1717.23</v>
          </cell>
          <cell r="I270">
            <v>2231.1969390000004</v>
          </cell>
          <cell r="J270">
            <v>17849.580000000002</v>
          </cell>
        </row>
        <row r="271">
          <cell r="B271" t="str">
            <v>COMP19</v>
          </cell>
          <cell r="C271" t="str">
            <v>3.4.3.8</v>
          </cell>
          <cell r="D271" t="str">
            <v>Armação de camisa metálica em aço CA-50 com apoio de guindaste - fornecimento, preparo e colocação</v>
          </cell>
          <cell r="E271" t="str">
            <v>kg</v>
          </cell>
          <cell r="F271">
            <v>3870</v>
          </cell>
          <cell r="G271">
            <v>0.29930000000000001</v>
          </cell>
          <cell r="H271">
            <v>6.91</v>
          </cell>
          <cell r="I271">
            <v>8.9781630000000003</v>
          </cell>
          <cell r="J271">
            <v>34745.49</v>
          </cell>
        </row>
        <row r="272">
          <cell r="B272" t="str">
            <v>COMP17</v>
          </cell>
          <cell r="C272" t="str">
            <v>3.4.3.9</v>
          </cell>
          <cell r="D272" t="str">
            <v>Apoio náutico para a colocação da armação em camisa metálica</v>
          </cell>
          <cell r="E272" t="str">
            <v>kg</v>
          </cell>
          <cell r="F272">
            <v>3870</v>
          </cell>
          <cell r="G272">
            <v>0.29930000000000001</v>
          </cell>
          <cell r="H272">
            <v>0.54</v>
          </cell>
          <cell r="I272">
            <v>0.70162200000000008</v>
          </cell>
          <cell r="J272">
            <v>2715.28</v>
          </cell>
        </row>
        <row r="273">
          <cell r="B273" t="str">
            <v>COMP5</v>
          </cell>
          <cell r="C273" t="str">
            <v>3.4.3.10</v>
          </cell>
          <cell r="D273" t="str">
            <v>FORNECIMENTO E APLICAÇÃO DE CONCRETO USINADO FCK=40 MPA - CONSIDERANDO BOMBEAMENTO (5% DE PERDAS JÁ INCLUÍDO NO CUSTO) (6% DE TAXA P/CONCR. BOMBEAVEL)</v>
          </cell>
          <cell r="E273" t="str">
            <v>m3</v>
          </cell>
          <cell r="F273">
            <v>16.09</v>
          </cell>
          <cell r="G273">
            <v>0.29930000000000001</v>
          </cell>
          <cell r="H273">
            <v>413.38</v>
          </cell>
          <cell r="I273">
            <v>537.10463400000003</v>
          </cell>
          <cell r="J273">
            <v>8642.01</v>
          </cell>
        </row>
        <row r="274">
          <cell r="B274" t="str">
            <v>COMP15</v>
          </cell>
          <cell r="C274" t="str">
            <v>3.4.3.11</v>
          </cell>
          <cell r="D274" t="str">
            <v>Apoio náutico para a execução da concretagem de camisas metálicas</v>
          </cell>
          <cell r="E274" t="str">
            <v>m³</v>
          </cell>
          <cell r="F274">
            <v>16.09</v>
          </cell>
          <cell r="G274">
            <v>0.29930000000000001</v>
          </cell>
          <cell r="H274">
            <v>90.12</v>
          </cell>
          <cell r="I274">
            <v>117.09291600000002</v>
          </cell>
          <cell r="J274">
            <v>1884.03</v>
          </cell>
        </row>
        <row r="275">
          <cell r="B275" t="str">
            <v>COMP25</v>
          </cell>
          <cell r="C275" t="str">
            <v>3.4.3.12</v>
          </cell>
          <cell r="D275" t="str">
            <v>Arrasamento de camisa metálica com espessura de 8 mm D = 700 mm</v>
          </cell>
          <cell r="E275" t="str">
            <v>un</v>
          </cell>
          <cell r="F275">
            <v>4</v>
          </cell>
          <cell r="G275">
            <v>0.29930000000000001</v>
          </cell>
          <cell r="H275">
            <v>1.38</v>
          </cell>
          <cell r="I275">
            <v>1.793034</v>
          </cell>
          <cell r="J275">
            <v>7.17</v>
          </cell>
        </row>
        <row r="276">
          <cell r="B276" t="str">
            <v>COMP34</v>
          </cell>
          <cell r="C276" t="str">
            <v>3.4.3.13</v>
          </cell>
          <cell r="D276" t="str">
            <v>Tubo de travamento de 12,5 mm D = 500 mm L = 2,75 m - fornecimento e instalação</v>
          </cell>
          <cell r="E276" t="str">
            <v>un</v>
          </cell>
          <cell r="F276">
            <v>2</v>
          </cell>
          <cell r="G276">
            <v>0.29930000000000001</v>
          </cell>
          <cell r="H276">
            <v>4927.21</v>
          </cell>
          <cell r="I276">
            <v>6401.9239530000004</v>
          </cell>
          <cell r="J276">
            <v>12803.85</v>
          </cell>
        </row>
        <row r="277">
          <cell r="B277" t="str">
            <v>190418</v>
          </cell>
          <cell r="C277" t="str">
            <v>3.4.3.14</v>
          </cell>
          <cell r="D277" t="str">
            <v>Pintura de superfície metálica com uma demão de primer Epoxi e duas demãos de tinta à base de Epoxi</v>
          </cell>
          <cell r="E277" t="str">
            <v>m2</v>
          </cell>
          <cell r="F277">
            <v>36.71</v>
          </cell>
          <cell r="G277">
            <v>0.29930000000000001</v>
          </cell>
          <cell r="H277">
            <v>28.11</v>
          </cell>
          <cell r="I277">
            <v>36.523323000000005</v>
          </cell>
          <cell r="J277">
            <v>1340.77</v>
          </cell>
        </row>
        <row r="278">
          <cell r="B278" t="str">
            <v/>
          </cell>
          <cell r="C278" t="str">
            <v>3.4.4</v>
          </cell>
          <cell r="D278" t="str">
            <v>DEMAIS ITENS</v>
          </cell>
          <cell r="I278" t="str">
            <v/>
          </cell>
          <cell r="J278">
            <v>9655.66</v>
          </cell>
        </row>
        <row r="279">
          <cell r="B279" t="str">
            <v>COMP27</v>
          </cell>
          <cell r="C279" t="str">
            <v>3.4.4.1</v>
          </cell>
          <cell r="D279" t="str">
            <v>Guarda corpo de tubo de ferro galvanizado, diâm. 2" e 1/2", h= 1,1 m inclusive pintura a óleo ou esmalte</v>
          </cell>
          <cell r="E279" t="str">
            <v>m</v>
          </cell>
          <cell r="F279">
            <v>23.86</v>
          </cell>
          <cell r="G279">
            <v>0.29930000000000001</v>
          </cell>
          <cell r="H279">
            <v>311.45999999999998</v>
          </cell>
          <cell r="I279">
            <v>404.67997800000001</v>
          </cell>
          <cell r="J279">
            <v>9655.66</v>
          </cell>
        </row>
        <row r="280">
          <cell r="B280" t="str">
            <v/>
          </cell>
          <cell r="C280" t="str">
            <v>3.5</v>
          </cell>
          <cell r="D280" t="str">
            <v>PASSARELA DE ACESSO</v>
          </cell>
          <cell r="I280" t="str">
            <v/>
          </cell>
          <cell r="J280">
            <v>474011.22000000003</v>
          </cell>
        </row>
        <row r="281">
          <cell r="B281" t="str">
            <v/>
          </cell>
          <cell r="C281" t="str">
            <v>3.5.1</v>
          </cell>
          <cell r="D281" t="str">
            <v>PASSARELA DE ACESSO</v>
          </cell>
          <cell r="I281" t="str">
            <v/>
          </cell>
          <cell r="J281">
            <v>474011.22000000003</v>
          </cell>
        </row>
        <row r="282">
          <cell r="B282" t="str">
            <v>COMP22</v>
          </cell>
          <cell r="C282" t="str">
            <v>3.5.1.1</v>
          </cell>
          <cell r="D282" t="str">
            <v>Passarela metálica conforme especificações de projeto - fornecimento e instalação</v>
          </cell>
          <cell r="E282" t="str">
            <v>und</v>
          </cell>
          <cell r="F282">
            <v>1</v>
          </cell>
          <cell r="G282">
            <v>0.15570000000000001</v>
          </cell>
          <cell r="H282">
            <v>391481.5</v>
          </cell>
          <cell r="I282">
            <v>452435.16954999999</v>
          </cell>
          <cell r="J282">
            <v>452435.17</v>
          </cell>
        </row>
        <row r="283">
          <cell r="B283" t="str">
            <v>COMP42</v>
          </cell>
          <cell r="C283" t="str">
            <v>3.5.1.2</v>
          </cell>
          <cell r="D283" t="str">
            <v>Içamento de passarela metálica para flutuante de apoio</v>
          </cell>
          <cell r="E283" t="str">
            <v>und</v>
          </cell>
          <cell r="F283">
            <v>1</v>
          </cell>
          <cell r="G283">
            <v>0.29930000000000001</v>
          </cell>
          <cell r="H283">
            <v>3241.96</v>
          </cell>
          <cell r="I283">
            <v>4212.278628</v>
          </cell>
          <cell r="J283">
            <v>4212.28</v>
          </cell>
        </row>
        <row r="284">
          <cell r="B284" t="str">
            <v>COMP43</v>
          </cell>
          <cell r="C284" t="str">
            <v>3.5.1.3</v>
          </cell>
          <cell r="D284" t="str">
            <v>Transporte de passarela via água, efetuado com flutuante e rebocador (Trajeto Praça do Papa - Porto de Santana/Cariacica)</v>
          </cell>
          <cell r="E284" t="str">
            <v>un</v>
          </cell>
          <cell r="F284">
            <v>1</v>
          </cell>
          <cell r="G284">
            <v>0.29930000000000001</v>
          </cell>
          <cell r="H284">
            <v>1475.76</v>
          </cell>
          <cell r="I284">
            <v>1917.4549680000002</v>
          </cell>
          <cell r="J284">
            <v>1917.45</v>
          </cell>
        </row>
        <row r="285">
          <cell r="B285" t="str">
            <v>COMP7</v>
          </cell>
          <cell r="C285" t="str">
            <v>3.5.1.4</v>
          </cell>
          <cell r="D285" t="str">
            <v>Telha trapezoidal calandrada galvalume - inclusive fornecimento, instalação e pintura</v>
          </cell>
          <cell r="E285" t="str">
            <v>m²</v>
          </cell>
          <cell r="F285">
            <v>120.68</v>
          </cell>
          <cell r="G285">
            <v>0.29930000000000001</v>
          </cell>
          <cell r="H285">
            <v>98.51</v>
          </cell>
          <cell r="I285">
            <v>127.99404300000002</v>
          </cell>
          <cell r="J285">
            <v>15446.32</v>
          </cell>
        </row>
        <row r="286">
          <cell r="B286" t="str">
            <v/>
          </cell>
          <cell r="C286" t="str">
            <v>3.6</v>
          </cell>
          <cell r="D286" t="str">
            <v>INSTALAÇÕES ELÉTRICAS</v>
          </cell>
          <cell r="I286" t="str">
            <v/>
          </cell>
          <cell r="J286">
            <v>46900.19</v>
          </cell>
        </row>
        <row r="287">
          <cell r="B287" t="str">
            <v/>
          </cell>
          <cell r="C287" t="str">
            <v>3.6.1</v>
          </cell>
          <cell r="D287" t="str">
            <v>INSTALAÇÕES ELÉTRICAS</v>
          </cell>
          <cell r="I287" t="str">
            <v/>
          </cell>
          <cell r="J287">
            <v>43240.12</v>
          </cell>
        </row>
        <row r="288">
          <cell r="B288" t="str">
            <v>151701</v>
          </cell>
          <cell r="C288" t="str">
            <v>3.6.1.1</v>
          </cell>
          <cell r="D288" t="str">
            <v>Padrão de entrada de energia elétrica, monofásico, entrada aérea, a 2 fios, carga instalada em muro de 3500 até 9000W - 220/127V</v>
          </cell>
          <cell r="E288" t="str">
            <v>und</v>
          </cell>
          <cell r="F288">
            <v>1</v>
          </cell>
          <cell r="G288">
            <v>0.29930000000000001</v>
          </cell>
          <cell r="H288">
            <v>1284.71</v>
          </cell>
          <cell r="I288">
            <v>1669.2237030000001</v>
          </cell>
          <cell r="J288">
            <v>1669.22</v>
          </cell>
        </row>
        <row r="289">
          <cell r="B289" t="str">
            <v>150312</v>
          </cell>
          <cell r="C289" t="str">
            <v>3.6.1.2</v>
          </cell>
          <cell r="D289" t="str">
            <v>Quadro de distribuição de energia, de embutir, com 3 divisões modulares, sem barramento</v>
          </cell>
          <cell r="E289" t="str">
            <v>und</v>
          </cell>
          <cell r="F289">
            <v>1</v>
          </cell>
          <cell r="G289">
            <v>0.29930000000000001</v>
          </cell>
          <cell r="H289">
            <v>88.27</v>
          </cell>
          <cell r="I289">
            <v>114.689211</v>
          </cell>
          <cell r="J289">
            <v>114.69</v>
          </cell>
        </row>
        <row r="290">
          <cell r="B290" t="str">
            <v>150628</v>
          </cell>
          <cell r="C290" t="str">
            <v>3.6.1.3</v>
          </cell>
          <cell r="D290" t="str">
            <v>Caixa de embutir marca de referência Tigreflex, 4x2"</v>
          </cell>
          <cell r="E290" t="str">
            <v>und</v>
          </cell>
          <cell r="F290">
            <v>19</v>
          </cell>
          <cell r="G290">
            <v>0.29930000000000001</v>
          </cell>
          <cell r="H290">
            <v>6.35</v>
          </cell>
          <cell r="I290">
            <v>8.2505550000000003</v>
          </cell>
          <cell r="J290">
            <v>156.76</v>
          </cell>
        </row>
        <row r="291">
          <cell r="B291" t="str">
            <v>151417</v>
          </cell>
          <cell r="C291" t="str">
            <v>3.6.1.4</v>
          </cell>
          <cell r="D291" t="str">
            <v>Cabo de cobre termoplástico, com isolamento para 1000V, seção de 2.5 mm2</v>
          </cell>
          <cell r="E291" t="str">
            <v>m</v>
          </cell>
          <cell r="F291">
            <v>147.4</v>
          </cell>
          <cell r="G291">
            <v>0.29930000000000001</v>
          </cell>
          <cell r="H291">
            <v>4.9800000000000004</v>
          </cell>
          <cell r="I291">
            <v>6.4705140000000014</v>
          </cell>
          <cell r="J291">
            <v>953.75</v>
          </cell>
        </row>
        <row r="292">
          <cell r="B292" t="str">
            <v>151418</v>
          </cell>
          <cell r="C292" t="str">
            <v>3.6.1.5</v>
          </cell>
          <cell r="D292" t="str">
            <v>Cabo de cobre termoplástico, com isolamento para 1000V, seção de 4.0 mm2</v>
          </cell>
          <cell r="E292" t="str">
            <v>m</v>
          </cell>
          <cell r="F292">
            <v>315.39999999999998</v>
          </cell>
          <cell r="G292">
            <v>0.29930000000000001</v>
          </cell>
          <cell r="H292">
            <v>5.74</v>
          </cell>
          <cell r="I292">
            <v>7.4579820000000012</v>
          </cell>
          <cell r="J292">
            <v>2352.25</v>
          </cell>
        </row>
        <row r="293">
          <cell r="B293" t="str">
            <v>151420</v>
          </cell>
          <cell r="C293" t="str">
            <v>3.6.1.6</v>
          </cell>
          <cell r="D293" t="str">
            <v>Cabo de cobre termoplástico, com isolamento para 1000V, seção de 10 mm2</v>
          </cell>
          <cell r="E293" t="str">
            <v>m</v>
          </cell>
          <cell r="F293">
            <v>60</v>
          </cell>
          <cell r="G293">
            <v>0.29930000000000001</v>
          </cell>
          <cell r="H293">
            <v>9.0399999999999991</v>
          </cell>
          <cell r="I293">
            <v>11.745672000000001</v>
          </cell>
          <cell r="J293">
            <v>704.74</v>
          </cell>
        </row>
        <row r="294">
          <cell r="B294" t="str">
            <v>151809</v>
          </cell>
          <cell r="C294" t="str">
            <v>3.6.1.7</v>
          </cell>
          <cell r="D294" t="str">
            <v>Ponto padrão de interruptor de 2 teclas simples - considerando eletroduto PVC rígido de 3/4" inclusive conexões (3.3m), fio isolado PVC de 2.5mm2 (17.2m) e caixa estampada 4x2" (1 und)</v>
          </cell>
          <cell r="E294" t="str">
            <v>und</v>
          </cell>
          <cell r="F294">
            <v>1</v>
          </cell>
          <cell r="G294">
            <v>0.29930000000000001</v>
          </cell>
          <cell r="H294">
            <v>127.68</v>
          </cell>
          <cell r="I294">
            <v>165.89462400000002</v>
          </cell>
          <cell r="J294">
            <v>165.89</v>
          </cell>
        </row>
        <row r="295">
          <cell r="B295" t="str">
            <v>151803</v>
          </cell>
          <cell r="C295" t="str">
            <v>3.6.1.8</v>
          </cell>
          <cell r="D295" t="str">
            <v>Ponto padrão de tomada 2 pólos mais terra - considerando eletroduto PVC rígido de 3/4" inclusive conexões (5.0m), fio isolado PVC de 2.5mm2 (16.5m) e caixa estampada 4x2" (1 und)</v>
          </cell>
          <cell r="E295" t="str">
            <v>und</v>
          </cell>
          <cell r="F295">
            <v>10</v>
          </cell>
          <cell r="G295">
            <v>0.29930000000000001</v>
          </cell>
          <cell r="H295">
            <v>145.30000000000001</v>
          </cell>
          <cell r="I295">
            <v>188.78829000000005</v>
          </cell>
          <cell r="J295">
            <v>1887.88</v>
          </cell>
        </row>
        <row r="296">
          <cell r="B296" t="str">
            <v>151338</v>
          </cell>
          <cell r="C296" t="str">
            <v>3.6.1.9</v>
          </cell>
          <cell r="D296" t="str">
            <v>Mini-Disjuntor monopolar 10 A, curva C - 5KA 220/127VCA (NBR IEC 60947-2), Ref. Siemens, GE, Schneider ou equivalente</v>
          </cell>
          <cell r="E296" t="str">
            <v>und</v>
          </cell>
          <cell r="F296">
            <v>1</v>
          </cell>
          <cell r="G296">
            <v>0.29930000000000001</v>
          </cell>
          <cell r="H296">
            <v>15.43</v>
          </cell>
          <cell r="I296">
            <v>20.048199</v>
          </cell>
          <cell r="J296">
            <v>20.05</v>
          </cell>
        </row>
        <row r="297">
          <cell r="B297" t="str">
            <v>151301</v>
          </cell>
          <cell r="C297" t="str">
            <v>3.6.1.10</v>
          </cell>
          <cell r="D297" t="str">
            <v>Mini-Disjuntor monopolar 16 A, curva C - 5KA 220/127VCA (NBR IEC 60947-2), Ref. Siemens, GE, Schneider ou equivalente</v>
          </cell>
          <cell r="E297" t="str">
            <v>und</v>
          </cell>
          <cell r="F297">
            <v>1</v>
          </cell>
          <cell r="G297">
            <v>0.29930000000000001</v>
          </cell>
          <cell r="H297">
            <v>15.43</v>
          </cell>
          <cell r="I297">
            <v>20.048199</v>
          </cell>
          <cell r="J297">
            <v>20.05</v>
          </cell>
        </row>
        <row r="298">
          <cell r="B298" t="str">
            <v>151303</v>
          </cell>
          <cell r="C298" t="str">
            <v>3.6.1.11</v>
          </cell>
          <cell r="D298" t="str">
            <v>Mini-Disjuntor monopolar 25 A, curva C - 5KA 220/127VCA (NBR IEC 60947-2), Ref. Siemens, GE, Schneider ou equivalente</v>
          </cell>
          <cell r="E298" t="str">
            <v>und</v>
          </cell>
          <cell r="F298">
            <v>1</v>
          </cell>
          <cell r="G298">
            <v>0.29930000000000001</v>
          </cell>
          <cell r="H298">
            <v>15.43</v>
          </cell>
          <cell r="I298">
            <v>20.048199</v>
          </cell>
          <cell r="J298">
            <v>20.05</v>
          </cell>
        </row>
        <row r="299">
          <cell r="B299" t="str">
            <v>151318</v>
          </cell>
          <cell r="C299" t="str">
            <v>3.6.1.12</v>
          </cell>
          <cell r="D299" t="str">
            <v>Mini-Disjuntor monopolar 63 A, curva C - 5KA 220/127VCA (NBR IEC 60947-2), Ref. Siemens, GE, Schneider ou equivalente</v>
          </cell>
          <cell r="E299" t="str">
            <v>und</v>
          </cell>
          <cell r="F299">
            <v>1</v>
          </cell>
          <cell r="G299">
            <v>0.29930000000000001</v>
          </cell>
          <cell r="H299">
            <v>19.25</v>
          </cell>
          <cell r="I299">
            <v>25.011525000000002</v>
          </cell>
          <cell r="J299">
            <v>25.01</v>
          </cell>
        </row>
        <row r="300">
          <cell r="B300" t="str">
            <v>151350</v>
          </cell>
          <cell r="C300" t="str">
            <v>3.6.1.13</v>
          </cell>
          <cell r="D300" t="str">
            <v>Interruptor Diferencial DR 16A a 25A, 30mA, 2 módulos</v>
          </cell>
          <cell r="E300" t="str">
            <v>und</v>
          </cell>
          <cell r="F300">
            <v>1</v>
          </cell>
          <cell r="G300">
            <v>0.29930000000000001</v>
          </cell>
          <cell r="H300">
            <v>113.14</v>
          </cell>
          <cell r="I300">
            <v>147.002802</v>
          </cell>
          <cell r="J300">
            <v>147</v>
          </cell>
        </row>
        <row r="301">
          <cell r="B301" t="str">
            <v>151132</v>
          </cell>
          <cell r="C301" t="str">
            <v>3.6.1.14</v>
          </cell>
          <cell r="D301" t="str">
            <v>Eletroduto flexível corrugado 3/4" , marca de referência TIGRE</v>
          </cell>
          <cell r="E301" t="str">
            <v>m</v>
          </cell>
          <cell r="F301">
            <v>75.7</v>
          </cell>
          <cell r="G301">
            <v>0.29930000000000001</v>
          </cell>
          <cell r="H301">
            <v>6.38</v>
          </cell>
          <cell r="I301">
            <v>8.2895340000000015</v>
          </cell>
          <cell r="J301">
            <v>627.52</v>
          </cell>
        </row>
        <row r="302">
          <cell r="B302" t="str">
            <v>150801</v>
          </cell>
          <cell r="C302" t="str">
            <v>3.6.1.15</v>
          </cell>
          <cell r="D302" t="str">
            <v>Eletroduto aparente de PVC rígido roscável diâmetro 3/4", inclusive abraçadeira de fixação</v>
          </cell>
          <cell r="E302" t="str">
            <v>m</v>
          </cell>
          <cell r="F302">
            <v>66</v>
          </cell>
          <cell r="G302">
            <v>0.29930000000000001</v>
          </cell>
          <cell r="H302">
            <v>10.77</v>
          </cell>
          <cell r="I302">
            <v>13.993461</v>
          </cell>
          <cell r="J302">
            <v>923.57</v>
          </cell>
        </row>
        <row r="303">
          <cell r="B303" t="str">
            <v>180110</v>
          </cell>
          <cell r="C303" t="str">
            <v>3.6.1.16</v>
          </cell>
          <cell r="D303" t="str">
            <v>Arandela com lâmpada incandescente de 100W</v>
          </cell>
          <cell r="E303" t="str">
            <v>und</v>
          </cell>
          <cell r="F303">
            <v>5</v>
          </cell>
          <cell r="G303">
            <v>0.29930000000000001</v>
          </cell>
          <cell r="H303">
            <v>90.28</v>
          </cell>
          <cell r="I303">
            <v>117.30080400000001</v>
          </cell>
          <cell r="J303">
            <v>586.5</v>
          </cell>
        </row>
        <row r="304">
          <cell r="B304" t="str">
            <v>COMP21</v>
          </cell>
          <cell r="C304" t="str">
            <v>3.6.1.17</v>
          </cell>
          <cell r="D304" t="str">
            <v>Instalação e fornecimento de luminária High Bay LED 100W</v>
          </cell>
          <cell r="E304" t="str">
            <v>un</v>
          </cell>
          <cell r="F304">
            <v>19</v>
          </cell>
          <cell r="G304">
            <v>0.29930000000000001</v>
          </cell>
          <cell r="H304">
            <v>308.23</v>
          </cell>
          <cell r="I304">
            <v>400.48323900000008</v>
          </cell>
          <cell r="J304">
            <v>7609.18</v>
          </cell>
        </row>
        <row r="305">
          <cell r="B305" t="str">
            <v>COMP14</v>
          </cell>
          <cell r="C305" t="str">
            <v>3.6.1.18</v>
          </cell>
          <cell r="D305" t="str">
            <v xml:space="preserve">Fornecimento e instalação de lanterna de sinalização náutica com alcance luminoso de 2 MN </v>
          </cell>
          <cell r="E305" t="str">
            <v>un</v>
          </cell>
          <cell r="F305">
            <v>2</v>
          </cell>
          <cell r="G305">
            <v>0.29930000000000001</v>
          </cell>
          <cell r="H305">
            <v>4232.34</v>
          </cell>
          <cell r="I305">
            <v>5499.0793620000004</v>
          </cell>
          <cell r="J305">
            <v>10998.16</v>
          </cell>
        </row>
        <row r="306">
          <cell r="B306" t="str">
            <v>COT11</v>
          </cell>
          <cell r="C306" t="str">
            <v>3.6.1.19</v>
          </cell>
          <cell r="D306" t="str">
            <v>SISTEMA ON-GRID COM 8x PAINEL SOLAR 325 WP (2 m x 1m) OU EQUIVALENTE - FORNECIMENTO E INSTALAÇÃO</v>
          </cell>
          <cell r="E306" t="str">
            <v>UND</v>
          </cell>
          <cell r="F306">
            <v>1</v>
          </cell>
          <cell r="G306">
            <v>0.15570000000000001</v>
          </cell>
          <cell r="H306">
            <v>12336.985608806206</v>
          </cell>
          <cell r="I306">
            <v>14257.854268097331</v>
          </cell>
          <cell r="J306">
            <v>14257.85</v>
          </cell>
        </row>
        <row r="307">
          <cell r="B307" t="str">
            <v/>
          </cell>
          <cell r="C307" t="str">
            <v>3.6.2</v>
          </cell>
          <cell r="D307" t="str">
            <v>ATERRAMENTO</v>
          </cell>
          <cell r="I307" t="str">
            <v/>
          </cell>
          <cell r="J307">
            <v>3660.07</v>
          </cell>
        </row>
        <row r="308">
          <cell r="B308" t="str">
            <v>150610</v>
          </cell>
          <cell r="C308" t="str">
            <v>3.6.2.1</v>
          </cell>
          <cell r="D308" t="str">
            <v>Caixa de aterramento de concreto simples, nas dimensões de 30x30x25cm, com revest. int. em chapisco e reboco, tampa de concreto esp.5cm e lastro de brita esp. 5 cm, incl. haste 5/8"x2400mm</v>
          </cell>
          <cell r="E308" t="str">
            <v>und</v>
          </cell>
          <cell r="F308">
            <v>4</v>
          </cell>
          <cell r="G308">
            <v>0.29930000000000001</v>
          </cell>
          <cell r="H308">
            <v>160.28</v>
          </cell>
          <cell r="I308">
            <v>208.25180400000002</v>
          </cell>
          <cell r="J308">
            <v>833.01</v>
          </cell>
        </row>
        <row r="309">
          <cell r="B309" t="str">
            <v>160324</v>
          </cell>
          <cell r="C309" t="str">
            <v>3.6.2.2</v>
          </cell>
          <cell r="D309" t="str">
            <v>Caixa de equalização de potenciais para uso interno e externo com cinco (5) terminais para aterramento (BEP), em polipropileno, ref. TEL-902, marca de referência Termotécnica ou equivalente</v>
          </cell>
          <cell r="E309" t="str">
            <v>und</v>
          </cell>
          <cell r="F309">
            <v>1</v>
          </cell>
          <cell r="G309">
            <v>0.29930000000000001</v>
          </cell>
          <cell r="H309">
            <v>170.01</v>
          </cell>
          <cell r="I309">
            <v>220.89399299999999</v>
          </cell>
          <cell r="J309">
            <v>220.89</v>
          </cell>
        </row>
        <row r="310">
          <cell r="B310" t="str">
            <v>160317</v>
          </cell>
          <cell r="C310" t="str">
            <v>3.6.2.3</v>
          </cell>
          <cell r="D310" t="str">
            <v>Cabo de cobre nú 50mm2, ref. TEL 5750, marca de referência Termotécnica ou equivalente</v>
          </cell>
          <cell r="E310" t="str">
            <v>m</v>
          </cell>
          <cell r="F310">
            <v>68.900000000000006</v>
          </cell>
          <cell r="G310">
            <v>0.29930000000000001</v>
          </cell>
          <cell r="H310">
            <v>28.38</v>
          </cell>
          <cell r="I310">
            <v>36.874134000000005</v>
          </cell>
          <cell r="J310">
            <v>2540.63</v>
          </cell>
        </row>
        <row r="311">
          <cell r="B311" t="str">
            <v>160334</v>
          </cell>
          <cell r="C311" t="str">
            <v>3.6.2.4</v>
          </cell>
          <cell r="D311" t="str">
            <v>Terminal estanhado de 1 compressão 1 furo, 50mm², ref. TEL-5150, marca de referência Termotécnica ou equivalente</v>
          </cell>
          <cell r="E311" t="str">
            <v>und</v>
          </cell>
          <cell r="F311">
            <v>2</v>
          </cell>
          <cell r="G311">
            <v>0.29930000000000001</v>
          </cell>
          <cell r="H311">
            <v>25.22</v>
          </cell>
          <cell r="I311">
            <v>32.768346000000001</v>
          </cell>
          <cell r="J311">
            <v>65.540000000000006</v>
          </cell>
        </row>
        <row r="312">
          <cell r="C312" t="str">
            <v>3.7</v>
          </cell>
          <cell r="D312" t="str">
            <v>PREVENTIVO CONTRA INCÊNDIO</v>
          </cell>
          <cell r="J312">
            <v>2277.7399999999998</v>
          </cell>
        </row>
        <row r="313">
          <cell r="C313" t="str">
            <v>3.7.1</v>
          </cell>
          <cell r="D313" t="str">
            <v>PREVENTIVO CONTRA INCÊNDIO</v>
          </cell>
          <cell r="J313">
            <v>2277.7399999999998</v>
          </cell>
        </row>
        <row r="314">
          <cell r="B314" t="str">
            <v>160612</v>
          </cell>
          <cell r="C314" t="str">
            <v>3.7.1.1</v>
          </cell>
          <cell r="D314" t="str">
            <v>Placa de sinalização de segurança CODIGO 14 - 315/158(NBR 13.434); CÓDIGO S3(NT 14/2010-ES) ("SAIDA DE EMERGÊNCIA" - seta vertical)</v>
          </cell>
          <cell r="E314" t="str">
            <v>und</v>
          </cell>
          <cell r="F314">
            <v>2</v>
          </cell>
          <cell r="G314">
            <v>0.29930000000000001</v>
          </cell>
          <cell r="H314">
            <v>25.48</v>
          </cell>
          <cell r="I314">
            <v>33.106164000000007</v>
          </cell>
          <cell r="J314">
            <v>66.209999999999994</v>
          </cell>
        </row>
        <row r="315">
          <cell r="B315" t="str">
            <v>160608</v>
          </cell>
          <cell r="C315" t="str">
            <v>3.7.1.2</v>
          </cell>
          <cell r="D315" t="str">
            <v>Ponto para seta indicativa de saída, incl. seta em acrílico, com fonte alimentadora própria que assegure um funcionamento mínimo de 1h, para quando ocorrer falta de energia elétrica na rede pública, conforme projeto</v>
          </cell>
          <cell r="E315" t="str">
            <v>und</v>
          </cell>
          <cell r="F315">
            <v>3</v>
          </cell>
          <cell r="G315">
            <v>0.29930000000000001</v>
          </cell>
          <cell r="H315">
            <v>272.64999999999998</v>
          </cell>
          <cell r="I315">
            <v>354.25414499999999</v>
          </cell>
          <cell r="J315">
            <v>1062.76</v>
          </cell>
        </row>
        <row r="316">
          <cell r="B316" t="str">
            <v>160613</v>
          </cell>
          <cell r="C316" t="str">
            <v>3.7.1.3</v>
          </cell>
          <cell r="D316" t="str">
            <v>Ponto para iluminação de emergência completo, inclusive bloco autônomo de iluminação 2x9W com tomada universal</v>
          </cell>
          <cell r="E316" t="str">
            <v>und</v>
          </cell>
          <cell r="F316">
            <v>3</v>
          </cell>
          <cell r="G316">
            <v>0.29930000000000001</v>
          </cell>
          <cell r="H316">
            <v>167.92</v>
          </cell>
          <cell r="I316">
            <v>218.17845600000001</v>
          </cell>
          <cell r="J316">
            <v>654.54</v>
          </cell>
        </row>
        <row r="317">
          <cell r="B317" t="str">
            <v>160607</v>
          </cell>
          <cell r="C317" t="str">
            <v>3.7.1.4</v>
          </cell>
          <cell r="D317" t="str">
            <v>Extintor de incêndio portátil de pó químico ABC com capacidade 2A-20B:C (4 kg), inclusive suporte para fixação, EXCLUSIVE placa sinalizadora em PVC fotoluminescente</v>
          </cell>
          <cell r="E317" t="str">
            <v>und</v>
          </cell>
          <cell r="F317">
            <v>2</v>
          </cell>
          <cell r="G317">
            <v>0.29930000000000001</v>
          </cell>
          <cell r="H317">
            <v>151.79</v>
          </cell>
          <cell r="I317">
            <v>197.22074700000002</v>
          </cell>
          <cell r="J317">
            <v>394.44</v>
          </cell>
        </row>
        <row r="318">
          <cell r="B318" t="str">
            <v>190605</v>
          </cell>
          <cell r="C318" t="str">
            <v>3.7.1.5</v>
          </cell>
          <cell r="D318" t="str">
            <v>Aplicação de tinta epóxi de alta espessura semibrilhante sobre piso de concreto a três demãos, inclusive selador epóxi a uma demão - Ref. Intergard 2005 e 2001 - Internacional ou equivalente</v>
          </cell>
          <cell r="E318" t="str">
            <v>m2</v>
          </cell>
          <cell r="F318">
            <v>1.8</v>
          </cell>
          <cell r="G318">
            <v>0.29930000000000001</v>
          </cell>
          <cell r="H318">
            <v>42.67</v>
          </cell>
          <cell r="I318">
            <v>55.441131000000006</v>
          </cell>
          <cell r="J318">
            <v>99.79</v>
          </cell>
        </row>
        <row r="319">
          <cell r="B319" t="str">
            <v/>
          </cell>
          <cell r="C319">
            <v>4</v>
          </cell>
          <cell r="D319" t="str">
            <v>CENTRO DE VITÓRIA</v>
          </cell>
          <cell r="J319">
            <v>1622158.51</v>
          </cell>
        </row>
        <row r="320">
          <cell r="B320" t="str">
            <v/>
          </cell>
          <cell r="C320" t="str">
            <v>4.1</v>
          </cell>
          <cell r="D320" t="str">
            <v>SERVIÇOS PRELIMINARES</v>
          </cell>
          <cell r="J320">
            <v>8487.7400000000016</v>
          </cell>
        </row>
        <row r="321">
          <cell r="B321" t="str">
            <v/>
          </cell>
          <cell r="C321" t="str">
            <v>4.1.1</v>
          </cell>
          <cell r="D321" t="str">
            <v>PLACA DE OBRA</v>
          </cell>
          <cell r="I321" t="str">
            <v/>
          </cell>
          <cell r="J321">
            <v>1970.88</v>
          </cell>
        </row>
        <row r="322">
          <cell r="B322" t="str">
            <v>020305</v>
          </cell>
          <cell r="C322" t="str">
            <v>4.1.1.1</v>
          </cell>
          <cell r="D322" t="str">
            <v>Placa de obra nas dimensões de 2.0 x 4.0 m, padrão IOPES</v>
          </cell>
          <cell r="E322" t="str">
            <v>m2</v>
          </cell>
          <cell r="F322">
            <v>8</v>
          </cell>
          <cell r="G322">
            <v>0.29930000000000001</v>
          </cell>
          <cell r="H322">
            <v>189.61</v>
          </cell>
          <cell r="I322">
            <v>246.36027300000003</v>
          </cell>
          <cell r="J322">
            <v>1970.88</v>
          </cell>
        </row>
        <row r="323">
          <cell r="B323" t="str">
            <v/>
          </cell>
          <cell r="C323" t="str">
            <v>4.1.2</v>
          </cell>
          <cell r="D323" t="str">
            <v>PREPARO DO TERRENO</v>
          </cell>
          <cell r="I323" t="str">
            <v/>
          </cell>
          <cell r="J323">
            <v>6516.8600000000006</v>
          </cell>
        </row>
        <row r="324">
          <cell r="B324" t="str">
            <v>010201</v>
          </cell>
          <cell r="C324" t="str">
            <v>4.1.2.1</v>
          </cell>
          <cell r="D324" t="str">
            <v>Demolição de piso cimentado inclusive lastro de concreto</v>
          </cell>
          <cell r="E324" t="str">
            <v>m2</v>
          </cell>
          <cell r="F324">
            <v>175.68</v>
          </cell>
          <cell r="G324">
            <v>0.29930000000000001</v>
          </cell>
          <cell r="H324">
            <v>18.77</v>
          </cell>
          <cell r="I324">
            <v>24.387861000000001</v>
          </cell>
          <cell r="J324">
            <v>4284.46</v>
          </cell>
        </row>
        <row r="325">
          <cell r="B325" t="str">
            <v>010209</v>
          </cell>
          <cell r="C325" t="str">
            <v>4.1.2.2</v>
          </cell>
          <cell r="D325" t="str">
            <v>Demolição de alvenaria</v>
          </cell>
          <cell r="E325" t="str">
            <v>m3</v>
          </cell>
          <cell r="F325">
            <v>4.96</v>
          </cell>
          <cell r="G325">
            <v>0.29930000000000001</v>
          </cell>
          <cell r="H325">
            <v>43.32</v>
          </cell>
          <cell r="I325">
            <v>56.285676000000002</v>
          </cell>
          <cell r="J325">
            <v>279.18</v>
          </cell>
        </row>
        <row r="326">
          <cell r="B326" t="str">
            <v>030304</v>
          </cell>
          <cell r="C326" t="str">
            <v>4.1.2.3</v>
          </cell>
          <cell r="D326" t="str">
            <v>Índice de preço para remoção de entulho decorrente da execução de obras (Classe A CONAMA - NBR 10.004 - Classe II-B), incluindo aluguel da caçamba, carga, transporte e descarga em área licenciada</v>
          </cell>
          <cell r="E326" t="str">
            <v>m3</v>
          </cell>
          <cell r="F326">
            <v>31.312000000000001</v>
          </cell>
          <cell r="G326">
            <v>0.29930000000000001</v>
          </cell>
          <cell r="H326">
            <v>48.01</v>
          </cell>
          <cell r="I326">
            <v>62.379393</v>
          </cell>
          <cell r="J326">
            <v>1953.22</v>
          </cell>
        </row>
        <row r="327">
          <cell r="B327" t="str">
            <v/>
          </cell>
          <cell r="C327" t="str">
            <v>4.2</v>
          </cell>
          <cell r="D327" t="str">
            <v>TERRAPLENAGEM</v>
          </cell>
          <cell r="I327" t="str">
            <v/>
          </cell>
          <cell r="J327">
            <v>5243.7</v>
          </cell>
        </row>
        <row r="328">
          <cell r="B328" t="str">
            <v/>
          </cell>
          <cell r="C328" t="str">
            <v>4.2.1</v>
          </cell>
          <cell r="D328" t="str">
            <v>MOVIMENTOS DE TERRA</v>
          </cell>
          <cell r="I328" t="str">
            <v/>
          </cell>
          <cell r="J328">
            <v>5243.7</v>
          </cell>
        </row>
        <row r="329">
          <cell r="B329" t="str">
            <v>030103</v>
          </cell>
          <cell r="C329" t="str">
            <v>4.2.1.1</v>
          </cell>
          <cell r="D329" t="str">
            <v>Escavação mecânica em material de 1a. categoria</v>
          </cell>
          <cell r="E329" t="str">
            <v>m3</v>
          </cell>
          <cell r="F329">
            <v>71.62</v>
          </cell>
          <cell r="G329">
            <v>0.29930000000000001</v>
          </cell>
          <cell r="H329">
            <v>8.34</v>
          </cell>
          <cell r="I329">
            <v>10.836162000000002</v>
          </cell>
          <cell r="J329">
            <v>776.09</v>
          </cell>
        </row>
        <row r="330">
          <cell r="B330" t="str">
            <v>030304</v>
          </cell>
          <cell r="C330" t="str">
            <v>4.2.1.2</v>
          </cell>
          <cell r="D330" t="str">
            <v>Índice de preço para remoção de entulho decorrente da execução de obras (Classe A CONAMA - NBR 10.004 - Classe II-B), incluindo aluguel da caçamba, carga, transporte e descarga em área licenciada</v>
          </cell>
          <cell r="E330" t="str">
            <v>m3</v>
          </cell>
          <cell r="F330">
            <v>71.62</v>
          </cell>
          <cell r="G330">
            <v>0.29930000000000001</v>
          </cell>
          <cell r="H330">
            <v>48.01</v>
          </cell>
          <cell r="I330">
            <v>62.379393</v>
          </cell>
          <cell r="J330">
            <v>4467.6099999999997</v>
          </cell>
        </row>
        <row r="331">
          <cell r="B331" t="str">
            <v/>
          </cell>
          <cell r="C331" t="str">
            <v>4.3</v>
          </cell>
          <cell r="D331" t="str">
            <v>SALA DE ESPERA</v>
          </cell>
          <cell r="I331" t="str">
            <v/>
          </cell>
          <cell r="J331">
            <v>403617.52</v>
          </cell>
        </row>
        <row r="332">
          <cell r="B332" t="str">
            <v/>
          </cell>
          <cell r="C332" t="str">
            <v>4.3.1</v>
          </cell>
          <cell r="D332" t="str">
            <v>LOCAÇÃO DA OBRA</v>
          </cell>
          <cell r="I332" t="str">
            <v/>
          </cell>
          <cell r="J332">
            <v>1537.01</v>
          </cell>
        </row>
        <row r="333">
          <cell r="B333" t="str">
            <v>010501</v>
          </cell>
          <cell r="C333" t="str">
            <v>4.3.1.1</v>
          </cell>
          <cell r="D333" t="str">
            <v>Locação de obra com gabarito de madeira</v>
          </cell>
          <cell r="E333" t="str">
            <v>m2</v>
          </cell>
          <cell r="F333">
            <v>180.88</v>
          </cell>
          <cell r="G333">
            <v>0.29930000000000001</v>
          </cell>
          <cell r="H333">
            <v>6.54</v>
          </cell>
          <cell r="I333">
            <v>8.4974220000000003</v>
          </cell>
          <cell r="J333">
            <v>1537.01</v>
          </cell>
        </row>
        <row r="334">
          <cell r="B334" t="str">
            <v/>
          </cell>
          <cell r="C334" t="str">
            <v>4.3.2</v>
          </cell>
          <cell r="D334" t="str">
            <v>INFRAESTRUTURA</v>
          </cell>
          <cell r="I334" t="str">
            <v/>
          </cell>
          <cell r="J334">
            <v>143694.78</v>
          </cell>
        </row>
        <row r="335">
          <cell r="B335" t="str">
            <v>COT14</v>
          </cell>
          <cell r="C335" t="str">
            <v>4.3.2.1</v>
          </cell>
          <cell r="D335" t="str">
            <v>SONDAGEM A PERCUSSÃO COM ENSAIO SPT - INCLUSIVE MOBILIZAÇÃO E DESMOBILIZAÇÃO DE EQUIPAMENTO</v>
          </cell>
          <cell r="E335" t="str">
            <v>M</v>
          </cell>
          <cell r="F335">
            <v>85</v>
          </cell>
          <cell r="G335">
            <v>0.15570000000000001</v>
          </cell>
          <cell r="H335">
            <v>442.63932517729501</v>
          </cell>
          <cell r="I335">
            <v>511.55826810739984</v>
          </cell>
          <cell r="J335">
            <v>43482.45</v>
          </cell>
        </row>
        <row r="336">
          <cell r="B336" t="str">
            <v>COMP4</v>
          </cell>
          <cell r="C336" t="str">
            <v>4.3.2.2</v>
          </cell>
          <cell r="D336" t="str">
            <v>Estaca hélice contínua - confecção</v>
          </cell>
          <cell r="E336" t="str">
            <v>m³</v>
          </cell>
          <cell r="F336">
            <v>36.829676076196542</v>
          </cell>
          <cell r="G336">
            <v>0.29930000000000001</v>
          </cell>
          <cell r="H336">
            <v>507.15</v>
          </cell>
          <cell r="I336">
            <v>658.93999500000007</v>
          </cell>
          <cell r="J336">
            <v>24268.55</v>
          </cell>
        </row>
        <row r="337">
          <cell r="B337" t="str">
            <v>COMP23</v>
          </cell>
          <cell r="C337" t="str">
            <v>4.3.2.3</v>
          </cell>
          <cell r="D337" t="str">
            <v>Corte e dobra de aço CA-50, diâmetro de 6,3 mm, utilizado em estribo contínuo helicoidal</v>
          </cell>
          <cell r="E337" t="str">
            <v>kg</v>
          </cell>
          <cell r="F337">
            <v>528</v>
          </cell>
          <cell r="G337">
            <v>0.29930000000000001</v>
          </cell>
          <cell r="H337">
            <v>4.0999999999999996</v>
          </cell>
          <cell r="I337">
            <v>5.3271300000000004</v>
          </cell>
          <cell r="J337">
            <v>2812.72</v>
          </cell>
        </row>
        <row r="338">
          <cell r="B338" t="str">
            <v>COMP24</v>
          </cell>
          <cell r="C338" t="str">
            <v>4.3.2.4</v>
          </cell>
          <cell r="D338" t="str">
            <v>Montagem de armadura longitudinal/transversal de estacas de seção circular, diâmetro = 12,5 mm.</v>
          </cell>
          <cell r="E338" t="str">
            <v>kg</v>
          </cell>
          <cell r="F338">
            <v>4554</v>
          </cell>
          <cell r="G338">
            <v>0.29930000000000001</v>
          </cell>
          <cell r="H338">
            <v>5.2</v>
          </cell>
          <cell r="I338">
            <v>6.7563600000000008</v>
          </cell>
          <cell r="J338">
            <v>30768.46</v>
          </cell>
        </row>
        <row r="339">
          <cell r="B339" t="str">
            <v>030101</v>
          </cell>
          <cell r="C339" t="str">
            <v>4.3.2.5</v>
          </cell>
          <cell r="D339" t="str">
            <v>Escavação manual em material de 1a. categoria, até 1.50 m de profundidade</v>
          </cell>
          <cell r="E339" t="str">
            <v>m3</v>
          </cell>
          <cell r="F339">
            <v>5.8</v>
          </cell>
          <cell r="G339">
            <v>0.29930000000000001</v>
          </cell>
          <cell r="H339">
            <v>41.31</v>
          </cell>
          <cell r="I339">
            <v>53.67408300000001</v>
          </cell>
          <cell r="J339">
            <v>311.31</v>
          </cell>
        </row>
        <row r="340">
          <cell r="B340" t="str">
            <v>040339</v>
          </cell>
          <cell r="C340" t="str">
            <v>4.3.2.6</v>
          </cell>
          <cell r="D340" t="str">
            <v>Forma de chapas madeira compensada resinada, esp. 12mm, levando-se em conta a utilização 3 vezes, reforçadas com sarrafos de madeira de 2.5 x 10.0cm (incl material, corte, montagem, escoras em eucalipto e desforma)</v>
          </cell>
          <cell r="E340" t="str">
            <v>m2</v>
          </cell>
          <cell r="F340">
            <v>122.6</v>
          </cell>
          <cell r="G340">
            <v>0.29930000000000001</v>
          </cell>
          <cell r="H340">
            <v>77.42</v>
          </cell>
          <cell r="I340">
            <v>100.59180600000001</v>
          </cell>
          <cell r="J340">
            <v>12332.56</v>
          </cell>
        </row>
        <row r="341">
          <cell r="B341" t="str">
            <v>040328</v>
          </cell>
          <cell r="C341" t="str">
            <v>4.3.2.7</v>
          </cell>
          <cell r="D341" t="str">
            <v>Fornecimento, dobragem e colocação em fôrma, de armadura CA-50 A média, diâmetro de 6.3 a 10.0 mm</v>
          </cell>
          <cell r="E341" t="str">
            <v>kg</v>
          </cell>
          <cell r="F341">
            <v>584</v>
          </cell>
          <cell r="G341">
            <v>0.29930000000000001</v>
          </cell>
          <cell r="H341">
            <v>6.78</v>
          </cell>
          <cell r="I341">
            <v>8.809254000000001</v>
          </cell>
          <cell r="J341">
            <v>5144.6000000000004</v>
          </cell>
        </row>
        <row r="342">
          <cell r="B342" t="str">
            <v>040245</v>
          </cell>
          <cell r="C342" t="str">
            <v>4.3.2.8</v>
          </cell>
          <cell r="D342" t="str">
            <v>Fornecimento, dobragem e colocação em fôrma, de armadura CA-50 A grossa diâmetro de 12.5 a 25.0 mm (1/2 a 1")</v>
          </cell>
          <cell r="E342" t="str">
            <v>kg</v>
          </cell>
          <cell r="F342">
            <v>144</v>
          </cell>
          <cell r="G342">
            <v>0.29930000000000001</v>
          </cell>
          <cell r="H342">
            <v>7.15</v>
          </cell>
          <cell r="I342">
            <v>9.2899950000000011</v>
          </cell>
          <cell r="J342">
            <v>1337.76</v>
          </cell>
        </row>
        <row r="343">
          <cell r="B343" t="str">
            <v>040246</v>
          </cell>
          <cell r="C343" t="str">
            <v>4.3.2.9</v>
          </cell>
          <cell r="D343" t="str">
            <v>Fornecimento, dobragem e colocação em fôrma, de armadura CA-60 B fina, diâmetro de 4.0 a 7.0mm</v>
          </cell>
          <cell r="E343" t="str">
            <v>kg</v>
          </cell>
          <cell r="F343">
            <v>37</v>
          </cell>
          <cell r="G343">
            <v>0.29930000000000001</v>
          </cell>
          <cell r="H343">
            <v>6.87</v>
          </cell>
          <cell r="I343">
            <v>8.9261910000000011</v>
          </cell>
          <cell r="J343">
            <v>330.27</v>
          </cell>
        </row>
        <row r="344">
          <cell r="B344" t="str">
            <v>COMP5</v>
          </cell>
          <cell r="C344" t="str">
            <v>4.3.2.10</v>
          </cell>
          <cell r="D344" t="str">
            <v>FORNECIMENTO E APLICAÇÃO DE CONCRETO USINADO FCK=40 MPA - CONSIDERANDO BOMBEAMENTO (5% DE PERDAS JÁ INCLUÍDO NO CUSTO) (6% DE TAXA P/CONCR. BOMBEAVEL)</v>
          </cell>
          <cell r="E344" t="str">
            <v>m3</v>
          </cell>
          <cell r="F344">
            <v>16.8</v>
          </cell>
          <cell r="G344">
            <v>0.29930000000000001</v>
          </cell>
          <cell r="H344">
            <v>413.38</v>
          </cell>
          <cell r="I344">
            <v>537.10463400000003</v>
          </cell>
          <cell r="J344">
            <v>9023.36</v>
          </cell>
        </row>
        <row r="345">
          <cell r="B345" t="str">
            <v>040813</v>
          </cell>
          <cell r="C345" t="str">
            <v>4.3.2.11</v>
          </cell>
          <cell r="D345" t="str">
            <v>Impermeabilização de estrutura com Sika Top 107 ou equivalente</v>
          </cell>
          <cell r="E345" t="str">
            <v>m2</v>
          </cell>
          <cell r="F345">
            <v>195.37</v>
          </cell>
          <cell r="G345">
            <v>0.29930000000000001</v>
          </cell>
          <cell r="H345">
            <v>54.69</v>
          </cell>
          <cell r="I345">
            <v>71.058717000000001</v>
          </cell>
          <cell r="J345">
            <v>13882.74</v>
          </cell>
        </row>
        <row r="346">
          <cell r="C346" t="str">
            <v>4.3.3</v>
          </cell>
          <cell r="D346" t="str">
            <v>PISO</v>
          </cell>
          <cell r="J346">
            <v>15298.61</v>
          </cell>
        </row>
        <row r="347">
          <cell r="B347" t="str">
            <v>COMP11</v>
          </cell>
          <cell r="C347" t="str">
            <v>4.3.3.1</v>
          </cell>
          <cell r="D347" t="str">
            <v>Lastro regularizado e impermeabilizado de concreto, espessura de 10 cm , com armação em tela Q-61</v>
          </cell>
          <cell r="E347" t="str">
            <v>m²</v>
          </cell>
          <cell r="F347">
            <v>151.46</v>
          </cell>
          <cell r="G347">
            <v>0.29930000000000001</v>
          </cell>
          <cell r="H347">
            <v>77.739999999999995</v>
          </cell>
          <cell r="I347">
            <v>101.007582</v>
          </cell>
          <cell r="J347">
            <v>15298.61</v>
          </cell>
        </row>
        <row r="348">
          <cell r="C348" t="str">
            <v>4.3.4</v>
          </cell>
          <cell r="D348" t="str">
            <v>RAMPAS E ESCADA</v>
          </cell>
          <cell r="J348">
            <v>3269.62</v>
          </cell>
        </row>
        <row r="349">
          <cell r="B349" t="str">
            <v>COMP11</v>
          </cell>
          <cell r="C349" t="str">
            <v>4.3.4.1</v>
          </cell>
          <cell r="D349" t="str">
            <v>Lastro regularizado e impermeabilizado de concreto, espessura de 10 cm , com armação em tela Q-61</v>
          </cell>
          <cell r="E349" t="str">
            <v>m²</v>
          </cell>
          <cell r="F349">
            <v>23.59</v>
          </cell>
          <cell r="G349">
            <v>0.29930000000000001</v>
          </cell>
          <cell r="H349">
            <v>77.739999999999995</v>
          </cell>
          <cell r="I349">
            <v>101.007582</v>
          </cell>
          <cell r="J349">
            <v>2382.77</v>
          </cell>
        </row>
        <row r="350">
          <cell r="B350" t="str">
            <v>200323</v>
          </cell>
          <cell r="C350" t="str">
            <v>4.3.4.2</v>
          </cell>
          <cell r="D350" t="str">
            <v>Fornecimento e espalhamento de pó de pedra</v>
          </cell>
          <cell r="E350" t="str">
            <v>m3</v>
          </cell>
          <cell r="F350">
            <v>4.76</v>
          </cell>
          <cell r="G350">
            <v>0.29930000000000001</v>
          </cell>
          <cell r="H350">
            <v>107.11</v>
          </cell>
          <cell r="I350">
            <v>139.16802300000001</v>
          </cell>
          <cell r="J350">
            <v>662.44</v>
          </cell>
        </row>
        <row r="351">
          <cell r="B351" t="str">
            <v>050501</v>
          </cell>
          <cell r="C351" t="str">
            <v>4.3.4.3</v>
          </cell>
          <cell r="D351" t="str">
            <v>Alvenaria de blocos de concreto estrut. (14x19x39cm) cheios, c/ resist. mín. compr. 15MPa, assentados c/ arg. de cimento e areia no traço 1:4, esp. juntas 10mm e esp. da parede s/ revest. 14cm</v>
          </cell>
          <cell r="E351" t="str">
            <v>m2</v>
          </cell>
          <cell r="F351">
            <v>2.14</v>
          </cell>
          <cell r="G351">
            <v>0.29930000000000001</v>
          </cell>
          <cell r="H351">
            <v>80.709999999999994</v>
          </cell>
          <cell r="I351">
            <v>104.86650300000001</v>
          </cell>
          <cell r="J351">
            <v>224.41</v>
          </cell>
        </row>
        <row r="352">
          <cell r="B352" t="str">
            <v/>
          </cell>
          <cell r="C352" t="str">
            <v>4.3.5</v>
          </cell>
          <cell r="D352" t="str">
            <v>PILARES</v>
          </cell>
          <cell r="I352" t="str">
            <v/>
          </cell>
          <cell r="J352">
            <v>10208.010000000002</v>
          </cell>
        </row>
        <row r="353">
          <cell r="B353" t="str">
            <v>040339</v>
          </cell>
          <cell r="C353" t="str">
            <v>4.3.5.1</v>
          </cell>
          <cell r="D353" t="str">
            <v>Forma de chapas madeira compensada resinada, esp. 12mm, levando-se em conta a utilização 3 vezes, reforçadas com sarrafos de madeira de 2.5 x 10.0cm (incl material, corte, montagem, escoras em eucalipto e desforma)</v>
          </cell>
          <cell r="E353" t="str">
            <v>m2</v>
          </cell>
          <cell r="F353">
            <v>52.4</v>
          </cell>
          <cell r="G353">
            <v>0.29930000000000001</v>
          </cell>
          <cell r="H353">
            <v>77.42</v>
          </cell>
          <cell r="I353">
            <v>100.59180600000001</v>
          </cell>
          <cell r="J353">
            <v>5271.01</v>
          </cell>
        </row>
        <row r="354">
          <cell r="B354" t="str">
            <v>040328</v>
          </cell>
          <cell r="C354" t="str">
            <v>4.3.5.2</v>
          </cell>
          <cell r="D354" t="str">
            <v>Fornecimento, dobragem e colocação em fôrma, de armadura CA-50 A média, diâmetro de 6.3 a 10.0 mm</v>
          </cell>
          <cell r="E354" t="str">
            <v>kg</v>
          </cell>
          <cell r="F354">
            <v>210</v>
          </cell>
          <cell r="G354">
            <v>0.29930000000000001</v>
          </cell>
          <cell r="H354">
            <v>6.78</v>
          </cell>
          <cell r="I354">
            <v>8.809254000000001</v>
          </cell>
          <cell r="J354">
            <v>1849.94</v>
          </cell>
        </row>
        <row r="355">
          <cell r="B355" t="str">
            <v>040245</v>
          </cell>
          <cell r="C355" t="str">
            <v>4.3.5.3</v>
          </cell>
          <cell r="D355" t="str">
            <v>Fornecimento, dobragem e colocação em fôrma, de armadura CA-50 A grossa diâmetro de 12.5 a 25.0 mm (1/2 a 1")</v>
          </cell>
          <cell r="E355" t="str">
            <v>kg</v>
          </cell>
          <cell r="F355">
            <v>55</v>
          </cell>
          <cell r="G355">
            <v>0.29930000000000001</v>
          </cell>
          <cell r="H355">
            <v>7.15</v>
          </cell>
          <cell r="I355">
            <v>9.2899950000000011</v>
          </cell>
          <cell r="J355">
            <v>510.95</v>
          </cell>
        </row>
        <row r="356">
          <cell r="B356" t="str">
            <v>040246</v>
          </cell>
          <cell r="C356" t="str">
            <v>4.3.5.4</v>
          </cell>
          <cell r="D356" t="str">
            <v>Fornecimento, dobragem e colocação em fôrma, de armadura CA-60 B fina, diâmetro de 4.0 a 7.0mm</v>
          </cell>
          <cell r="E356" t="str">
            <v>kg</v>
          </cell>
          <cell r="F356">
            <v>78</v>
          </cell>
          <cell r="G356">
            <v>0.29930000000000001</v>
          </cell>
          <cell r="H356">
            <v>6.87</v>
          </cell>
          <cell r="I356">
            <v>8.9261910000000011</v>
          </cell>
          <cell r="J356">
            <v>696.24</v>
          </cell>
        </row>
        <row r="357">
          <cell r="B357" t="str">
            <v>COMP5</v>
          </cell>
          <cell r="C357" t="str">
            <v>4.3.5.5</v>
          </cell>
          <cell r="D357" t="str">
            <v>FORNECIMENTO E APLICAÇÃO DE CONCRETO USINADO FCK=40 MPA - CONSIDERANDO BOMBEAMENTO (5% DE PERDAS JÁ INCLUÍDO NO CUSTO) (6% DE TAXA P/CONCR. BOMBEAVEL)</v>
          </cell>
          <cell r="E357" t="str">
            <v>m3</v>
          </cell>
          <cell r="F357">
            <v>3.5</v>
          </cell>
          <cell r="G357">
            <v>0.29930000000000001</v>
          </cell>
          <cell r="H357">
            <v>413.38</v>
          </cell>
          <cell r="I357">
            <v>537.10463400000003</v>
          </cell>
          <cell r="J357">
            <v>1879.87</v>
          </cell>
        </row>
        <row r="358">
          <cell r="B358" t="str">
            <v/>
          </cell>
          <cell r="C358" t="str">
            <v>4.3.6</v>
          </cell>
          <cell r="D358" t="str">
            <v>VIGAS SUPERIORES</v>
          </cell>
          <cell r="I358" t="str">
            <v/>
          </cell>
          <cell r="J358">
            <v>20176.580000000002</v>
          </cell>
        </row>
        <row r="359">
          <cell r="B359" t="str">
            <v>040339</v>
          </cell>
          <cell r="C359" t="str">
            <v>4.3.6.1</v>
          </cell>
          <cell r="D359" t="str">
            <v>Forma de chapas madeira compensada resinada, esp. 12mm, levando-se em conta a utilização 3 vezes, reforçadas com sarrafos de madeira de 2.5 x 10.0cm (incl material, corte, montagem, escoras em eucalipto e desforma)</v>
          </cell>
          <cell r="E359" t="str">
            <v>m2</v>
          </cell>
          <cell r="F359">
            <v>87.7</v>
          </cell>
          <cell r="G359">
            <v>0.29930000000000001</v>
          </cell>
          <cell r="H359">
            <v>77.42</v>
          </cell>
          <cell r="I359">
            <v>100.59180600000001</v>
          </cell>
          <cell r="J359">
            <v>8821.9</v>
          </cell>
        </row>
        <row r="360">
          <cell r="B360" t="str">
            <v>040328</v>
          </cell>
          <cell r="C360" t="str">
            <v>4.3.6.2</v>
          </cell>
          <cell r="D360" t="str">
            <v>Fornecimento, dobragem e colocação em fôrma, de armadura CA-50 A média, diâmetro de 6.3 a 10.0 mm</v>
          </cell>
          <cell r="E360" t="str">
            <v>kg</v>
          </cell>
          <cell r="F360">
            <v>502</v>
          </cell>
          <cell r="G360">
            <v>0.29930000000000001</v>
          </cell>
          <cell r="H360">
            <v>6.78</v>
          </cell>
          <cell r="I360">
            <v>8.809254000000001</v>
          </cell>
          <cell r="J360">
            <v>4422.25</v>
          </cell>
        </row>
        <row r="361">
          <cell r="B361" t="str">
            <v>040245</v>
          </cell>
          <cell r="C361" t="str">
            <v>4.3.6.3</v>
          </cell>
          <cell r="D361" t="str">
            <v>Fornecimento, dobragem e colocação em fôrma, de armadura CA-50 A grossa diâmetro de 12.5 a 25.0 mm (1/2 a 1")</v>
          </cell>
          <cell r="E361" t="str">
            <v>kg</v>
          </cell>
          <cell r="F361">
            <v>199</v>
          </cell>
          <cell r="G361">
            <v>0.29930000000000001</v>
          </cell>
          <cell r="H361">
            <v>7.15</v>
          </cell>
          <cell r="I361">
            <v>9.2899950000000011</v>
          </cell>
          <cell r="J361">
            <v>1848.71</v>
          </cell>
        </row>
        <row r="362">
          <cell r="B362" t="str">
            <v>040246</v>
          </cell>
          <cell r="C362" t="str">
            <v>4.3.6.4</v>
          </cell>
          <cell r="D362" t="str">
            <v>Fornecimento, dobragem e colocação em fôrma, de armadura CA-60 B fina, diâmetro de 4.0 a 7.0mm</v>
          </cell>
          <cell r="E362" t="str">
            <v>kg</v>
          </cell>
          <cell r="F362">
            <v>34</v>
          </cell>
          <cell r="G362">
            <v>0.29930000000000001</v>
          </cell>
          <cell r="H362">
            <v>6.87</v>
          </cell>
          <cell r="I362">
            <v>8.9261910000000011</v>
          </cell>
          <cell r="J362">
            <v>303.49</v>
          </cell>
        </row>
        <row r="363">
          <cell r="B363" t="str">
            <v>COMP5</v>
          </cell>
          <cell r="C363" t="str">
            <v>4.3.6.5</v>
          </cell>
          <cell r="D363" t="str">
            <v>FORNECIMENTO E APLICAÇÃO DE CONCRETO USINADO FCK=40 MPA - CONSIDERANDO BOMBEAMENTO (5% DE PERDAS JÁ INCLUÍDO NO CUSTO) (6% DE TAXA P/CONCR. BOMBEAVEL)</v>
          </cell>
          <cell r="E363" t="str">
            <v>m3</v>
          </cell>
          <cell r="F363">
            <v>8.9</v>
          </cell>
          <cell r="G363">
            <v>0.29930000000000001</v>
          </cell>
          <cell r="H363">
            <v>413.38</v>
          </cell>
          <cell r="I363">
            <v>537.10463400000003</v>
          </cell>
          <cell r="J363">
            <v>4780.2299999999996</v>
          </cell>
        </row>
        <row r="364">
          <cell r="C364" t="str">
            <v>4.3.7</v>
          </cell>
          <cell r="D364" t="str">
            <v>LAJE</v>
          </cell>
          <cell r="J364">
            <v>25035.46</v>
          </cell>
        </row>
        <row r="365">
          <cell r="B365" t="str">
            <v>040339</v>
          </cell>
          <cell r="C365" t="str">
            <v>4.3.7.1</v>
          </cell>
          <cell r="D365" t="str">
            <v>Forma de chapas madeira compensada resinada, esp. 12mm, levando-se em conta a utilização 3 vezes, reforçadas com sarrafos de madeira de 2.5 x 10.0cm (incl material, corte, montagem, escoras em eucalipto e desforma)</v>
          </cell>
          <cell r="E365" t="str">
            <v>m2</v>
          </cell>
          <cell r="F365">
            <v>34.1</v>
          </cell>
          <cell r="G365">
            <v>0.29930000000000001</v>
          </cell>
          <cell r="H365">
            <v>77.42</v>
          </cell>
          <cell r="I365">
            <v>100.59180600000001</v>
          </cell>
          <cell r="J365">
            <v>3430.18</v>
          </cell>
        </row>
        <row r="366">
          <cell r="B366" t="str">
            <v>040328</v>
          </cell>
          <cell r="C366" t="str">
            <v>4.3.7.2</v>
          </cell>
          <cell r="D366" t="str">
            <v>Fornecimento, dobragem e colocação em fôrma, de armadura CA-50 A média, diâmetro de 6.3 a 10.0 mm</v>
          </cell>
          <cell r="E366" t="str">
            <v>kg</v>
          </cell>
          <cell r="F366">
            <v>370.3</v>
          </cell>
          <cell r="G366">
            <v>0.29930000000000001</v>
          </cell>
          <cell r="H366">
            <v>6.78</v>
          </cell>
          <cell r="I366">
            <v>8.809254000000001</v>
          </cell>
          <cell r="J366">
            <v>3262.07</v>
          </cell>
        </row>
        <row r="367">
          <cell r="B367" t="str">
            <v>COMP5</v>
          </cell>
          <cell r="C367" t="str">
            <v>4.3.7.3</v>
          </cell>
          <cell r="D367" t="str">
            <v>FORNECIMENTO E APLICAÇÃO DE CONCRETO USINADO FCK=40 MPA - CONSIDERANDO BOMBEAMENTO (5% DE PERDAS JÁ INCLUÍDO NO CUSTO) (6% DE TAXA P/CONCR. BOMBEAVEL)</v>
          </cell>
          <cell r="E367" t="str">
            <v>m3</v>
          </cell>
          <cell r="F367">
            <v>6.5400000000000009</v>
          </cell>
          <cell r="G367">
            <v>0.29930000000000001</v>
          </cell>
          <cell r="H367">
            <v>413.38</v>
          </cell>
          <cell r="I367">
            <v>537.10463400000003</v>
          </cell>
          <cell r="J367">
            <v>3512.66</v>
          </cell>
        </row>
        <row r="368">
          <cell r="B368" t="str">
            <v>040602</v>
          </cell>
          <cell r="C368" t="str">
            <v>4.3.7.4</v>
          </cell>
          <cell r="D368" t="str">
            <v>Laje pré-fabricada treliçada, sobrecarga 300 Kg/m2, vão de 3.5m a 4.3m, capeamento 4cm, esp. 12cm, Fck = 150 Kg/cm2</v>
          </cell>
          <cell r="E368" t="str">
            <v>m2</v>
          </cell>
          <cell r="F368">
            <v>169</v>
          </cell>
          <cell r="G368">
            <v>0.29930000000000001</v>
          </cell>
          <cell r="H368">
            <v>67.540000000000006</v>
          </cell>
          <cell r="I368">
            <v>87.754722000000015</v>
          </cell>
          <cell r="J368">
            <v>14830.55</v>
          </cell>
        </row>
        <row r="369">
          <cell r="B369" t="str">
            <v/>
          </cell>
          <cell r="C369" t="str">
            <v>4.3.8</v>
          </cell>
          <cell r="D369" t="str">
            <v>COBERTURA</v>
          </cell>
          <cell r="I369" t="str">
            <v/>
          </cell>
          <cell r="J369">
            <v>55187.280000000006</v>
          </cell>
        </row>
        <row r="370">
          <cell r="B370" t="str">
            <v>090102</v>
          </cell>
          <cell r="C370" t="str">
            <v>4.3.8.1</v>
          </cell>
          <cell r="D370" t="str">
            <v>Estrutura de madeira de lei tipo Paraju, peroba mica, angelim pedra ou equivalente para telhado de telha ondulada de fibrocimento esp. 6mm, com pontaletes e caibros, inclusive tratamento com cupinicida, exclusive telhas</v>
          </cell>
          <cell r="E370" t="str">
            <v>m2</v>
          </cell>
          <cell r="F370">
            <v>191.8</v>
          </cell>
          <cell r="G370">
            <v>0.29930000000000001</v>
          </cell>
          <cell r="H370">
            <v>76.53</v>
          </cell>
          <cell r="I370">
            <v>99.435429000000013</v>
          </cell>
          <cell r="J370">
            <v>19071.72</v>
          </cell>
        </row>
        <row r="371">
          <cell r="B371" t="str">
            <v>090223</v>
          </cell>
          <cell r="C371" t="str">
            <v>4.3.8.2</v>
          </cell>
          <cell r="D371" t="str">
            <v>Cobertura em telha termoacustica tipo telha/telha em aço galvanizado trapez. 40, e=0.43mm, pint. face. sup. e infer. cor branca, incl. acess. fix. nucleo em poliuretano (injeção contínua), e=30mm, ref. Isoeste, Sto André, Panissol, Metform ou equi</v>
          </cell>
          <cell r="E371" t="str">
            <v>m2</v>
          </cell>
          <cell r="F371">
            <v>200.69</v>
          </cell>
          <cell r="G371">
            <v>0.29930000000000001</v>
          </cell>
          <cell r="H371">
            <v>105.84</v>
          </cell>
          <cell r="I371">
            <v>137.51791200000002</v>
          </cell>
          <cell r="J371">
            <v>27598.47</v>
          </cell>
        </row>
        <row r="372">
          <cell r="B372" t="str">
            <v>040339</v>
          </cell>
          <cell r="C372" t="str">
            <v>4.3.8.3</v>
          </cell>
          <cell r="D372" t="str">
            <v>Forma de chapas madeira compensada resinada, esp. 12mm, levando-se em conta a utilização 3 vezes, reforçadas com sarrafos de madeira de 2.5 x 10.0cm (incl material, corte, montagem, escoras em eucalipto e desforma) (Platibanda)</v>
          </cell>
          <cell r="E372" t="str">
            <v>m2</v>
          </cell>
          <cell r="F372">
            <v>25.2</v>
          </cell>
          <cell r="G372">
            <v>0.29930000000000001</v>
          </cell>
          <cell r="H372">
            <v>77.42</v>
          </cell>
          <cell r="I372">
            <v>100.59180600000001</v>
          </cell>
          <cell r="J372">
            <v>2534.91</v>
          </cell>
        </row>
        <row r="373">
          <cell r="B373" t="str">
            <v>040328</v>
          </cell>
          <cell r="C373" t="str">
            <v>4.3.8.4</v>
          </cell>
          <cell r="D373" t="str">
            <v>Fornecimento, dobragem e colocação em fôrma, de armadura CA-50 A média, diâmetro de 6.3 a 10.0 mm (Platibanda)</v>
          </cell>
          <cell r="E373" t="str">
            <v>kg</v>
          </cell>
          <cell r="F373">
            <v>122</v>
          </cell>
          <cell r="G373">
            <v>0.29930000000000001</v>
          </cell>
          <cell r="H373">
            <v>6.78</v>
          </cell>
          <cell r="I373">
            <v>8.809254000000001</v>
          </cell>
          <cell r="J373">
            <v>1074.73</v>
          </cell>
        </row>
        <row r="374">
          <cell r="B374" t="str">
            <v>COMP5</v>
          </cell>
          <cell r="C374" t="str">
            <v>4.3.8.5</v>
          </cell>
          <cell r="D374" t="str">
            <v>FORNECIMENTO E APLICAÇÃO DE CONCRETO USINADO FCK=40 MPA - CONSIDERANDO BOMBEAMENTO (5% DE PERDAS JÁ INCLUÍDO NO CUSTO) (6% DE TAXA P/CONCR. BOMBEAVEL) (Platibanda)</v>
          </cell>
          <cell r="E374" t="str">
            <v>m3</v>
          </cell>
          <cell r="F374">
            <v>1.3</v>
          </cell>
          <cell r="G374">
            <v>0.29930000000000001</v>
          </cell>
          <cell r="H374">
            <v>413.38</v>
          </cell>
          <cell r="I374">
            <v>537.10463400000003</v>
          </cell>
          <cell r="J374">
            <v>698.24</v>
          </cell>
        </row>
        <row r="375">
          <cell r="B375" t="str">
            <v>050602</v>
          </cell>
          <cell r="C375" t="str">
            <v>4.3.8.6</v>
          </cell>
          <cell r="D375" t="str">
            <v>Alvenaria de blocos de concreto 14x19x39cm, c/ resist. mínimo a compres. 2.5 MPa, assent. c/ arg. de cimento, cal hidratada CH1 e areia no traço 1:0.5:8 esp. das juntas 10mm e esp. das paredes, s/ rev. 14cm (Platibanda)</v>
          </cell>
          <cell r="E375" t="str">
            <v>m2</v>
          </cell>
          <cell r="F375">
            <v>61.24</v>
          </cell>
          <cell r="G375">
            <v>0.29930000000000001</v>
          </cell>
          <cell r="H375">
            <v>52.9</v>
          </cell>
          <cell r="I375">
            <v>68.732970000000009</v>
          </cell>
          <cell r="J375">
            <v>4209.21</v>
          </cell>
        </row>
        <row r="376">
          <cell r="C376" t="str">
            <v>4.3.9</v>
          </cell>
          <cell r="D376" t="str">
            <v>DRENAGEM</v>
          </cell>
          <cell r="J376">
            <v>6986.2900000000009</v>
          </cell>
        </row>
        <row r="377">
          <cell r="B377" t="str">
            <v>COMP13</v>
          </cell>
          <cell r="C377" t="str">
            <v>4.3.9.1</v>
          </cell>
          <cell r="D377" t="str">
            <v>CALHA PLATIBANDA DE CHAPA DE AÇO GALVANIZADA NUM 26, CORTE 45 CM, FORNECIMENTO E INSTALAÇÃO</v>
          </cell>
          <cell r="E377" t="str">
            <v>M</v>
          </cell>
          <cell r="F377">
            <v>44.2</v>
          </cell>
          <cell r="G377">
            <v>0.29930000000000001</v>
          </cell>
          <cell r="H377">
            <v>61.93</v>
          </cell>
          <cell r="I377">
            <v>80.465649000000013</v>
          </cell>
          <cell r="J377">
            <v>3556.58</v>
          </cell>
        </row>
        <row r="378">
          <cell r="B378" t="str">
            <v>090302</v>
          </cell>
          <cell r="C378" t="str">
            <v>4.3.9.2</v>
          </cell>
          <cell r="D378" t="str">
            <v>Rufo de chapa metálica nº 26 com largura de 30 cm</v>
          </cell>
          <cell r="E378" t="str">
            <v>m</v>
          </cell>
          <cell r="F378">
            <v>64.14</v>
          </cell>
          <cell r="G378">
            <v>0.29930000000000001</v>
          </cell>
          <cell r="H378">
            <v>26.69</v>
          </cell>
          <cell r="I378">
            <v>34.678317000000007</v>
          </cell>
          <cell r="J378">
            <v>2224.27</v>
          </cell>
        </row>
        <row r="379">
          <cell r="B379" t="str">
            <v>141909</v>
          </cell>
          <cell r="C379" t="str">
            <v>4.3.9.3</v>
          </cell>
          <cell r="D379" t="str">
            <v>Tubo de PVC rígido soldável branco, para esgoto, diâmetro 100mm (4"), inclusive conexões</v>
          </cell>
          <cell r="E379" t="str">
            <v>m</v>
          </cell>
          <cell r="F379">
            <v>9.27</v>
          </cell>
          <cell r="G379">
            <v>0.29930000000000001</v>
          </cell>
          <cell r="H379">
            <v>52.37</v>
          </cell>
          <cell r="I379">
            <v>68.044341000000003</v>
          </cell>
          <cell r="J379">
            <v>630.77</v>
          </cell>
        </row>
        <row r="380">
          <cell r="B380" t="str">
            <v>140903</v>
          </cell>
          <cell r="C380" t="str">
            <v>4.3.9.4</v>
          </cell>
          <cell r="D380" t="str">
            <v>Tubo PVC rígido para esgoto no diâmetro de 100mm incluindo escavação e aterro com areia</v>
          </cell>
          <cell r="E380" t="str">
            <v>m</v>
          </cell>
          <cell r="F380">
            <v>10.73</v>
          </cell>
          <cell r="G380">
            <v>0.29930000000000001</v>
          </cell>
          <cell r="H380">
            <v>41.22</v>
          </cell>
          <cell r="I380">
            <v>53.557146000000003</v>
          </cell>
          <cell r="J380">
            <v>574.66999999999996</v>
          </cell>
        </row>
        <row r="381">
          <cell r="B381" t="str">
            <v/>
          </cell>
          <cell r="C381" t="str">
            <v>4.3.10</v>
          </cell>
          <cell r="D381" t="str">
            <v>DEMAIS ITENS</v>
          </cell>
          <cell r="I381" t="str">
            <v/>
          </cell>
          <cell r="J381">
            <v>122223.87999999999</v>
          </cell>
        </row>
        <row r="382">
          <cell r="B382" t="str">
            <v>COMP2</v>
          </cell>
          <cell r="C382" t="str">
            <v>4.3.10.1</v>
          </cell>
          <cell r="D382" t="str">
            <v>Cerca de engranzamento soldado, incluso instalação</v>
          </cell>
          <cell r="E382" t="str">
            <v>m²</v>
          </cell>
          <cell r="F382">
            <v>111.39</v>
          </cell>
          <cell r="G382">
            <v>0.29930000000000001</v>
          </cell>
          <cell r="H382">
            <v>238.39</v>
          </cell>
          <cell r="I382">
            <v>309.74012700000003</v>
          </cell>
          <cell r="J382">
            <v>34501.949999999997</v>
          </cell>
        </row>
        <row r="383">
          <cell r="B383" t="str">
            <v>COMP31</v>
          </cell>
          <cell r="C383" t="str">
            <v>4.3.10.2</v>
          </cell>
          <cell r="D383" t="str">
            <v>Portão corrediço de engranzamento soldado - fornecimento e instalação</v>
          </cell>
          <cell r="E383" t="str">
            <v>m²</v>
          </cell>
          <cell r="F383">
            <v>15.3</v>
          </cell>
          <cell r="G383">
            <v>0.29930000000000001</v>
          </cell>
          <cell r="H383">
            <v>549.25</v>
          </cell>
          <cell r="I383">
            <v>713.64052500000003</v>
          </cell>
          <cell r="J383">
            <v>10918.7</v>
          </cell>
        </row>
        <row r="384">
          <cell r="B384" t="str">
            <v>COMP32</v>
          </cell>
          <cell r="C384" t="str">
            <v>4.3.10.3</v>
          </cell>
          <cell r="D384" t="str">
            <v>Portão de dupla abertura de engranzamento soldado - fornecimento e instalação</v>
          </cell>
          <cell r="E384" t="str">
            <v>m²</v>
          </cell>
          <cell r="F384">
            <v>5.63</v>
          </cell>
          <cell r="G384">
            <v>0.29930000000000001</v>
          </cell>
          <cell r="H384">
            <v>554.38</v>
          </cell>
          <cell r="I384">
            <v>720.30593400000009</v>
          </cell>
          <cell r="J384">
            <v>4055.32</v>
          </cell>
        </row>
        <row r="385">
          <cell r="B385" t="str">
            <v>210322</v>
          </cell>
          <cell r="C385" t="str">
            <v>4.3.10.4</v>
          </cell>
          <cell r="D385" t="str">
            <v>Corrimão em tubo de ferro galvanizado diam. 2" com chumbadores a cada 1.5m</v>
          </cell>
          <cell r="E385" t="str">
            <v>m</v>
          </cell>
          <cell r="F385">
            <v>13.65</v>
          </cell>
          <cell r="G385">
            <v>0.29930000000000001</v>
          </cell>
          <cell r="H385">
            <v>77.81</v>
          </cell>
          <cell r="I385">
            <v>101.09853300000002</v>
          </cell>
          <cell r="J385">
            <v>1379.99</v>
          </cell>
        </row>
        <row r="386">
          <cell r="B386" t="str">
            <v>COMP27</v>
          </cell>
          <cell r="C386" t="str">
            <v>4.3.10.5</v>
          </cell>
          <cell r="D386" t="str">
            <v>Guarda corpo de tubo de ferro galvanizado, diâm. 2" e 1/2", h= 1,1 m inclusive pintura a óleo ou esmalte</v>
          </cell>
          <cell r="E386" t="str">
            <v>m</v>
          </cell>
          <cell r="F386">
            <v>4.1500000000000004</v>
          </cell>
          <cell r="G386">
            <v>0.29930000000000001</v>
          </cell>
          <cell r="H386">
            <v>311.45999999999998</v>
          </cell>
          <cell r="I386">
            <v>404.67997800000001</v>
          </cell>
          <cell r="J386">
            <v>1679.42</v>
          </cell>
        </row>
        <row r="387">
          <cell r="B387" t="str">
            <v>050608</v>
          </cell>
          <cell r="C387" t="str">
            <v>4.3.10.6</v>
          </cell>
          <cell r="D387" t="str">
            <v>Alvenaria de blocos cerâmicos 10 furos 10x20x20cm, assentados c/argamassa de cimento, cal hidratada CH1 e areia traço 1:0,5:8, juntas 12mm e espessura das paredes, s/revestimento, 20cm (bloco comprado fábrica,posto obra)</v>
          </cell>
          <cell r="E387" t="str">
            <v>m2</v>
          </cell>
          <cell r="F387">
            <v>8.32</v>
          </cell>
          <cell r="G387">
            <v>0.29930000000000001</v>
          </cell>
          <cell r="H387">
            <v>75.41</v>
          </cell>
          <cell r="I387">
            <v>97.980213000000006</v>
          </cell>
          <cell r="J387">
            <v>815.2</v>
          </cell>
        </row>
        <row r="388">
          <cell r="B388" t="str">
            <v>120101</v>
          </cell>
          <cell r="C388" t="str">
            <v>4.3.10.7</v>
          </cell>
          <cell r="D388" t="str">
            <v>Chapisco de argamassa de cimento e areia média ou grossa lavada, no traço 1:3, espessura 5 mm</v>
          </cell>
          <cell r="E388" t="str">
            <v>m2</v>
          </cell>
          <cell r="F388">
            <v>531.42999999999995</v>
          </cell>
          <cell r="G388">
            <v>0.29930000000000001</v>
          </cell>
          <cell r="H388">
            <v>4.8</v>
          </cell>
          <cell r="I388">
            <v>6.2366400000000004</v>
          </cell>
          <cell r="J388">
            <v>3314.34</v>
          </cell>
        </row>
        <row r="389">
          <cell r="B389" t="str">
            <v>120303</v>
          </cell>
          <cell r="C389" t="str">
            <v>4.3.10.8</v>
          </cell>
          <cell r="D389" t="str">
            <v>Reboco tipo paulista de argamassa de cimento, cal hidratada CH1 e areia média ou grossa lavada no traço 1:0.5:6, espessura 25 mm</v>
          </cell>
          <cell r="E389" t="str">
            <v>m2</v>
          </cell>
          <cell r="F389">
            <v>531.42999999999995</v>
          </cell>
          <cell r="G389">
            <v>0.29930000000000001</v>
          </cell>
          <cell r="H389">
            <v>41.88</v>
          </cell>
          <cell r="I389">
            <v>54.414684000000008</v>
          </cell>
          <cell r="J389">
            <v>28917.599999999999</v>
          </cell>
        </row>
        <row r="390">
          <cell r="B390" t="str">
            <v>190117</v>
          </cell>
          <cell r="C390" t="str">
            <v>4.3.10.9</v>
          </cell>
          <cell r="D390" t="str">
            <v>Pintura com tinta acrílica, marcas de referência Suvinil, Coral e Metalatex, inclusive selador acrílico, em paredes e forros, a duas demãos</v>
          </cell>
          <cell r="E390" t="str">
            <v>m2</v>
          </cell>
          <cell r="F390">
            <v>531.42999999999995</v>
          </cell>
          <cell r="G390">
            <v>0.29930000000000001</v>
          </cell>
          <cell r="H390">
            <v>15.54</v>
          </cell>
          <cell r="I390">
            <v>20.191122</v>
          </cell>
          <cell r="J390">
            <v>10730.17</v>
          </cell>
        </row>
        <row r="391">
          <cell r="B391" t="str">
            <v>130230</v>
          </cell>
          <cell r="C391" t="str">
            <v>4.3.10.10</v>
          </cell>
          <cell r="D391" t="str">
            <v>Piso argamassa alta resistência tipo granilite ou equiv de qualidade comprovada, esp de 10mm, com juntas plástica em quadros de 1m, na cor natural, com acabamento anti-derrapante mecanizado, inclusive regularização e=3.0cm</v>
          </cell>
          <cell r="E391" t="str">
            <v>m2</v>
          </cell>
          <cell r="F391">
            <v>142.32</v>
          </cell>
          <cell r="G391">
            <v>0.29930000000000001</v>
          </cell>
          <cell r="H391">
            <v>90.31</v>
          </cell>
          <cell r="I391">
            <v>117.33978300000001</v>
          </cell>
          <cell r="J391">
            <v>16699.8</v>
          </cell>
        </row>
        <row r="392">
          <cell r="B392" t="str">
            <v>COMP41</v>
          </cell>
          <cell r="C392" t="str">
            <v>4.3.10.11</v>
          </cell>
          <cell r="D392" t="str">
            <v>Cadeira longarina com 3 lugares, estrutura em aço e encosto em polipropileno de alta resistência - fornecimento e instalação</v>
          </cell>
          <cell r="E392" t="str">
            <v>un</v>
          </cell>
          <cell r="F392">
            <v>25</v>
          </cell>
          <cell r="G392">
            <v>0.29930000000000001</v>
          </cell>
          <cell r="H392">
            <v>283.58</v>
          </cell>
          <cell r="I392">
            <v>368.45549399999999</v>
          </cell>
          <cell r="J392">
            <v>9211.39</v>
          </cell>
        </row>
        <row r="393">
          <cell r="B393" t="str">
            <v/>
          </cell>
          <cell r="C393" t="str">
            <v>4.4</v>
          </cell>
          <cell r="D393" t="str">
            <v>PLATAFORMA FLUTUANTE</v>
          </cell>
          <cell r="I393" t="str">
            <v/>
          </cell>
          <cell r="J393">
            <v>681051.66</v>
          </cell>
        </row>
        <row r="394">
          <cell r="B394" t="str">
            <v/>
          </cell>
          <cell r="C394" t="str">
            <v>4.4.1</v>
          </cell>
          <cell r="D394" t="str">
            <v>FABRICAÇÃO DO FLUTUANTE</v>
          </cell>
          <cell r="J394">
            <v>327678.98</v>
          </cell>
        </row>
        <row r="395">
          <cell r="B395" t="str">
            <v>040405</v>
          </cell>
          <cell r="C395" t="str">
            <v>4.4.1.1</v>
          </cell>
          <cell r="D395" t="str">
            <v>Fôrma com chapa compensada plastificada esp. 12mm, utização 5 vezes</v>
          </cell>
          <cell r="E395" t="str">
            <v>m2</v>
          </cell>
          <cell r="F395">
            <v>341</v>
          </cell>
          <cell r="G395">
            <v>0.29930000000000001</v>
          </cell>
          <cell r="H395">
            <v>73.41</v>
          </cell>
          <cell r="I395">
            <v>95.381613000000002</v>
          </cell>
          <cell r="J395">
            <v>32525.13</v>
          </cell>
        </row>
        <row r="396">
          <cell r="B396" t="str">
            <v>COMP3</v>
          </cell>
          <cell r="C396" t="str">
            <v>4.4.1.2</v>
          </cell>
          <cell r="D396" t="str">
            <v>ARMAÇÃO DO SISTEMA DE PAREDES DE CONCRETO COM TELA Q785</v>
          </cell>
          <cell r="E396" t="str">
            <v>kg</v>
          </cell>
          <cell r="F396">
            <v>3966.02</v>
          </cell>
          <cell r="G396">
            <v>0.29930000000000001</v>
          </cell>
          <cell r="H396">
            <v>6.23</v>
          </cell>
          <cell r="I396">
            <v>8.0946390000000008</v>
          </cell>
          <cell r="J396">
            <v>32103.5</v>
          </cell>
        </row>
        <row r="397">
          <cell r="B397" t="str">
            <v>040328</v>
          </cell>
          <cell r="C397" t="str">
            <v>4.4.1.3</v>
          </cell>
          <cell r="D397" t="str">
            <v>Fornecimento, dobragem e colocação em fôrma, de armadura CA-50 A média, diâmetro de 6.3 a 10.0 mm</v>
          </cell>
          <cell r="E397" t="str">
            <v>kg</v>
          </cell>
          <cell r="F397">
            <v>1880</v>
          </cell>
          <cell r="G397">
            <v>0.29930000000000001</v>
          </cell>
          <cell r="H397">
            <v>6.78</v>
          </cell>
          <cell r="I397">
            <v>8.809254000000001</v>
          </cell>
          <cell r="J397">
            <v>16561.400000000001</v>
          </cell>
        </row>
        <row r="398">
          <cell r="B398" t="str">
            <v>COMP18</v>
          </cell>
          <cell r="C398" t="str">
            <v>4.4.1.4</v>
          </cell>
          <cell r="D398" t="str">
            <v>Cordoalha CP 190 RB D = 15,2 mm - fornecimento, preparo e colocação</v>
          </cell>
          <cell r="E398" t="str">
            <v>kg</v>
          </cell>
          <cell r="F398">
            <v>73</v>
          </cell>
          <cell r="G398">
            <v>0.29930000000000001</v>
          </cell>
          <cell r="H398">
            <v>9.3699999999999992</v>
          </cell>
          <cell r="I398">
            <v>12.174441</v>
          </cell>
          <cell r="J398">
            <v>888.73</v>
          </cell>
        </row>
        <row r="399">
          <cell r="B399" t="str">
            <v>COMP6</v>
          </cell>
          <cell r="C399" t="str">
            <v>4.4.1.5</v>
          </cell>
          <cell r="D399" t="str">
            <v>FORNECIMENTO E APLICAÇÃO DE CONCRETO USINADO FCK=50 MPA COM ADITIVO LIQUIDO IMPERMEABILIZANTE E SÍLICA ATIVA - CONSIDERANDO BOMBEAMENTO (5% DE PERDAS JÁ INCLUÍDO NO CUSTO) (6% DE TAXA P/CONCR. BOMBEAVEL)</v>
          </cell>
          <cell r="E399" t="str">
            <v>m3</v>
          </cell>
          <cell r="F399">
            <v>28.05</v>
          </cell>
          <cell r="G399">
            <v>0.29930000000000001</v>
          </cell>
          <cell r="H399">
            <v>661.49</v>
          </cell>
          <cell r="I399">
            <v>859.47395700000004</v>
          </cell>
          <cell r="J399">
            <v>24108.240000000002</v>
          </cell>
        </row>
        <row r="400">
          <cell r="B400" t="str">
            <v>COMP40</v>
          </cell>
          <cell r="C400" t="str">
            <v>4.4.1.6</v>
          </cell>
          <cell r="D400" t="str">
            <v>Poliestireno espandido (EPS) de alta densidade - fornecimento e instalação</v>
          </cell>
          <cell r="E400" t="str">
            <v>m³</v>
          </cell>
          <cell r="F400">
            <v>113.84</v>
          </cell>
          <cell r="G400">
            <v>0.29930000000000001</v>
          </cell>
          <cell r="H400">
            <v>545.26</v>
          </cell>
          <cell r="I400">
            <v>708.45631800000001</v>
          </cell>
          <cell r="J400">
            <v>80650.67</v>
          </cell>
        </row>
        <row r="401">
          <cell r="B401" t="str">
            <v>COMP28</v>
          </cell>
          <cell r="C401" t="str">
            <v>4.4.1.7</v>
          </cell>
          <cell r="D401" t="str">
            <v>Rolete guia da estaca conforme especificações de projeto - fornecimento e instalação</v>
          </cell>
          <cell r="E401" t="str">
            <v>un</v>
          </cell>
          <cell r="F401">
            <v>4</v>
          </cell>
          <cell r="G401">
            <v>0.29930000000000001</v>
          </cell>
          <cell r="H401">
            <v>12200.03</v>
          </cell>
          <cell r="I401">
            <v>15851.498979000002</v>
          </cell>
          <cell r="J401">
            <v>63406</v>
          </cell>
        </row>
        <row r="402">
          <cell r="B402" t="str">
            <v>COMP29</v>
          </cell>
          <cell r="C402" t="str">
            <v>4.4.1.8</v>
          </cell>
          <cell r="D402" t="str">
            <v>Cabeço de amarração conforme especificações de projeto - fornecimento e instalação</v>
          </cell>
          <cell r="E402" t="str">
            <v>un</v>
          </cell>
          <cell r="F402">
            <v>2</v>
          </cell>
          <cell r="G402">
            <v>0.29930000000000001</v>
          </cell>
          <cell r="H402">
            <v>4658.8500000000004</v>
          </cell>
          <cell r="I402">
            <v>6053.243805000001</v>
          </cell>
          <cell r="J402">
            <v>12106.49</v>
          </cell>
        </row>
        <row r="403">
          <cell r="B403" t="str">
            <v>040817</v>
          </cell>
          <cell r="C403" t="str">
            <v>4.4.1.9</v>
          </cell>
          <cell r="D403" t="str">
            <v>Fornecimento e lançamento de concreto para grouteamento com adição de pedrisco (50% em peso), utilizando Sikagrout ou produto equivalente, exclusive forma</v>
          </cell>
          <cell r="E403" t="str">
            <v>m3</v>
          </cell>
          <cell r="F403">
            <v>0.03</v>
          </cell>
          <cell r="G403">
            <v>0.29930000000000001</v>
          </cell>
          <cell r="H403">
            <v>2552.67</v>
          </cell>
          <cell r="I403">
            <v>3316.6841310000004</v>
          </cell>
          <cell r="J403">
            <v>99.5</v>
          </cell>
        </row>
        <row r="404">
          <cell r="B404" t="str">
            <v>COMP30</v>
          </cell>
          <cell r="C404" t="str">
            <v>4.4.1.10</v>
          </cell>
          <cell r="D404" t="str">
            <v>Defensa barra tipo "D" 150 mm L=150 cm - fornecimento e instalação</v>
          </cell>
          <cell r="E404" t="str">
            <v>un</v>
          </cell>
          <cell r="F404">
            <v>15</v>
          </cell>
          <cell r="G404">
            <v>0.29930000000000001</v>
          </cell>
          <cell r="H404">
            <v>1710.27</v>
          </cell>
          <cell r="I404">
            <v>2222.1538110000001</v>
          </cell>
          <cell r="J404">
            <v>33332.31</v>
          </cell>
        </row>
        <row r="405">
          <cell r="B405" t="str">
            <v>COMP12</v>
          </cell>
          <cell r="C405" t="str">
            <v>4.4.1.11</v>
          </cell>
          <cell r="D405" t="str">
            <v>Içamento de flutuante para a água com guindaste rodoviário de 500t - incluso mobilização e desmobilização de equipamento</v>
          </cell>
          <cell r="E405" t="str">
            <v>un</v>
          </cell>
          <cell r="F405">
            <v>1</v>
          </cell>
          <cell r="G405">
            <v>0.15570000000000001</v>
          </cell>
          <cell r="H405">
            <v>26948.18</v>
          </cell>
          <cell r="I405">
            <v>31144.011626</v>
          </cell>
          <cell r="J405">
            <v>31144.01</v>
          </cell>
        </row>
        <row r="406">
          <cell r="B406" t="str">
            <v>COMP26</v>
          </cell>
          <cell r="C406" t="str">
            <v>4.4.1.12</v>
          </cell>
          <cell r="D406" t="str">
            <v>Chapa dobrada #8 400x700 mm, incl. chumbadores e solda.</v>
          </cell>
          <cell r="E406" t="str">
            <v>un</v>
          </cell>
          <cell r="F406">
            <v>2</v>
          </cell>
          <cell r="G406">
            <v>0.29930000000000001</v>
          </cell>
          <cell r="H406">
            <v>289.77</v>
          </cell>
          <cell r="I406">
            <v>376.49816100000004</v>
          </cell>
          <cell r="J406">
            <v>753</v>
          </cell>
        </row>
        <row r="407">
          <cell r="B407" t="str">
            <v/>
          </cell>
          <cell r="C407" t="str">
            <v>4.4.2</v>
          </cell>
          <cell r="D407" t="str">
            <v>TRANSPORTE DO FLUTUANTE</v>
          </cell>
          <cell r="I407" t="str">
            <v/>
          </cell>
          <cell r="J407">
            <v>1956.47</v>
          </cell>
        </row>
        <row r="408">
          <cell r="B408" t="str">
            <v>COMP39</v>
          </cell>
          <cell r="C408" t="str">
            <v>4.4.2.1</v>
          </cell>
          <cell r="D408" t="str">
            <v>Transporte de flutuante por rebocador, incluso manobra, amarração e desamarração (Trajeto Praça do Papa - Centro de Vitória)</v>
          </cell>
          <cell r="E408" t="str">
            <v>un</v>
          </cell>
          <cell r="F408">
            <v>1</v>
          </cell>
          <cell r="G408">
            <v>0.29930000000000001</v>
          </cell>
          <cell r="H408">
            <v>1505.79</v>
          </cell>
          <cell r="I408">
            <v>1956.4729470000002</v>
          </cell>
          <cell r="J408">
            <v>1956.47</v>
          </cell>
        </row>
        <row r="409">
          <cell r="B409" t="str">
            <v/>
          </cell>
          <cell r="C409" t="str">
            <v>4.4.3</v>
          </cell>
          <cell r="D409" t="str">
            <v>ESTACAS</v>
          </cell>
          <cell r="I409" t="str">
            <v/>
          </cell>
          <cell r="J409">
            <v>341760.55</v>
          </cell>
        </row>
        <row r="410">
          <cell r="B410" t="str">
            <v>COT17</v>
          </cell>
          <cell r="C410" t="str">
            <v>4.4.3.1</v>
          </cell>
          <cell r="D410" t="str">
            <v>SONDAGEM ROTATIVA EM LÂMINA D'ÁGUA (CENTRO DE VITÓRIA) - INCLUSIVE MOBILIZAÇÃO E DESMOBILIZAÇÃO DE EQUIPAMENTO</v>
          </cell>
          <cell r="E410" t="str">
            <v>UN</v>
          </cell>
          <cell r="F410">
            <v>2</v>
          </cell>
          <cell r="G410">
            <v>0.29930000000000001</v>
          </cell>
          <cell r="H410">
            <v>14134.262481281612</v>
          </cell>
          <cell r="I410">
            <v>18364.6472419292</v>
          </cell>
          <cell r="J410">
            <v>36729.29</v>
          </cell>
        </row>
        <row r="411">
          <cell r="B411" t="str">
            <v>COMP8</v>
          </cell>
          <cell r="C411" t="str">
            <v>4.4.3.2</v>
          </cell>
          <cell r="D411" t="str">
            <v>Camisa metálica com espessura de 8 mm D = 700 mm - cravada com martelo vibratório - sem escavação - confecção e cravação</v>
          </cell>
          <cell r="E411" t="str">
            <v>m</v>
          </cell>
          <cell r="F411">
            <v>77.2</v>
          </cell>
          <cell r="G411">
            <v>0.29930000000000001</v>
          </cell>
          <cell r="H411">
            <v>1079.06</v>
          </cell>
          <cell r="I411">
            <v>1402.0226580000001</v>
          </cell>
          <cell r="J411">
            <v>108236.15</v>
          </cell>
        </row>
        <row r="412">
          <cell r="B412" t="str">
            <v>COMP16</v>
          </cell>
          <cell r="C412" t="str">
            <v>4.4.3.3</v>
          </cell>
          <cell r="D412" t="str">
            <v>Apoio náutico para a execução da cravação de camisa metálica D = 600 a 1800 mm</v>
          </cell>
          <cell r="E412" t="str">
            <v>m</v>
          </cell>
          <cell r="F412">
            <v>77.2</v>
          </cell>
          <cell r="G412">
            <v>0.29930000000000001</v>
          </cell>
          <cell r="H412">
            <v>250.85</v>
          </cell>
          <cell r="I412">
            <v>325.92940500000003</v>
          </cell>
          <cell r="J412">
            <v>25161.75</v>
          </cell>
        </row>
        <row r="413">
          <cell r="B413" t="str">
            <v>COMP35</v>
          </cell>
          <cell r="C413" t="str">
            <v>4.4.3.4</v>
          </cell>
          <cell r="D413" t="str">
            <v>Escavação com perfuratriz tipo Wirth em solo - D = 700 mm</v>
          </cell>
          <cell r="E413" t="str">
            <v>m</v>
          </cell>
          <cell r="F413">
            <v>50.2</v>
          </cell>
          <cell r="G413">
            <v>0.29930000000000001</v>
          </cell>
          <cell r="H413">
            <v>263.32</v>
          </cell>
          <cell r="I413">
            <v>342.13167600000003</v>
          </cell>
          <cell r="J413">
            <v>17175.009999999998</v>
          </cell>
        </row>
        <row r="414">
          <cell r="B414" t="str">
            <v>COMP20</v>
          </cell>
          <cell r="C414" t="str">
            <v>4.4.3.5</v>
          </cell>
          <cell r="D414" t="str">
            <v>Apoio náutico para a escavação com perfuratriz tipo Wirth em solo D = 600 mm a 1800 mm</v>
          </cell>
          <cell r="E414" t="str">
            <v>m</v>
          </cell>
          <cell r="F414">
            <v>50.2</v>
          </cell>
          <cell r="G414">
            <v>0.29930000000000001</v>
          </cell>
          <cell r="H414">
            <v>304.67</v>
          </cell>
          <cell r="I414">
            <v>395.85773100000006</v>
          </cell>
          <cell r="J414">
            <v>19872.060000000001</v>
          </cell>
        </row>
        <row r="415">
          <cell r="B415" t="str">
            <v>COMP9</v>
          </cell>
          <cell r="C415" t="str">
            <v>4.4.3.6</v>
          </cell>
          <cell r="D415" t="str">
            <v>Escavação com perfuratriz tipo Wirth em rocha de alta dureza e alta abrasão - resistência a compressão acima de 80 MPa - D = 600 mm</v>
          </cell>
          <cell r="E415" t="str">
            <v>m</v>
          </cell>
          <cell r="F415">
            <v>8</v>
          </cell>
          <cell r="G415">
            <v>0.29930000000000001</v>
          </cell>
          <cell r="H415">
            <v>2925.8</v>
          </cell>
          <cell r="I415">
            <v>3801.4919400000008</v>
          </cell>
          <cell r="J415">
            <v>30411.94</v>
          </cell>
        </row>
        <row r="416">
          <cell r="B416" t="str">
            <v>COMP10</v>
          </cell>
          <cell r="C416" t="str">
            <v>4.4.3.7</v>
          </cell>
          <cell r="D416" t="str">
            <v>Apoio náutico para a escavação com perfuratriz tipo Wirth em rocha de alta dureza e alta abrasão - resistência a compressão acima de 80 MPa - D = 600 a 1800 mm</v>
          </cell>
          <cell r="E416" t="str">
            <v>m</v>
          </cell>
          <cell r="F416">
            <v>8</v>
          </cell>
          <cell r="G416">
            <v>0.29930000000000001</v>
          </cell>
          <cell r="H416">
            <v>1717.23</v>
          </cell>
          <cell r="I416">
            <v>2231.1969390000004</v>
          </cell>
          <cell r="J416">
            <v>17849.580000000002</v>
          </cell>
        </row>
        <row r="417">
          <cell r="B417" t="str">
            <v>COMP19</v>
          </cell>
          <cell r="C417" t="str">
            <v>4.4.3.8</v>
          </cell>
          <cell r="D417" t="str">
            <v>Armação de camisa metálica em aço CA-50 com apoio de guindaste - fornecimento, preparo e colocação</v>
          </cell>
          <cell r="E417" t="str">
            <v>kg</v>
          </cell>
          <cell r="F417">
            <v>5340</v>
          </cell>
          <cell r="G417">
            <v>0.29930000000000001</v>
          </cell>
          <cell r="H417">
            <v>6.91</v>
          </cell>
          <cell r="I417">
            <v>8.9781630000000003</v>
          </cell>
          <cell r="J417">
            <v>47943.39</v>
          </cell>
        </row>
        <row r="418">
          <cell r="B418" t="str">
            <v>COMP17</v>
          </cell>
          <cell r="C418" t="str">
            <v>4.4.3.9</v>
          </cell>
          <cell r="D418" t="str">
            <v>Apoio náutico para a colocação da armação em camisa metálica</v>
          </cell>
          <cell r="E418" t="str">
            <v>kg</v>
          </cell>
          <cell r="F418">
            <v>5340</v>
          </cell>
          <cell r="G418">
            <v>0.29930000000000001</v>
          </cell>
          <cell r="H418">
            <v>0.54</v>
          </cell>
          <cell r="I418">
            <v>0.70162200000000008</v>
          </cell>
          <cell r="J418">
            <v>3746.66</v>
          </cell>
        </row>
        <row r="419">
          <cell r="B419" t="str">
            <v>COMP5</v>
          </cell>
          <cell r="C419" t="str">
            <v>4.4.3.10</v>
          </cell>
          <cell r="D419" t="str">
            <v>FORNECIMENTO E APLICAÇÃO DE CONCRETO USINADO FCK=40 MPA - CONSIDERANDO BOMBEAMENTO (5% DE PERDAS JÁ INCLUÍDO NO CUSTO) (6% DE TAXA P/CONCR. BOMBEAVEL)</v>
          </cell>
          <cell r="E419" t="str">
            <v>m3</v>
          </cell>
          <cell r="F419">
            <v>31.31</v>
          </cell>
          <cell r="G419">
            <v>0.29930000000000001</v>
          </cell>
          <cell r="H419">
            <v>413.38</v>
          </cell>
          <cell r="I419">
            <v>537.10463400000003</v>
          </cell>
          <cell r="J419">
            <v>16816.75</v>
          </cell>
        </row>
        <row r="420">
          <cell r="B420" t="str">
            <v>COMP15</v>
          </cell>
          <cell r="C420" t="str">
            <v>4.4.3.11</v>
          </cell>
          <cell r="D420" t="str">
            <v>Apoio náutico para a execução da concretagem de camisas metálicas</v>
          </cell>
          <cell r="E420" t="str">
            <v>m³</v>
          </cell>
          <cell r="F420">
            <v>31.31</v>
          </cell>
          <cell r="G420">
            <v>0.29930000000000001</v>
          </cell>
          <cell r="H420">
            <v>90.12</v>
          </cell>
          <cell r="I420">
            <v>117.09291600000002</v>
          </cell>
          <cell r="J420">
            <v>3666.18</v>
          </cell>
        </row>
        <row r="421">
          <cell r="B421" t="str">
            <v>COMP25</v>
          </cell>
          <cell r="C421" t="str">
            <v>4.4.3.12</v>
          </cell>
          <cell r="D421" t="str">
            <v>Arrasamento de camisa metálica com espessura de 8 mm D = 700 mm</v>
          </cell>
          <cell r="E421" t="str">
            <v>un</v>
          </cell>
          <cell r="F421">
            <v>4</v>
          </cell>
          <cell r="G421">
            <v>0.29930000000000001</v>
          </cell>
          <cell r="H421">
            <v>1.38</v>
          </cell>
          <cell r="I421">
            <v>1.793034</v>
          </cell>
          <cell r="J421">
            <v>7.17</v>
          </cell>
        </row>
        <row r="422">
          <cell r="B422" t="str">
            <v>COMP34</v>
          </cell>
          <cell r="C422" t="str">
            <v>4.4.3.13</v>
          </cell>
          <cell r="D422" t="str">
            <v>Tubo de travamento de 12,5 mm D = 500 mm L = 2,75 m - fornecimento e instalação</v>
          </cell>
          <cell r="E422" t="str">
            <v>un</v>
          </cell>
          <cell r="F422">
            <v>2</v>
          </cell>
          <cell r="G422">
            <v>0.29930000000000001</v>
          </cell>
          <cell r="H422">
            <v>4927.21</v>
          </cell>
          <cell r="I422">
            <v>6401.9239530000004</v>
          </cell>
          <cell r="J422">
            <v>12803.85</v>
          </cell>
        </row>
        <row r="423">
          <cell r="B423" t="str">
            <v>190418</v>
          </cell>
          <cell r="C423" t="str">
            <v>4.4.3.14</v>
          </cell>
          <cell r="D423" t="str">
            <v>Pintura de superfície metálica com uma demão de primer Epoxi e duas demãos de tinta à base de Epoxi</v>
          </cell>
          <cell r="E423" t="str">
            <v>m2</v>
          </cell>
          <cell r="F423">
            <v>36.71</v>
          </cell>
          <cell r="G423">
            <v>0.29930000000000001</v>
          </cell>
          <cell r="H423">
            <v>28.11</v>
          </cell>
          <cell r="I423">
            <v>36.523323000000005</v>
          </cell>
          <cell r="J423">
            <v>1340.77</v>
          </cell>
        </row>
        <row r="424">
          <cell r="B424" t="str">
            <v/>
          </cell>
          <cell r="C424" t="str">
            <v>4.4.4</v>
          </cell>
          <cell r="D424" t="str">
            <v>DEMAIS ITENS</v>
          </cell>
          <cell r="I424" t="str">
            <v/>
          </cell>
          <cell r="J424">
            <v>9655.66</v>
          </cell>
        </row>
        <row r="425">
          <cell r="B425" t="str">
            <v>COMP27</v>
          </cell>
          <cell r="C425" t="str">
            <v>4.4.4.1</v>
          </cell>
          <cell r="D425" t="str">
            <v>Guarda corpo de tubo de ferro galvanizado, diâm. 2" e 1/2", h= 1,1 m inclusive pintura a óleo ou esmalte</v>
          </cell>
          <cell r="E425" t="str">
            <v>m</v>
          </cell>
          <cell r="F425">
            <v>23.86</v>
          </cell>
          <cell r="G425">
            <v>0.29930000000000001</v>
          </cell>
          <cell r="H425">
            <v>311.45999999999998</v>
          </cell>
          <cell r="I425">
            <v>404.67997800000001</v>
          </cell>
          <cell r="J425">
            <v>9655.66</v>
          </cell>
        </row>
        <row r="426">
          <cell r="B426" t="str">
            <v/>
          </cell>
          <cell r="C426" t="str">
            <v>4.5</v>
          </cell>
          <cell r="D426" t="str">
            <v>PASSARELA DE ACESSO</v>
          </cell>
          <cell r="I426" t="str">
            <v/>
          </cell>
          <cell r="J426">
            <v>473136.67000000004</v>
          </cell>
        </row>
        <row r="427">
          <cell r="B427" t="str">
            <v/>
          </cell>
          <cell r="C427" t="str">
            <v>4.5.1</v>
          </cell>
          <cell r="D427" t="str">
            <v>PASSARELA DE ACESSO</v>
          </cell>
          <cell r="I427" t="str">
            <v/>
          </cell>
          <cell r="J427">
            <v>473136.67000000004</v>
          </cell>
        </row>
        <row r="428">
          <cell r="B428" t="str">
            <v>COMP22</v>
          </cell>
          <cell r="C428" t="str">
            <v>4.5.1.1</v>
          </cell>
          <cell r="D428" t="str">
            <v>Passarela metálica conforme especificações de projeto - fornecimento e instalação</v>
          </cell>
          <cell r="E428" t="str">
            <v>und</v>
          </cell>
          <cell r="F428">
            <v>1</v>
          </cell>
          <cell r="G428">
            <v>0.15570000000000001</v>
          </cell>
          <cell r="H428">
            <v>391481.5</v>
          </cell>
          <cell r="I428">
            <v>452435.16954999999</v>
          </cell>
          <cell r="J428">
            <v>452435.17</v>
          </cell>
        </row>
        <row r="429">
          <cell r="B429" t="str">
            <v>COMP42</v>
          </cell>
          <cell r="C429" t="str">
            <v>4.5.1.2</v>
          </cell>
          <cell r="D429" t="str">
            <v>Içamento de passarela metálica para flutuante de apoio</v>
          </cell>
          <cell r="E429" t="str">
            <v>und</v>
          </cell>
          <cell r="F429">
            <v>1</v>
          </cell>
          <cell r="G429">
            <v>0.29930000000000001</v>
          </cell>
          <cell r="H429">
            <v>3241.96</v>
          </cell>
          <cell r="I429">
            <v>4212.278628</v>
          </cell>
          <cell r="J429">
            <v>4212.28</v>
          </cell>
        </row>
        <row r="430">
          <cell r="B430" t="str">
            <v>COMP44</v>
          </cell>
          <cell r="C430" t="str">
            <v>4.5.1.3</v>
          </cell>
          <cell r="D430" t="str">
            <v>Transporte de passarela via água, efetuado com flutuante e rebocador (Trajeto Praça do Papa - Centro de Vitória)</v>
          </cell>
          <cell r="E430" t="str">
            <v>un</v>
          </cell>
          <cell r="F430">
            <v>1</v>
          </cell>
          <cell r="G430">
            <v>0.29930000000000001</v>
          </cell>
          <cell r="H430">
            <v>802.66</v>
          </cell>
          <cell r="I430">
            <v>1042.8961380000001</v>
          </cell>
          <cell r="J430">
            <v>1042.9000000000001</v>
          </cell>
        </row>
        <row r="431">
          <cell r="B431" t="str">
            <v>COMP7</v>
          </cell>
          <cell r="C431" t="str">
            <v>4.5.1.4</v>
          </cell>
          <cell r="D431" t="str">
            <v>Telha trapezoidal calandrada galvalume - inclusive fornecimento, instalação e pintura</v>
          </cell>
          <cell r="E431" t="str">
            <v>m²</v>
          </cell>
          <cell r="F431">
            <v>120.68</v>
          </cell>
          <cell r="G431">
            <v>0.29930000000000001</v>
          </cell>
          <cell r="H431">
            <v>98.51</v>
          </cell>
          <cell r="I431">
            <v>127.99404300000002</v>
          </cell>
          <cell r="J431">
            <v>15446.32</v>
          </cell>
        </row>
        <row r="432">
          <cell r="B432" t="str">
            <v/>
          </cell>
          <cell r="C432" t="str">
            <v>4.6</v>
          </cell>
          <cell r="D432" t="str">
            <v>INSTALAÇÕES ELÉTRICAS</v>
          </cell>
          <cell r="I432" t="str">
            <v/>
          </cell>
          <cell r="J432">
            <v>47928.09</v>
          </cell>
        </row>
        <row r="433">
          <cell r="B433" t="str">
            <v/>
          </cell>
          <cell r="C433" t="str">
            <v>4.6.1</v>
          </cell>
          <cell r="D433" t="str">
            <v>INSTALAÇÕES ELÉTRICAS</v>
          </cell>
          <cell r="I433" t="str">
            <v/>
          </cell>
          <cell r="J433">
            <v>44194.27</v>
          </cell>
        </row>
        <row r="434">
          <cell r="B434" t="str">
            <v>151701</v>
          </cell>
          <cell r="C434" t="str">
            <v>4.6.1.1</v>
          </cell>
          <cell r="D434" t="str">
            <v>Padrão de entrada de energia elétrica, monofásico, entrada aérea, a 2 fios, carga instalada em muro de 3500 até 9000W - 220/127V</v>
          </cell>
          <cell r="E434" t="str">
            <v>und</v>
          </cell>
          <cell r="F434">
            <v>1</v>
          </cell>
          <cell r="G434">
            <v>0.29930000000000001</v>
          </cell>
          <cell r="H434">
            <v>1284.71</v>
          </cell>
          <cell r="I434">
            <v>1669.2237030000001</v>
          </cell>
          <cell r="J434">
            <v>1669.22</v>
          </cell>
        </row>
        <row r="435">
          <cell r="B435" t="str">
            <v>150312</v>
          </cell>
          <cell r="C435" t="str">
            <v>4.6.1.2</v>
          </cell>
          <cell r="D435" t="str">
            <v>Quadro de distribuição de energia, de embutir, com 3 divisões modulares, sem barramento</v>
          </cell>
          <cell r="E435" t="str">
            <v>und</v>
          </cell>
          <cell r="F435">
            <v>1</v>
          </cell>
          <cell r="G435">
            <v>0.29930000000000001</v>
          </cell>
          <cell r="H435">
            <v>88.27</v>
          </cell>
          <cell r="I435">
            <v>114.689211</v>
          </cell>
          <cell r="J435">
            <v>114.69</v>
          </cell>
        </row>
        <row r="436">
          <cell r="B436" t="str">
            <v>150628</v>
          </cell>
          <cell r="C436" t="str">
            <v>4.6.1.3</v>
          </cell>
          <cell r="D436" t="str">
            <v>Caixa de embutir marca de referência Tigreflex, 4x2"</v>
          </cell>
          <cell r="E436" t="str">
            <v>und</v>
          </cell>
          <cell r="F436">
            <v>20</v>
          </cell>
          <cell r="G436">
            <v>0.29930000000000001</v>
          </cell>
          <cell r="H436">
            <v>6.35</v>
          </cell>
          <cell r="I436">
            <v>8.2505550000000003</v>
          </cell>
          <cell r="J436">
            <v>165.01</v>
          </cell>
        </row>
        <row r="437">
          <cell r="B437" t="str">
            <v>151417</v>
          </cell>
          <cell r="C437" t="str">
            <v>4.6.1.4</v>
          </cell>
          <cell r="D437" t="str">
            <v>Cabo de cobre termoplástico, com isolamento para 1000V, seção de 2.5 mm2</v>
          </cell>
          <cell r="E437" t="str">
            <v>m</v>
          </cell>
          <cell r="F437">
            <v>169.2</v>
          </cell>
          <cell r="G437">
            <v>0.29930000000000001</v>
          </cell>
          <cell r="H437">
            <v>4.9800000000000004</v>
          </cell>
          <cell r="I437">
            <v>6.4705140000000014</v>
          </cell>
          <cell r="J437">
            <v>1094.81</v>
          </cell>
        </row>
        <row r="438">
          <cell r="B438" t="str">
            <v>151418</v>
          </cell>
          <cell r="C438" t="str">
            <v>4.6.1.5</v>
          </cell>
          <cell r="D438" t="str">
            <v>Cabo de cobre termoplástico, com isolamento para 1000V, seção de 4.0 mm2</v>
          </cell>
          <cell r="E438" t="str">
            <v>m</v>
          </cell>
          <cell r="F438">
            <v>333.8</v>
          </cell>
          <cell r="G438">
            <v>0.29930000000000001</v>
          </cell>
          <cell r="H438">
            <v>5.74</v>
          </cell>
          <cell r="I438">
            <v>7.4579820000000012</v>
          </cell>
          <cell r="J438">
            <v>2489.4699999999998</v>
          </cell>
        </row>
        <row r="439">
          <cell r="B439" t="str">
            <v>151420</v>
          </cell>
          <cell r="C439" t="str">
            <v>4.6.1.6</v>
          </cell>
          <cell r="D439" t="str">
            <v>Cabo de cobre termoplástico, com isolamento para 1000V, seção de 10 mm2</v>
          </cell>
          <cell r="E439" t="str">
            <v>m</v>
          </cell>
          <cell r="F439">
            <v>60</v>
          </cell>
          <cell r="G439">
            <v>0.29930000000000001</v>
          </cell>
          <cell r="H439">
            <v>9.0399999999999991</v>
          </cell>
          <cell r="I439">
            <v>11.745672000000001</v>
          </cell>
          <cell r="J439">
            <v>704.74</v>
          </cell>
        </row>
        <row r="440">
          <cell r="B440" t="str">
            <v>151809</v>
          </cell>
          <cell r="C440" t="str">
            <v>4.6.1.7</v>
          </cell>
          <cell r="D440" t="str">
            <v>Ponto padrão de interruptor de 2 teclas simples - considerando eletroduto PVC rígido de 3/4" inclusive conexões (3.3m), fio isolado PVC de 2.5mm2 (17.2m) e caixa estampada 4x2" (1 und)</v>
          </cell>
          <cell r="E440" t="str">
            <v>und</v>
          </cell>
          <cell r="F440">
            <v>1</v>
          </cell>
          <cell r="G440">
            <v>0.29930000000000001</v>
          </cell>
          <cell r="H440">
            <v>127.68</v>
          </cell>
          <cell r="I440">
            <v>165.89462400000002</v>
          </cell>
          <cell r="J440">
            <v>165.89</v>
          </cell>
        </row>
        <row r="441">
          <cell r="B441" t="str">
            <v>151803</v>
          </cell>
          <cell r="C441" t="str">
            <v>4.6.1.8</v>
          </cell>
          <cell r="D441" t="str">
            <v>Ponto padrão de tomada 2 pólos mais terra - considerando eletroduto PVC rígido de 3/4" inclusive conexões (5.0m), fio isolado PVC de 2.5mm2 (16.5m) e caixa estampada 4x2" (1 und)</v>
          </cell>
          <cell r="E441" t="str">
            <v>und</v>
          </cell>
          <cell r="F441">
            <v>11</v>
          </cell>
          <cell r="G441">
            <v>0.29930000000000001</v>
          </cell>
          <cell r="H441">
            <v>145.30000000000001</v>
          </cell>
          <cell r="I441">
            <v>188.78829000000005</v>
          </cell>
          <cell r="J441">
            <v>2076.67</v>
          </cell>
        </row>
        <row r="442">
          <cell r="B442" t="str">
            <v>151338</v>
          </cell>
          <cell r="C442" t="str">
            <v>4.6.1.9</v>
          </cell>
          <cell r="D442" t="str">
            <v>Mini-Disjuntor monopolar 10 A, curva C - 5KA 220/127VCA (NBR IEC 60947-2), Ref. Siemens, GE, Schneider ou equivalente</v>
          </cell>
          <cell r="E442" t="str">
            <v>und</v>
          </cell>
          <cell r="F442">
            <v>1</v>
          </cell>
          <cell r="G442">
            <v>0.29930000000000001</v>
          </cell>
          <cell r="H442">
            <v>15.43</v>
          </cell>
          <cell r="I442">
            <v>20.048199</v>
          </cell>
          <cell r="J442">
            <v>20.05</v>
          </cell>
        </row>
        <row r="443">
          <cell r="B443" t="str">
            <v>151301</v>
          </cell>
          <cell r="C443" t="str">
            <v>4.6.1.10</v>
          </cell>
          <cell r="D443" t="str">
            <v>Mini-Disjuntor monopolar 16 A, curva C - 5KA 220/127VCA (NBR IEC 60947-2), Ref. Siemens, GE, Schneider ou equivalente</v>
          </cell>
          <cell r="E443" t="str">
            <v>und</v>
          </cell>
          <cell r="F443">
            <v>1</v>
          </cell>
          <cell r="G443">
            <v>0.29930000000000001</v>
          </cell>
          <cell r="H443">
            <v>15.43</v>
          </cell>
          <cell r="I443">
            <v>20.048199</v>
          </cell>
          <cell r="J443">
            <v>20.05</v>
          </cell>
        </row>
        <row r="444">
          <cell r="B444" t="str">
            <v>151303</v>
          </cell>
          <cell r="C444" t="str">
            <v>4.6.1.11</v>
          </cell>
          <cell r="D444" t="str">
            <v>Mini-Disjuntor monopolar 25 A, curva C - 5KA 220/127VCA (NBR IEC 60947-2), Ref. Siemens, GE, Schneider ou equivalente</v>
          </cell>
          <cell r="E444" t="str">
            <v>und</v>
          </cell>
          <cell r="F444">
            <v>1</v>
          </cell>
          <cell r="G444">
            <v>0.29930000000000001</v>
          </cell>
          <cell r="H444">
            <v>15.43</v>
          </cell>
          <cell r="I444">
            <v>20.048199</v>
          </cell>
          <cell r="J444">
            <v>20.05</v>
          </cell>
        </row>
        <row r="445">
          <cell r="B445" t="str">
            <v>151318</v>
          </cell>
          <cell r="C445" t="str">
            <v>4.6.1.12</v>
          </cell>
          <cell r="D445" t="str">
            <v>Mini-Disjuntor monopolar 63 A, curva C - 5KA 220/127VCA (NBR IEC 60947-2), Ref. Siemens, GE, Schneider ou equivalente</v>
          </cell>
          <cell r="E445" t="str">
            <v>und</v>
          </cell>
          <cell r="F445">
            <v>1</v>
          </cell>
          <cell r="G445">
            <v>0.29930000000000001</v>
          </cell>
          <cell r="H445">
            <v>19.25</v>
          </cell>
          <cell r="I445">
            <v>25.011525000000002</v>
          </cell>
          <cell r="J445">
            <v>25.01</v>
          </cell>
        </row>
        <row r="446">
          <cell r="B446" t="str">
            <v>151350</v>
          </cell>
          <cell r="C446" t="str">
            <v>4.6.1.13</v>
          </cell>
          <cell r="D446" t="str">
            <v>Interruptor Diferencial DR 16A a 25A, 30mA, 2 módulos</v>
          </cell>
          <cell r="E446" t="str">
            <v>und</v>
          </cell>
          <cell r="F446">
            <v>1</v>
          </cell>
          <cell r="G446">
            <v>0.29930000000000001</v>
          </cell>
          <cell r="H446">
            <v>113.14</v>
          </cell>
          <cell r="I446">
            <v>147.002802</v>
          </cell>
          <cell r="J446">
            <v>147</v>
          </cell>
        </row>
        <row r="447">
          <cell r="B447" t="str">
            <v>151132</v>
          </cell>
          <cell r="C447" t="str">
            <v>4.6.1.14</v>
          </cell>
          <cell r="D447" t="str">
            <v>Eletroduto flexível corrugado 3/4" , marca de referência TIGRE</v>
          </cell>
          <cell r="E447" t="str">
            <v>m</v>
          </cell>
          <cell r="F447">
            <v>78.400000000000006</v>
          </cell>
          <cell r="G447">
            <v>0.29930000000000001</v>
          </cell>
          <cell r="H447">
            <v>6.38</v>
          </cell>
          <cell r="I447">
            <v>8.2895340000000015</v>
          </cell>
          <cell r="J447">
            <v>649.9</v>
          </cell>
        </row>
        <row r="448">
          <cell r="B448" t="str">
            <v>150801</v>
          </cell>
          <cell r="C448" t="str">
            <v>4.6.1.15</v>
          </cell>
          <cell r="D448" t="str">
            <v>Eletroduto aparente de PVC rígido roscável diâmetro 3/4", inclusive abraçadeira de fixação</v>
          </cell>
          <cell r="E448" t="str">
            <v>m</v>
          </cell>
          <cell r="F448">
            <v>70</v>
          </cell>
          <cell r="G448">
            <v>0.29930000000000001</v>
          </cell>
          <cell r="H448">
            <v>10.77</v>
          </cell>
          <cell r="I448">
            <v>13.993461</v>
          </cell>
          <cell r="J448">
            <v>979.54</v>
          </cell>
        </row>
        <row r="449">
          <cell r="B449" t="str">
            <v>180110</v>
          </cell>
          <cell r="C449" t="str">
            <v>4.6.1.16</v>
          </cell>
          <cell r="D449" t="str">
            <v>Arandela com lâmpada incandescente de 100W</v>
          </cell>
          <cell r="E449" t="str">
            <v>und</v>
          </cell>
          <cell r="F449">
            <v>5</v>
          </cell>
          <cell r="G449">
            <v>0.29930000000000001</v>
          </cell>
          <cell r="H449">
            <v>90.28</v>
          </cell>
          <cell r="I449">
            <v>117.30080400000001</v>
          </cell>
          <cell r="J449">
            <v>586.5</v>
          </cell>
        </row>
        <row r="450">
          <cell r="B450" t="str">
            <v>COMP21</v>
          </cell>
          <cell r="C450" t="str">
            <v>4.6.1.17</v>
          </cell>
          <cell r="D450" t="str">
            <v>Instalação e fornecimento de luminária High Bay LED 100W</v>
          </cell>
          <cell r="E450" t="str">
            <v>un</v>
          </cell>
          <cell r="F450">
            <v>20</v>
          </cell>
          <cell r="G450">
            <v>0.29930000000000001</v>
          </cell>
          <cell r="H450">
            <v>308.23</v>
          </cell>
          <cell r="I450">
            <v>400.48323900000008</v>
          </cell>
          <cell r="J450">
            <v>8009.66</v>
          </cell>
        </row>
        <row r="451">
          <cell r="B451" t="str">
            <v>COMP14</v>
          </cell>
          <cell r="C451" t="str">
            <v>4.6.1.18</v>
          </cell>
          <cell r="D451" t="str">
            <v xml:space="preserve">Fornecimento e instalação de lanterna de sinalização náutica com alcance luminoso de 2 MN </v>
          </cell>
          <cell r="E451" t="str">
            <v>un</v>
          </cell>
          <cell r="F451">
            <v>2</v>
          </cell>
          <cell r="G451">
            <v>0.29930000000000001</v>
          </cell>
          <cell r="H451">
            <v>4232.34</v>
          </cell>
          <cell r="I451">
            <v>5499.0793620000004</v>
          </cell>
          <cell r="J451">
            <v>10998.16</v>
          </cell>
        </row>
        <row r="452">
          <cell r="B452" t="str">
            <v>COT11</v>
          </cell>
          <cell r="C452" t="str">
            <v>4.6.1.19</v>
          </cell>
          <cell r="D452" t="str">
            <v>SISTEMA ON-GRID COM 8x PAINEL SOLAR 325 WP (2 m x 1m) OU EQUIVALENTE - FORNECIMENTO E INSTALAÇÃO</v>
          </cell>
          <cell r="E452" t="str">
            <v>UND</v>
          </cell>
          <cell r="F452">
            <v>1</v>
          </cell>
          <cell r="G452">
            <v>0.15570000000000001</v>
          </cell>
          <cell r="H452">
            <v>12336.985608806206</v>
          </cell>
          <cell r="I452">
            <v>14257.854268097331</v>
          </cell>
          <cell r="J452">
            <v>14257.85</v>
          </cell>
        </row>
        <row r="453">
          <cell r="B453" t="str">
            <v/>
          </cell>
          <cell r="C453" t="str">
            <v>4.6.2</v>
          </cell>
          <cell r="D453" t="str">
            <v>ATERRAMENTO</v>
          </cell>
          <cell r="I453" t="str">
            <v/>
          </cell>
          <cell r="J453">
            <v>3733.82</v>
          </cell>
        </row>
        <row r="454">
          <cell r="B454" t="str">
            <v>150610</v>
          </cell>
          <cell r="C454" t="str">
            <v>4.6.2.1</v>
          </cell>
          <cell r="D454" t="str">
            <v>Caixa de aterramento de concreto simples, nas dimensões de 30x30x25cm, com revest. int. em chapisco e reboco, tampa de concreto esp.5cm e lastro de brita esp. 5 cm, incl. haste 5/8"x2400mm</v>
          </cell>
          <cell r="E454" t="str">
            <v>und</v>
          </cell>
          <cell r="F454">
            <v>4</v>
          </cell>
          <cell r="G454">
            <v>0.29930000000000001</v>
          </cell>
          <cell r="H454">
            <v>160.28</v>
          </cell>
          <cell r="I454">
            <v>208.25180400000002</v>
          </cell>
          <cell r="J454">
            <v>833.01</v>
          </cell>
        </row>
        <row r="455">
          <cell r="B455" t="str">
            <v>160324</v>
          </cell>
          <cell r="C455" t="str">
            <v>4.6.2.2</v>
          </cell>
          <cell r="D455" t="str">
            <v>Caixa de equalização de potenciais para uso interno e externo com cinco (5) terminais para aterramento (BEP), em polipropileno, ref. TEL-902, marca de referência Termotécnica ou equivalente</v>
          </cell>
          <cell r="E455" t="str">
            <v>und</v>
          </cell>
          <cell r="F455">
            <v>1</v>
          </cell>
          <cell r="G455">
            <v>0.29930000000000001</v>
          </cell>
          <cell r="H455">
            <v>170.01</v>
          </cell>
          <cell r="I455">
            <v>220.89399299999999</v>
          </cell>
          <cell r="J455">
            <v>220.89</v>
          </cell>
        </row>
        <row r="456">
          <cell r="B456" t="str">
            <v>160317</v>
          </cell>
          <cell r="C456" t="str">
            <v>4.6.2.3</v>
          </cell>
          <cell r="D456" t="str">
            <v>Cabo de cobre nú 50mm2, ref. TEL 5750, marca de referência Termotécnica ou equivalente</v>
          </cell>
          <cell r="E456" t="str">
            <v>m</v>
          </cell>
          <cell r="F456">
            <v>70.900000000000006</v>
          </cell>
          <cell r="G456">
            <v>0.29930000000000001</v>
          </cell>
          <cell r="H456">
            <v>28.38</v>
          </cell>
          <cell r="I456">
            <v>36.874134000000005</v>
          </cell>
          <cell r="J456">
            <v>2614.38</v>
          </cell>
        </row>
        <row r="457">
          <cell r="B457" t="str">
            <v>160334</v>
          </cell>
          <cell r="C457" t="str">
            <v>4.6.2.4</v>
          </cell>
          <cell r="D457" t="str">
            <v>Terminal estanhado de 1 compressão 1 furo, 50mm², ref. TEL-5150, marca de referência Termotécnica ou equivalente</v>
          </cell>
          <cell r="E457" t="str">
            <v>und</v>
          </cell>
          <cell r="F457">
            <v>2</v>
          </cell>
          <cell r="G457">
            <v>0.29930000000000001</v>
          </cell>
          <cell r="H457">
            <v>25.22</v>
          </cell>
          <cell r="I457">
            <v>32.768346000000001</v>
          </cell>
          <cell r="J457">
            <v>65.540000000000006</v>
          </cell>
        </row>
        <row r="458">
          <cell r="C458" t="str">
            <v>4.7</v>
          </cell>
          <cell r="D458" t="str">
            <v>PREVENTIVO CONTRA INCÊNDIO</v>
          </cell>
          <cell r="J458">
            <v>2693.13</v>
          </cell>
        </row>
        <row r="459">
          <cell r="C459" t="str">
            <v>4.7.1</v>
          </cell>
          <cell r="D459" t="str">
            <v>PREVENTIVO CONTRA INCÊNDIO</v>
          </cell>
          <cell r="J459">
            <v>2693.13</v>
          </cell>
        </row>
        <row r="460">
          <cell r="B460" t="str">
            <v>160612</v>
          </cell>
          <cell r="C460" t="str">
            <v>4.7.1.1</v>
          </cell>
          <cell r="D460" t="str">
            <v>Placa de sinalização de segurança CODIGO 14 - 315/158(NBR 13.434); CÓDIGO S3(NT 14/2010-ES) ("SAIDA DE EMERGÊNCIA" - seta vertical)</v>
          </cell>
          <cell r="E460" t="str">
            <v>und</v>
          </cell>
          <cell r="F460">
            <v>2</v>
          </cell>
          <cell r="G460">
            <v>0.29930000000000001</v>
          </cell>
          <cell r="H460">
            <v>25.48</v>
          </cell>
          <cell r="I460">
            <v>33.106164000000007</v>
          </cell>
          <cell r="J460">
            <v>66.209999999999994</v>
          </cell>
        </row>
        <row r="461">
          <cell r="B461" t="str">
            <v>160608</v>
          </cell>
          <cell r="C461" t="str">
            <v>4.7.1.2</v>
          </cell>
          <cell r="D461" t="str">
            <v>Ponto para seta indicativa de saída, incl. seta em acrílico, com fonte alimentadora própria que assegure um funcionamento mínimo de 1h, para quando ocorrer falta de energia elétrica na rede pública, conforme projeto</v>
          </cell>
          <cell r="E461" t="str">
            <v>und</v>
          </cell>
          <cell r="F461">
            <v>3</v>
          </cell>
          <cell r="G461">
            <v>0.29930000000000001</v>
          </cell>
          <cell r="H461">
            <v>272.64999999999998</v>
          </cell>
          <cell r="I461">
            <v>354.25414499999999</v>
          </cell>
          <cell r="J461">
            <v>1062.76</v>
          </cell>
        </row>
        <row r="462">
          <cell r="B462" t="str">
            <v>160613</v>
          </cell>
          <cell r="C462" t="str">
            <v>4.7.1.3</v>
          </cell>
          <cell r="D462" t="str">
            <v>Ponto para iluminação de emergência completo, inclusive bloco autônomo de iluminação 2x9W com tomada universal</v>
          </cell>
          <cell r="E462" t="str">
            <v>und</v>
          </cell>
          <cell r="F462">
            <v>4</v>
          </cell>
          <cell r="G462">
            <v>0.29930000000000001</v>
          </cell>
          <cell r="H462">
            <v>167.92</v>
          </cell>
          <cell r="I462">
            <v>218.17845600000001</v>
          </cell>
          <cell r="J462">
            <v>872.71</v>
          </cell>
        </row>
        <row r="463">
          <cell r="B463" t="str">
            <v>160607</v>
          </cell>
          <cell r="C463" t="str">
            <v>4.7.1.4</v>
          </cell>
          <cell r="D463" t="str">
            <v>Extintor de incêndio portátil de pó químico ABC com capacidade 2A-20B:C (4 kg), inclusive suporte para fixação, EXCLUSIVE placa sinalizadora em PVC fotoluminescente</v>
          </cell>
          <cell r="E463" t="str">
            <v>und</v>
          </cell>
          <cell r="F463">
            <v>3</v>
          </cell>
          <cell r="G463">
            <v>0.29930000000000001</v>
          </cell>
          <cell r="H463">
            <v>151.79</v>
          </cell>
          <cell r="I463">
            <v>197.22074700000002</v>
          </cell>
          <cell r="J463">
            <v>591.66</v>
          </cell>
        </row>
        <row r="464">
          <cell r="B464" t="str">
            <v>190605</v>
          </cell>
          <cell r="C464" t="str">
            <v>4.7.1.5</v>
          </cell>
          <cell r="D464" t="str">
            <v>Aplicação de tinta epóxi de alta espessura semibrilhante sobre piso de concreto a três demãos, inclusive selador epóxi a uma demão - Ref. Intergard 2005 e 2001 - Internacional ou equivalente</v>
          </cell>
          <cell r="E464" t="str">
            <v>m2</v>
          </cell>
          <cell r="F464">
            <v>1.8</v>
          </cell>
          <cell r="G464">
            <v>0.29930000000000001</v>
          </cell>
          <cell r="H464">
            <v>42.67</v>
          </cell>
          <cell r="I464">
            <v>55.441131000000006</v>
          </cell>
          <cell r="J464">
            <v>99.79</v>
          </cell>
        </row>
        <row r="465">
          <cell r="B465" t="str">
            <v/>
          </cell>
          <cell r="C465">
            <v>5</v>
          </cell>
          <cell r="D465" t="str">
            <v>PRAINHA DE VILA VELHA</v>
          </cell>
          <cell r="J465">
            <v>1678973.18</v>
          </cell>
        </row>
        <row r="466">
          <cell r="B466" t="str">
            <v/>
          </cell>
          <cell r="C466" t="str">
            <v>5.1</v>
          </cell>
          <cell r="D466" t="str">
            <v>SERVIÇOS PRELIMINARES</v>
          </cell>
          <cell r="J466">
            <v>4533.92</v>
          </cell>
        </row>
        <row r="467">
          <cell r="B467" t="str">
            <v/>
          </cell>
          <cell r="C467" t="str">
            <v>5.1.1</v>
          </cell>
          <cell r="D467" t="str">
            <v>PLACA DE OBRA</v>
          </cell>
          <cell r="I467" t="str">
            <v/>
          </cell>
          <cell r="J467">
            <v>1970.88</v>
          </cell>
        </row>
        <row r="468">
          <cell r="B468" t="str">
            <v>020305</v>
          </cell>
          <cell r="C468" t="str">
            <v>5.1.1.1</v>
          </cell>
          <cell r="D468" t="str">
            <v>Placa de obra nas dimensões de 2.0 x 4.0 m, padrão IOPES</v>
          </cell>
          <cell r="E468" t="str">
            <v>m2</v>
          </cell>
          <cell r="F468">
            <v>8</v>
          </cell>
          <cell r="G468">
            <v>0.29930000000000001</v>
          </cell>
          <cell r="H468">
            <v>189.61</v>
          </cell>
          <cell r="I468">
            <v>246.36027300000003</v>
          </cell>
          <cell r="J468">
            <v>1970.88</v>
          </cell>
        </row>
        <row r="469">
          <cell r="B469" t="str">
            <v/>
          </cell>
          <cell r="C469" t="str">
            <v>5.1.2</v>
          </cell>
          <cell r="D469" t="str">
            <v>PREPARO DO TERRENO</v>
          </cell>
          <cell r="I469" t="str">
            <v/>
          </cell>
          <cell r="J469">
            <v>2563.04</v>
          </cell>
        </row>
        <row r="470">
          <cell r="B470" t="str">
            <v>010402</v>
          </cell>
          <cell r="C470" t="str">
            <v>5.1.2.1</v>
          </cell>
          <cell r="D470" t="str">
            <v>Raspagem e limpeza do terreno (manual)</v>
          </cell>
          <cell r="E470" t="str">
            <v>m2</v>
          </cell>
          <cell r="F470">
            <v>180.88</v>
          </cell>
          <cell r="G470">
            <v>0.29930000000000001</v>
          </cell>
          <cell r="H470">
            <v>3.18</v>
          </cell>
          <cell r="I470">
            <v>4.1317740000000009</v>
          </cell>
          <cell r="J470">
            <v>747.36</v>
          </cell>
        </row>
        <row r="471">
          <cell r="B471" t="str">
            <v>010404</v>
          </cell>
          <cell r="C471" t="str">
            <v>5.1.2.2</v>
          </cell>
          <cell r="D471" t="str">
            <v>Corte e destocamento de árvores com diâmetro superior a 30 cm</v>
          </cell>
          <cell r="E471" t="str">
            <v>und</v>
          </cell>
          <cell r="F471">
            <v>1</v>
          </cell>
          <cell r="G471">
            <v>0.29930000000000001</v>
          </cell>
          <cell r="H471">
            <v>94.82</v>
          </cell>
          <cell r="I471">
            <v>123.19962600000001</v>
          </cell>
          <cell r="J471">
            <v>123.2</v>
          </cell>
        </row>
        <row r="472">
          <cell r="B472" t="str">
            <v>030304</v>
          </cell>
          <cell r="C472" t="str">
            <v>5.1.2.3</v>
          </cell>
          <cell r="D472" t="str">
            <v>Índice de preço para remoção de entulho decorrente da execução de obras (Classe A CONAMA - NBR 10.004 - Classe II-B), incluindo aluguel da caçamba, carga, transporte e descarga em área licenciada</v>
          </cell>
          <cell r="E472" t="str">
            <v>m3</v>
          </cell>
          <cell r="F472">
            <v>27.131999999999998</v>
          </cell>
          <cell r="G472">
            <v>0.29930000000000001</v>
          </cell>
          <cell r="H472">
            <v>48.01</v>
          </cell>
          <cell r="I472">
            <v>62.379393</v>
          </cell>
          <cell r="J472">
            <v>1692.48</v>
          </cell>
        </row>
        <row r="473">
          <cell r="B473" t="str">
            <v/>
          </cell>
          <cell r="C473" t="str">
            <v>5.2</v>
          </cell>
          <cell r="D473" t="str">
            <v>TERRAPLENAGEM</v>
          </cell>
          <cell r="I473" t="str">
            <v/>
          </cell>
          <cell r="J473">
            <v>10386.32</v>
          </cell>
        </row>
        <row r="474">
          <cell r="B474" t="str">
            <v/>
          </cell>
          <cell r="C474" t="str">
            <v>5.2.1</v>
          </cell>
          <cell r="D474" t="str">
            <v>MOVIMENTOS DE TERRA</v>
          </cell>
          <cell r="I474" t="str">
            <v/>
          </cell>
          <cell r="J474">
            <v>10386.32</v>
          </cell>
        </row>
        <row r="475">
          <cell r="B475" t="str">
            <v>030103</v>
          </cell>
          <cell r="C475" t="str">
            <v>5.2.1.1</v>
          </cell>
          <cell r="D475" t="str">
            <v>Escavação mecânica em material de 1a. categoria</v>
          </cell>
          <cell r="E475" t="str">
            <v>m3</v>
          </cell>
          <cell r="F475">
            <v>0.88</v>
          </cell>
          <cell r="G475">
            <v>0.29930000000000001</v>
          </cell>
          <cell r="H475">
            <v>8.34</v>
          </cell>
          <cell r="I475">
            <v>10.836162000000002</v>
          </cell>
          <cell r="J475">
            <v>9.5399999999999991</v>
          </cell>
        </row>
        <row r="476">
          <cell r="B476" t="str">
            <v>030210</v>
          </cell>
          <cell r="C476" t="str">
            <v>5.2.1.2</v>
          </cell>
          <cell r="D476" t="str">
            <v>Aterro compactado utilizando compactador de placa vibratória com reaproveitamento do material</v>
          </cell>
          <cell r="E476" t="str">
            <v>m3</v>
          </cell>
          <cell r="F476">
            <v>0.88</v>
          </cell>
          <cell r="G476">
            <v>0.29930000000000001</v>
          </cell>
          <cell r="H476">
            <v>22.1</v>
          </cell>
          <cell r="I476">
            <v>28.714530000000003</v>
          </cell>
          <cell r="J476">
            <v>25.27</v>
          </cell>
        </row>
        <row r="477">
          <cell r="B477" t="str">
            <v>030208</v>
          </cell>
          <cell r="C477" t="str">
            <v>5.2.1.3</v>
          </cell>
          <cell r="D477" t="str">
            <v>Aterro manual para regularização do terreno em argila, inclusive adensamento manual e fornecimento do material (máximo de 100m3)</v>
          </cell>
          <cell r="E477" t="str">
            <v>m3</v>
          </cell>
          <cell r="F477">
            <v>80.989999999999995</v>
          </cell>
          <cell r="G477">
            <v>0.29930000000000001</v>
          </cell>
          <cell r="H477">
            <v>98.37</v>
          </cell>
          <cell r="I477">
            <v>127.81214100000001</v>
          </cell>
          <cell r="J477">
            <v>10351.51</v>
          </cell>
        </row>
        <row r="478">
          <cell r="B478" t="str">
            <v/>
          </cell>
          <cell r="C478" t="str">
            <v>5.3</v>
          </cell>
          <cell r="D478" t="str">
            <v>SALA DE ESPERA</v>
          </cell>
          <cell r="I478" t="str">
            <v/>
          </cell>
          <cell r="J478">
            <v>403617.52</v>
          </cell>
        </row>
        <row r="479">
          <cell r="B479" t="str">
            <v/>
          </cell>
          <cell r="C479" t="str">
            <v>5.3.1</v>
          </cell>
          <cell r="D479" t="str">
            <v>LOCAÇÃO DA OBRA</v>
          </cell>
          <cell r="I479" t="str">
            <v/>
          </cell>
          <cell r="J479">
            <v>1537.01</v>
          </cell>
        </row>
        <row r="480">
          <cell r="B480" t="str">
            <v>010501</v>
          </cell>
          <cell r="C480" t="str">
            <v>5.3.1.1</v>
          </cell>
          <cell r="D480" t="str">
            <v>Locação de obra com gabarito de madeira</v>
          </cell>
          <cell r="E480" t="str">
            <v>m2</v>
          </cell>
          <cell r="F480">
            <v>180.88</v>
          </cell>
          <cell r="G480">
            <v>0.29930000000000001</v>
          </cell>
          <cell r="H480">
            <v>6.54</v>
          </cell>
          <cell r="I480">
            <v>8.4974220000000003</v>
          </cell>
          <cell r="J480">
            <v>1537.01</v>
          </cell>
        </row>
        <row r="481">
          <cell r="B481" t="str">
            <v/>
          </cell>
          <cell r="C481" t="str">
            <v>5.3.2</v>
          </cell>
          <cell r="D481" t="str">
            <v>INFRAESTRUTURA</v>
          </cell>
          <cell r="I481" t="str">
            <v/>
          </cell>
          <cell r="J481">
            <v>143694.78</v>
          </cell>
        </row>
        <row r="482">
          <cell r="B482" t="str">
            <v>COT14</v>
          </cell>
          <cell r="C482" t="str">
            <v>5.3.2.1</v>
          </cell>
          <cell r="D482" t="str">
            <v>SONDAGEM A PERCUSSÃO COM ENSAIO SPT - INCLUSIVE MOBILIZAÇÃO E DESMOBILIZAÇÃO DE EQUIPAMENTO</v>
          </cell>
          <cell r="E482" t="str">
            <v>M</v>
          </cell>
          <cell r="F482">
            <v>85</v>
          </cell>
          <cell r="G482">
            <v>0.15570000000000001</v>
          </cell>
          <cell r="H482">
            <v>442.63932517729501</v>
          </cell>
          <cell r="I482">
            <v>511.55826810739984</v>
          </cell>
          <cell r="J482">
            <v>43482.45</v>
          </cell>
        </row>
        <row r="483">
          <cell r="B483" t="str">
            <v>COMP4</v>
          </cell>
          <cell r="C483" t="str">
            <v>5.3.2.2</v>
          </cell>
          <cell r="D483" t="str">
            <v>Estaca hélice contínua - confecção</v>
          </cell>
          <cell r="E483" t="str">
            <v>m³</v>
          </cell>
          <cell r="F483">
            <v>36.829676076196542</v>
          </cell>
          <cell r="G483">
            <v>0.29930000000000001</v>
          </cell>
          <cell r="H483">
            <v>507.15</v>
          </cell>
          <cell r="I483">
            <v>658.93999500000007</v>
          </cell>
          <cell r="J483">
            <v>24268.55</v>
          </cell>
        </row>
        <row r="484">
          <cell r="B484" t="str">
            <v>COMP23</v>
          </cell>
          <cell r="C484" t="str">
            <v>5.3.2.3</v>
          </cell>
          <cell r="D484" t="str">
            <v>Corte e dobra de aço CA-50, diâmetro de 6,3 mm, utilizado em estribo contínuo helicoidal</v>
          </cell>
          <cell r="E484" t="str">
            <v>kg</v>
          </cell>
          <cell r="F484">
            <v>528</v>
          </cell>
          <cell r="G484">
            <v>0.29930000000000001</v>
          </cell>
          <cell r="H484">
            <v>4.0999999999999996</v>
          </cell>
          <cell r="I484">
            <v>5.3271300000000004</v>
          </cell>
          <cell r="J484">
            <v>2812.72</v>
          </cell>
        </row>
        <row r="485">
          <cell r="B485" t="str">
            <v>COMP24</v>
          </cell>
          <cell r="C485" t="str">
            <v>5.3.2.4</v>
          </cell>
          <cell r="D485" t="str">
            <v>Montagem de armadura longitudinal/transversal de estacas de seção circular, diâmetro = 12,5 mm.</v>
          </cell>
          <cell r="E485" t="str">
            <v>kg</v>
          </cell>
          <cell r="F485">
            <v>4554</v>
          </cell>
          <cell r="G485">
            <v>0.29930000000000001</v>
          </cell>
          <cell r="H485">
            <v>5.2</v>
          </cell>
          <cell r="I485">
            <v>6.7563600000000008</v>
          </cell>
          <cell r="J485">
            <v>30768.46</v>
          </cell>
        </row>
        <row r="486">
          <cell r="B486" t="str">
            <v>030101</v>
          </cell>
          <cell r="C486" t="str">
            <v>5.3.2.5</v>
          </cell>
          <cell r="D486" t="str">
            <v>Escavação manual em material de 1a. categoria, até 1.50 m de profundidade</v>
          </cell>
          <cell r="E486" t="str">
            <v>m3</v>
          </cell>
          <cell r="F486">
            <v>5.8</v>
          </cell>
          <cell r="G486">
            <v>0.29930000000000001</v>
          </cell>
          <cell r="H486">
            <v>41.31</v>
          </cell>
          <cell r="I486">
            <v>53.67408300000001</v>
          </cell>
          <cell r="J486">
            <v>311.31</v>
          </cell>
        </row>
        <row r="487">
          <cell r="B487" t="str">
            <v>040339</v>
          </cell>
          <cell r="C487" t="str">
            <v>5.3.2.6</v>
          </cell>
          <cell r="D487" t="str">
            <v>Forma de chapas madeira compensada resinada, esp. 12mm, levando-se em conta a utilização 3 vezes, reforçadas com sarrafos de madeira de 2.5 x 10.0cm (incl material, corte, montagem, escoras em eucalipto e desforma)</v>
          </cell>
          <cell r="E487" t="str">
            <v>m2</v>
          </cell>
          <cell r="F487">
            <v>122.6</v>
          </cell>
          <cell r="G487">
            <v>0.29930000000000001</v>
          </cell>
          <cell r="H487">
            <v>77.42</v>
          </cell>
          <cell r="I487">
            <v>100.59180600000001</v>
          </cell>
          <cell r="J487">
            <v>12332.56</v>
          </cell>
        </row>
        <row r="488">
          <cell r="B488" t="str">
            <v>040328</v>
          </cell>
          <cell r="C488" t="str">
            <v>5.3.2.7</v>
          </cell>
          <cell r="D488" t="str">
            <v>Fornecimento, dobragem e colocação em fôrma, de armadura CA-50 A média, diâmetro de 6.3 a 10.0 mm</v>
          </cell>
          <cell r="E488" t="str">
            <v>kg</v>
          </cell>
          <cell r="F488">
            <v>584</v>
          </cell>
          <cell r="G488">
            <v>0.29930000000000001</v>
          </cell>
          <cell r="H488">
            <v>6.78</v>
          </cell>
          <cell r="I488">
            <v>8.809254000000001</v>
          </cell>
          <cell r="J488">
            <v>5144.6000000000004</v>
          </cell>
        </row>
        <row r="489">
          <cell r="B489" t="str">
            <v>040245</v>
          </cell>
          <cell r="C489" t="str">
            <v>5.3.2.8</v>
          </cell>
          <cell r="D489" t="str">
            <v>Fornecimento, dobragem e colocação em fôrma, de armadura CA-50 A grossa diâmetro de 12.5 a 25.0 mm (1/2 a 1")</v>
          </cell>
          <cell r="E489" t="str">
            <v>kg</v>
          </cell>
          <cell r="F489">
            <v>144</v>
          </cell>
          <cell r="G489">
            <v>0.29930000000000001</v>
          </cell>
          <cell r="H489">
            <v>7.15</v>
          </cell>
          <cell r="I489">
            <v>9.2899950000000011</v>
          </cell>
          <cell r="J489">
            <v>1337.76</v>
          </cell>
        </row>
        <row r="490">
          <cell r="B490" t="str">
            <v>040246</v>
          </cell>
          <cell r="C490" t="str">
            <v>5.3.2.9</v>
          </cell>
          <cell r="D490" t="str">
            <v>Fornecimento, dobragem e colocação em fôrma, de armadura CA-60 B fina, diâmetro de 4.0 a 7.0mm</v>
          </cell>
          <cell r="E490" t="str">
            <v>kg</v>
          </cell>
          <cell r="F490">
            <v>37</v>
          </cell>
          <cell r="G490">
            <v>0.29930000000000001</v>
          </cell>
          <cell r="H490">
            <v>6.87</v>
          </cell>
          <cell r="I490">
            <v>8.9261910000000011</v>
          </cell>
          <cell r="J490">
            <v>330.27</v>
          </cell>
        </row>
        <row r="491">
          <cell r="B491" t="str">
            <v>COMP5</v>
          </cell>
          <cell r="C491" t="str">
            <v>5.3.2.10</v>
          </cell>
          <cell r="D491" t="str">
            <v>FORNECIMENTO E APLICAÇÃO DE CONCRETO USINADO FCK=40 MPA - CONSIDERANDO BOMBEAMENTO (5% DE PERDAS JÁ INCLUÍDO NO CUSTO) (6% DE TAXA P/CONCR. BOMBEAVEL)</v>
          </cell>
          <cell r="E491" t="str">
            <v>m3</v>
          </cell>
          <cell r="F491">
            <v>16.8</v>
          </cell>
          <cell r="G491">
            <v>0.29930000000000001</v>
          </cell>
          <cell r="H491">
            <v>413.38</v>
          </cell>
          <cell r="I491">
            <v>537.10463400000003</v>
          </cell>
          <cell r="J491">
            <v>9023.36</v>
          </cell>
        </row>
        <row r="492">
          <cell r="B492" t="str">
            <v>040813</v>
          </cell>
          <cell r="C492" t="str">
            <v>5.3.2.11</v>
          </cell>
          <cell r="D492" t="str">
            <v>Impermeabilização de estrutura com Sika Top 107 ou equivalente</v>
          </cell>
          <cell r="E492" t="str">
            <v>m2</v>
          </cell>
          <cell r="F492">
            <v>195.37</v>
          </cell>
          <cell r="G492">
            <v>0.29930000000000001</v>
          </cell>
          <cell r="H492">
            <v>54.69</v>
          </cell>
          <cell r="I492">
            <v>71.058717000000001</v>
          </cell>
          <cell r="J492">
            <v>13882.74</v>
          </cell>
        </row>
        <row r="493">
          <cell r="C493" t="str">
            <v>5.3.3</v>
          </cell>
          <cell r="D493" t="str">
            <v>PISO</v>
          </cell>
          <cell r="J493">
            <v>15298.61</v>
          </cell>
        </row>
        <row r="494">
          <cell r="B494" t="str">
            <v>COMP11</v>
          </cell>
          <cell r="C494" t="str">
            <v>5.3.3.1</v>
          </cell>
          <cell r="D494" t="str">
            <v>Lastro regularizado e impermeabilizado de concreto, espessura de 10 cm , com armação em tela Q-61</v>
          </cell>
          <cell r="E494" t="str">
            <v>m²</v>
          </cell>
          <cell r="F494">
            <v>151.46</v>
          </cell>
          <cell r="G494">
            <v>0.29930000000000001</v>
          </cell>
          <cell r="H494">
            <v>77.739999999999995</v>
          </cell>
          <cell r="I494">
            <v>101.007582</v>
          </cell>
          <cell r="J494">
            <v>15298.61</v>
          </cell>
        </row>
        <row r="495">
          <cell r="C495" t="str">
            <v>5.3.4</v>
          </cell>
          <cell r="D495" t="str">
            <v>RAMPAS E ESCADA</v>
          </cell>
          <cell r="J495">
            <v>3269.62</v>
          </cell>
        </row>
        <row r="496">
          <cell r="B496" t="str">
            <v>COMP11</v>
          </cell>
          <cell r="C496" t="str">
            <v>5.3.4.1</v>
          </cell>
          <cell r="D496" t="str">
            <v>Lastro regularizado e impermeabilizado de concreto, espessura de 10 cm , com armação em tela Q-61</v>
          </cell>
          <cell r="E496" t="str">
            <v>m²</v>
          </cell>
          <cell r="F496">
            <v>23.59</v>
          </cell>
          <cell r="G496">
            <v>0.29930000000000001</v>
          </cell>
          <cell r="H496">
            <v>77.739999999999995</v>
          </cell>
          <cell r="I496">
            <v>101.007582</v>
          </cell>
          <cell r="J496">
            <v>2382.77</v>
          </cell>
        </row>
        <row r="497">
          <cell r="B497" t="str">
            <v>200323</v>
          </cell>
          <cell r="C497" t="str">
            <v>5.3.4.2</v>
          </cell>
          <cell r="D497" t="str">
            <v>Fornecimento e espalhamento de pó de pedra</v>
          </cell>
          <cell r="E497" t="str">
            <v>m3</v>
          </cell>
          <cell r="F497">
            <v>4.76</v>
          </cell>
          <cell r="G497">
            <v>0.29930000000000001</v>
          </cell>
          <cell r="H497">
            <v>107.11</v>
          </cell>
          <cell r="I497">
            <v>139.16802300000001</v>
          </cell>
          <cell r="J497">
            <v>662.44</v>
          </cell>
        </row>
        <row r="498">
          <cell r="B498" t="str">
            <v>050501</v>
          </cell>
          <cell r="C498" t="str">
            <v>5.3.4.3</v>
          </cell>
          <cell r="D498" t="str">
            <v>Alvenaria de blocos de concreto estrut. (14x19x39cm) cheios, c/ resist. mín. compr. 15MPa, assentados c/ arg. de cimento e areia no traço 1:4, esp. juntas 10mm e esp. da parede s/ revest. 14cm</v>
          </cell>
          <cell r="E498" t="str">
            <v>m2</v>
          </cell>
          <cell r="F498">
            <v>2.14</v>
          </cell>
          <cell r="G498">
            <v>0.29930000000000001</v>
          </cell>
          <cell r="H498">
            <v>80.709999999999994</v>
          </cell>
          <cell r="I498">
            <v>104.86650300000001</v>
          </cell>
          <cell r="J498">
            <v>224.41</v>
          </cell>
        </row>
        <row r="499">
          <cell r="B499" t="str">
            <v/>
          </cell>
          <cell r="C499" t="str">
            <v>5.3.5</v>
          </cell>
          <cell r="D499" t="str">
            <v>PILARES</v>
          </cell>
          <cell r="I499" t="str">
            <v/>
          </cell>
          <cell r="J499">
            <v>10208.010000000002</v>
          </cell>
        </row>
        <row r="500">
          <cell r="B500" t="str">
            <v>040339</v>
          </cell>
          <cell r="C500" t="str">
            <v>5.3.5.1</v>
          </cell>
          <cell r="D500" t="str">
            <v>Forma de chapas madeira compensada resinada, esp. 12mm, levando-se em conta a utilização 3 vezes, reforçadas com sarrafos de madeira de 2.5 x 10.0cm (incl material, corte, montagem, escoras em eucalipto e desforma)</v>
          </cell>
          <cell r="E500" t="str">
            <v>m2</v>
          </cell>
          <cell r="F500">
            <v>52.4</v>
          </cell>
          <cell r="G500">
            <v>0.29930000000000001</v>
          </cell>
          <cell r="H500">
            <v>77.42</v>
          </cell>
          <cell r="I500">
            <v>100.59180600000001</v>
          </cell>
          <cell r="J500">
            <v>5271.01</v>
          </cell>
        </row>
        <row r="501">
          <cell r="B501" t="str">
            <v>040328</v>
          </cell>
          <cell r="C501" t="str">
            <v>5.3.5.2</v>
          </cell>
          <cell r="D501" t="str">
            <v>Fornecimento, dobragem e colocação em fôrma, de armadura CA-50 A média, diâmetro de 6.3 a 10.0 mm</v>
          </cell>
          <cell r="E501" t="str">
            <v>kg</v>
          </cell>
          <cell r="F501">
            <v>210</v>
          </cell>
          <cell r="G501">
            <v>0.29930000000000001</v>
          </cell>
          <cell r="H501">
            <v>6.78</v>
          </cell>
          <cell r="I501">
            <v>8.809254000000001</v>
          </cell>
          <cell r="J501">
            <v>1849.94</v>
          </cell>
        </row>
        <row r="502">
          <cell r="B502" t="str">
            <v>040245</v>
          </cell>
          <cell r="C502" t="str">
            <v>5.3.5.3</v>
          </cell>
          <cell r="D502" t="str">
            <v>Fornecimento, dobragem e colocação em fôrma, de armadura CA-50 A grossa diâmetro de 12.5 a 25.0 mm (1/2 a 1")</v>
          </cell>
          <cell r="E502" t="str">
            <v>kg</v>
          </cell>
          <cell r="F502">
            <v>55</v>
          </cell>
          <cell r="G502">
            <v>0.29930000000000001</v>
          </cell>
          <cell r="H502">
            <v>7.15</v>
          </cell>
          <cell r="I502">
            <v>9.2899950000000011</v>
          </cell>
          <cell r="J502">
            <v>510.95</v>
          </cell>
        </row>
        <row r="503">
          <cell r="B503" t="str">
            <v>040246</v>
          </cell>
          <cell r="C503" t="str">
            <v>5.3.5.4</v>
          </cell>
          <cell r="D503" t="str">
            <v>Fornecimento, dobragem e colocação em fôrma, de armadura CA-60 B fina, diâmetro de 4.0 a 7.0mm</v>
          </cell>
          <cell r="E503" t="str">
            <v>kg</v>
          </cell>
          <cell r="F503">
            <v>78</v>
          </cell>
          <cell r="G503">
            <v>0.29930000000000001</v>
          </cell>
          <cell r="H503">
            <v>6.87</v>
          </cell>
          <cell r="I503">
            <v>8.9261910000000011</v>
          </cell>
          <cell r="J503">
            <v>696.24</v>
          </cell>
        </row>
        <row r="504">
          <cell r="B504" t="str">
            <v>COMP5</v>
          </cell>
          <cell r="C504" t="str">
            <v>5.3.5.5</v>
          </cell>
          <cell r="D504" t="str">
            <v>FORNECIMENTO E APLICAÇÃO DE CONCRETO USINADO FCK=40 MPA - CONSIDERANDO BOMBEAMENTO (5% DE PERDAS JÁ INCLUÍDO NO CUSTO) (6% DE TAXA P/CONCR. BOMBEAVEL)</v>
          </cell>
          <cell r="E504" t="str">
            <v>m3</v>
          </cell>
          <cell r="F504">
            <v>3.5</v>
          </cell>
          <cell r="G504">
            <v>0.29930000000000001</v>
          </cell>
          <cell r="H504">
            <v>413.38</v>
          </cell>
          <cell r="I504">
            <v>537.10463400000003</v>
          </cell>
          <cell r="J504">
            <v>1879.87</v>
          </cell>
        </row>
        <row r="505">
          <cell r="B505" t="str">
            <v/>
          </cell>
          <cell r="C505" t="str">
            <v>5.3.6</v>
          </cell>
          <cell r="D505" t="str">
            <v>VIGAS SUPERIORES</v>
          </cell>
          <cell r="I505" t="str">
            <v/>
          </cell>
          <cell r="J505">
            <v>20176.580000000002</v>
          </cell>
        </row>
        <row r="506">
          <cell r="B506" t="str">
            <v>040339</v>
          </cell>
          <cell r="C506" t="str">
            <v>5.3.6.1</v>
          </cell>
          <cell r="D506" t="str">
            <v>Forma de chapas madeira compensada resinada, esp. 12mm, levando-se em conta a utilização 3 vezes, reforçadas com sarrafos de madeira de 2.5 x 10.0cm (incl material, corte, montagem, escoras em eucalipto e desforma)</v>
          </cell>
          <cell r="E506" t="str">
            <v>m2</v>
          </cell>
          <cell r="F506">
            <v>87.7</v>
          </cell>
          <cell r="G506">
            <v>0.29930000000000001</v>
          </cell>
          <cell r="H506">
            <v>77.42</v>
          </cell>
          <cell r="I506">
            <v>100.59180600000001</v>
          </cell>
          <cell r="J506">
            <v>8821.9</v>
          </cell>
        </row>
        <row r="507">
          <cell r="B507" t="str">
            <v>040328</v>
          </cell>
          <cell r="C507" t="str">
            <v>5.3.6.2</v>
          </cell>
          <cell r="D507" t="str">
            <v>Fornecimento, dobragem e colocação em fôrma, de armadura CA-50 A média, diâmetro de 6.3 a 10.0 mm</v>
          </cell>
          <cell r="E507" t="str">
            <v>kg</v>
          </cell>
          <cell r="F507">
            <v>502</v>
          </cell>
          <cell r="G507">
            <v>0.29930000000000001</v>
          </cell>
          <cell r="H507">
            <v>6.78</v>
          </cell>
          <cell r="I507">
            <v>8.809254000000001</v>
          </cell>
          <cell r="J507">
            <v>4422.25</v>
          </cell>
        </row>
        <row r="508">
          <cell r="B508" t="str">
            <v>040245</v>
          </cell>
          <cell r="C508" t="str">
            <v>5.3.6.3</v>
          </cell>
          <cell r="D508" t="str">
            <v>Fornecimento, dobragem e colocação em fôrma, de armadura CA-50 A grossa diâmetro de 12.5 a 25.0 mm (1/2 a 1")</v>
          </cell>
          <cell r="E508" t="str">
            <v>kg</v>
          </cell>
          <cell r="F508">
            <v>199</v>
          </cell>
          <cell r="G508">
            <v>0.29930000000000001</v>
          </cell>
          <cell r="H508">
            <v>7.15</v>
          </cell>
          <cell r="I508">
            <v>9.2899950000000011</v>
          </cell>
          <cell r="J508">
            <v>1848.71</v>
          </cell>
        </row>
        <row r="509">
          <cell r="B509" t="str">
            <v>040246</v>
          </cell>
          <cell r="C509" t="str">
            <v>5.3.6.4</v>
          </cell>
          <cell r="D509" t="str">
            <v>Fornecimento, dobragem e colocação em fôrma, de armadura CA-60 B fina, diâmetro de 4.0 a 7.0mm</v>
          </cell>
          <cell r="E509" t="str">
            <v>kg</v>
          </cell>
          <cell r="F509">
            <v>34</v>
          </cell>
          <cell r="G509">
            <v>0.29930000000000001</v>
          </cell>
          <cell r="H509">
            <v>6.87</v>
          </cell>
          <cell r="I509">
            <v>8.9261910000000011</v>
          </cell>
          <cell r="J509">
            <v>303.49</v>
          </cell>
        </row>
        <row r="510">
          <cell r="B510" t="str">
            <v>COMP5</v>
          </cell>
          <cell r="C510" t="str">
            <v>5.3.6.5</v>
          </cell>
          <cell r="D510" t="str">
            <v>FORNECIMENTO E APLICAÇÃO DE CONCRETO USINADO FCK=40 MPA - CONSIDERANDO BOMBEAMENTO (5% DE PERDAS JÁ INCLUÍDO NO CUSTO) (6% DE TAXA P/CONCR. BOMBEAVEL)</v>
          </cell>
          <cell r="E510" t="str">
            <v>m3</v>
          </cell>
          <cell r="F510">
            <v>8.9</v>
          </cell>
          <cell r="G510">
            <v>0.29930000000000001</v>
          </cell>
          <cell r="H510">
            <v>413.38</v>
          </cell>
          <cell r="I510">
            <v>537.10463400000003</v>
          </cell>
          <cell r="J510">
            <v>4780.2299999999996</v>
          </cell>
        </row>
        <row r="511">
          <cell r="C511" t="str">
            <v>5.3.7</v>
          </cell>
          <cell r="D511" t="str">
            <v>LAJE</v>
          </cell>
          <cell r="J511">
            <v>25035.46</v>
          </cell>
        </row>
        <row r="512">
          <cell r="B512" t="str">
            <v>040339</v>
          </cell>
          <cell r="C512" t="str">
            <v>5.3.7.1</v>
          </cell>
          <cell r="D512" t="str">
            <v>Forma de chapas madeira compensada resinada, esp. 12mm, levando-se em conta a utilização 3 vezes, reforçadas com sarrafos de madeira de 2.5 x 10.0cm (incl material, corte, montagem, escoras em eucalipto e desforma)</v>
          </cell>
          <cell r="E512" t="str">
            <v>m2</v>
          </cell>
          <cell r="F512">
            <v>34.1</v>
          </cell>
          <cell r="G512">
            <v>0.29930000000000001</v>
          </cell>
          <cell r="H512">
            <v>77.42</v>
          </cell>
          <cell r="I512">
            <v>100.59180600000001</v>
          </cell>
          <cell r="J512">
            <v>3430.18</v>
          </cell>
        </row>
        <row r="513">
          <cell r="B513" t="str">
            <v>040328</v>
          </cell>
          <cell r="C513" t="str">
            <v>5.3.7.2</v>
          </cell>
          <cell r="D513" t="str">
            <v>Fornecimento, dobragem e colocação em fôrma, de armadura CA-50 A média, diâmetro de 6.3 a 10.0 mm</v>
          </cell>
          <cell r="E513" t="str">
            <v>kg</v>
          </cell>
          <cell r="F513">
            <v>370.3</v>
          </cell>
          <cell r="G513">
            <v>0.29930000000000001</v>
          </cell>
          <cell r="H513">
            <v>6.78</v>
          </cell>
          <cell r="I513">
            <v>8.809254000000001</v>
          </cell>
          <cell r="J513">
            <v>3262.07</v>
          </cell>
        </row>
        <row r="514">
          <cell r="B514" t="str">
            <v>COMP5</v>
          </cell>
          <cell r="C514" t="str">
            <v>5.3.7.3</v>
          </cell>
          <cell r="D514" t="str">
            <v>FORNECIMENTO E APLICAÇÃO DE CONCRETO USINADO FCK=40 MPA - CONSIDERANDO BOMBEAMENTO (5% DE PERDAS JÁ INCLUÍDO NO CUSTO) (6% DE TAXA P/CONCR. BOMBEAVEL)</v>
          </cell>
          <cell r="E514" t="str">
            <v>m3</v>
          </cell>
          <cell r="F514">
            <v>6.54</v>
          </cell>
          <cell r="G514">
            <v>0.29930000000000001</v>
          </cell>
          <cell r="H514">
            <v>413.38</v>
          </cell>
          <cell r="I514">
            <v>537.10463400000003</v>
          </cell>
          <cell r="J514">
            <v>3512.66</v>
          </cell>
        </row>
        <row r="515">
          <cell r="B515" t="str">
            <v>040602</v>
          </cell>
          <cell r="C515" t="str">
            <v>5.3.7.4</v>
          </cell>
          <cell r="D515" t="str">
            <v>Laje pré-fabricada treliçada, sobrecarga 300 Kg/m2, vão de 3.5m a 4.3m, capeamento 4cm, esp. 12cm, Fck = 150 Kg/cm2</v>
          </cell>
          <cell r="E515" t="str">
            <v>m2</v>
          </cell>
          <cell r="F515">
            <v>169</v>
          </cell>
          <cell r="G515">
            <v>0.29930000000000001</v>
          </cell>
          <cell r="H515">
            <v>67.540000000000006</v>
          </cell>
          <cell r="I515">
            <v>87.754722000000015</v>
          </cell>
          <cell r="J515">
            <v>14830.55</v>
          </cell>
        </row>
        <row r="516">
          <cell r="B516" t="str">
            <v/>
          </cell>
          <cell r="C516" t="str">
            <v>5.3.8</v>
          </cell>
          <cell r="D516" t="str">
            <v>COBERTURA</v>
          </cell>
          <cell r="I516" t="str">
            <v/>
          </cell>
          <cell r="J516">
            <v>55187.280000000006</v>
          </cell>
        </row>
        <row r="517">
          <cell r="B517" t="str">
            <v>090102</v>
          </cell>
          <cell r="C517" t="str">
            <v>5.3.8.1</v>
          </cell>
          <cell r="D517" t="str">
            <v>Estrutura de madeira de lei tipo Paraju, peroba mica, angelim pedra ou equivalente para telhado de telha ondulada de fibrocimento esp. 6mm, com pontaletes e caibros, inclusive tratamento com cupinicida, exclusive telhas</v>
          </cell>
          <cell r="E517" t="str">
            <v>m2</v>
          </cell>
          <cell r="F517">
            <v>191.8</v>
          </cell>
          <cell r="G517">
            <v>0.29930000000000001</v>
          </cell>
          <cell r="H517">
            <v>76.53</v>
          </cell>
          <cell r="I517">
            <v>99.435429000000013</v>
          </cell>
          <cell r="J517">
            <v>19071.72</v>
          </cell>
        </row>
        <row r="518">
          <cell r="B518" t="str">
            <v>090223</v>
          </cell>
          <cell r="C518" t="str">
            <v>5.3.8.2</v>
          </cell>
          <cell r="D518" t="str">
            <v>Cobertura em telha termoacustica tipo telha/telha em aço galvanizado trapez. 40, e=0.43mm, pint. face. sup. e infer. cor branca, incl. acess. fix. nucleo em poliuretano (injeção contínua), e=30mm, ref. Isoeste, Sto André, Panissol, Metform ou equi</v>
          </cell>
          <cell r="E518" t="str">
            <v>m2</v>
          </cell>
          <cell r="F518">
            <v>200.69</v>
          </cell>
          <cell r="G518">
            <v>0.29930000000000001</v>
          </cell>
          <cell r="H518">
            <v>105.84</v>
          </cell>
          <cell r="I518">
            <v>137.51791200000002</v>
          </cell>
          <cell r="J518">
            <v>27598.47</v>
          </cell>
        </row>
        <row r="519">
          <cell r="B519" t="str">
            <v>040339</v>
          </cell>
          <cell r="C519" t="str">
            <v>5.3.8.3</v>
          </cell>
          <cell r="D519" t="str">
            <v>Forma de chapas madeira compensada resinada, esp. 12mm, levando-se em conta a utilização 3 vezes, reforçadas com sarrafos de madeira de 2.5 x 10.0cm (incl material, corte, montagem, escoras em eucalipto e desforma) (Platibanda)</v>
          </cell>
          <cell r="E519" t="str">
            <v>m2</v>
          </cell>
          <cell r="F519">
            <v>25.2</v>
          </cell>
          <cell r="G519">
            <v>0.29930000000000001</v>
          </cell>
          <cell r="H519">
            <v>77.42</v>
          </cell>
          <cell r="I519">
            <v>100.59180600000001</v>
          </cell>
          <cell r="J519">
            <v>2534.91</v>
          </cell>
        </row>
        <row r="520">
          <cell r="B520" t="str">
            <v>040328</v>
          </cell>
          <cell r="C520" t="str">
            <v>5.3.8.4</v>
          </cell>
          <cell r="D520" t="str">
            <v>Fornecimento, dobragem e colocação em fôrma, de armadura CA-50 A média, diâmetro de 6.3 a 10.0 mm (Platibanda)</v>
          </cell>
          <cell r="E520" t="str">
            <v>kg</v>
          </cell>
          <cell r="F520">
            <v>122</v>
          </cell>
          <cell r="G520">
            <v>0.29930000000000001</v>
          </cell>
          <cell r="H520">
            <v>6.78</v>
          </cell>
          <cell r="I520">
            <v>8.809254000000001</v>
          </cell>
          <cell r="J520">
            <v>1074.73</v>
          </cell>
        </row>
        <row r="521">
          <cell r="B521" t="str">
            <v>COMP5</v>
          </cell>
          <cell r="C521" t="str">
            <v>5.3.8.5</v>
          </cell>
          <cell r="D521" t="str">
            <v>FORNECIMENTO E APLICAÇÃO DE CONCRETO USINADO FCK=40 MPA - CONSIDERANDO BOMBEAMENTO (5% DE PERDAS JÁ INCLUÍDO NO CUSTO) (6% DE TAXA P/CONCR. BOMBEAVEL) (Platibanda)</v>
          </cell>
          <cell r="E521" t="str">
            <v>m3</v>
          </cell>
          <cell r="F521">
            <v>1.3</v>
          </cell>
          <cell r="G521">
            <v>0.29930000000000001</v>
          </cell>
          <cell r="H521">
            <v>413.38</v>
          </cell>
          <cell r="I521">
            <v>537.10463400000003</v>
          </cell>
          <cell r="J521">
            <v>698.24</v>
          </cell>
        </row>
        <row r="522">
          <cell r="B522" t="str">
            <v>050602</v>
          </cell>
          <cell r="C522" t="str">
            <v>5.3.8.6</v>
          </cell>
          <cell r="D522" t="str">
            <v>Alvenaria de blocos de concreto 14x19x39cm, c/ resist. mínimo a compres. 2.5 MPa, assent. c/ arg. de cimento, cal hidratada CH1 e areia no traço 1:0.5:8 esp. das juntas 10mm e esp. das paredes, s/ rev. 14cm (Platibanda)</v>
          </cell>
          <cell r="E522" t="str">
            <v>m2</v>
          </cell>
          <cell r="F522">
            <v>61.24</v>
          </cell>
          <cell r="G522">
            <v>0.29930000000000001</v>
          </cell>
          <cell r="H522">
            <v>52.9</v>
          </cell>
          <cell r="I522">
            <v>68.732970000000009</v>
          </cell>
          <cell r="J522">
            <v>4209.21</v>
          </cell>
        </row>
        <row r="523">
          <cell r="C523" t="str">
            <v>5.3.9</v>
          </cell>
          <cell r="D523" t="str">
            <v>DRENAGEM</v>
          </cell>
          <cell r="J523">
            <v>6986.2900000000009</v>
          </cell>
        </row>
        <row r="524">
          <cell r="B524" t="str">
            <v>COMP13</v>
          </cell>
          <cell r="C524" t="str">
            <v>5.3.9.1</v>
          </cell>
          <cell r="D524" t="str">
            <v>CALHA PLATIBANDA DE CHAPA DE AÇO GALVANIZADA NUM 26, CORTE 45 CM, FORNECIMENTO E INSTALAÇÃO</v>
          </cell>
          <cell r="E524" t="str">
            <v>M</v>
          </cell>
          <cell r="F524">
            <v>44.2</v>
          </cell>
          <cell r="G524">
            <v>0.29930000000000001</v>
          </cell>
          <cell r="H524">
            <v>61.93</v>
          </cell>
          <cell r="I524">
            <v>80.465649000000013</v>
          </cell>
          <cell r="J524">
            <v>3556.58</v>
          </cell>
        </row>
        <row r="525">
          <cell r="B525" t="str">
            <v>090302</v>
          </cell>
          <cell r="C525" t="str">
            <v>5.3.9.2</v>
          </cell>
          <cell r="D525" t="str">
            <v>Rufo de chapa metálica nº 26 com largura de 30 cm</v>
          </cell>
          <cell r="E525" t="str">
            <v>m</v>
          </cell>
          <cell r="F525">
            <v>64.14</v>
          </cell>
          <cell r="G525">
            <v>0.29930000000000001</v>
          </cell>
          <cell r="H525">
            <v>26.69</v>
          </cell>
          <cell r="I525">
            <v>34.678317000000007</v>
          </cell>
          <cell r="J525">
            <v>2224.27</v>
          </cell>
        </row>
        <row r="526">
          <cell r="B526" t="str">
            <v>141909</v>
          </cell>
          <cell r="C526" t="str">
            <v>5.3.9.3</v>
          </cell>
          <cell r="D526" t="str">
            <v>Tubo de PVC rígido soldável branco, para esgoto, diâmetro 100mm (4"), inclusive conexões</v>
          </cell>
          <cell r="E526" t="str">
            <v>m</v>
          </cell>
          <cell r="F526">
            <v>9.27</v>
          </cell>
          <cell r="G526">
            <v>0.29930000000000001</v>
          </cell>
          <cell r="H526">
            <v>52.37</v>
          </cell>
          <cell r="I526">
            <v>68.044341000000003</v>
          </cell>
          <cell r="J526">
            <v>630.77</v>
          </cell>
        </row>
        <row r="527">
          <cell r="B527" t="str">
            <v>140903</v>
          </cell>
          <cell r="C527" t="str">
            <v>5.3.9.4</v>
          </cell>
          <cell r="D527" t="str">
            <v>Tubo PVC rígido para esgoto no diâmetro de 100mm incluindo escavação e aterro com areia</v>
          </cell>
          <cell r="E527" t="str">
            <v>m</v>
          </cell>
          <cell r="F527">
            <v>10.73</v>
          </cell>
          <cell r="G527">
            <v>0.29930000000000001</v>
          </cell>
          <cell r="H527">
            <v>41.22</v>
          </cell>
          <cell r="I527">
            <v>53.557146000000003</v>
          </cell>
          <cell r="J527">
            <v>574.66999999999996</v>
          </cell>
        </row>
        <row r="528">
          <cell r="B528" t="str">
            <v/>
          </cell>
          <cell r="C528" t="str">
            <v>5.3.10</v>
          </cell>
          <cell r="D528" t="str">
            <v>DEMAIS ITENS</v>
          </cell>
          <cell r="I528" t="str">
            <v/>
          </cell>
          <cell r="J528">
            <v>122223.87999999999</v>
          </cell>
        </row>
        <row r="529">
          <cell r="B529" t="str">
            <v>COMP2</v>
          </cell>
          <cell r="C529" t="str">
            <v>5.3.10.1</v>
          </cell>
          <cell r="D529" t="str">
            <v>Cerca de engranzamento soldado, incluso instalação</v>
          </cell>
          <cell r="E529" t="str">
            <v>m²</v>
          </cell>
          <cell r="F529">
            <v>111.39</v>
          </cell>
          <cell r="G529">
            <v>0.29930000000000001</v>
          </cell>
          <cell r="H529">
            <v>238.39</v>
          </cell>
          <cell r="I529">
            <v>309.74012700000003</v>
          </cell>
          <cell r="J529">
            <v>34501.949999999997</v>
          </cell>
        </row>
        <row r="530">
          <cell r="B530" t="str">
            <v>COMP31</v>
          </cell>
          <cell r="C530" t="str">
            <v>5.3.10.2</v>
          </cell>
          <cell r="D530" t="str">
            <v>Portão corrediço de engranzamento soldado - fornecimento e instalação</v>
          </cell>
          <cell r="E530" t="str">
            <v>m²</v>
          </cell>
          <cell r="F530">
            <v>15.3</v>
          </cell>
          <cell r="G530">
            <v>0.29930000000000001</v>
          </cell>
          <cell r="H530">
            <v>549.25</v>
          </cell>
          <cell r="I530">
            <v>713.64052500000003</v>
          </cell>
          <cell r="J530">
            <v>10918.7</v>
          </cell>
        </row>
        <row r="531">
          <cell r="B531" t="str">
            <v>COMP32</v>
          </cell>
          <cell r="C531" t="str">
            <v>5.3.10.3</v>
          </cell>
          <cell r="D531" t="str">
            <v>Portão de dupla abertura de engranzamento soldado - fornecimento e instalação</v>
          </cell>
          <cell r="E531" t="str">
            <v>m²</v>
          </cell>
          <cell r="F531">
            <v>5.63</v>
          </cell>
          <cell r="G531">
            <v>0.29930000000000001</v>
          </cell>
          <cell r="H531">
            <v>554.38</v>
          </cell>
          <cell r="I531">
            <v>720.30593400000009</v>
          </cell>
          <cell r="J531">
            <v>4055.32</v>
          </cell>
        </row>
        <row r="532">
          <cell r="B532" t="str">
            <v>210322</v>
          </cell>
          <cell r="C532" t="str">
            <v>5.3.10.4</v>
          </cell>
          <cell r="D532" t="str">
            <v>Corrimão em tubo de ferro galvanizado diam. 2" com chumbadores a cada 1.5m</v>
          </cell>
          <cell r="E532" t="str">
            <v>m</v>
          </cell>
          <cell r="F532">
            <v>13.65</v>
          </cell>
          <cell r="G532">
            <v>0.29930000000000001</v>
          </cell>
          <cell r="H532">
            <v>77.81</v>
          </cell>
          <cell r="I532">
            <v>101.09853300000002</v>
          </cell>
          <cell r="J532">
            <v>1379.99</v>
          </cell>
        </row>
        <row r="533">
          <cell r="B533" t="str">
            <v>COMP27</v>
          </cell>
          <cell r="C533" t="str">
            <v>5.3.10.5</v>
          </cell>
          <cell r="D533" t="str">
            <v>Guarda corpo de tubo de ferro galvanizado, diâm. 2" e 1/2", h= 1,1 m inclusive pintura a óleo ou esmalte</v>
          </cell>
          <cell r="E533" t="str">
            <v>m</v>
          </cell>
          <cell r="F533">
            <v>4.1500000000000004</v>
          </cell>
          <cell r="G533">
            <v>0.29930000000000001</v>
          </cell>
          <cell r="H533">
            <v>311.45999999999998</v>
          </cell>
          <cell r="I533">
            <v>404.67997800000001</v>
          </cell>
          <cell r="J533">
            <v>1679.42</v>
          </cell>
        </row>
        <row r="534">
          <cell r="B534" t="str">
            <v>050608</v>
          </cell>
          <cell r="C534" t="str">
            <v>5.3.10.6</v>
          </cell>
          <cell r="D534" t="str">
            <v>Alvenaria de blocos cerâmicos 10 furos 10x20x20cm, assentados c/argamassa de cimento, cal hidratada CH1 e areia traço 1:0,5:8, juntas 12mm e espessura das paredes, s/revestimento, 20cm (bloco comprado fábrica,posto obra)</v>
          </cell>
          <cell r="E534" t="str">
            <v>m2</v>
          </cell>
          <cell r="F534">
            <v>8.32</v>
          </cell>
          <cell r="G534">
            <v>0.29930000000000001</v>
          </cell>
          <cell r="H534">
            <v>75.41</v>
          </cell>
          <cell r="I534">
            <v>97.980213000000006</v>
          </cell>
          <cell r="J534">
            <v>815.2</v>
          </cell>
        </row>
        <row r="535">
          <cell r="B535" t="str">
            <v>120101</v>
          </cell>
          <cell r="C535" t="str">
            <v>5.3.10.7</v>
          </cell>
          <cell r="D535" t="str">
            <v>Chapisco de argamassa de cimento e areia média ou grossa lavada, no traço 1:3, espessura 5 mm</v>
          </cell>
          <cell r="E535" t="str">
            <v>m2</v>
          </cell>
          <cell r="F535">
            <v>531.42999999999995</v>
          </cell>
          <cell r="G535">
            <v>0.29930000000000001</v>
          </cell>
          <cell r="H535">
            <v>4.8</v>
          </cell>
          <cell r="I535">
            <v>6.2366400000000004</v>
          </cell>
          <cell r="J535">
            <v>3314.34</v>
          </cell>
        </row>
        <row r="536">
          <cell r="B536" t="str">
            <v>120303</v>
          </cell>
          <cell r="C536" t="str">
            <v>5.3.10.8</v>
          </cell>
          <cell r="D536" t="str">
            <v>Reboco tipo paulista de argamassa de cimento, cal hidratada CH1 e areia média ou grossa lavada no traço 1:0.5:6, espessura 25 mm</v>
          </cell>
          <cell r="E536" t="str">
            <v>m2</v>
          </cell>
          <cell r="F536">
            <v>531.42999999999995</v>
          </cell>
          <cell r="G536">
            <v>0.29930000000000001</v>
          </cell>
          <cell r="H536">
            <v>41.88</v>
          </cell>
          <cell r="I536">
            <v>54.414684000000008</v>
          </cell>
          <cell r="J536">
            <v>28917.599999999999</v>
          </cell>
        </row>
        <row r="537">
          <cell r="B537" t="str">
            <v>190117</v>
          </cell>
          <cell r="C537" t="str">
            <v>5.3.10.9</v>
          </cell>
          <cell r="D537" t="str">
            <v>Pintura com tinta acrílica, marcas de referência Suvinil, Coral e Metalatex, inclusive selador acrílico, em paredes e forros, a duas demãos</v>
          </cell>
          <cell r="E537" t="str">
            <v>m2</v>
          </cell>
          <cell r="F537">
            <v>531.42999999999995</v>
          </cell>
          <cell r="G537">
            <v>0.29930000000000001</v>
          </cell>
          <cell r="H537">
            <v>15.54</v>
          </cell>
          <cell r="I537">
            <v>20.191122</v>
          </cell>
          <cell r="J537">
            <v>10730.17</v>
          </cell>
        </row>
        <row r="538">
          <cell r="B538" t="str">
            <v>130230</v>
          </cell>
          <cell r="C538" t="str">
            <v>5.3.10.10</v>
          </cell>
          <cell r="D538" t="str">
            <v>Piso argamassa alta resistência tipo granilite ou equiv de qualidade comprovada, esp de 10mm, com juntas plástica em quadros de 1m, na cor natural, com acabamento anti-derrapante mecanizado, inclusive regularização e=3.0cm</v>
          </cell>
          <cell r="E538" t="str">
            <v>m2</v>
          </cell>
          <cell r="F538">
            <v>142.32</v>
          </cell>
          <cell r="G538">
            <v>0.29930000000000001</v>
          </cell>
          <cell r="H538">
            <v>90.31</v>
          </cell>
          <cell r="I538">
            <v>117.33978300000001</v>
          </cell>
          <cell r="J538">
            <v>16699.8</v>
          </cell>
        </row>
        <row r="539">
          <cell r="B539" t="str">
            <v>COMP41</v>
          </cell>
          <cell r="C539" t="str">
            <v>5.3.10.11</v>
          </cell>
          <cell r="D539" t="str">
            <v>Cadeira longarina com 3 lugares, estrutura em aço e encosto em polipropileno de alta resistência - fornecimento e instalação</v>
          </cell>
          <cell r="E539" t="str">
            <v>un</v>
          </cell>
          <cell r="F539">
            <v>25</v>
          </cell>
          <cell r="G539">
            <v>0.29930000000000001</v>
          </cell>
          <cell r="H539">
            <v>283.58</v>
          </cell>
          <cell r="I539">
            <v>368.45549399999999</v>
          </cell>
          <cell r="J539">
            <v>9211.39</v>
          </cell>
        </row>
        <row r="540">
          <cell r="B540" t="str">
            <v/>
          </cell>
          <cell r="C540" t="str">
            <v>5.4</v>
          </cell>
          <cell r="D540" t="str">
            <v>PLATAFORMA FLUTUANTE</v>
          </cell>
          <cell r="I540" t="str">
            <v/>
          </cell>
          <cell r="J540">
            <v>737490.51</v>
          </cell>
        </row>
        <row r="541">
          <cell r="B541" t="str">
            <v/>
          </cell>
          <cell r="C541" t="str">
            <v>5.4.1</v>
          </cell>
          <cell r="D541" t="str">
            <v>FABRICAÇÃO DO FLUTUANTE</v>
          </cell>
          <cell r="J541">
            <v>327678.98</v>
          </cell>
        </row>
        <row r="542">
          <cell r="B542" t="str">
            <v>040405</v>
          </cell>
          <cell r="C542" t="str">
            <v>5.4.1.1</v>
          </cell>
          <cell r="D542" t="str">
            <v>Fôrma com chapa compensada plastificada esp. 12mm, utização 5 vezes</v>
          </cell>
          <cell r="E542" t="str">
            <v>m2</v>
          </cell>
          <cell r="F542">
            <v>341</v>
          </cell>
          <cell r="G542">
            <v>0.29930000000000001</v>
          </cell>
          <cell r="H542">
            <v>73.41</v>
          </cell>
          <cell r="I542">
            <v>95.381613000000002</v>
          </cell>
          <cell r="J542">
            <v>32525.13</v>
          </cell>
        </row>
        <row r="543">
          <cell r="B543" t="str">
            <v>COMP3</v>
          </cell>
          <cell r="C543" t="str">
            <v>5.4.1.2</v>
          </cell>
          <cell r="D543" t="str">
            <v>ARMAÇÃO DO SISTEMA DE PAREDES DE CONCRETO COM TELA Q785</v>
          </cell>
          <cell r="E543" t="str">
            <v>kg</v>
          </cell>
          <cell r="F543">
            <v>3966.02</v>
          </cell>
          <cell r="G543">
            <v>0.29930000000000001</v>
          </cell>
          <cell r="H543">
            <v>6.23</v>
          </cell>
          <cell r="I543">
            <v>8.0946390000000008</v>
          </cell>
          <cell r="J543">
            <v>32103.5</v>
          </cell>
        </row>
        <row r="544">
          <cell r="B544" t="str">
            <v>040328</v>
          </cell>
          <cell r="C544" t="str">
            <v>5.4.1.3</v>
          </cell>
          <cell r="D544" t="str">
            <v>Fornecimento, dobragem e colocação em fôrma, de armadura CA-50 A média, diâmetro de 6.3 a 10.0 mm</v>
          </cell>
          <cell r="E544" t="str">
            <v>kg</v>
          </cell>
          <cell r="F544">
            <v>1880</v>
          </cell>
          <cell r="G544">
            <v>0.29930000000000001</v>
          </cell>
          <cell r="H544">
            <v>6.78</v>
          </cell>
          <cell r="I544">
            <v>8.809254000000001</v>
          </cell>
          <cell r="J544">
            <v>16561.400000000001</v>
          </cell>
        </row>
        <row r="545">
          <cell r="B545" t="str">
            <v>COMP18</v>
          </cell>
          <cell r="C545" t="str">
            <v>5.4.1.4</v>
          </cell>
          <cell r="D545" t="str">
            <v>Cordoalha CP 190 RB D = 15,2 mm - fornecimento, preparo e colocação</v>
          </cell>
          <cell r="E545" t="str">
            <v>kg</v>
          </cell>
          <cell r="F545">
            <v>73</v>
          </cell>
          <cell r="G545">
            <v>0.29930000000000001</v>
          </cell>
          <cell r="H545">
            <v>9.3699999999999992</v>
          </cell>
          <cell r="I545">
            <v>12.174441</v>
          </cell>
          <cell r="J545">
            <v>888.73</v>
          </cell>
        </row>
        <row r="546">
          <cell r="B546" t="str">
            <v>COMP6</v>
          </cell>
          <cell r="C546" t="str">
            <v>5.4.1.5</v>
          </cell>
          <cell r="D546" t="str">
            <v>FORNECIMENTO E APLICAÇÃO DE CONCRETO USINADO FCK=50 MPA COM ADITIVO LIQUIDO IMPERMEABILIZANTE E SÍLICA ATIVA - CONSIDERANDO BOMBEAMENTO (5% DE PERDAS JÁ INCLUÍDO NO CUSTO) (6% DE TAXA P/CONCR. BOMBEAVEL)</v>
          </cell>
          <cell r="E546" t="str">
            <v>m3</v>
          </cell>
          <cell r="F546">
            <v>28.05</v>
          </cell>
          <cell r="G546">
            <v>0.29930000000000001</v>
          </cell>
          <cell r="H546">
            <v>661.49</v>
          </cell>
          <cell r="I546">
            <v>859.47395700000004</v>
          </cell>
          <cell r="J546">
            <v>24108.240000000002</v>
          </cell>
        </row>
        <row r="547">
          <cell r="B547" t="str">
            <v>COMP40</v>
          </cell>
          <cell r="C547" t="str">
            <v>5.4.1.6</v>
          </cell>
          <cell r="D547" t="str">
            <v>Poliestireno espandido (EPS) de alta densidade - fornecimento e instalação</v>
          </cell>
          <cell r="E547" t="str">
            <v>m³</v>
          </cell>
          <cell r="F547">
            <v>113.84</v>
          </cell>
          <cell r="G547">
            <v>0.29930000000000001</v>
          </cell>
          <cell r="H547">
            <v>545.26</v>
          </cell>
          <cell r="I547">
            <v>708.45631800000001</v>
          </cell>
          <cell r="J547">
            <v>80650.67</v>
          </cell>
        </row>
        <row r="548">
          <cell r="B548" t="str">
            <v>COMP28</v>
          </cell>
          <cell r="C548" t="str">
            <v>5.4.1.7</v>
          </cell>
          <cell r="D548" t="str">
            <v>Rolete guia da estaca conforme especificações de projeto - fornecimento e instalação</v>
          </cell>
          <cell r="E548" t="str">
            <v>un</v>
          </cell>
          <cell r="F548">
            <v>4</v>
          </cell>
          <cell r="G548">
            <v>0.29930000000000001</v>
          </cell>
          <cell r="H548">
            <v>12200.03</v>
          </cell>
          <cell r="I548">
            <v>15851.498979000002</v>
          </cell>
          <cell r="J548">
            <v>63406</v>
          </cell>
        </row>
        <row r="549">
          <cell r="B549" t="str">
            <v>COMP29</v>
          </cell>
          <cell r="C549" t="str">
            <v>5.4.1.8</v>
          </cell>
          <cell r="D549" t="str">
            <v>Cabeço de amarração conforme especificações de projeto - fornecimento e instalação</v>
          </cell>
          <cell r="E549" t="str">
            <v>un</v>
          </cell>
          <cell r="F549">
            <v>2</v>
          </cell>
          <cell r="G549">
            <v>0.29930000000000001</v>
          </cell>
          <cell r="H549">
            <v>4658.8500000000004</v>
          </cell>
          <cell r="I549">
            <v>6053.243805000001</v>
          </cell>
          <cell r="J549">
            <v>12106.49</v>
          </cell>
        </row>
        <row r="550">
          <cell r="B550" t="str">
            <v>040817</v>
          </cell>
          <cell r="C550" t="str">
            <v>5.4.1.9</v>
          </cell>
          <cell r="D550" t="str">
            <v>Fornecimento e lançamento de concreto para grouteamento com adição de pedrisco (50% em peso), utilizando Sikagrout ou produto equivalente, exclusive forma</v>
          </cell>
          <cell r="E550" t="str">
            <v>m3</v>
          </cell>
          <cell r="F550">
            <v>0.03</v>
          </cell>
          <cell r="G550">
            <v>0.29930000000000001</v>
          </cell>
          <cell r="H550">
            <v>2552.67</v>
          </cell>
          <cell r="I550">
            <v>3316.6841310000004</v>
          </cell>
          <cell r="J550">
            <v>99.5</v>
          </cell>
        </row>
        <row r="551">
          <cell r="B551" t="str">
            <v>COMP30</v>
          </cell>
          <cell r="C551" t="str">
            <v>5.4.1.10</v>
          </cell>
          <cell r="D551" t="str">
            <v>Defensa barra tipo "D" 150 mm L=150 cm - fornecimento e instalação</v>
          </cell>
          <cell r="E551" t="str">
            <v>un</v>
          </cell>
          <cell r="F551">
            <v>15</v>
          </cell>
          <cell r="G551">
            <v>0.29930000000000001</v>
          </cell>
          <cell r="H551">
            <v>1710.27</v>
          </cell>
          <cell r="I551">
            <v>2222.1538110000001</v>
          </cell>
          <cell r="J551">
            <v>33332.31</v>
          </cell>
        </row>
        <row r="552">
          <cell r="B552" t="str">
            <v>COMP12</v>
          </cell>
          <cell r="C552" t="str">
            <v>5.4.1.11</v>
          </cell>
          <cell r="D552" t="str">
            <v>Içamento de flutuante para a água com guindaste rodoviário de 500t - incluso mobilização e desmobilização de equipamento</v>
          </cell>
          <cell r="E552" t="str">
            <v>un</v>
          </cell>
          <cell r="F552">
            <v>1</v>
          </cell>
          <cell r="G552">
            <v>0.15570000000000001</v>
          </cell>
          <cell r="H552">
            <v>26948.18</v>
          </cell>
          <cell r="I552">
            <v>31144.011626</v>
          </cell>
          <cell r="J552">
            <v>31144.01</v>
          </cell>
        </row>
        <row r="553">
          <cell r="B553" t="str">
            <v>COMP26</v>
          </cell>
          <cell r="C553" t="str">
            <v>5.4.1.12</v>
          </cell>
          <cell r="D553" t="str">
            <v>Chapa dobrada #8 400x700 mm, incl. chumbadores e solda.</v>
          </cell>
          <cell r="E553" t="str">
            <v>un</v>
          </cell>
          <cell r="F553">
            <v>2</v>
          </cell>
          <cell r="G553">
            <v>0.29930000000000001</v>
          </cell>
          <cell r="H553">
            <v>289.77</v>
          </cell>
          <cell r="I553">
            <v>376.49816100000004</v>
          </cell>
          <cell r="J553">
            <v>753</v>
          </cell>
        </row>
        <row r="554">
          <cell r="B554" t="str">
            <v/>
          </cell>
          <cell r="C554" t="str">
            <v>5.4.2</v>
          </cell>
          <cell r="D554" t="str">
            <v>TRANSPORTE DO FLUTUANTE</v>
          </cell>
          <cell r="I554" t="str">
            <v/>
          </cell>
          <cell r="J554">
            <v>1501.8</v>
          </cell>
        </row>
        <row r="555">
          <cell r="B555" t="str">
            <v>COMP38</v>
          </cell>
          <cell r="C555" t="str">
            <v>5.4.2.1</v>
          </cell>
          <cell r="D555" t="str">
            <v>Transporte de flutuante por rebocador, incluso manobra, amarração e desamarração (Trajeto Praça do Papa - Prainha de Vila Velha)</v>
          </cell>
          <cell r="E555" t="str">
            <v>un</v>
          </cell>
          <cell r="F555">
            <v>1</v>
          </cell>
          <cell r="G555">
            <v>0.29930000000000001</v>
          </cell>
          <cell r="H555">
            <v>1155.8499999999999</v>
          </cell>
          <cell r="I555">
            <v>1501.7959049999999</v>
          </cell>
          <cell r="J555">
            <v>1501.8</v>
          </cell>
        </row>
        <row r="556">
          <cell r="B556" t="str">
            <v/>
          </cell>
          <cell r="C556" t="str">
            <v>5.4.3</v>
          </cell>
          <cell r="D556" t="str">
            <v>ESTACAS</v>
          </cell>
          <cell r="I556" t="str">
            <v/>
          </cell>
          <cell r="J556">
            <v>398654.06999999995</v>
          </cell>
        </row>
        <row r="557">
          <cell r="B557" t="str">
            <v>COT16</v>
          </cell>
          <cell r="C557" t="str">
            <v>5.4.3.1</v>
          </cell>
          <cell r="D557" t="str">
            <v>SONDAGEM ROTATIVA EM LÂMINA D'ÁGUA (PRAINHA DE VILA VELHA) - INCLUSIVE MOBILIZAÇÃO E DESMOBILIZAÇÃO DE EQUIPAMENTO</v>
          </cell>
          <cell r="E557" t="str">
            <v>UN</v>
          </cell>
          <cell r="F557">
            <v>2</v>
          </cell>
          <cell r="G557">
            <v>0.29930000000000001</v>
          </cell>
          <cell r="H557">
            <v>15459.349588901763</v>
          </cell>
          <cell r="I557">
            <v>20086.332920860063</v>
          </cell>
          <cell r="J557">
            <v>40172.67</v>
          </cell>
        </row>
        <row r="558">
          <cell r="B558" t="str">
            <v>COMP8</v>
          </cell>
          <cell r="C558" t="str">
            <v>5.4.3.2</v>
          </cell>
          <cell r="D558" t="str">
            <v>Camisa metálica com espessura de 8 mm D = 700 mm - cravada com martelo vibratório - sem escavação - confecção e cravação</v>
          </cell>
          <cell r="E558" t="str">
            <v>m</v>
          </cell>
          <cell r="F558">
            <v>92.4</v>
          </cell>
          <cell r="G558">
            <v>0.29930000000000001</v>
          </cell>
          <cell r="H558">
            <v>1079.06</v>
          </cell>
          <cell r="I558">
            <v>1402.0226580000001</v>
          </cell>
          <cell r="J558">
            <v>129546.89</v>
          </cell>
        </row>
        <row r="559">
          <cell r="B559" t="str">
            <v>COMP16</v>
          </cell>
          <cell r="C559" t="str">
            <v>5.4.3.3</v>
          </cell>
          <cell r="D559" t="str">
            <v>Apoio náutico para a execução da cravação de camisa metálica D = 600 a 1800 mm</v>
          </cell>
          <cell r="E559" t="str">
            <v>m</v>
          </cell>
          <cell r="F559">
            <v>92.4</v>
          </cell>
          <cell r="G559">
            <v>0.29930000000000001</v>
          </cell>
          <cell r="H559">
            <v>250.85</v>
          </cell>
          <cell r="I559">
            <v>325.92940500000003</v>
          </cell>
          <cell r="J559">
            <v>30115.88</v>
          </cell>
        </row>
        <row r="560">
          <cell r="B560" t="str">
            <v>COMP35</v>
          </cell>
          <cell r="C560" t="str">
            <v>5.4.3.4</v>
          </cell>
          <cell r="D560" t="str">
            <v>Escavação com perfuratriz tipo Wirth em solo - D = 700 mm</v>
          </cell>
          <cell r="E560" t="str">
            <v>m</v>
          </cell>
          <cell r="F560">
            <v>66.599999999999994</v>
          </cell>
          <cell r="G560">
            <v>0.29930000000000001</v>
          </cell>
          <cell r="H560">
            <v>263.32</v>
          </cell>
          <cell r="I560">
            <v>342.13167600000003</v>
          </cell>
          <cell r="J560">
            <v>22785.97</v>
          </cell>
        </row>
        <row r="561">
          <cell r="B561" t="str">
            <v>COMP20</v>
          </cell>
          <cell r="C561" t="str">
            <v>5.4.3.5</v>
          </cell>
          <cell r="D561" t="str">
            <v>Apoio náutico para a escavação com perfuratriz tipo Wirth em solo D = 600 mm a 1800 mm</v>
          </cell>
          <cell r="E561" t="str">
            <v>m</v>
          </cell>
          <cell r="F561">
            <v>66.599999999999994</v>
          </cell>
          <cell r="G561">
            <v>0.29930000000000001</v>
          </cell>
          <cell r="H561">
            <v>304.67</v>
          </cell>
          <cell r="I561">
            <v>395.85773100000006</v>
          </cell>
          <cell r="J561">
            <v>26364.12</v>
          </cell>
        </row>
        <row r="562">
          <cell r="B562" t="str">
            <v>COMP9</v>
          </cell>
          <cell r="C562" t="str">
            <v>5.4.3.6</v>
          </cell>
          <cell r="D562" t="str">
            <v>Escavação com perfuratriz tipo Wirth em rocha de alta dureza e alta abrasão - resistência a compressão acima de 80 MPa - D = 600 mm</v>
          </cell>
          <cell r="E562" t="str">
            <v>m</v>
          </cell>
          <cell r="F562">
            <v>8</v>
          </cell>
          <cell r="G562">
            <v>0.29930000000000001</v>
          </cell>
          <cell r="H562">
            <v>2925.8</v>
          </cell>
          <cell r="I562">
            <v>3801.4919400000008</v>
          </cell>
          <cell r="J562">
            <v>30411.94</v>
          </cell>
        </row>
        <row r="563">
          <cell r="B563" t="str">
            <v>COMP10</v>
          </cell>
          <cell r="C563" t="str">
            <v>5.4.3.7</v>
          </cell>
          <cell r="D563" t="str">
            <v>Apoio náutico para a escavação com perfuratriz tipo Wirth em rocha de alta dureza e alta abrasão - resistência a compressão acima de 80 MPa - D = 600 a 1800 mm</v>
          </cell>
          <cell r="E563" t="str">
            <v>m</v>
          </cell>
          <cell r="F563">
            <v>8</v>
          </cell>
          <cell r="G563">
            <v>0.29930000000000001</v>
          </cell>
          <cell r="H563">
            <v>1717.23</v>
          </cell>
          <cell r="I563">
            <v>2231.1969390000004</v>
          </cell>
          <cell r="J563">
            <v>17849.580000000002</v>
          </cell>
        </row>
        <row r="564">
          <cell r="B564" t="str">
            <v>COMP19</v>
          </cell>
          <cell r="C564" t="str">
            <v>5.4.3.8</v>
          </cell>
          <cell r="D564" t="str">
            <v>Armação de camisa metálica em aço CA-50 com apoio de guindaste - fornecimento, preparo e colocação</v>
          </cell>
          <cell r="E564" t="str">
            <v>kg</v>
          </cell>
          <cell r="F564">
            <v>6521</v>
          </cell>
          <cell r="G564">
            <v>0.29930000000000001</v>
          </cell>
          <cell r="H564">
            <v>6.91</v>
          </cell>
          <cell r="I564">
            <v>8.9781630000000003</v>
          </cell>
          <cell r="J564">
            <v>58546.6</v>
          </cell>
        </row>
        <row r="565">
          <cell r="B565" t="str">
            <v>COMP17</v>
          </cell>
          <cell r="C565" t="str">
            <v>5.4.3.9</v>
          </cell>
          <cell r="D565" t="str">
            <v>Apoio náutico para a colocação da armação em camisa metálica</v>
          </cell>
          <cell r="E565" t="str">
            <v>kg</v>
          </cell>
          <cell r="F565">
            <v>6521</v>
          </cell>
          <cell r="G565">
            <v>0.29930000000000001</v>
          </cell>
          <cell r="H565">
            <v>0.54</v>
          </cell>
          <cell r="I565">
            <v>0.70162200000000008</v>
          </cell>
          <cell r="J565">
            <v>4575.28</v>
          </cell>
        </row>
        <row r="566">
          <cell r="B566" t="str">
            <v>COMP5</v>
          </cell>
          <cell r="C566" t="str">
            <v>5.4.3.10</v>
          </cell>
          <cell r="D566" t="str">
            <v>FORNECIMENTO E APLICAÇÃO DE CONCRETO USINADO FCK=40 MPA - CONSIDERANDO BOMBEAMENTO (5% DE PERDAS JÁ INCLUÍDO NO CUSTO) (6% DE TAXA P/CONCR. BOMBEAVEL)</v>
          </cell>
          <cell r="E566" t="str">
            <v>m3</v>
          </cell>
          <cell r="F566">
            <v>36.89</v>
          </cell>
          <cell r="G566">
            <v>0.29930000000000001</v>
          </cell>
          <cell r="H566">
            <v>413.38</v>
          </cell>
          <cell r="I566">
            <v>537.10463400000003</v>
          </cell>
          <cell r="J566">
            <v>19813.79</v>
          </cell>
        </row>
        <row r="567">
          <cell r="B567" t="str">
            <v>COMP15</v>
          </cell>
          <cell r="C567" t="str">
            <v>5.4.3.11</v>
          </cell>
          <cell r="D567" t="str">
            <v>Apoio náutico para a execução da concretagem de camisas metálicas</v>
          </cell>
          <cell r="E567" t="str">
            <v>m³</v>
          </cell>
          <cell r="F567">
            <v>36.89</v>
          </cell>
          <cell r="G567">
            <v>0.29930000000000001</v>
          </cell>
          <cell r="H567">
            <v>90.12</v>
          </cell>
          <cell r="I567">
            <v>117.09291600000002</v>
          </cell>
          <cell r="J567">
            <v>4319.5600000000004</v>
          </cell>
        </row>
        <row r="568">
          <cell r="B568" t="str">
            <v>COMP25</v>
          </cell>
          <cell r="C568" t="str">
            <v>5.4.3.12</v>
          </cell>
          <cell r="D568" t="str">
            <v>Arrasamento de camisa metálica com espessura de 8 mm D = 700 mm</v>
          </cell>
          <cell r="E568" t="str">
            <v>un</v>
          </cell>
          <cell r="F568">
            <v>4</v>
          </cell>
          <cell r="G568">
            <v>0.29930000000000001</v>
          </cell>
          <cell r="H568">
            <v>1.38</v>
          </cell>
          <cell r="I568">
            <v>1.793034</v>
          </cell>
          <cell r="J568">
            <v>7.17</v>
          </cell>
        </row>
        <row r="569">
          <cell r="B569" t="str">
            <v>COMP34</v>
          </cell>
          <cell r="C569" t="str">
            <v>5.4.3.13</v>
          </cell>
          <cell r="D569" t="str">
            <v>Tubo de travamento de 12,5 mm D = 500 mm L = 2,75 m - fornecimento e instalação</v>
          </cell>
          <cell r="E569" t="str">
            <v>un</v>
          </cell>
          <cell r="F569">
            <v>2</v>
          </cell>
          <cell r="G569">
            <v>0.29930000000000001</v>
          </cell>
          <cell r="H569">
            <v>4927.21</v>
          </cell>
          <cell r="I569">
            <v>6401.9239530000004</v>
          </cell>
          <cell r="J569">
            <v>12803.85</v>
          </cell>
        </row>
        <row r="570">
          <cell r="B570" t="str">
            <v>190418</v>
          </cell>
          <cell r="C570" t="str">
            <v>5.4.3.14</v>
          </cell>
          <cell r="D570" t="str">
            <v>Pintura de superfície metálica com uma demão de primer Epoxi e duas demãos de tinta à base de Epoxi</v>
          </cell>
          <cell r="E570" t="str">
            <v>m2</v>
          </cell>
          <cell r="F570">
            <v>36.71</v>
          </cell>
          <cell r="G570">
            <v>0.29930000000000001</v>
          </cell>
          <cell r="H570">
            <v>28.11</v>
          </cell>
          <cell r="I570">
            <v>36.523323000000005</v>
          </cell>
          <cell r="J570">
            <v>1340.77</v>
          </cell>
        </row>
        <row r="571">
          <cell r="B571" t="str">
            <v/>
          </cell>
          <cell r="C571" t="str">
            <v>5.4.4</v>
          </cell>
          <cell r="D571" t="str">
            <v>DEMAIS ITENS</v>
          </cell>
          <cell r="I571" t="str">
            <v/>
          </cell>
          <cell r="J571">
            <v>9655.66</v>
          </cell>
        </row>
        <row r="572">
          <cell r="B572" t="str">
            <v>COMP27</v>
          </cell>
          <cell r="C572" t="str">
            <v>5.4.4.1</v>
          </cell>
          <cell r="D572" t="str">
            <v>Guarda corpo de tubo de ferro galvanizado, diâm. 2" e 1/2", h= 1,1 m inclusive pintura a óleo ou esmalte</v>
          </cell>
          <cell r="E572" t="str">
            <v>m</v>
          </cell>
          <cell r="F572">
            <v>23.86</v>
          </cell>
          <cell r="G572">
            <v>0.29930000000000001</v>
          </cell>
          <cell r="H572">
            <v>311.45999999999998</v>
          </cell>
          <cell r="I572">
            <v>404.67997800000001</v>
          </cell>
          <cell r="J572">
            <v>9655.66</v>
          </cell>
        </row>
        <row r="573">
          <cell r="B573" t="str">
            <v/>
          </cell>
          <cell r="C573" t="str">
            <v>5.5</v>
          </cell>
          <cell r="D573" t="str">
            <v>PASSARELA DE ACESSO</v>
          </cell>
          <cell r="I573" t="str">
            <v/>
          </cell>
          <cell r="J573">
            <v>472323.69</v>
          </cell>
        </row>
        <row r="574">
          <cell r="B574" t="str">
            <v/>
          </cell>
          <cell r="C574" t="str">
            <v>5.5.1</v>
          </cell>
          <cell r="D574" t="str">
            <v>PASSARELA DE ACESSO</v>
          </cell>
          <cell r="I574" t="str">
            <v/>
          </cell>
          <cell r="J574">
            <v>472323.69</v>
          </cell>
        </row>
        <row r="575">
          <cell r="B575" t="str">
            <v>COMP22</v>
          </cell>
          <cell r="C575" t="str">
            <v>5.5.1.1</v>
          </cell>
          <cell r="D575" t="str">
            <v>Passarela metálica conforme especificações de projeto - fornecimento e instalação</v>
          </cell>
          <cell r="E575" t="str">
            <v>und</v>
          </cell>
          <cell r="F575">
            <v>1</v>
          </cell>
          <cell r="G575">
            <v>0.15570000000000001</v>
          </cell>
          <cell r="H575">
            <v>391481.5</v>
          </cell>
          <cell r="I575">
            <v>452435.16954999999</v>
          </cell>
          <cell r="J575">
            <v>452435.17</v>
          </cell>
        </row>
        <row r="576">
          <cell r="B576" t="str">
            <v>COMP42</v>
          </cell>
          <cell r="C576" t="str">
            <v>5.5.1.2</v>
          </cell>
          <cell r="D576" t="str">
            <v>Içamento de passarela metálica para flutuante de apoio</v>
          </cell>
          <cell r="E576" t="str">
            <v>und</v>
          </cell>
          <cell r="F576">
            <v>1</v>
          </cell>
          <cell r="G576">
            <v>0.29930000000000001</v>
          </cell>
          <cell r="H576">
            <v>3241.96</v>
          </cell>
          <cell r="I576">
            <v>4212.278628</v>
          </cell>
          <cell r="J576">
            <v>4212.28</v>
          </cell>
        </row>
        <row r="577">
          <cell r="B577" t="str">
            <v>COMP45</v>
          </cell>
          <cell r="C577" t="str">
            <v>5.5.1.3</v>
          </cell>
          <cell r="D577" t="str">
            <v>Transporte de passarela via água, efetuado com flutuante e rebocador (Trajeto Praça do Papa - Prainha de Vila Velha) (208,0776)</v>
          </cell>
          <cell r="E577" t="str">
            <v>un</v>
          </cell>
          <cell r="F577">
            <v>1</v>
          </cell>
          <cell r="G577">
            <v>0.29930000000000001</v>
          </cell>
          <cell r="H577">
            <v>176.96</v>
          </cell>
          <cell r="I577">
            <v>229.92412800000002</v>
          </cell>
          <cell r="J577">
            <v>229.92</v>
          </cell>
        </row>
        <row r="578">
          <cell r="B578" t="str">
            <v>COMP7</v>
          </cell>
          <cell r="C578" t="str">
            <v>5.5.1.4</v>
          </cell>
          <cell r="D578" t="str">
            <v>Telha trapezoidal calandrada galvalume - inclusive fornecimento, instalação e pintura</v>
          </cell>
          <cell r="E578" t="str">
            <v>m²</v>
          </cell>
          <cell r="F578">
            <v>120.68</v>
          </cell>
          <cell r="G578">
            <v>0.29930000000000001</v>
          </cell>
          <cell r="H578">
            <v>98.51</v>
          </cell>
          <cell r="I578">
            <v>127.99404300000002</v>
          </cell>
          <cell r="J578">
            <v>15446.32</v>
          </cell>
        </row>
        <row r="579">
          <cell r="B579" t="str">
            <v/>
          </cell>
          <cell r="C579" t="str">
            <v>5.6</v>
          </cell>
          <cell r="D579" t="str">
            <v>INSTALAÇÕES ELÉTRICAS</v>
          </cell>
          <cell r="I579" t="str">
            <v/>
          </cell>
          <cell r="J579">
            <v>47928.09</v>
          </cell>
        </row>
        <row r="580">
          <cell r="B580" t="str">
            <v/>
          </cell>
          <cell r="C580" t="str">
            <v>5.6.1</v>
          </cell>
          <cell r="D580" t="str">
            <v>INSTALAÇÕES ELÉTRICAS</v>
          </cell>
          <cell r="I580" t="str">
            <v/>
          </cell>
          <cell r="J580">
            <v>44194.27</v>
          </cell>
        </row>
        <row r="581">
          <cell r="B581" t="str">
            <v>151701</v>
          </cell>
          <cell r="C581" t="str">
            <v>5.6.1.1</v>
          </cell>
          <cell r="D581" t="str">
            <v>Padrão de entrada de energia elétrica, monofásico, entrada aérea, a 2 fios, carga instalada em muro de 3500 até 9000W - 220/127V</v>
          </cell>
          <cell r="E581" t="str">
            <v>und</v>
          </cell>
          <cell r="F581">
            <v>1</v>
          </cell>
          <cell r="G581">
            <v>0.29930000000000001</v>
          </cell>
          <cell r="H581">
            <v>1284.71</v>
          </cell>
          <cell r="I581">
            <v>1669.2237030000001</v>
          </cell>
          <cell r="J581">
            <v>1669.22</v>
          </cell>
        </row>
        <row r="582">
          <cell r="B582" t="str">
            <v>150312</v>
          </cell>
          <cell r="C582" t="str">
            <v>5.6.1.2</v>
          </cell>
          <cell r="D582" t="str">
            <v>Quadro de distribuição de energia, de embutir, com 3 divisões modulares, sem barramento</v>
          </cell>
          <cell r="E582" t="str">
            <v>und</v>
          </cell>
          <cell r="F582">
            <v>1</v>
          </cell>
          <cell r="G582">
            <v>0.29930000000000001</v>
          </cell>
          <cell r="H582">
            <v>88.27</v>
          </cell>
          <cell r="I582">
            <v>114.689211</v>
          </cell>
          <cell r="J582">
            <v>114.69</v>
          </cell>
        </row>
        <row r="583">
          <cell r="B583" t="str">
            <v>150628</v>
          </cell>
          <cell r="C583" t="str">
            <v>5.6.1.3</v>
          </cell>
          <cell r="D583" t="str">
            <v>Caixa de embutir marca de referência Tigreflex, 4x2"</v>
          </cell>
          <cell r="E583" t="str">
            <v>und</v>
          </cell>
          <cell r="F583">
            <v>20</v>
          </cell>
          <cell r="G583">
            <v>0.29930000000000001</v>
          </cell>
          <cell r="H583">
            <v>6.35</v>
          </cell>
          <cell r="I583">
            <v>8.2505550000000003</v>
          </cell>
          <cell r="J583">
            <v>165.01</v>
          </cell>
        </row>
        <row r="584">
          <cell r="B584" t="str">
            <v>151417</v>
          </cell>
          <cell r="C584" t="str">
            <v>5.6.1.4</v>
          </cell>
          <cell r="D584" t="str">
            <v>Cabo de cobre termoplástico, com isolamento para 1000V, seção de 2.5 mm2</v>
          </cell>
          <cell r="E584" t="str">
            <v>m</v>
          </cell>
          <cell r="F584">
            <v>169.2</v>
          </cell>
          <cell r="G584">
            <v>0.29930000000000001</v>
          </cell>
          <cell r="H584">
            <v>4.9800000000000004</v>
          </cell>
          <cell r="I584">
            <v>6.4705140000000014</v>
          </cell>
          <cell r="J584">
            <v>1094.81</v>
          </cell>
        </row>
        <row r="585">
          <cell r="B585" t="str">
            <v>151418</v>
          </cell>
          <cell r="C585" t="str">
            <v>5.6.1.5</v>
          </cell>
          <cell r="D585" t="str">
            <v>Cabo de cobre termoplástico, com isolamento para 1000V, seção de 4.0 mm2</v>
          </cell>
          <cell r="E585" t="str">
            <v>m</v>
          </cell>
          <cell r="F585">
            <v>333.8</v>
          </cell>
          <cell r="G585">
            <v>0.29930000000000001</v>
          </cell>
          <cell r="H585">
            <v>5.74</v>
          </cell>
          <cell r="I585">
            <v>7.4579820000000012</v>
          </cell>
          <cell r="J585">
            <v>2489.4699999999998</v>
          </cell>
        </row>
        <row r="586">
          <cell r="B586" t="str">
            <v>151420</v>
          </cell>
          <cell r="C586" t="str">
            <v>5.6.1.6</v>
          </cell>
          <cell r="D586" t="str">
            <v>Cabo de cobre termoplástico, com isolamento para 1000V, seção de 10 mm2</v>
          </cell>
          <cell r="E586" t="str">
            <v>m</v>
          </cell>
          <cell r="F586">
            <v>60</v>
          </cell>
          <cell r="G586">
            <v>0.29930000000000001</v>
          </cell>
          <cell r="H586">
            <v>9.0399999999999991</v>
          </cell>
          <cell r="I586">
            <v>11.745672000000001</v>
          </cell>
          <cell r="J586">
            <v>704.74</v>
          </cell>
        </row>
        <row r="587">
          <cell r="B587" t="str">
            <v>151809</v>
          </cell>
          <cell r="C587" t="str">
            <v>5.6.1.7</v>
          </cell>
          <cell r="D587" t="str">
            <v>Ponto padrão de interruptor de 2 teclas simples - considerando eletroduto PVC rígido de 3/4" inclusive conexões (3.3m), fio isolado PVC de 2.5mm2 (17.2m) e caixa estampada 4x2" (1 und)</v>
          </cell>
          <cell r="E587" t="str">
            <v>und</v>
          </cell>
          <cell r="F587">
            <v>1</v>
          </cell>
          <cell r="G587">
            <v>0.29930000000000001</v>
          </cell>
          <cell r="H587">
            <v>127.68</v>
          </cell>
          <cell r="I587">
            <v>165.89462400000002</v>
          </cell>
          <cell r="J587">
            <v>165.89</v>
          </cell>
        </row>
        <row r="588">
          <cell r="B588" t="str">
            <v>151803</v>
          </cell>
          <cell r="C588" t="str">
            <v>5.6.1.8</v>
          </cell>
          <cell r="D588" t="str">
            <v>Ponto padrão de tomada 2 pólos mais terra - considerando eletroduto PVC rígido de 3/4" inclusive conexões (5.0m), fio isolado PVC de 2.5mm2 (16.5m) e caixa estampada 4x2" (1 und)</v>
          </cell>
          <cell r="E588" t="str">
            <v>und</v>
          </cell>
          <cell r="F588">
            <v>11</v>
          </cell>
          <cell r="G588">
            <v>0.29930000000000001</v>
          </cell>
          <cell r="H588">
            <v>145.30000000000001</v>
          </cell>
          <cell r="I588">
            <v>188.78829000000005</v>
          </cell>
          <cell r="J588">
            <v>2076.67</v>
          </cell>
        </row>
        <row r="589">
          <cell r="B589" t="str">
            <v>151338</v>
          </cell>
          <cell r="C589" t="str">
            <v>5.6.1.9</v>
          </cell>
          <cell r="D589" t="str">
            <v>Mini-Disjuntor monopolar 10 A, curva C - 5KA 220/127VCA (NBR IEC 60947-2), Ref. Siemens, GE, Schneider ou equivalente</v>
          </cell>
          <cell r="E589" t="str">
            <v>und</v>
          </cell>
          <cell r="F589">
            <v>1</v>
          </cell>
          <cell r="G589">
            <v>0.29930000000000001</v>
          </cell>
          <cell r="H589">
            <v>15.43</v>
          </cell>
          <cell r="I589">
            <v>20.048199</v>
          </cell>
          <cell r="J589">
            <v>20.05</v>
          </cell>
        </row>
        <row r="590">
          <cell r="B590" t="str">
            <v>151301</v>
          </cell>
          <cell r="C590" t="str">
            <v>5.6.1.10</v>
          </cell>
          <cell r="D590" t="str">
            <v>Mini-Disjuntor monopolar 16 A, curva C - 5KA 220/127VCA (NBR IEC 60947-2), Ref. Siemens, GE, Schneider ou equivalente</v>
          </cell>
          <cell r="E590" t="str">
            <v>und</v>
          </cell>
          <cell r="F590">
            <v>1</v>
          </cell>
          <cell r="G590">
            <v>0.29930000000000001</v>
          </cell>
          <cell r="H590">
            <v>15.43</v>
          </cell>
          <cell r="I590">
            <v>20.048199</v>
          </cell>
          <cell r="J590">
            <v>20.05</v>
          </cell>
        </row>
        <row r="591">
          <cell r="B591" t="str">
            <v>151303</v>
          </cell>
          <cell r="C591" t="str">
            <v>5.6.1.11</v>
          </cell>
          <cell r="D591" t="str">
            <v>Mini-Disjuntor monopolar 25 A, curva C - 5KA 220/127VCA (NBR IEC 60947-2), Ref. Siemens, GE, Schneider ou equivalente</v>
          </cell>
          <cell r="E591" t="str">
            <v>und</v>
          </cell>
          <cell r="F591">
            <v>1</v>
          </cell>
          <cell r="G591">
            <v>0.29930000000000001</v>
          </cell>
          <cell r="H591">
            <v>15.43</v>
          </cell>
          <cell r="I591">
            <v>20.048199</v>
          </cell>
          <cell r="J591">
            <v>20.05</v>
          </cell>
        </row>
        <row r="592">
          <cell r="B592" t="str">
            <v>151318</v>
          </cell>
          <cell r="C592" t="str">
            <v>5.6.1.12</v>
          </cell>
          <cell r="D592" t="str">
            <v>Mini-Disjuntor monopolar 63 A, curva C - 5KA 220/127VCA (NBR IEC 60947-2), Ref. Siemens, GE, Schneider ou equivalente</v>
          </cell>
          <cell r="E592" t="str">
            <v>und</v>
          </cell>
          <cell r="F592">
            <v>1</v>
          </cell>
          <cell r="G592">
            <v>0.29930000000000001</v>
          </cell>
          <cell r="H592">
            <v>19.25</v>
          </cell>
          <cell r="I592">
            <v>25.011525000000002</v>
          </cell>
          <cell r="J592">
            <v>25.01</v>
          </cell>
        </row>
        <row r="593">
          <cell r="B593" t="str">
            <v>151350</v>
          </cell>
          <cell r="C593" t="str">
            <v>5.6.1.13</v>
          </cell>
          <cell r="D593" t="str">
            <v>Interruptor Diferencial DR 16A a 25A, 30mA, 2 módulos</v>
          </cell>
          <cell r="E593" t="str">
            <v>und</v>
          </cell>
          <cell r="F593">
            <v>1</v>
          </cell>
          <cell r="G593">
            <v>0.29930000000000001</v>
          </cell>
          <cell r="H593">
            <v>113.14</v>
          </cell>
          <cell r="I593">
            <v>147.002802</v>
          </cell>
          <cell r="J593">
            <v>147</v>
          </cell>
        </row>
        <row r="594">
          <cell r="B594" t="str">
            <v>151132</v>
          </cell>
          <cell r="C594" t="str">
            <v>5.6.1.14</v>
          </cell>
          <cell r="D594" t="str">
            <v>Eletroduto flexível corrugado 3/4" , marca de referência TIGRE</v>
          </cell>
          <cell r="E594" t="str">
            <v>m</v>
          </cell>
          <cell r="F594">
            <v>78.400000000000006</v>
          </cell>
          <cell r="G594">
            <v>0.29930000000000001</v>
          </cell>
          <cell r="H594">
            <v>6.38</v>
          </cell>
          <cell r="I594">
            <v>8.2895340000000015</v>
          </cell>
          <cell r="J594">
            <v>649.9</v>
          </cell>
        </row>
        <row r="595">
          <cell r="B595" t="str">
            <v>150801</v>
          </cell>
          <cell r="C595" t="str">
            <v>5.6.1.15</v>
          </cell>
          <cell r="D595" t="str">
            <v>Eletroduto aparente de PVC rígido roscável diâmetro 3/4", inclusive abraçadeira de fixação</v>
          </cell>
          <cell r="E595" t="str">
            <v>m</v>
          </cell>
          <cell r="F595">
            <v>70</v>
          </cell>
          <cell r="G595">
            <v>0.29930000000000001</v>
          </cell>
          <cell r="H595">
            <v>10.77</v>
          </cell>
          <cell r="I595">
            <v>13.993461</v>
          </cell>
          <cell r="J595">
            <v>979.54</v>
          </cell>
        </row>
        <row r="596">
          <cell r="B596" t="str">
            <v>180110</v>
          </cell>
          <cell r="C596" t="str">
            <v>5.6.1.16</v>
          </cell>
          <cell r="D596" t="str">
            <v>Arandela com lâmpada incandescente de 100W</v>
          </cell>
          <cell r="E596" t="str">
            <v>und</v>
          </cell>
          <cell r="F596">
            <v>5</v>
          </cell>
          <cell r="G596">
            <v>0.29930000000000001</v>
          </cell>
          <cell r="H596">
            <v>90.28</v>
          </cell>
          <cell r="I596">
            <v>117.30080400000001</v>
          </cell>
          <cell r="J596">
            <v>586.5</v>
          </cell>
        </row>
        <row r="597">
          <cell r="B597" t="str">
            <v>COMP21</v>
          </cell>
          <cell r="C597" t="str">
            <v>5.6.1.17</v>
          </cell>
          <cell r="D597" t="str">
            <v>Instalação e fornecimento de luminária High Bay LED 100W</v>
          </cell>
          <cell r="E597" t="str">
            <v>un</v>
          </cell>
          <cell r="F597">
            <v>20</v>
          </cell>
          <cell r="G597">
            <v>0.29930000000000001</v>
          </cell>
          <cell r="H597">
            <v>308.23</v>
          </cell>
          <cell r="I597">
            <v>400.48323900000008</v>
          </cell>
          <cell r="J597">
            <v>8009.66</v>
          </cell>
        </row>
        <row r="598">
          <cell r="B598" t="str">
            <v>COMP14</v>
          </cell>
          <cell r="C598" t="str">
            <v>5.6.1.18</v>
          </cell>
          <cell r="D598" t="str">
            <v xml:space="preserve">Fornecimento e instalação de lanterna de sinalização náutica com alcance luminoso de 2 MN </v>
          </cell>
          <cell r="E598" t="str">
            <v>un</v>
          </cell>
          <cell r="F598">
            <v>2</v>
          </cell>
          <cell r="G598">
            <v>0.29930000000000001</v>
          </cell>
          <cell r="H598">
            <v>4232.34</v>
          </cell>
          <cell r="I598">
            <v>5499.0793620000004</v>
          </cell>
          <cell r="J598">
            <v>10998.16</v>
          </cell>
        </row>
        <row r="599">
          <cell r="B599" t="str">
            <v>COT11</v>
          </cell>
          <cell r="C599" t="str">
            <v>5.6.1.19</v>
          </cell>
          <cell r="D599" t="str">
            <v>SISTEMA ON-GRID COM 8x PAINEL SOLAR 325 WP (2 m x 1m) OU EQUIVALENTE - FORNECIMENTO E INSTALAÇÃO</v>
          </cell>
          <cell r="E599" t="str">
            <v>UND</v>
          </cell>
          <cell r="F599">
            <v>1</v>
          </cell>
          <cell r="G599">
            <v>0.15570000000000001</v>
          </cell>
          <cell r="H599">
            <v>12336.985608806206</v>
          </cell>
          <cell r="I599">
            <v>14257.854268097331</v>
          </cell>
          <cell r="J599">
            <v>14257.85</v>
          </cell>
        </row>
        <row r="600">
          <cell r="B600" t="str">
            <v/>
          </cell>
          <cell r="C600" t="str">
            <v>5.6.2</v>
          </cell>
          <cell r="D600" t="str">
            <v>ATERRAMENTO</v>
          </cell>
          <cell r="I600" t="str">
            <v/>
          </cell>
          <cell r="J600">
            <v>3733.82</v>
          </cell>
        </row>
        <row r="601">
          <cell r="B601" t="str">
            <v>150610</v>
          </cell>
          <cell r="C601" t="str">
            <v>5.6.2.1</v>
          </cell>
          <cell r="D601" t="str">
            <v>Caixa de aterramento de concreto simples, nas dimensões de 30x30x25cm, com revest. int. em chapisco e reboco, tampa de concreto esp.5cm e lastro de brita esp. 5 cm, incl. haste 5/8"x2400mm</v>
          </cell>
          <cell r="E601" t="str">
            <v>und</v>
          </cell>
          <cell r="F601">
            <v>4</v>
          </cell>
          <cell r="G601">
            <v>0.29930000000000001</v>
          </cell>
          <cell r="H601">
            <v>160.28</v>
          </cell>
          <cell r="I601">
            <v>208.25180400000002</v>
          </cell>
          <cell r="J601">
            <v>833.01</v>
          </cell>
        </row>
        <row r="602">
          <cell r="B602" t="str">
            <v>160324</v>
          </cell>
          <cell r="C602" t="str">
            <v>5.6.2.2</v>
          </cell>
          <cell r="D602" t="str">
            <v>Caixa de equalização de potenciais para uso interno e externo com cinco (5) terminais para aterramento (BEP), em polipropileno, ref. TEL-902, marca de referência Termotécnica ou equivalente</v>
          </cell>
          <cell r="E602" t="str">
            <v>und</v>
          </cell>
          <cell r="F602">
            <v>1</v>
          </cell>
          <cell r="G602">
            <v>0.29930000000000001</v>
          </cell>
          <cell r="H602">
            <v>170.01</v>
          </cell>
          <cell r="I602">
            <v>220.89399299999999</v>
          </cell>
          <cell r="J602">
            <v>220.89</v>
          </cell>
        </row>
        <row r="603">
          <cell r="B603" t="str">
            <v>160317</v>
          </cell>
          <cell r="C603" t="str">
            <v>5.6.2.3</v>
          </cell>
          <cell r="D603" t="str">
            <v>Cabo de cobre nú 50mm2, ref. TEL 5750, marca de referência Termotécnica ou equivalente</v>
          </cell>
          <cell r="E603" t="str">
            <v>m</v>
          </cell>
          <cell r="F603">
            <v>70.900000000000006</v>
          </cell>
          <cell r="G603">
            <v>0.29930000000000001</v>
          </cell>
          <cell r="H603">
            <v>28.38</v>
          </cell>
          <cell r="I603">
            <v>36.874134000000005</v>
          </cell>
          <cell r="J603">
            <v>2614.38</v>
          </cell>
        </row>
        <row r="604">
          <cell r="B604" t="str">
            <v>160334</v>
          </cell>
          <cell r="C604" t="str">
            <v>5.6.2.4</v>
          </cell>
          <cell r="D604" t="str">
            <v>Terminal estanhado de 1 compressão 1 furo, 50mm², ref. TEL-5150, marca de referência Termotécnica ou equivalente</v>
          </cell>
          <cell r="E604" t="str">
            <v>und</v>
          </cell>
          <cell r="F604">
            <v>2</v>
          </cell>
          <cell r="G604">
            <v>0.29930000000000001</v>
          </cell>
          <cell r="H604">
            <v>25.22</v>
          </cell>
          <cell r="I604">
            <v>32.768346000000001</v>
          </cell>
          <cell r="J604">
            <v>65.540000000000006</v>
          </cell>
        </row>
        <row r="605">
          <cell r="C605" t="str">
            <v>5.7</v>
          </cell>
          <cell r="D605" t="str">
            <v>PREVENTIVO CONTRA INCÊNDIO</v>
          </cell>
          <cell r="J605">
            <v>2693.13</v>
          </cell>
        </row>
        <row r="606">
          <cell r="C606" t="str">
            <v>5.7.1</v>
          </cell>
          <cell r="D606" t="str">
            <v>PREVENTIVO CONTRA INCÊNDIO</v>
          </cell>
          <cell r="J606">
            <v>2693.13</v>
          </cell>
        </row>
        <row r="607">
          <cell r="B607" t="str">
            <v>160612</v>
          </cell>
          <cell r="C607" t="str">
            <v>5.7.1.1</v>
          </cell>
          <cell r="D607" t="str">
            <v>Placa de sinalização de segurança CODIGO 14 - 315/158(NBR 13.434); CÓDIGO S3(NT 14/2010-ES) ("SAIDA DE EMERGÊNCIA" - seta vertical)</v>
          </cell>
          <cell r="E607" t="str">
            <v>und</v>
          </cell>
          <cell r="F607">
            <v>2</v>
          </cell>
          <cell r="G607">
            <v>0.29930000000000001</v>
          </cell>
          <cell r="H607">
            <v>25.48</v>
          </cell>
          <cell r="I607">
            <v>33.106164000000007</v>
          </cell>
          <cell r="J607">
            <v>66.209999999999994</v>
          </cell>
        </row>
        <row r="608">
          <cell r="B608" t="str">
            <v>160608</v>
          </cell>
          <cell r="C608" t="str">
            <v>5.7.1.2</v>
          </cell>
          <cell r="D608" t="str">
            <v>Ponto para seta indicativa de saída, incl. seta em acrílico, com fonte alimentadora própria que assegure um funcionamento mínimo de 1h, para quando ocorrer falta de energia elétrica na rede pública, conforme projeto</v>
          </cell>
          <cell r="E608" t="str">
            <v>und</v>
          </cell>
          <cell r="F608">
            <v>3</v>
          </cell>
          <cell r="G608">
            <v>0.29930000000000001</v>
          </cell>
          <cell r="H608">
            <v>272.64999999999998</v>
          </cell>
          <cell r="I608">
            <v>354.25414499999999</v>
          </cell>
          <cell r="J608">
            <v>1062.76</v>
          </cell>
        </row>
        <row r="609">
          <cell r="B609" t="str">
            <v>160613</v>
          </cell>
          <cell r="C609" t="str">
            <v>5.7.1.3</v>
          </cell>
          <cell r="D609" t="str">
            <v>Ponto para iluminação de emergência completo, inclusive bloco autônomo de iluminação 2x9W com tomada universal</v>
          </cell>
          <cell r="E609" t="str">
            <v>und</v>
          </cell>
          <cell r="F609">
            <v>4</v>
          </cell>
          <cell r="G609">
            <v>0.29930000000000001</v>
          </cell>
          <cell r="H609">
            <v>167.92</v>
          </cell>
          <cell r="I609">
            <v>218.17845600000001</v>
          </cell>
          <cell r="J609">
            <v>872.71</v>
          </cell>
        </row>
        <row r="610">
          <cell r="B610" t="str">
            <v>160607</v>
          </cell>
          <cell r="C610" t="str">
            <v>5.7.1.4</v>
          </cell>
          <cell r="D610" t="str">
            <v>Extintor de incêndio portátil de pó químico ABC com capacidade 2A-20B:C (4 kg), inclusive suporte para fixação, EXCLUSIVE placa sinalizadora em PVC fotoluminescente</v>
          </cell>
          <cell r="E610" t="str">
            <v>und</v>
          </cell>
          <cell r="F610">
            <v>3</v>
          </cell>
          <cell r="G610">
            <v>0.29930000000000001</v>
          </cell>
          <cell r="H610">
            <v>151.79</v>
          </cell>
          <cell r="I610">
            <v>197.22074700000002</v>
          </cell>
          <cell r="J610">
            <v>591.66</v>
          </cell>
        </row>
        <row r="611">
          <cell r="B611" t="str">
            <v>190605</v>
          </cell>
          <cell r="C611" t="str">
            <v>5.7.1.5</v>
          </cell>
          <cell r="D611" t="str">
            <v>Aplicação de tinta epóxi de alta espessura semibrilhante sobre piso de concreto a três demãos, inclusive selador epóxi a uma demão - Ref. Intergard 2005 e 2001 - Internacional ou equivalente</v>
          </cell>
          <cell r="E611" t="str">
            <v>m2</v>
          </cell>
          <cell r="F611">
            <v>1.8</v>
          </cell>
          <cell r="G611">
            <v>0.29930000000000001</v>
          </cell>
          <cell r="H611">
            <v>42.67</v>
          </cell>
          <cell r="I611">
            <v>55.441131000000006</v>
          </cell>
          <cell r="J611">
            <v>99.79</v>
          </cell>
        </row>
        <row r="613">
          <cell r="B613" t="str">
            <v>COMPA01</v>
          </cell>
          <cell r="C613" t="str">
            <v>2.4.1.13</v>
          </cell>
          <cell r="D613" t="str">
            <v>Pranchões e Roletes para apoio da plataforma flutuante</v>
          </cell>
          <cell r="E613" t="str">
            <v>und</v>
          </cell>
          <cell r="F613">
            <v>1</v>
          </cell>
          <cell r="I613">
            <v>14691.104972375691</v>
          </cell>
        </row>
        <row r="614">
          <cell r="B614" t="str">
            <v>COMPA06</v>
          </cell>
          <cell r="D614" t="str">
            <v>Tubo de travamento de 12,7 mm D = 300 mm L = 5,10 m - fornecimento e instalação</v>
          </cell>
          <cell r="E614" t="str">
            <v>un</v>
          </cell>
          <cell r="I614">
            <v>6550.59</v>
          </cell>
        </row>
        <row r="615">
          <cell r="B615">
            <v>151350</v>
          </cell>
          <cell r="D615" t="str">
            <v>Interruptor Diferencial DR 16A a 25A, 30mA, 2 módulos</v>
          </cell>
          <cell r="E615" t="str">
            <v>und</v>
          </cell>
          <cell r="I615">
            <v>133.04</v>
          </cell>
        </row>
        <row r="616">
          <cell r="B616">
            <v>151132</v>
          </cell>
          <cell r="D616" t="str">
            <v>Eletroduto flexível corrugado 3/4" , marca de referência TIGRE</v>
          </cell>
          <cell r="E616" t="str">
            <v>m</v>
          </cell>
          <cell r="I616">
            <v>7.5</v>
          </cell>
        </row>
        <row r="617">
          <cell r="B617">
            <v>150801</v>
          </cell>
          <cell r="D617" t="str">
            <v>Eletroduto aparente de PVC rígido roscável diâmetro 3/4", inclusive abraçadeira de fixação</v>
          </cell>
          <cell r="E617" t="str">
            <v>m</v>
          </cell>
          <cell r="I617">
            <v>12.67</v>
          </cell>
        </row>
        <row r="618">
          <cell r="B618">
            <v>151701</v>
          </cell>
          <cell r="D618" t="str">
            <v>Padrão de entrada de energia elétrica, monofásico, entrada aérea, a 2 fios, carga instalada em muro de 3500 até 9000W - 220/127V</v>
          </cell>
          <cell r="E618" t="str">
            <v>und</v>
          </cell>
          <cell r="I618">
            <v>1510.64</v>
          </cell>
        </row>
        <row r="619">
          <cell r="B619">
            <v>150312</v>
          </cell>
          <cell r="D619" t="str">
            <v>Quadro de distribuição de energia, de embutir, com 3 divisões modulares, sem barramento</v>
          </cell>
          <cell r="E619" t="str">
            <v>und</v>
          </cell>
          <cell r="I619">
            <v>103.79</v>
          </cell>
        </row>
        <row r="620">
          <cell r="B620">
            <v>150628</v>
          </cell>
          <cell r="D620" t="str">
            <v>Caixa de embutir marca de referência Tigreflex, 4x2"</v>
          </cell>
          <cell r="E620" t="str">
            <v>und</v>
          </cell>
          <cell r="I620">
            <v>7.47</v>
          </cell>
        </row>
        <row r="621">
          <cell r="B621">
            <v>151809</v>
          </cell>
          <cell r="D621" t="str">
            <v>Ponto padrão de interruptor de 2 teclas simples - considerando eletroduto PVC rígido de 3/4" inclusive conexões (3.3m), fio isolado PVC de 2.5mm2 (17.2m) e caixa estampada 4x2" (1 und)</v>
          </cell>
          <cell r="E621" t="str">
            <v>und</v>
          </cell>
          <cell r="I621">
            <v>150.13</v>
          </cell>
        </row>
        <row r="622">
          <cell r="B622">
            <v>151803</v>
          </cell>
          <cell r="D622" t="str">
            <v>Ponto padrão de tomada 2 pólos mais terra - considerando eletroduto PVC rígido de 3/4" inclusive conexões (5.0m), fio isolado PVC de 2.5mm2 (16.5m) e caixa estampada 4x2" (1 und)</v>
          </cell>
          <cell r="E622" t="str">
            <v>und</v>
          </cell>
          <cell r="I622">
            <v>170.86</v>
          </cell>
        </row>
        <row r="623">
          <cell r="B623">
            <v>151338</v>
          </cell>
          <cell r="D623" t="str">
            <v>Mini-Disjuntor monopolar 10 A, curva C - 5KA 220/127VCA (NBR IEC 60947-2), Ref. Siemens, GE, Schneider ou equivalente</v>
          </cell>
          <cell r="E623" t="str">
            <v>und</v>
          </cell>
          <cell r="I623">
            <v>18.14</v>
          </cell>
        </row>
        <row r="624">
          <cell r="B624">
            <v>151301</v>
          </cell>
          <cell r="D624" t="str">
            <v>Mini-Disjuntor monopolar 16 A, curva C - 5KA 220/127VCA (NBR IEC 60947-2), Ref. Siemens, GE, Schneider ou equivalente</v>
          </cell>
          <cell r="E624" t="str">
            <v>und</v>
          </cell>
          <cell r="I624">
            <v>18.14</v>
          </cell>
        </row>
        <row r="625">
          <cell r="B625">
            <v>151303</v>
          </cell>
          <cell r="D625" t="str">
            <v>Mini-Disjuntor monopolar 25 A, curva C - 5KA 220/127VCA (NBR IEC 60947-2), Ref. Siemens, GE, Schneider ou equivalente</v>
          </cell>
          <cell r="E625" t="str">
            <v>und</v>
          </cell>
          <cell r="I625">
            <v>18.14</v>
          </cell>
        </row>
        <row r="626">
          <cell r="B626">
            <v>180110</v>
          </cell>
          <cell r="D626" t="str">
            <v>Arandela com lâmpada incandescente de 100W</v>
          </cell>
          <cell r="E626" t="str">
            <v>und</v>
          </cell>
          <cell r="I626">
            <v>106.15</v>
          </cell>
        </row>
        <row r="627">
          <cell r="B627">
            <v>150610</v>
          </cell>
          <cell r="D627" t="str">
            <v>Caixa de aterramento de concreto simples, nas dimensões de 30x30x25cm, com revest. int. em chapisco e reboco, tampa de concreto esp.5cm e lastro de brita esp. 5 cm, incl. haste 5/8"x2400mm</v>
          </cell>
          <cell r="E627" t="str">
            <v>und</v>
          </cell>
          <cell r="I627">
            <v>188.46</v>
          </cell>
        </row>
        <row r="628">
          <cell r="B628">
            <v>160324</v>
          </cell>
          <cell r="D628" t="str">
            <v>Caixa de equalização de potenciais para uso interno e externo com cinco (5) terminais para aterramento (BEP), em polipropileno, ref. TEL-902, marca de referência Termotécnica ou equivalente</v>
          </cell>
          <cell r="E628" t="str">
            <v>und</v>
          </cell>
          <cell r="I628">
            <v>199.91</v>
          </cell>
        </row>
        <row r="629">
          <cell r="B629">
            <v>160317</v>
          </cell>
          <cell r="D629" t="str">
            <v>Cabo de cobre nú 50mm2, ref. TEL 5750, marca de referência Termotécnica ou equivalente</v>
          </cell>
          <cell r="E629" t="str">
            <v>m</v>
          </cell>
          <cell r="I629">
            <v>33.369999999999997</v>
          </cell>
        </row>
        <row r="630">
          <cell r="B630">
            <v>160334</v>
          </cell>
          <cell r="D630" t="str">
            <v>Terminal estanhado de 1 compressão 1 furo, 50mm², ref. TEL-5150, marca de referência Termotécnica ou equivalente</v>
          </cell>
          <cell r="E630" t="str">
            <v>und</v>
          </cell>
          <cell r="I630">
            <v>29.65</v>
          </cell>
        </row>
        <row r="631">
          <cell r="B631" t="str">
            <v>40781</v>
          </cell>
          <cell r="D631" t="str">
            <v>Base solo brita, 50% em peso, inclusive fornecimento e transporte da brita</v>
          </cell>
          <cell r="E631" t="str">
            <v>m³</v>
          </cell>
          <cell r="I631">
            <v>56.22</v>
          </cell>
        </row>
        <row r="632">
          <cell r="B632" t="str">
            <v>020712</v>
          </cell>
          <cell r="D632" t="str">
            <v>Rede de água com padrão de entrada d'água diâm. 3/4", conf. espec. CESAN, incl. tubos e conexões para alimentação, distribuição, extravasor e limpeza, cons. o padrão a 25m, conf. projeto (1 utilização)</v>
          </cell>
          <cell r="E632" t="str">
            <v>m</v>
          </cell>
          <cell r="I632">
            <v>37.909999999999997</v>
          </cell>
        </row>
        <row r="633">
          <cell r="B633" t="str">
            <v>020713</v>
          </cell>
          <cell r="D633" t="str">
            <v>Rede de luz, incl. padrão entr. energia trifás. cabo ligação até barracões, quadro distrib., disj. e chave de força, cons. 20m entre padrão entrada e QDG, conf. projeto (1 utilização)</v>
          </cell>
          <cell r="E633" t="str">
            <v>m</v>
          </cell>
          <cell r="I633">
            <v>433.87</v>
          </cell>
        </row>
        <row r="634">
          <cell r="B634" t="str">
            <v>020714</v>
          </cell>
          <cell r="D634" t="str">
            <v>Rede de esgoto, contendo fossa e filtro, inclusive tubos e conexões de ligação entre caixas, considerando distância de 25m, conforme projeto (1 utilização)</v>
          </cell>
          <cell r="E634" t="str">
            <v>m</v>
          </cell>
          <cell r="I634">
            <v>314.74</v>
          </cell>
        </row>
        <row r="635">
          <cell r="B635" t="str">
            <v>010219</v>
          </cell>
          <cell r="D635" t="str">
            <v>Demolição manual de concreto armado</v>
          </cell>
          <cell r="E635" t="str">
            <v>m3</v>
          </cell>
          <cell r="I635">
            <v>281.24</v>
          </cell>
        </row>
        <row r="636">
          <cell r="B636" t="str">
            <v>020346</v>
          </cell>
          <cell r="D636" t="str">
            <v>Locação de andaime metálico para fachada - tipo torre (aluguel mensal)</v>
          </cell>
          <cell r="E636" t="str">
            <v>m2</v>
          </cell>
          <cell r="I636">
            <v>8.0299999999999994</v>
          </cell>
        </row>
        <row r="637">
          <cell r="B637" t="str">
            <v>130110</v>
          </cell>
          <cell r="D637" t="str">
            <v>Lastro regularizado de concreto não estrutural, espessura de 8 cm (máximo de 100m³)</v>
          </cell>
          <cell r="E637" t="str">
            <v>m2</v>
          </cell>
          <cell r="I637">
            <v>51.84</v>
          </cell>
        </row>
        <row r="638">
          <cell r="B638">
            <v>42052</v>
          </cell>
          <cell r="D638" t="str">
            <v>Estaca raiz perfurada em solo, diâm. 410mm com injeção de arg. incl. fornecimento de todos materiais</v>
          </cell>
          <cell r="E638" t="str">
            <v>m</v>
          </cell>
          <cell r="I638">
            <v>578.87</v>
          </cell>
        </row>
        <row r="639">
          <cell r="B639" t="str">
            <v>42051</v>
          </cell>
          <cell r="D639" t="str">
            <v>Estaca raiz perfurada em rocha, diâm. 310mm com injeção de arg. incl. fornecimento de todos materiais</v>
          </cell>
          <cell r="E639" t="str">
            <v>m</v>
          </cell>
          <cell r="I639">
            <v>1018.16</v>
          </cell>
        </row>
        <row r="640">
          <cell r="B640">
            <v>151417</v>
          </cell>
          <cell r="D640" t="str">
            <v>Cabo de cobre termoplástico, com isolamento para 1000V, seção de 2.5 mm2</v>
          </cell>
          <cell r="E640" t="str">
            <v>m</v>
          </cell>
          <cell r="I640">
            <v>5.86</v>
          </cell>
        </row>
        <row r="641">
          <cell r="B641">
            <v>151418</v>
          </cell>
          <cell r="D641" t="str">
            <v>Cabo de cobre termoplástico, com isolamento para 1000V, seção de 4.0 mm2</v>
          </cell>
          <cell r="E641" t="str">
            <v>m</v>
          </cell>
          <cell r="I641">
            <v>6.74</v>
          </cell>
        </row>
        <row r="642">
          <cell r="B642">
            <v>151420</v>
          </cell>
          <cell r="D642" t="str">
            <v>Cabo de cobre termoplástico, com isolamento para 1000V, seção de 10 mm2</v>
          </cell>
          <cell r="E642" t="str">
            <v>m</v>
          </cell>
          <cell r="I642">
            <v>10.63</v>
          </cell>
        </row>
        <row r="643">
          <cell r="B643">
            <v>151318</v>
          </cell>
          <cell r="D643" t="str">
            <v>Mini-Disjuntor monopolar 63 A, curva C - 5KA 220/127VCA (NBR IEC 60947-2), Ref. Siemens, GE, Schneider ou equivalente</v>
          </cell>
          <cell r="E643" t="str">
            <v>und</v>
          </cell>
          <cell r="I643">
            <v>22.63</v>
          </cell>
        </row>
        <row r="644">
          <cell r="B644">
            <v>120101</v>
          </cell>
          <cell r="D644" t="str">
            <v>Chapisco de argamassa de cimento e areia média ou grossa lavada, no traço 1:3, espessura 5 mm</v>
          </cell>
          <cell r="E644" t="str">
            <v>m2</v>
          </cell>
          <cell r="I644">
            <v>5.64</v>
          </cell>
        </row>
        <row r="645">
          <cell r="B645">
            <v>120303</v>
          </cell>
          <cell r="D645" t="str">
            <v>Reboco tipo paulista de argamassa de cimento, cal hidratada CH1 e areia média ou grossa lavada no traço 1:0.5:6, espessura 25 mm</v>
          </cell>
          <cell r="E645" t="str">
            <v>m2</v>
          </cell>
          <cell r="I645">
            <v>49.24</v>
          </cell>
        </row>
        <row r="646">
          <cell r="B646">
            <v>160612</v>
          </cell>
          <cell r="D646" t="str">
            <v>Placa de sinalização de segurança CODIGO 14 - 315/158(NBR 13.434); CÓDIGO S3(NT 14/2010-ES) ("SAIDA DE EMERGÊNCIA" - seta vertical)</v>
          </cell>
          <cell r="E646" t="str">
            <v>und</v>
          </cell>
          <cell r="I646">
            <v>29.96</v>
          </cell>
        </row>
        <row r="647">
          <cell r="B647">
            <v>160608</v>
          </cell>
          <cell r="D647" t="str">
            <v>Ponto para seta indicativa de saída, incl. seta em acrílico, com fonte alimentadora própria que assegure um funcionamento mínimo de 1h, para quando ocorrer falta de energia elétrica na rede pública, conforme projeto</v>
          </cell>
          <cell r="E647" t="str">
            <v>und</v>
          </cell>
          <cell r="I647">
            <v>320.60000000000002</v>
          </cell>
        </row>
        <row r="648">
          <cell r="B648">
            <v>160613</v>
          </cell>
          <cell r="D648" t="str">
            <v>Ponto para iluminação de emergência completo, inclusive bloco autônomo de iluminação 2x9W com tomada universal</v>
          </cell>
          <cell r="E648" t="str">
            <v>und</v>
          </cell>
          <cell r="I648">
            <v>197.45</v>
          </cell>
        </row>
        <row r="649">
          <cell r="B649">
            <v>160607</v>
          </cell>
          <cell r="D649" t="str">
            <v>Extintor de incêndio portátil de pó químico ABC com capacidade 2A-20B:C (4 kg), inclusive suporte para fixação, EXCLUSIVE placa sinalizadora em PVC fotoluminescente</v>
          </cell>
          <cell r="E649" t="str">
            <v>und</v>
          </cell>
          <cell r="I649">
            <v>178.48</v>
          </cell>
        </row>
        <row r="650">
          <cell r="B650">
            <v>190605</v>
          </cell>
          <cell r="D650" t="str">
            <v>Aplicação de tinta epóxi de alta espessura semibrilhante sobre piso de concreto a três demãos, inclusive selador epóxi a uma demão - Ref. Intergard 2005 e 2001 - Internacional ou equivalente</v>
          </cell>
          <cell r="E650" t="str">
            <v>m2</v>
          </cell>
          <cell r="I650">
            <v>50.18</v>
          </cell>
        </row>
      </sheetData>
      <sheetData sheetId="1" refreshError="1"/>
      <sheetData sheetId="2" refreshError="1"/>
      <sheetData sheetId="3" refreshError="1">
        <row r="1">
          <cell r="B1" t="str">
            <v>Instituição</v>
          </cell>
          <cell r="C1" t="str">
            <v>Código/ Composição</v>
          </cell>
          <cell r="D1" t="str">
            <v>Descrição dos Serviços</v>
          </cell>
          <cell r="E1" t="str">
            <v>Unid.</v>
          </cell>
          <cell r="F1">
            <v>44470</v>
          </cell>
          <cell r="G1">
            <v>44501</v>
          </cell>
          <cell r="H1">
            <v>44531</v>
          </cell>
          <cell r="I1">
            <v>44562</v>
          </cell>
          <cell r="J1">
            <v>44593</v>
          </cell>
          <cell r="K1">
            <v>44621</v>
          </cell>
          <cell r="L1">
            <v>44652</v>
          </cell>
          <cell r="M1">
            <v>44682</v>
          </cell>
          <cell r="N1">
            <v>44713</v>
          </cell>
          <cell r="O1">
            <v>44743</v>
          </cell>
          <cell r="P1">
            <v>44774</v>
          </cell>
          <cell r="Q1">
            <v>44805</v>
          </cell>
          <cell r="R1">
            <v>44835</v>
          </cell>
          <cell r="S1">
            <v>44866</v>
          </cell>
          <cell r="T1">
            <v>44927</v>
          </cell>
        </row>
        <row r="3">
          <cell r="A3" t="str">
            <v>DER020350</v>
          </cell>
          <cell r="B3" t="str">
            <v>DER</v>
          </cell>
          <cell r="C3" t="str">
            <v>020350</v>
          </cell>
          <cell r="D3" t="str">
            <v>Tapume Telha Metálica Ondulada 0,50mm Branca h=2,20m, incl. montagem estr. mad. 8"x8", c/adesivo "IOPES" 60x60cm a cada 10m, incl. faixas pint. esmalte sint. cores azul c/ h=30cm e rosa c/ h=10cm (Reaproveitamento 2x)</v>
          </cell>
          <cell r="E3" t="str">
            <v>m</v>
          </cell>
          <cell r="F3">
            <v>207.79</v>
          </cell>
          <cell r="I3">
            <v>207.86</v>
          </cell>
          <cell r="J3">
            <v>208.44</v>
          </cell>
          <cell r="L3">
            <v>208.94</v>
          </cell>
          <cell r="M3">
            <v>216.16</v>
          </cell>
          <cell r="O3">
            <v>198.45</v>
          </cell>
        </row>
        <row r="4">
          <cell r="A4" t="str">
            <v>DER020343</v>
          </cell>
          <cell r="B4" t="str">
            <v>DER</v>
          </cell>
          <cell r="C4" t="str">
            <v>020343</v>
          </cell>
          <cell r="D4" t="str">
            <v>Aluguel mensal container para escritório, sem banheiro, dim. 6.00x2.40m, incl. porta, 2 janelas, abert p/ ar cond., 2 pt iluminação, 2 tomadas elét. e 1 tomada telef. Isolamento térmico (teto e paredes), piso em comp. Naval, cert. NR18, incl. laudo descontaminação.</v>
          </cell>
          <cell r="E4" t="str">
            <v>m</v>
          </cell>
          <cell r="F4">
            <v>978.33</v>
          </cell>
          <cell r="G4">
            <v>978.33</v>
          </cell>
          <cell r="H4">
            <v>978.33</v>
          </cell>
          <cell r="I4">
            <v>978.33</v>
          </cell>
          <cell r="J4">
            <v>978.33</v>
          </cell>
          <cell r="K4">
            <v>978.33</v>
          </cell>
          <cell r="L4">
            <v>963.75</v>
          </cell>
          <cell r="M4">
            <v>963.75</v>
          </cell>
          <cell r="O4">
            <v>963.75</v>
          </cell>
          <cell r="P4">
            <v>963.75</v>
          </cell>
        </row>
        <row r="5">
          <cell r="A5" t="str">
            <v>DER020353</v>
          </cell>
          <cell r="B5" t="str">
            <v>DER</v>
          </cell>
          <cell r="C5" t="str">
            <v>020353</v>
          </cell>
          <cell r="D5" t="str">
            <v>Aluguel mensal container para refeitorio, incl. porta, 2 janelas, abert p/ ar cond., 2 pt iluminação, 2 tomadas elét. e 1 tomada telef. Isolamento térmico (paredes e teto), piso em comp. Naval pintado, cert. NR18, incl. laudo descontaminação.</v>
          </cell>
          <cell r="E5" t="str">
            <v>mês</v>
          </cell>
          <cell r="G5">
            <v>1000</v>
          </cell>
          <cell r="H5">
            <v>1000</v>
          </cell>
          <cell r="J5">
            <v>1000</v>
          </cell>
          <cell r="K5">
            <v>1000</v>
          </cell>
          <cell r="L5">
            <v>975</v>
          </cell>
          <cell r="M5">
            <v>975</v>
          </cell>
          <cell r="N5">
            <v>975</v>
          </cell>
          <cell r="O5">
            <v>975</v>
          </cell>
          <cell r="P5">
            <v>975</v>
          </cell>
          <cell r="Q5">
            <v>975</v>
          </cell>
        </row>
        <row r="6">
          <cell r="A6" t="str">
            <v>DER020354</v>
          </cell>
          <cell r="B6" t="str">
            <v>DER</v>
          </cell>
          <cell r="C6" t="str">
            <v>020354</v>
          </cell>
          <cell r="D6" t="str">
            <v>Aluguel mensal container para vestiário, incl. porta, venezianas de circulação, 1 pt iluminação, Isolamento térmico (teto), piso em comp. Naval pintado, cert. NR18, incl. Laudo descontaminação.</v>
          </cell>
          <cell r="E6" t="str">
            <v>mês</v>
          </cell>
          <cell r="G6">
            <v>710</v>
          </cell>
          <cell r="H6">
            <v>710</v>
          </cell>
          <cell r="I6">
            <v>710</v>
          </cell>
          <cell r="J6">
            <v>710</v>
          </cell>
          <cell r="K6">
            <v>710</v>
          </cell>
          <cell r="L6">
            <v>719</v>
          </cell>
          <cell r="M6">
            <v>719</v>
          </cell>
          <cell r="N6">
            <v>719</v>
          </cell>
          <cell r="O6">
            <v>719</v>
          </cell>
          <cell r="P6">
            <v>719</v>
          </cell>
        </row>
        <row r="7">
          <cell r="A7" t="str">
            <v>DER020355</v>
          </cell>
          <cell r="B7" t="str">
            <v>DER</v>
          </cell>
          <cell r="C7" t="str">
            <v>020355</v>
          </cell>
          <cell r="D7" t="str">
            <v>Aluguel mensal container para escritório, sem banheiro, dim. 6.00x2.40m, incl. porta, 2 janelas, abert p/ ar cond., 2 pt iluminação, 2 tomadas elét. e 1 tomada telef. Isolamento térmico (teto e paredes), piso em comp. Naval, cert. NR18, incl. laudo descontaminação.</v>
          </cell>
          <cell r="E7" t="str">
            <v>m</v>
          </cell>
          <cell r="F7">
            <v>1033.33</v>
          </cell>
          <cell r="G7">
            <v>1033.33</v>
          </cell>
          <cell r="H7">
            <v>1033.33</v>
          </cell>
          <cell r="I7">
            <v>1033.33</v>
          </cell>
          <cell r="J7">
            <v>1033.33</v>
          </cell>
          <cell r="K7">
            <v>1033.33</v>
          </cell>
          <cell r="L7">
            <v>1017.4</v>
          </cell>
          <cell r="M7">
            <v>1017.4</v>
          </cell>
          <cell r="N7">
            <v>1017.4</v>
          </cell>
          <cell r="O7">
            <v>1017.4</v>
          </cell>
        </row>
        <row r="8">
          <cell r="A8" t="str">
            <v>DER020356</v>
          </cell>
          <cell r="B8" t="str">
            <v>DER</v>
          </cell>
          <cell r="C8" t="str">
            <v>020356</v>
          </cell>
          <cell r="D8" t="str">
            <v>Aluguel mensal container para almoxarifado, incl. porta, 2 janelas, 1 pt iluminação, Isolamento térmico (teto), piso em comp. Naval pintado, cert. NR18, incl. laudo descontaminação.</v>
          </cell>
          <cell r="E8" t="str">
            <v>ms</v>
          </cell>
          <cell r="F8">
            <v>710</v>
          </cell>
          <cell r="G8">
            <v>710</v>
          </cell>
          <cell r="H8">
            <v>710</v>
          </cell>
          <cell r="I8">
            <v>710</v>
          </cell>
          <cell r="J8">
            <v>710</v>
          </cell>
          <cell r="K8">
            <v>710</v>
          </cell>
          <cell r="L8">
            <v>707.4</v>
          </cell>
          <cell r="M8">
            <v>707.4</v>
          </cell>
          <cell r="N8">
            <v>707.4</v>
          </cell>
          <cell r="O8">
            <v>707.4</v>
          </cell>
        </row>
        <row r="9">
          <cell r="A9" t="str">
            <v>DER020344</v>
          </cell>
          <cell r="B9" t="str">
            <v>DER</v>
          </cell>
          <cell r="C9" t="str">
            <v>020344</v>
          </cell>
          <cell r="D9" t="str">
            <v>Mobilização e desmobilização de conteiner locado para barracão de obra</v>
          </cell>
          <cell r="E9" t="str">
            <v>und</v>
          </cell>
          <cell r="F9">
            <v>1400</v>
          </cell>
          <cell r="G9">
            <v>1400</v>
          </cell>
          <cell r="H9">
            <v>1400</v>
          </cell>
          <cell r="I9">
            <v>1400</v>
          </cell>
          <cell r="J9">
            <v>1400</v>
          </cell>
          <cell r="L9">
            <v>1866.67</v>
          </cell>
          <cell r="N9">
            <v>1866.67</v>
          </cell>
          <cell r="R9">
            <v>1530</v>
          </cell>
          <cell r="S9">
            <v>1530</v>
          </cell>
        </row>
        <row r="10">
          <cell r="A10" t="str">
            <v>DER020708</v>
          </cell>
          <cell r="B10" t="str">
            <v>DER</v>
          </cell>
          <cell r="C10" t="str">
            <v>020708</v>
          </cell>
          <cell r="D10" t="str">
            <v>Galpão para serraria e carpintaria área 12.00m2, em peça de madeira 8x8cm e contraventamento de 5x7cm, cobertura de telha de fibroc. de 6mm, inclusive ponto e cabo de alimentação da máquina, conf. projeto (1 utilização)</v>
          </cell>
          <cell r="E10" t="str">
            <v>m2</v>
          </cell>
          <cell r="F10">
            <v>233</v>
          </cell>
          <cell r="K10">
            <v>221.65</v>
          </cell>
        </row>
        <row r="11">
          <cell r="A11" t="str">
            <v>DER020709</v>
          </cell>
          <cell r="B11" t="str">
            <v>DER</v>
          </cell>
          <cell r="C11" t="str">
            <v>020709</v>
          </cell>
          <cell r="D11" t="str">
            <v>Galpão para corte e armação com área de 6.00m2, em peças de madeira 8x8cm e contraventamento de 5x7cm, cobertura de telhas de fibroc. de 6mm, inclusive ponto e cabo de alimentação da máquina, conf. projeto (1 utilização)</v>
          </cell>
          <cell r="E11" t="str">
            <v>m2</v>
          </cell>
          <cell r="F11">
            <v>305.75</v>
          </cell>
        </row>
        <row r="12">
          <cell r="A12" t="str">
            <v>DER010512</v>
          </cell>
          <cell r="B12" t="str">
            <v>DER</v>
          </cell>
          <cell r="C12" t="str">
            <v>010512</v>
          </cell>
          <cell r="D12" t="str">
            <v>Equipe topográfica para serviços simples de locação e nivelamento (incluindo equipamento, transporte e profissionais nivel médio)</v>
          </cell>
          <cell r="E12" t="str">
            <v>mês</v>
          </cell>
          <cell r="F12">
            <v>17209.2</v>
          </cell>
          <cell r="H12">
            <v>17289.2</v>
          </cell>
          <cell r="N12">
            <v>17161.169999999998</v>
          </cell>
          <cell r="Q12">
            <v>17680.47</v>
          </cell>
          <cell r="R12">
            <v>17689.18</v>
          </cell>
        </row>
        <row r="13">
          <cell r="A13" t="str">
            <v>DER030103</v>
          </cell>
          <cell r="B13" t="str">
            <v>DER</v>
          </cell>
          <cell r="C13" t="str">
            <v>030103</v>
          </cell>
          <cell r="D13" t="str">
            <v>Escavação mecânica em material de 1a. categoria</v>
          </cell>
          <cell r="E13" t="str">
            <v>m3</v>
          </cell>
          <cell r="F13">
            <v>10.67</v>
          </cell>
          <cell r="I13">
            <v>11.33</v>
          </cell>
          <cell r="J13">
            <v>12.04</v>
          </cell>
          <cell r="M13">
            <v>12.44</v>
          </cell>
          <cell r="Q13">
            <v>12.85</v>
          </cell>
        </row>
        <row r="14">
          <cell r="A14" t="str">
            <v>DER030304</v>
          </cell>
          <cell r="B14" t="str">
            <v>DER</v>
          </cell>
          <cell r="C14" t="str">
            <v>030304</v>
          </cell>
          <cell r="D14" t="str">
            <v>Índice de preço para remoção de entulho decorrente da execução de obras (Classe A CONAMA - NBR 10.004 - Classe II-B), incluindo aluguel da caçamba, carga, transporte e descarga em área licenciada</v>
          </cell>
          <cell r="E14" t="str">
            <v>m3</v>
          </cell>
          <cell r="F14">
            <v>60.85</v>
          </cell>
          <cell r="I14">
            <v>60.93</v>
          </cell>
          <cell r="K14">
            <v>62.93</v>
          </cell>
          <cell r="M14">
            <v>63.99</v>
          </cell>
          <cell r="Q14">
            <v>73.319999999999993</v>
          </cell>
        </row>
        <row r="15">
          <cell r="A15" t="str">
            <v>DER040328</v>
          </cell>
          <cell r="B15" t="str">
            <v>DER</v>
          </cell>
          <cell r="C15" t="str">
            <v>040328</v>
          </cell>
          <cell r="D15" t="str">
            <v>Fornecimento, dobragem e colocação em fôrma, de armadura CA-50 A média, diâmetro de 6.3 a 10.0 mm</v>
          </cell>
          <cell r="E15" t="str">
            <v>kg</v>
          </cell>
          <cell r="F15">
            <v>12.94</v>
          </cell>
          <cell r="G15">
            <v>12.94</v>
          </cell>
          <cell r="H15">
            <v>11.81</v>
          </cell>
          <cell r="I15">
            <v>11.65</v>
          </cell>
          <cell r="J15">
            <v>10.72</v>
          </cell>
          <cell r="K15">
            <v>10.72</v>
          </cell>
          <cell r="L15">
            <v>11.47</v>
          </cell>
          <cell r="M15">
            <v>11.8</v>
          </cell>
          <cell r="N15">
            <v>13.12</v>
          </cell>
          <cell r="O15">
            <v>13.12</v>
          </cell>
          <cell r="P15">
            <v>12.11</v>
          </cell>
          <cell r="Q15">
            <v>12.11</v>
          </cell>
          <cell r="R15">
            <v>11.65</v>
          </cell>
        </row>
        <row r="16">
          <cell r="A16" t="str">
            <v>DER020305</v>
          </cell>
          <cell r="B16" t="str">
            <v>DER</v>
          </cell>
          <cell r="C16" t="str">
            <v>020305</v>
          </cell>
          <cell r="D16" t="str">
            <v>Placa de obra nas dimensões de 2.0 x 4.0 m, padrão IOPES</v>
          </cell>
          <cell r="E16" t="str">
            <v>m2</v>
          </cell>
          <cell r="G16">
            <v>269.31</v>
          </cell>
          <cell r="K16">
            <v>269.37</v>
          </cell>
          <cell r="M16">
            <v>275.76</v>
          </cell>
        </row>
        <row r="17">
          <cell r="A17" t="str">
            <v>DER040405</v>
          </cell>
          <cell r="B17" t="str">
            <v>DER</v>
          </cell>
          <cell r="C17" t="str">
            <v>040405</v>
          </cell>
          <cell r="D17" t="str">
            <v>Fôrma com chapa compensada plastificada esp. 12mm, utização 5 vezes</v>
          </cell>
          <cell r="E17" t="str">
            <v>m2</v>
          </cell>
          <cell r="G17">
            <v>121.16</v>
          </cell>
          <cell r="H17">
            <v>121.16</v>
          </cell>
          <cell r="K17">
            <v>121.16</v>
          </cell>
          <cell r="L17">
            <v>120.7</v>
          </cell>
          <cell r="M17">
            <v>126.25</v>
          </cell>
          <cell r="N17">
            <v>126.25</v>
          </cell>
          <cell r="Q17">
            <v>126.25</v>
          </cell>
        </row>
        <row r="18">
          <cell r="A18" t="str">
            <v>DER030101</v>
          </cell>
          <cell r="B18" t="str">
            <v>DER</v>
          </cell>
          <cell r="C18" t="str">
            <v>030101</v>
          </cell>
          <cell r="D18" t="str">
            <v>Escavação manual em material de 1a. categoria, até 1.50 m de profundidade</v>
          </cell>
          <cell r="E18" t="str">
            <v>m3</v>
          </cell>
          <cell r="F18">
            <v>6.3</v>
          </cell>
          <cell r="G18">
            <v>53.679558011049721</v>
          </cell>
          <cell r="H18">
            <v>48.58</v>
          </cell>
          <cell r="I18">
            <v>46.09</v>
          </cell>
          <cell r="M18">
            <v>51.51</v>
          </cell>
          <cell r="O18">
            <v>51.51</v>
          </cell>
        </row>
        <row r="19">
          <cell r="A19" t="str">
            <v>DER040339</v>
          </cell>
          <cell r="B19" t="str">
            <v>DER</v>
          </cell>
          <cell r="C19" t="str">
            <v>040339</v>
          </cell>
          <cell r="D19" t="str">
            <v>Forma de chapas madeira compensada resinada, esp. 12mm, levando-se em conta a utilização 3 vezes, reforçadas com sarrafos de madeira de 2.5 x 10.0cm (incl material, corte, montagem,
escoras em eucalipto e desforma)</v>
          </cell>
          <cell r="E19" t="str">
            <v>m2</v>
          </cell>
          <cell r="I19">
            <v>122.21</v>
          </cell>
          <cell r="J19">
            <v>124.84</v>
          </cell>
          <cell r="K19">
            <v>124.84</v>
          </cell>
          <cell r="L19">
            <v>118.91</v>
          </cell>
          <cell r="M19">
            <v>124.46</v>
          </cell>
          <cell r="N19">
            <v>124.46</v>
          </cell>
          <cell r="O19">
            <v>124.46</v>
          </cell>
          <cell r="P19">
            <v>124.46</v>
          </cell>
          <cell r="Q19">
            <v>124.46</v>
          </cell>
          <cell r="R19">
            <v>117.17</v>
          </cell>
        </row>
        <row r="20">
          <cell r="A20" t="str">
            <v>DER040245</v>
          </cell>
          <cell r="B20" t="str">
            <v>DER</v>
          </cell>
          <cell r="C20" t="str">
            <v>040245</v>
          </cell>
          <cell r="D20" t="str">
            <v>Fornecimento, dobragem e colocação em fôrma, de armadura CA-50 A grossa diâmetro de 12.5 a 25.0 mm (1/2 a 1")</v>
          </cell>
          <cell r="E20" t="str">
            <v>kg</v>
          </cell>
          <cell r="I20">
            <v>11.82</v>
          </cell>
          <cell r="J20">
            <v>11.34</v>
          </cell>
          <cell r="M20">
            <v>12.14</v>
          </cell>
          <cell r="O20">
            <v>13.29</v>
          </cell>
          <cell r="P20">
            <v>12.39</v>
          </cell>
          <cell r="Q20">
            <v>12.39</v>
          </cell>
          <cell r="R20">
            <v>12.08</v>
          </cell>
        </row>
        <row r="21">
          <cell r="A21" t="str">
            <v>DER040813</v>
          </cell>
          <cell r="B21" t="str">
            <v>DER</v>
          </cell>
          <cell r="C21" t="str">
            <v>040813</v>
          </cell>
          <cell r="D21" t="str">
            <v>Impermeabilização de estrutura com Sika Top 107 ou equivalente</v>
          </cell>
          <cell r="E21" t="str">
            <v>m2</v>
          </cell>
          <cell r="J21">
            <v>71.33</v>
          </cell>
          <cell r="P21">
            <v>66.3</v>
          </cell>
          <cell r="S21">
            <v>87.05</v>
          </cell>
          <cell r="T21">
            <v>87.05</v>
          </cell>
        </row>
        <row r="22">
          <cell r="A22" t="str">
            <v>DER040246</v>
          </cell>
          <cell r="B22" t="str">
            <v>DER</v>
          </cell>
          <cell r="C22" t="str">
            <v>040246</v>
          </cell>
          <cell r="D22" t="str">
            <v>Fornecimento, dobragem e colocação em fôrma, de armadura CA-60 B fina, diâmetro de 4.0 a 7.0mm</v>
          </cell>
          <cell r="E22" t="str">
            <v>kg</v>
          </cell>
          <cell r="J22">
            <v>12.34</v>
          </cell>
          <cell r="O22">
            <v>13.56</v>
          </cell>
          <cell r="P22">
            <v>13.06</v>
          </cell>
          <cell r="Q22">
            <v>13.06</v>
          </cell>
          <cell r="R22">
            <v>11.95</v>
          </cell>
        </row>
        <row r="23">
          <cell r="A23" t="str">
            <v>DER030210</v>
          </cell>
          <cell r="B23" t="str">
            <v>DER</v>
          </cell>
          <cell r="C23" t="str">
            <v>030210</v>
          </cell>
          <cell r="D23" t="str">
            <v>Aterro compactado utilizando compactador de placa vibratória com reaproveitamento do material</v>
          </cell>
          <cell r="E23" t="str">
            <v>m3</v>
          </cell>
          <cell r="J23">
            <v>25.25</v>
          </cell>
          <cell r="Q23">
            <v>27.99</v>
          </cell>
        </row>
        <row r="24">
          <cell r="A24" t="str">
            <v>DER030208</v>
          </cell>
          <cell r="B24" t="str">
            <v>DER</v>
          </cell>
          <cell r="C24" t="str">
            <v>030208</v>
          </cell>
          <cell r="D24" t="str">
            <v>Aterro manual para regularização do terreno em argila, inclusive adensamento manual e fornecimento do material (máximo de 100m3)</v>
          </cell>
          <cell r="E24" t="str">
            <v>m3</v>
          </cell>
          <cell r="J24">
            <v>133.13999999999999</v>
          </cell>
          <cell r="M24">
            <v>127.66</v>
          </cell>
        </row>
        <row r="25">
          <cell r="A25" t="str">
            <v>DER010501</v>
          </cell>
          <cell r="B25" t="str">
            <v>DER</v>
          </cell>
          <cell r="C25" t="str">
            <v>010501</v>
          </cell>
          <cell r="D25" t="str">
            <v>Locação de obra com gabarito de madeira</v>
          </cell>
          <cell r="E25" t="str">
            <v>m2</v>
          </cell>
          <cell r="I25">
            <v>10.27</v>
          </cell>
          <cell r="J25">
            <v>10.27</v>
          </cell>
          <cell r="O25">
            <v>10.84</v>
          </cell>
        </row>
        <row r="26">
          <cell r="A26" t="str">
            <v>DER040602</v>
          </cell>
          <cell r="B26" t="str">
            <v>DER</v>
          </cell>
          <cell r="C26" t="str">
            <v>040602</v>
          </cell>
          <cell r="D26" t="str">
            <v>Laje pré-fabricada treliçada, sobrecarga 300 Kg/m2, vão de 3.5m a 4.3m, capeamento 4cm, esp. 12cm, Fck = 150 Kg/cm2</v>
          </cell>
          <cell r="E26" t="str">
            <v>m2</v>
          </cell>
          <cell r="K26">
            <v>124.83</v>
          </cell>
          <cell r="O26">
            <v>132.63999999999999</v>
          </cell>
          <cell r="R26">
            <v>137.83000000000001</v>
          </cell>
        </row>
        <row r="27">
          <cell r="A27" t="str">
            <v>DER151350</v>
          </cell>
          <cell r="B27" t="str">
            <v>DER</v>
          </cell>
          <cell r="C27">
            <v>151350</v>
          </cell>
          <cell r="D27" t="str">
            <v>Interruptor Diferencial DR 16A a 25A, 30mA, 2 módulos</v>
          </cell>
          <cell r="E27" t="str">
            <v>und</v>
          </cell>
          <cell r="K27">
            <v>150.72</v>
          </cell>
          <cell r="S27">
            <v>107.72</v>
          </cell>
        </row>
        <row r="28">
          <cell r="A28" t="str">
            <v>DER151132</v>
          </cell>
          <cell r="B28" t="str">
            <v>DER</v>
          </cell>
          <cell r="C28">
            <v>151132</v>
          </cell>
          <cell r="D28" t="str">
            <v>Eletroduto flexível corrugado 3/4" , marca de referência TIGRE</v>
          </cell>
          <cell r="E28" t="str">
            <v>m</v>
          </cell>
          <cell r="K28">
            <v>8.23</v>
          </cell>
          <cell r="N28">
            <v>9.19</v>
          </cell>
          <cell r="S28">
            <v>9.2799999999999994</v>
          </cell>
          <cell r="T28">
            <v>9.2799999999999994</v>
          </cell>
        </row>
        <row r="29">
          <cell r="A29" t="str">
            <v>DER150801</v>
          </cell>
          <cell r="B29" t="str">
            <v>DER</v>
          </cell>
          <cell r="C29">
            <v>150801</v>
          </cell>
          <cell r="D29" t="str">
            <v>Eletroduto aparente de PVC rígido roscável diâmetro 3/4", inclusive abraçadeira de fixação</v>
          </cell>
          <cell r="E29" t="str">
            <v>m</v>
          </cell>
          <cell r="K29">
            <v>16.29</v>
          </cell>
          <cell r="S29">
            <v>15.86</v>
          </cell>
        </row>
        <row r="30">
          <cell r="A30" t="str">
            <v>DER010402</v>
          </cell>
          <cell r="B30" t="str">
            <v>DER</v>
          </cell>
          <cell r="C30" t="str">
            <v>010402</v>
          </cell>
          <cell r="D30" t="str">
            <v>Raspagem e limpeza do terreno (manual)</v>
          </cell>
          <cell r="E30" t="str">
            <v>m2</v>
          </cell>
          <cell r="K30">
            <v>3.55</v>
          </cell>
          <cell r="Q30">
            <v>3.96</v>
          </cell>
        </row>
        <row r="31">
          <cell r="A31" t="str">
            <v>DER010404</v>
          </cell>
          <cell r="B31" t="str">
            <v>DER</v>
          </cell>
          <cell r="C31" t="str">
            <v>010404</v>
          </cell>
          <cell r="D31" t="str">
            <v>Corte e destocamento de árvores com diâmetro superior a 30 cm</v>
          </cell>
          <cell r="E31" t="str">
            <v>und</v>
          </cell>
          <cell r="K31">
            <v>105.78</v>
          </cell>
          <cell r="Q31">
            <v>118.24</v>
          </cell>
        </row>
        <row r="32">
          <cell r="A32" t="str">
            <v>DER090102</v>
          </cell>
          <cell r="B32" t="str">
            <v>DER</v>
          </cell>
          <cell r="C32" t="str">
            <v>090102</v>
          </cell>
          <cell r="D32" t="str">
            <v>Estrutura de madeira de lei tipo Paraju, peroba mica, angelim pedra ou equivalente para telhado de telha ondulada de fibrocimento esp. 6mm, com pontaletes e caibros, inclusive
tratamento com cupinicida, exclusive telhas</v>
          </cell>
          <cell r="E32" t="str">
            <v>m2</v>
          </cell>
          <cell r="L32">
            <v>109.33</v>
          </cell>
          <cell r="Q32">
            <v>113.03</v>
          </cell>
          <cell r="T32">
            <v>108.24</v>
          </cell>
        </row>
        <row r="33">
          <cell r="A33" t="str">
            <v>DER090223</v>
          </cell>
          <cell r="B33" t="str">
            <v>DER</v>
          </cell>
          <cell r="C33" t="str">
            <v>090223</v>
          </cell>
          <cell r="D33" t="str">
            <v>Cobertura em telha termoacustica tipo telha/telha em aço galvanizado trapez. 40, e=0.43mm, pint. face. sup. e infer. cor branca, incl. acess. fix. nucleo em poliuretano (injeção contínua),
e=30mm, ref. Isoeste, Sto André, Panissol, Metform ou equi</v>
          </cell>
          <cell r="E33" t="str">
            <v>m2</v>
          </cell>
        </row>
        <row r="34">
          <cell r="A34" t="str">
            <v>DER050602</v>
          </cell>
          <cell r="B34" t="str">
            <v>DER</v>
          </cell>
          <cell r="C34" t="str">
            <v>050602</v>
          </cell>
          <cell r="D34" t="str">
            <v>Alvenaria de blocos de concreto 14x19x39cm, c/ resist. mínimo a compres. 2.5 MPa, assent. c/ arg. de cimento, cal hidratada CH1 e areia no traço 1:0.5:8 esp. das juntas 10mm e esp. das
paredes, s/ rev. 14cm (Platibanda)</v>
          </cell>
          <cell r="E34" t="str">
            <v>m2</v>
          </cell>
          <cell r="L34">
            <v>68.87</v>
          </cell>
          <cell r="P34">
            <v>78.03</v>
          </cell>
          <cell r="S34">
            <v>81.28</v>
          </cell>
        </row>
        <row r="35">
          <cell r="A35" t="str">
            <v>DER050608</v>
          </cell>
          <cell r="B35" t="str">
            <v>DER</v>
          </cell>
          <cell r="C35" t="str">
            <v>050608</v>
          </cell>
          <cell r="D35" t="str">
            <v>Alvenaria de blocos cerâmicos 10 furos 10x20x20cm, assentados c/argamassa de cimento, cal hidratada CH1 e areia traço 1:0,5:8, juntas 12mm e espessura das paredes, s/revestimento,
20cm (bloco comprado fábrica,posto obra)</v>
          </cell>
          <cell r="E35" t="str">
            <v>m2</v>
          </cell>
          <cell r="L35">
            <v>102.81</v>
          </cell>
          <cell r="P35">
            <v>110.71</v>
          </cell>
          <cell r="S35">
            <v>109.6</v>
          </cell>
          <cell r="T35">
            <v>110.4</v>
          </cell>
        </row>
        <row r="36">
          <cell r="A36" t="str">
            <v>DER120101</v>
          </cell>
          <cell r="B36" t="str">
            <v>DER</v>
          </cell>
          <cell r="C36" t="str">
            <v>120101</v>
          </cell>
          <cell r="D36" t="str">
            <v>Chapisco de argamassa de cimento e areia média ou grossa lavada, no traço 1:3, espessura 5 mm</v>
          </cell>
          <cell r="E36" t="str">
            <v>m2</v>
          </cell>
          <cell r="L36">
            <v>5.92</v>
          </cell>
          <cell r="P36">
            <v>6.8</v>
          </cell>
          <cell r="Q36">
            <v>6.8</v>
          </cell>
          <cell r="S36">
            <v>6.88</v>
          </cell>
          <cell r="T36">
            <v>7</v>
          </cell>
        </row>
        <row r="37">
          <cell r="A37" t="str">
            <v>DER120303</v>
          </cell>
          <cell r="B37" t="str">
            <v>DER</v>
          </cell>
          <cell r="C37" t="str">
            <v>120303</v>
          </cell>
          <cell r="D37" t="str">
            <v>Reboco tipo paulista de argamassa de cimento, cal hidratada CH1 e areia média ou grossa lavada no traço 1:0.5:6, espessura 25 mm</v>
          </cell>
          <cell r="E37" t="str">
            <v>m2</v>
          </cell>
          <cell r="L37">
            <v>48.56</v>
          </cell>
          <cell r="P37">
            <v>54.65</v>
          </cell>
          <cell r="S37">
            <v>54.9</v>
          </cell>
          <cell r="T37">
            <v>55.48</v>
          </cell>
        </row>
        <row r="38">
          <cell r="A38" t="str">
            <v>DER190117</v>
          </cell>
          <cell r="B38" t="str">
            <v>DER</v>
          </cell>
          <cell r="C38" t="str">
            <v>190117</v>
          </cell>
          <cell r="D38" t="str">
            <v>Pintura com tinta acrílica, marcas de referência Suvinil, Coral e Metalatex, inclusive selador acrílico, em paredes e forros, a duas demãos</v>
          </cell>
          <cell r="E38" t="str">
            <v>m2</v>
          </cell>
          <cell r="L38">
            <v>19.079999999999998</v>
          </cell>
          <cell r="R38">
            <v>20.51</v>
          </cell>
          <cell r="T38">
            <v>20.51</v>
          </cell>
        </row>
        <row r="39">
          <cell r="A39" t="str">
            <v>DER151701</v>
          </cell>
          <cell r="B39" t="str">
            <v>DER</v>
          </cell>
          <cell r="C39">
            <v>151701</v>
          </cell>
          <cell r="D39" t="str">
            <v>Padrão de entrada de energia elétrica, monofásico, entrada aérea, a 2 fios, carga instalada em muro de 3500 até 9000W - 220/127V</v>
          </cell>
          <cell r="E39" t="str">
            <v>und</v>
          </cell>
          <cell r="L39">
            <v>2261.62</v>
          </cell>
          <cell r="S39">
            <v>2338</v>
          </cell>
          <cell r="T39">
            <v>2337.58</v>
          </cell>
        </row>
        <row r="40">
          <cell r="A40" t="str">
            <v>DER150312</v>
          </cell>
          <cell r="B40" t="str">
            <v>DER</v>
          </cell>
          <cell r="C40">
            <v>150312</v>
          </cell>
          <cell r="D40" t="str">
            <v>Quadro de distribuição de energia, de embutir, com 3 divisões modulares, sem barramento</v>
          </cell>
          <cell r="E40" t="str">
            <v>und</v>
          </cell>
          <cell r="L40">
            <v>97</v>
          </cell>
          <cell r="N40">
            <v>105.22</v>
          </cell>
          <cell r="S40">
            <v>110.23</v>
          </cell>
          <cell r="T40">
            <v>110.23</v>
          </cell>
        </row>
        <row r="41">
          <cell r="A41" t="str">
            <v>DER150628</v>
          </cell>
          <cell r="B41" t="str">
            <v>DER</v>
          </cell>
          <cell r="C41">
            <v>150628</v>
          </cell>
          <cell r="D41" t="str">
            <v>Caixa de embutir marca de referência Tigreflex, 4x2"</v>
          </cell>
          <cell r="E41" t="str">
            <v>und</v>
          </cell>
          <cell r="L41">
            <v>8.8699999999999992</v>
          </cell>
          <cell r="S41">
            <v>8.67</v>
          </cell>
          <cell r="T41">
            <v>8.67</v>
          </cell>
        </row>
        <row r="42">
          <cell r="A42" t="str">
            <v>DER151417</v>
          </cell>
          <cell r="B42" t="str">
            <v>DER</v>
          </cell>
          <cell r="C42" t="str">
            <v>151417</v>
          </cell>
          <cell r="D42" t="str">
            <v>Cabo de cobre termoplástico, com isolamento para 1000V, seção de 2.5 mm2</v>
          </cell>
          <cell r="E42" t="str">
            <v>m</v>
          </cell>
          <cell r="L42">
            <v>8.44</v>
          </cell>
          <cell r="S42">
            <v>8.26</v>
          </cell>
          <cell r="T42">
            <v>8.26</v>
          </cell>
        </row>
        <row r="43">
          <cell r="A43" t="str">
            <v>DER151418</v>
          </cell>
          <cell r="B43" t="str">
            <v>DER</v>
          </cell>
          <cell r="C43" t="str">
            <v>151418</v>
          </cell>
          <cell r="D43" t="str">
            <v>Cabo de cobre termoplástico, com isolamento para 1000V, seção de 4.0 mm2</v>
          </cell>
          <cell r="E43" t="str">
            <v>m</v>
          </cell>
          <cell r="L43">
            <v>9.8800000000000008</v>
          </cell>
          <cell r="S43">
            <v>10.62</v>
          </cell>
          <cell r="T43">
            <v>10.62</v>
          </cell>
        </row>
        <row r="44">
          <cell r="A44" t="str">
            <v>DER151420</v>
          </cell>
          <cell r="B44" t="str">
            <v>DER</v>
          </cell>
          <cell r="C44" t="str">
            <v>151420</v>
          </cell>
          <cell r="D44" t="str">
            <v>Cabo de cobre termoplástico, com isolamento para 1000V, seção de 10 mm2</v>
          </cell>
          <cell r="E44" t="str">
            <v>m</v>
          </cell>
          <cell r="L44">
            <v>17.71</v>
          </cell>
          <cell r="S44">
            <v>18.7</v>
          </cell>
          <cell r="T44">
            <v>18.7</v>
          </cell>
        </row>
        <row r="45">
          <cell r="A45" t="str">
            <v>DER151809</v>
          </cell>
          <cell r="B45" t="str">
            <v>DER</v>
          </cell>
          <cell r="C45">
            <v>151809</v>
          </cell>
          <cell r="D45" t="str">
            <v>Ponto padrão de interruptor de 2 teclas simples - considerando eletroduto PVC rígido de 3/4" inclusive conexões (3.3m), fio isolado PVC de 2.5mm2 (17.2m) e caixa estampada 4x2" (1 und)</v>
          </cell>
          <cell r="E45" t="str">
            <v>und</v>
          </cell>
          <cell r="L45">
            <v>181.48</v>
          </cell>
          <cell r="S45">
            <v>191.31</v>
          </cell>
          <cell r="T45">
            <v>191.31</v>
          </cell>
        </row>
        <row r="46">
          <cell r="A46" t="str">
            <v>DER151803</v>
          </cell>
          <cell r="B46" t="str">
            <v>DER</v>
          </cell>
          <cell r="C46">
            <v>151803</v>
          </cell>
          <cell r="D46" t="str">
            <v>Ponto padrão de tomada 2 pólos mais terra - considerando eletroduto PVC rígido de 3/4" inclusive conexões (5.0m), fio isolado PVC de 2.5mm2 (16.5m) e caixa estampada 4x2" (1 und)</v>
          </cell>
          <cell r="E46" t="str">
            <v>und</v>
          </cell>
          <cell r="L46">
            <v>204.27</v>
          </cell>
          <cell r="S46">
            <v>214.33</v>
          </cell>
          <cell r="T46">
            <v>214.33</v>
          </cell>
        </row>
        <row r="47">
          <cell r="A47" t="str">
            <v>DER151338</v>
          </cell>
          <cell r="B47" t="str">
            <v>DER</v>
          </cell>
          <cell r="C47">
            <v>151338</v>
          </cell>
          <cell r="D47" t="str">
            <v>Mini-Disjuntor monopolar 10 A, curva C - 5KA 220/127VCA (NBR IEC 60947-2), Ref. Siemens, GE, Schneider ou equivalente</v>
          </cell>
          <cell r="E47" t="str">
            <v>und</v>
          </cell>
          <cell r="L47">
            <v>19.36</v>
          </cell>
          <cell r="S47">
            <v>21.27</v>
          </cell>
        </row>
        <row r="48">
          <cell r="A48" t="str">
            <v>DER151301</v>
          </cell>
          <cell r="B48" t="str">
            <v>DER</v>
          </cell>
          <cell r="C48">
            <v>151301</v>
          </cell>
          <cell r="D48" t="str">
            <v>Mini-Disjuntor monopolar 16 A, curva C - 5KA 220/127VCA (NBR IEC 60947-2), Ref. Siemens, GE, Schneider ou equivalente</v>
          </cell>
          <cell r="E48" t="str">
            <v>und</v>
          </cell>
          <cell r="L48">
            <v>19.36</v>
          </cell>
          <cell r="S48">
            <v>21.27</v>
          </cell>
        </row>
        <row r="49">
          <cell r="A49" t="str">
            <v>DER151303</v>
          </cell>
          <cell r="B49" t="str">
            <v>DER</v>
          </cell>
          <cell r="C49">
            <v>151303</v>
          </cell>
          <cell r="D49" t="str">
            <v>Mini-Disjuntor monopolar 25 A, curva C - 5KA 220/127VCA (NBR IEC 60947-2), Ref. Siemens, GE, Schneider ou equivalente</v>
          </cell>
          <cell r="E49" t="str">
            <v>und</v>
          </cell>
          <cell r="L49">
            <v>19.36</v>
          </cell>
          <cell r="S49">
            <v>21.27</v>
          </cell>
        </row>
        <row r="50">
          <cell r="A50" t="str">
            <v>DER151318</v>
          </cell>
          <cell r="B50" t="str">
            <v>DER</v>
          </cell>
          <cell r="C50" t="str">
            <v>151318</v>
          </cell>
          <cell r="D50" t="str">
            <v>Mini-Disjuntor monopolar 63 A, curva C - 5KA 220/127VCA (NBR IEC 60947-2), Ref. Siemens, GE, Schneider ou equivalente</v>
          </cell>
          <cell r="E50" t="str">
            <v>und</v>
          </cell>
          <cell r="L50">
            <v>25.2</v>
          </cell>
          <cell r="S50">
            <v>25.74</v>
          </cell>
        </row>
        <row r="51">
          <cell r="A51" t="str">
            <v>DER180110</v>
          </cell>
          <cell r="B51" t="str">
            <v>DER</v>
          </cell>
          <cell r="C51">
            <v>180110</v>
          </cell>
          <cell r="D51" t="str">
            <v>Arandela com lâmpada incandescente de 100W</v>
          </cell>
          <cell r="E51" t="str">
            <v>und</v>
          </cell>
          <cell r="L51">
            <v>99.1</v>
          </cell>
          <cell r="S51">
            <v>108.77</v>
          </cell>
        </row>
        <row r="52">
          <cell r="A52" t="str">
            <v>DER150610</v>
          </cell>
          <cell r="B52" t="str">
            <v>DER</v>
          </cell>
          <cell r="C52">
            <v>150610</v>
          </cell>
          <cell r="D52" t="str">
            <v>Caixa de aterramento de concreto simples, nas dimensões de 30x30x25cm, com revest. int. em chapisco e reboco, tampa de concreto esp.5cm e lastro de brita esp. 5 cm, incl. haste 5/8"x2400mm</v>
          </cell>
          <cell r="E52" t="str">
            <v>und</v>
          </cell>
          <cell r="L52">
            <v>338.99</v>
          </cell>
          <cell r="T52">
            <v>350.4</v>
          </cell>
        </row>
        <row r="53">
          <cell r="A53" t="str">
            <v>DER160324</v>
          </cell>
          <cell r="B53" t="str">
            <v>DER</v>
          </cell>
          <cell r="C53">
            <v>160324</v>
          </cell>
          <cell r="D53" t="str">
            <v>Caixa de equalização de potenciais para uso interno e externo com cinco (5) terminais para aterramento (BEP), em polipropileno, ref. TEL-902, marca de referência Termotécnica ou equivalente</v>
          </cell>
          <cell r="E53" t="str">
            <v>und</v>
          </cell>
          <cell r="L53">
            <v>319.04000000000002</v>
          </cell>
        </row>
        <row r="54">
          <cell r="A54" t="str">
            <v>DER160317</v>
          </cell>
          <cell r="B54" t="str">
            <v>DER</v>
          </cell>
          <cell r="C54">
            <v>160317</v>
          </cell>
          <cell r="D54" t="str">
            <v>Cabo de cobre nú 50mm2, ref. TEL 5750, marca de referência Termotécnica ou equivalente</v>
          </cell>
          <cell r="E54" t="str">
            <v>m</v>
          </cell>
          <cell r="L54">
            <v>75.64</v>
          </cell>
          <cell r="T54">
            <v>75.7</v>
          </cell>
        </row>
        <row r="55">
          <cell r="A55" t="str">
            <v>DER160334</v>
          </cell>
          <cell r="B55" t="str">
            <v>DER</v>
          </cell>
          <cell r="C55">
            <v>160334</v>
          </cell>
          <cell r="D55" t="str">
            <v>Terminal estanhado de 1 compressão 1 furo, 50mm², ref. TEL-5150, marca de referência Termotécnica ou equivalente</v>
          </cell>
          <cell r="E55" t="str">
            <v>und</v>
          </cell>
          <cell r="L55">
            <v>43.28</v>
          </cell>
        </row>
        <row r="56">
          <cell r="A56" t="str">
            <v>DER40781</v>
          </cell>
          <cell r="B56" t="str">
            <v>DER</v>
          </cell>
          <cell r="C56" t="str">
            <v>40781</v>
          </cell>
          <cell r="D56" t="str">
            <v>Base solo brita, 50% em peso, inclusive fornecimento e transporte da brita</v>
          </cell>
          <cell r="E56" t="str">
            <v>m³</v>
          </cell>
          <cell r="M56">
            <v>81.184085003466834</v>
          </cell>
        </row>
        <row r="57">
          <cell r="A57" t="str">
            <v>DER200323</v>
          </cell>
          <cell r="B57" t="str">
            <v>DER</v>
          </cell>
          <cell r="C57" t="str">
            <v>200323</v>
          </cell>
          <cell r="D57" t="str">
            <v>Fornecimento e espalhamento de pó de pedra</v>
          </cell>
          <cell r="E57" t="str">
            <v>m³</v>
          </cell>
        </row>
        <row r="58">
          <cell r="A58" t="str">
            <v>DER020346</v>
          </cell>
          <cell r="B58" t="str">
            <v>DER</v>
          </cell>
          <cell r="C58" t="str">
            <v>020346</v>
          </cell>
          <cell r="D58" t="str">
            <v>Locação de andaime metálico para fachada - tipo torre (aluguel mensal)</v>
          </cell>
          <cell r="E58" t="str">
            <v>m2</v>
          </cell>
          <cell r="M58">
            <v>12.84</v>
          </cell>
          <cell r="Q58">
            <v>13</v>
          </cell>
          <cell r="R58">
            <v>14.09</v>
          </cell>
        </row>
        <row r="59">
          <cell r="A59" t="str">
            <v>DER050501</v>
          </cell>
          <cell r="B59" t="str">
            <v>DER</v>
          </cell>
          <cell r="C59" t="str">
            <v>050501</v>
          </cell>
          <cell r="D59" t="str">
            <v>Alvenaria de blocos de concreto estrut. (14x19x39cm) cheios, c/ resist. mín. compr. 15MPa, assentados c/ arg. de cimento e areia no traço 1:4, esp. juntas 10mm e esp. da parede s/ revest. 14cm</v>
          </cell>
          <cell r="E59" t="str">
            <v>m2</v>
          </cell>
          <cell r="M59">
            <v>113.57</v>
          </cell>
          <cell r="Q59">
            <v>118.88</v>
          </cell>
        </row>
        <row r="60">
          <cell r="A60" t="str">
            <v>DER090302</v>
          </cell>
          <cell r="B60" t="str">
            <v>DER</v>
          </cell>
          <cell r="C60" t="str">
            <v>090302</v>
          </cell>
          <cell r="D60" t="str">
            <v>Rufo de chapa metálica nº 26 com largura de 30 cm</v>
          </cell>
          <cell r="E60" t="str">
            <v>m</v>
          </cell>
          <cell r="M60">
            <v>43.05</v>
          </cell>
          <cell r="Q60">
            <v>37.81</v>
          </cell>
          <cell r="T60">
            <v>39.93</v>
          </cell>
        </row>
        <row r="61">
          <cell r="A61" t="str">
            <v>DER141909</v>
          </cell>
          <cell r="B61" t="str">
            <v>DER</v>
          </cell>
          <cell r="C61" t="str">
            <v>141909</v>
          </cell>
          <cell r="D61" t="str">
            <v>Tubo de PVC rígido soldável branco, para esgoto, diâmetro 100mm (4"), inclusive conexões</v>
          </cell>
          <cell r="E61" t="str">
            <v>m</v>
          </cell>
          <cell r="M61">
            <v>75.05</v>
          </cell>
          <cell r="R61">
            <v>84.67</v>
          </cell>
        </row>
        <row r="62">
          <cell r="A62" t="str">
            <v>DER140904</v>
          </cell>
          <cell r="B62" t="str">
            <v>DER</v>
          </cell>
          <cell r="C62" t="str">
            <v>140904</v>
          </cell>
          <cell r="D62" t="str">
            <v>Tubo PVC rígido para esgoto no diâmetro de 150mm incluindo escavação e aterro com areia</v>
          </cell>
          <cell r="E62" t="str">
            <v>m</v>
          </cell>
          <cell r="M62">
            <v>105.9</v>
          </cell>
        </row>
        <row r="63">
          <cell r="A63" t="str">
            <v>DER210322</v>
          </cell>
          <cell r="B63" t="str">
            <v>DER</v>
          </cell>
          <cell r="C63" t="str">
            <v>210322</v>
          </cell>
          <cell r="D63" t="str">
            <v>Corrimão em tubo de ferro galvanizado diam. 2" com chumbadores a cada 1.5m</v>
          </cell>
          <cell r="E63" t="str">
            <v>m</v>
          </cell>
          <cell r="N63">
            <v>162.65</v>
          </cell>
          <cell r="P63">
            <v>162.69</v>
          </cell>
          <cell r="Q63">
            <v>162.69</v>
          </cell>
          <cell r="R63">
            <v>139.63999999999999</v>
          </cell>
          <cell r="S63">
            <v>139.63999999999999</v>
          </cell>
        </row>
        <row r="64">
          <cell r="A64" t="str">
            <v>DER130230</v>
          </cell>
          <cell r="B64" t="str">
            <v>DER</v>
          </cell>
          <cell r="C64" t="str">
            <v>130230</v>
          </cell>
          <cell r="D64" t="str">
            <v>Piso argamassa alta resistência tipo granilite ou equiv de qualidade comprovada, esp de 10mm, com juntas plástica em quadros de 1m, na cor natural, com acabamento anti-derrapante mecanizado, inclusive regularização e=3.0cm</v>
          </cell>
          <cell r="E64" t="str">
            <v>m2</v>
          </cell>
          <cell r="N64">
            <v>121.95</v>
          </cell>
          <cell r="O64">
            <v>121.57</v>
          </cell>
          <cell r="R64">
            <v>125.8</v>
          </cell>
          <cell r="T64">
            <v>127.01</v>
          </cell>
        </row>
        <row r="65">
          <cell r="A65" t="str">
            <v>DER190418</v>
          </cell>
          <cell r="B65" t="str">
            <v>DER</v>
          </cell>
          <cell r="C65" t="str">
            <v>190418</v>
          </cell>
          <cell r="D65" t="str">
            <v>Pintura de superfície metálica com uma demão de primer Epoxi e duas demãos de tinta à base de Epoxi</v>
          </cell>
          <cell r="E65" t="str">
            <v>m2</v>
          </cell>
          <cell r="R65">
            <v>43.73</v>
          </cell>
        </row>
        <row r="66">
          <cell r="A66" t="str">
            <v>DER140903</v>
          </cell>
          <cell r="B66" t="str">
            <v>DER</v>
          </cell>
          <cell r="C66" t="str">
            <v>140903</v>
          </cell>
          <cell r="D66" t="str">
            <v>Tubo PVC rígido para esgoto no diâmetro de 100mm incluindo escavação e aterro com areia</v>
          </cell>
          <cell r="E66" t="str">
            <v>m</v>
          </cell>
          <cell r="R66">
            <v>70.22</v>
          </cell>
        </row>
        <row r="67">
          <cell r="A67" t="str">
            <v>DER040817</v>
          </cell>
          <cell r="B67" t="str">
            <v>DER</v>
          </cell>
          <cell r="C67" t="str">
            <v>040817</v>
          </cell>
          <cell r="D67" t="str">
            <v>Fornecimento e lançamento de concreto para grouteamento com adição de pedrisco (50% em peso), utilizando Sikagrout ou produto equivalente, exclusive forma</v>
          </cell>
          <cell r="E67" t="str">
            <v>m3</v>
          </cell>
          <cell r="S67">
            <v>3468.11</v>
          </cell>
        </row>
        <row r="68">
          <cell r="A68" t="str">
            <v>DER160612</v>
          </cell>
          <cell r="B68" t="str">
            <v>DER</v>
          </cell>
          <cell r="C68" t="str">
            <v>160612</v>
          </cell>
          <cell r="D68" t="str">
            <v>Placa de sinalização de segurança CODIGO 14 - 315/158(NBR 13.434); CÓDIGO S3(NT 14/2010-ES) ("SAIDA DE EMERGÊNCIA" - seta vertical)</v>
          </cell>
          <cell r="E68" t="str">
            <v>und</v>
          </cell>
          <cell r="S68">
            <v>25.42</v>
          </cell>
          <cell r="T68">
            <v>25.42</v>
          </cell>
        </row>
        <row r="69">
          <cell r="A69" t="str">
            <v>DER160608</v>
          </cell>
          <cell r="B69" t="str">
            <v>DER</v>
          </cell>
          <cell r="C69" t="str">
            <v>160608</v>
          </cell>
          <cell r="D69" t="str">
            <v>Ponto para seta indicativa de saída, incl. seta em acrílico, com fonte alimentadora própria que assegure um funcionamento mínimo de 1h, para quando ocorrer falta de energia elétrica na rede pública, conforme projeto</v>
          </cell>
          <cell r="E69" t="str">
            <v>und</v>
          </cell>
          <cell r="S69">
            <v>356.84</v>
          </cell>
          <cell r="T69">
            <v>356.84</v>
          </cell>
        </row>
        <row r="70">
          <cell r="A70" t="str">
            <v>DER160613</v>
          </cell>
          <cell r="B70" t="str">
            <v>DER</v>
          </cell>
          <cell r="C70" t="str">
            <v>160613</v>
          </cell>
          <cell r="D70" t="str">
            <v>Ponto para iluminação de emergência completo, inclusive bloco autônomo de iluminação 2x9W com tomada universal</v>
          </cell>
          <cell r="E70" t="str">
            <v>und</v>
          </cell>
          <cell r="S70">
            <v>237.77</v>
          </cell>
          <cell r="T70">
            <v>237.77</v>
          </cell>
        </row>
        <row r="71">
          <cell r="A71" t="str">
            <v>DER190605</v>
          </cell>
          <cell r="B71" t="str">
            <v>DER</v>
          </cell>
          <cell r="C71" t="str">
            <v>190605</v>
          </cell>
          <cell r="D71" t="str">
            <v>Aplicação de tinta epóxi de alta espessura semibrilhante sobre piso de concreto a três demãos, inclusive selador epóxi a uma demão - Ref. Intergard 2005 e 2001 - Internacional ou equivalente</v>
          </cell>
          <cell r="E71" t="str">
            <v>m2</v>
          </cell>
          <cell r="S71">
            <v>55.97</v>
          </cell>
          <cell r="T71">
            <v>55.97</v>
          </cell>
        </row>
        <row r="72">
          <cell r="A72" t="str">
            <v>DER020712</v>
          </cell>
          <cell r="B72" t="str">
            <v>DER</v>
          </cell>
          <cell r="C72" t="str">
            <v>020712</v>
          </cell>
          <cell r="D72" t="str">
            <v>Rede de água com padrão de entrada d'água diâm. 3/4", conf. espec. CESAN, incl. tubos e conexões para alimentação, distribuição, extravasor e limpeza, cons. o padrão a 25m, conf. projeto (1 utilização)</v>
          </cell>
          <cell r="E72" t="str">
            <v>m</v>
          </cell>
          <cell r="M72">
            <v>51.51</v>
          </cell>
        </row>
        <row r="73">
          <cell r="A73" t="str">
            <v>DER020713</v>
          </cell>
          <cell r="B73" t="str">
            <v>DER</v>
          </cell>
          <cell r="C73" t="str">
            <v>020713</v>
          </cell>
          <cell r="D73" t="str">
            <v>Rede de luz, incl. padrão entr. energia trifás. cabo ligação até barracões, quadro distrib., disj. e chave de força, cons. 20m entre padrão entrada e QDG, conf. projeto (1 utilização)</v>
          </cell>
          <cell r="E73" t="str">
            <v>m</v>
          </cell>
          <cell r="M73">
            <v>499.88</v>
          </cell>
        </row>
        <row r="74">
          <cell r="A74" t="str">
            <v>DER020714</v>
          </cell>
          <cell r="B74" t="str">
            <v>DER</v>
          </cell>
          <cell r="C74" t="str">
            <v>020714</v>
          </cell>
          <cell r="D74" t="str">
            <v>Rede de esgoto, contendo fossa e filtro, inclusive tubos e conexões de ligação entre caixas, considerando distância de 25m, conforme projeto (1 utilização)</v>
          </cell>
          <cell r="E74" t="str">
            <v>m</v>
          </cell>
          <cell r="M74">
            <v>399.74</v>
          </cell>
        </row>
        <row r="75">
          <cell r="A75" t="str">
            <v>DER010219</v>
          </cell>
          <cell r="B75" t="str">
            <v>DER</v>
          </cell>
          <cell r="C75" t="str">
            <v>010219</v>
          </cell>
          <cell r="D75" t="str">
            <v>Demolição manual de concreto armado</v>
          </cell>
          <cell r="E75" t="str">
            <v>m3</v>
          </cell>
          <cell r="M75">
            <v>297.08</v>
          </cell>
        </row>
        <row r="76">
          <cell r="A76" t="str">
            <v>DER130110</v>
          </cell>
          <cell r="B76" t="str">
            <v>DER</v>
          </cell>
          <cell r="C76" t="str">
            <v>130110</v>
          </cell>
          <cell r="D76" t="str">
            <v>Lastro regularizado de concreto não estrutural, espessura de 8 cm (máximo de 100m³)</v>
          </cell>
          <cell r="E76" t="str">
            <v>m2</v>
          </cell>
          <cell r="M76">
            <v>60.22</v>
          </cell>
        </row>
        <row r="77">
          <cell r="A77" t="str">
            <v>DER42052</v>
          </cell>
          <cell r="B77" t="str">
            <v>DER</v>
          </cell>
          <cell r="C77">
            <v>42052</v>
          </cell>
          <cell r="D77" t="str">
            <v>Estaca raiz perfurada em solo, diâm. 410mm com injeção de arg. incl. fornecimento de todos materiais</v>
          </cell>
          <cell r="P77">
            <v>822.16325377481428</v>
          </cell>
          <cell r="Q77">
            <v>822.90067356480426</v>
          </cell>
          <cell r="R77">
            <v>823.90803464397948</v>
          </cell>
        </row>
        <row r="78">
          <cell r="A78" t="str">
            <v>DER42051</v>
          </cell>
          <cell r="B78" t="str">
            <v>DER</v>
          </cell>
          <cell r="C78" t="str">
            <v>42051</v>
          </cell>
          <cell r="D78" t="str">
            <v>Estaca raiz perfurada em rocha, diâm. 310mm com injeção de arg. incl. fornecimento de todos materiais</v>
          </cell>
          <cell r="P78">
            <v>1477.439697880739</v>
          </cell>
          <cell r="Q78">
            <v>1478.7648523032115</v>
          </cell>
        </row>
        <row r="79">
          <cell r="A79" t="str">
            <v>DER160607</v>
          </cell>
          <cell r="B79" t="str">
            <v>DER</v>
          </cell>
          <cell r="C79">
            <v>160607</v>
          </cell>
          <cell r="D79" t="str">
            <v>Extintor de incêndio portátil de pó químico ABC com capacidade 2A-20B:C (4 kg), inclusive suporte para fixação, EXCLUSIVE placa sinalizadora em PVC fotoluminescente</v>
          </cell>
          <cell r="E79" t="str">
            <v>und</v>
          </cell>
          <cell r="T79">
            <v>215.82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rgb="FF339933"/>
    <pageSetUpPr fitToPage="1"/>
  </sheetPr>
  <dimension ref="A1:AJ32"/>
  <sheetViews>
    <sheetView showGridLines="0" view="pageBreakPreview" zoomScale="55" zoomScaleNormal="75" zoomScaleSheetLayoutView="55" workbookViewId="0">
      <selection activeCell="S13" sqref="S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ustomWidth="1"/>
    <col min="25" max="25" width="9.140625" style="140" customWidth="1"/>
    <col min="26" max="27" width="9.140625" style="2" customWidth="1"/>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A30</f>
        <v>1.1.1.1</v>
      </c>
      <c r="C10" s="845" t="str">
        <f>CONCATENATE(VLOOKUP(A30,DEZ!$A$2:$S$731,2,FALSE)," - ",VLOOKUP(A30,DEZ!$A$2:$S$731,3,FALSE))</f>
        <v>COMP1A - MOBILIZAÇÃO E DESMOBILIZAÇÃO DE EQUIPAMENTOS DE PEQUENO E GRANDE PORTE</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24.95"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865</v>
      </c>
      <c r="D12" s="77"/>
      <c r="E12" s="78"/>
      <c r="F12" s="79"/>
      <c r="G12" s="77"/>
      <c r="H12" s="78"/>
      <c r="I12" s="79"/>
      <c r="J12" s="80"/>
      <c r="K12" s="81"/>
      <c r="L12" s="82">
        <v>1</v>
      </c>
      <c r="M12" s="83"/>
      <c r="N12" s="105"/>
      <c r="O12" s="84"/>
      <c r="P12" s="82"/>
      <c r="Q12" s="93"/>
      <c r="R12" s="85">
        <v>1</v>
      </c>
      <c r="S12" s="111" t="s">
        <v>59</v>
      </c>
      <c r="T12" s="215">
        <v>1</v>
      </c>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07"/>
      <c r="C20" s="104"/>
      <c r="D20" s="77"/>
      <c r="E20" s="78"/>
      <c r="F20" s="79"/>
      <c r="G20" s="77"/>
      <c r="H20" s="78"/>
      <c r="I20" s="79"/>
      <c r="J20" s="80"/>
      <c r="K20" s="81"/>
      <c r="L20" s="82"/>
      <c r="M20" s="83"/>
      <c r="N20" s="84"/>
      <c r="O20" s="155"/>
      <c r="P20" s="156"/>
      <c r="Q20" s="85"/>
      <c r="R20" s="85"/>
      <c r="S20" s="154"/>
      <c r="T20" s="215"/>
      <c r="U20" s="92"/>
      <c r="V20" s="86"/>
      <c r="W20" s="86"/>
      <c r="X20" s="86"/>
      <c r="Y20" s="151"/>
      <c r="Z20" s="87"/>
      <c r="AA20" s="88"/>
      <c r="AB20" s="89"/>
    </row>
    <row r="21" spans="1:28" s="90" customFormat="1" ht="21" customHeight="1">
      <c r="A21" s="75"/>
      <c r="B21" s="107"/>
      <c r="C21" s="104"/>
      <c r="D21" s="77"/>
      <c r="E21" s="78"/>
      <c r="F21" s="79"/>
      <c r="G21" s="77"/>
      <c r="H21" s="78"/>
      <c r="I21" s="79"/>
      <c r="J21" s="80"/>
      <c r="K21" s="81"/>
      <c r="L21" s="82"/>
      <c r="M21" s="83"/>
      <c r="N21" s="84"/>
      <c r="O21" s="155"/>
      <c r="P21" s="156"/>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90" customFormat="1" ht="21" customHeight="1">
      <c r="A25" s="75"/>
      <c r="B25" s="157"/>
      <c r="C25" s="76"/>
      <c r="D25" s="77"/>
      <c r="E25" s="78"/>
      <c r="F25" s="79"/>
      <c r="G25" s="77"/>
      <c r="H25" s="78"/>
      <c r="I25" s="79"/>
      <c r="J25" s="80"/>
      <c r="K25" s="81"/>
      <c r="L25" s="82"/>
      <c r="M25" s="83"/>
      <c r="N25" s="84"/>
      <c r="O25" s="84"/>
      <c r="P25" s="82"/>
      <c r="Q25" s="85"/>
      <c r="R25" s="85"/>
      <c r="S25" s="154"/>
      <c r="T25" s="215"/>
      <c r="U25" s="92"/>
      <c r="V25" s="86"/>
      <c r="W25" s="86"/>
      <c r="X25" s="86"/>
      <c r="Y25" s="151"/>
      <c r="Z25" s="87"/>
      <c r="AA25" s="88"/>
      <c r="AB25" s="89"/>
    </row>
    <row r="26" spans="1:28" s="1" customFormat="1" ht="21" customHeight="1">
      <c r="A26" s="11"/>
      <c r="B26" s="25"/>
      <c r="C26" s="20"/>
      <c r="D26" s="26"/>
      <c r="E26" s="159"/>
      <c r="F26" s="27"/>
      <c r="G26" s="26"/>
      <c r="H26" s="159"/>
      <c r="I26" s="27"/>
      <c r="J26" s="28"/>
      <c r="K26" s="49"/>
      <c r="L26" s="40"/>
      <c r="M26" s="41"/>
      <c r="N26" s="160"/>
      <c r="O26" s="160"/>
      <c r="P26" s="40"/>
      <c r="Q26" s="42"/>
      <c r="R26" s="60"/>
      <c r="S26" s="43"/>
      <c r="T26" s="215"/>
      <c r="U26" s="48"/>
      <c r="V26" s="120"/>
      <c r="W26" s="120"/>
      <c r="X26" s="120"/>
      <c r="Y26" s="142"/>
      <c r="Z26" s="15"/>
      <c r="AA26" s="17"/>
      <c r="AB26" s="44"/>
    </row>
    <row r="27" spans="1:28" ht="21" customHeight="1">
      <c r="B27" s="118"/>
      <c r="C27" s="119"/>
      <c r="D27" s="26"/>
      <c r="E27" s="159"/>
      <c r="F27" s="27"/>
      <c r="G27" s="26"/>
      <c r="H27" s="159"/>
      <c r="I27" s="27"/>
      <c r="J27" s="28"/>
      <c r="K27" s="49"/>
      <c r="L27" s="40"/>
      <c r="M27" s="41"/>
      <c r="N27" s="160"/>
      <c r="O27" s="160"/>
      <c r="P27" s="40"/>
      <c r="Q27" s="42"/>
      <c r="R27" s="60"/>
      <c r="S27" s="43"/>
      <c r="T27" s="216"/>
      <c r="U27" s="117"/>
    </row>
    <row r="28" spans="1:28" ht="39.6" customHeight="1">
      <c r="B28" s="161"/>
      <c r="C28" s="162"/>
      <c r="D28" s="806" t="s">
        <v>11</v>
      </c>
      <c r="E28" s="807"/>
      <c r="F28" s="807"/>
      <c r="G28" s="807"/>
      <c r="H28" s="807"/>
      <c r="I28" s="808"/>
      <c r="J28" s="809">
        <f>VLOOKUP(A30,DEZ!$A$2:$S$731,6,FALSE)</f>
        <v>1</v>
      </c>
      <c r="K28" s="810"/>
      <c r="L28" s="50" t="str">
        <f>VLOOKUP(A30,DEZ!$A$2:$S$731,4,FALSE)</f>
        <v>un</v>
      </c>
      <c r="M28" s="803" t="s">
        <v>12</v>
      </c>
      <c r="N28" s="811"/>
      <c r="O28" s="811"/>
      <c r="P28" s="811"/>
      <c r="Q28" s="805"/>
      <c r="R28" s="61">
        <f>SUM(R12:R27)</f>
        <v>1</v>
      </c>
      <c r="S28" s="51" t="str">
        <f>L28</f>
        <v>un</v>
      </c>
      <c r="T28" s="22"/>
      <c r="U28" s="23"/>
    </row>
    <row r="29" spans="1:28" ht="21" customHeight="1">
      <c r="B29" s="163"/>
      <c r="C29" s="19"/>
      <c r="D29" s="817" t="s">
        <v>13</v>
      </c>
      <c r="E29" s="818"/>
      <c r="F29" s="818"/>
      <c r="G29" s="818"/>
      <c r="H29" s="818"/>
      <c r="I29" s="819"/>
      <c r="J29" s="823">
        <f>R28/J28</f>
        <v>1</v>
      </c>
      <c r="K29" s="824"/>
      <c r="L29" s="827"/>
      <c r="M29" s="803" t="s">
        <v>34</v>
      </c>
      <c r="N29" s="804"/>
      <c r="O29" s="804"/>
      <c r="P29" s="804"/>
      <c r="Q29" s="805"/>
      <c r="R29" s="61">
        <f>VLOOKUP(A30,DEZ!$A$2:$S$731,8,FALSE)</f>
        <v>0</v>
      </c>
      <c r="S29" s="52" t="str">
        <f>L28</f>
        <v>un</v>
      </c>
      <c r="T29" s="22"/>
      <c r="U29" s="23"/>
    </row>
    <row r="30" spans="1:28" ht="21" customHeight="1">
      <c r="A30" s="10" t="s">
        <v>66</v>
      </c>
      <c r="B30" s="165"/>
      <c r="C30" s="164"/>
      <c r="D30" s="820"/>
      <c r="E30" s="821"/>
      <c r="F30" s="821"/>
      <c r="G30" s="821"/>
      <c r="H30" s="821"/>
      <c r="I30" s="822"/>
      <c r="J30" s="825"/>
      <c r="K30" s="826"/>
      <c r="L30" s="828"/>
      <c r="M30" s="803" t="s">
        <v>14</v>
      </c>
      <c r="N30" s="804"/>
      <c r="O30" s="804"/>
      <c r="P30" s="804"/>
      <c r="Q30" s="805"/>
      <c r="R30" s="62">
        <f>R28-R29</f>
        <v>1</v>
      </c>
      <c r="S30" s="53" t="str">
        <f>L28</f>
        <v>un</v>
      </c>
      <c r="T30" s="54"/>
      <c r="U30" s="24"/>
    </row>
    <row r="31" spans="1:28" ht="21" customHeight="1">
      <c r="B31" s="218"/>
      <c r="C31" s="217"/>
      <c r="M31" s="803" t="s">
        <v>53</v>
      </c>
      <c r="N31" s="804"/>
      <c r="O31" s="804"/>
      <c r="P31" s="804"/>
      <c r="Q31" s="805"/>
      <c r="R31" s="62">
        <f>VLOOKUP(A30,DEZ!$A$2:$S$731,5,FALSE)</f>
        <v>20807.46</v>
      </c>
      <c r="S31" s="53"/>
      <c r="T31" s="54"/>
      <c r="U31" s="24"/>
    </row>
    <row r="32" spans="1:28" ht="21" customHeight="1">
      <c r="B32" s="163"/>
      <c r="C32" s="219"/>
      <c r="M32" s="803" t="s">
        <v>54</v>
      </c>
      <c r="N32" s="804"/>
      <c r="O32" s="804"/>
      <c r="P32" s="804"/>
      <c r="Q32" s="805"/>
      <c r="R32" s="62">
        <f>TRUNC(R31*R30,2)</f>
        <v>20807.46</v>
      </c>
      <c r="S32" s="53" t="s">
        <v>55</v>
      </c>
      <c r="T32" s="54"/>
      <c r="U32" s="24"/>
    </row>
  </sheetData>
  <mergeCells count="34">
    <mergeCell ref="M32:Q32"/>
    <mergeCell ref="T7:U7"/>
    <mergeCell ref="B1:U4"/>
    <mergeCell ref="V4:AA4"/>
    <mergeCell ref="B5:I5"/>
    <mergeCell ref="J5:O5"/>
    <mergeCell ref="P5:U5"/>
    <mergeCell ref="T8:U8"/>
    <mergeCell ref="T9:U9"/>
    <mergeCell ref="B10:B11"/>
    <mergeCell ref="C10:C11"/>
    <mergeCell ref="J10:J11"/>
    <mergeCell ref="T10:T11"/>
    <mergeCell ref="U10:U11"/>
    <mergeCell ref="R10:R11"/>
    <mergeCell ref="S10:S11"/>
    <mergeCell ref="D10:F11"/>
    <mergeCell ref="G10:I11"/>
    <mergeCell ref="D29:I30"/>
    <mergeCell ref="J29:K30"/>
    <mergeCell ref="L29:L30"/>
    <mergeCell ref="M10:M11"/>
    <mergeCell ref="N10:N11"/>
    <mergeCell ref="O10:O11"/>
    <mergeCell ref="Q10:Q11"/>
    <mergeCell ref="K10:K11"/>
    <mergeCell ref="L10:L11"/>
    <mergeCell ref="P10:P11"/>
    <mergeCell ref="M29:Q29"/>
    <mergeCell ref="M30:Q30"/>
    <mergeCell ref="M31:Q31"/>
    <mergeCell ref="D28:I28"/>
    <mergeCell ref="J28:K28"/>
    <mergeCell ref="M28:Q28"/>
  </mergeCells>
  <conditionalFormatting sqref="J29:K32">
    <cfRule type="cellIs" dxfId="431" priority="1" operator="greaterThanOrEqual">
      <formula>1</formula>
    </cfRule>
    <cfRule type="cellIs" dxfId="430" priority="2" operator="greaterThan">
      <formula>100%</formula>
    </cfRule>
  </conditionalFormatting>
  <printOptions horizontalCentered="1"/>
  <pageMargins left="0.59055118110236227" right="0.59055118110236227" top="0.78740157480314965" bottom="0.78740157480314965" header="0" footer="0.11811023622047245"/>
  <pageSetup paperSize="9" scale="43" fitToHeight="0" orientation="landscape" r:id="rId1"/>
  <headerFooter>
    <oddFooter>Página &amp;P de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36770-B553-4597-ABE5-16BA1E03E982}">
  <sheetPr codeName="Planilha118">
    <tabColor rgb="FF339933"/>
    <pageSetUpPr fitToPage="1"/>
  </sheetPr>
  <dimension ref="A1:AJ24"/>
  <sheetViews>
    <sheetView view="pageBreakPreview" topLeftCell="F8" zoomScale="60" zoomScaleNormal="55"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0.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DEZ!A33</f>
        <v>1.1.2.12</v>
      </c>
      <c r="C10" s="845" t="str">
        <f>DEZ!C33</f>
        <v>Placa de obra nas dimensões de 2.0 x 4.0 m, padrão IOPES</v>
      </c>
      <c r="D10" s="816" t="s">
        <v>854</v>
      </c>
      <c r="E10" s="816"/>
      <c r="F10" s="816"/>
      <c r="G10" s="816" t="s">
        <v>33</v>
      </c>
      <c r="H10" s="816"/>
      <c r="I10" s="816"/>
      <c r="J10" s="812" t="s">
        <v>897</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90" customFormat="1" ht="21" customHeight="1">
      <c r="A12" s="75"/>
      <c r="B12" s="107"/>
      <c r="C12" s="104" t="s">
        <v>1301</v>
      </c>
      <c r="D12" s="857"/>
      <c r="E12" s="858"/>
      <c r="F12" s="859"/>
      <c r="G12" s="857"/>
      <c r="H12" s="858"/>
      <c r="I12" s="859"/>
      <c r="J12" s="80"/>
      <c r="K12" s="81">
        <v>8</v>
      </c>
      <c r="L12" s="82"/>
      <c r="M12" s="68"/>
      <c r="N12" s="84"/>
      <c r="O12" s="155"/>
      <c r="P12" s="156"/>
      <c r="Q12" s="85"/>
      <c r="R12" s="70">
        <f>K12</f>
        <v>8</v>
      </c>
      <c r="S12" s="111" t="s">
        <v>58</v>
      </c>
      <c r="T12" s="215">
        <v>8</v>
      </c>
      <c r="U12" s="92"/>
      <c r="V12" s="86"/>
      <c r="W12" s="86"/>
      <c r="X12" s="86"/>
      <c r="Y12" s="151"/>
      <c r="Z12" s="87"/>
      <c r="AA12" s="88"/>
      <c r="AB12" s="89"/>
    </row>
    <row r="13" spans="1:36" s="90" customFormat="1" ht="21" customHeight="1">
      <c r="A13" s="75"/>
      <c r="B13" s="107"/>
      <c r="C13" s="104"/>
      <c r="D13" s="77"/>
      <c r="E13" s="78"/>
      <c r="F13" s="79"/>
      <c r="G13" s="77"/>
      <c r="H13" s="78"/>
      <c r="I13" s="79"/>
      <c r="J13" s="80"/>
      <c r="K13" s="81"/>
      <c r="L13" s="82"/>
      <c r="M13" s="83"/>
      <c r="N13" s="84"/>
      <c r="O13" s="155"/>
      <c r="P13" s="156"/>
      <c r="Q13" s="85"/>
      <c r="R13" s="85"/>
      <c r="S13" s="154"/>
      <c r="T13" s="215"/>
      <c r="U13" s="92"/>
      <c r="V13" s="86"/>
      <c r="W13" s="86"/>
      <c r="X13" s="86"/>
      <c r="Y13" s="151"/>
      <c r="Z13" s="87"/>
      <c r="AA13" s="88"/>
      <c r="AB13" s="89"/>
    </row>
    <row r="14" spans="1:36" s="90" customFormat="1" ht="21" customHeight="1">
      <c r="A14" s="75"/>
      <c r="B14" s="157"/>
      <c r="C14" s="76"/>
      <c r="D14" s="77"/>
      <c r="E14" s="78"/>
      <c r="F14" s="79"/>
      <c r="G14" s="77"/>
      <c r="H14" s="78"/>
      <c r="I14" s="79"/>
      <c r="J14" s="80"/>
      <c r="K14" s="81"/>
      <c r="L14" s="82"/>
      <c r="M14" s="83"/>
      <c r="N14" s="84"/>
      <c r="O14" s="84"/>
      <c r="P14" s="82"/>
      <c r="Q14" s="85"/>
      <c r="R14" s="85"/>
      <c r="S14" s="154"/>
      <c r="T14" s="215"/>
      <c r="U14" s="92"/>
      <c r="V14" s="86"/>
      <c r="W14" s="86"/>
      <c r="X14" s="86"/>
      <c r="Y14" s="151"/>
      <c r="Z14" s="87"/>
      <c r="AA14" s="88"/>
      <c r="AB14" s="89"/>
    </row>
    <row r="15" spans="1:36" s="90" customFormat="1" ht="21" customHeight="1">
      <c r="A15" s="75"/>
      <c r="B15" s="157"/>
      <c r="C15" s="76"/>
      <c r="D15" s="77"/>
      <c r="E15" s="78"/>
      <c r="F15" s="79"/>
      <c r="G15" s="77"/>
      <c r="H15" s="78"/>
      <c r="I15" s="79"/>
      <c r="J15" s="80"/>
      <c r="K15" s="81"/>
      <c r="L15" s="82"/>
      <c r="M15" s="83"/>
      <c r="N15" s="84"/>
      <c r="O15" s="84"/>
      <c r="P15" s="82"/>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1" customFormat="1" ht="21" customHeight="1">
      <c r="A18" s="11"/>
      <c r="B18" s="25"/>
      <c r="C18" s="20"/>
      <c r="D18" s="26"/>
      <c r="E18" s="159"/>
      <c r="F18" s="27"/>
      <c r="G18" s="26"/>
      <c r="H18" s="159"/>
      <c r="I18" s="27"/>
      <c r="J18" s="28"/>
      <c r="K18" s="49"/>
      <c r="L18" s="40"/>
      <c r="M18" s="41"/>
      <c r="N18" s="160"/>
      <c r="O18" s="160"/>
      <c r="P18" s="40"/>
      <c r="Q18" s="42"/>
      <c r="R18" s="60"/>
      <c r="S18" s="43"/>
      <c r="T18" s="215"/>
      <c r="U18" s="48"/>
      <c r="V18" s="120"/>
      <c r="W18" s="120"/>
      <c r="X18" s="120"/>
      <c r="Y18" s="142"/>
      <c r="Z18" s="15"/>
      <c r="AA18" s="17"/>
      <c r="AB18" s="44"/>
    </row>
    <row r="19" spans="1:28" ht="21" customHeight="1">
      <c r="B19" s="118"/>
      <c r="C19" s="119"/>
      <c r="D19" s="26"/>
      <c r="E19" s="159"/>
      <c r="F19" s="27"/>
      <c r="G19" s="26"/>
      <c r="H19" s="159"/>
      <c r="I19" s="27"/>
      <c r="J19" s="28"/>
      <c r="K19" s="49"/>
      <c r="L19" s="40"/>
      <c r="M19" s="41"/>
      <c r="N19" s="160"/>
      <c r="O19" s="160"/>
      <c r="P19" s="40"/>
      <c r="Q19" s="42"/>
      <c r="R19" s="60"/>
      <c r="S19" s="43"/>
      <c r="T19" s="216"/>
      <c r="U19" s="117"/>
    </row>
    <row r="20" spans="1:28" ht="39.6" customHeight="1">
      <c r="B20" s="161"/>
      <c r="C20" s="162"/>
      <c r="D20" s="806" t="s">
        <v>11</v>
      </c>
      <c r="E20" s="807"/>
      <c r="F20" s="807"/>
      <c r="G20" s="807"/>
      <c r="H20" s="807"/>
      <c r="I20" s="808"/>
      <c r="J20" s="809">
        <f>DEZ!I33</f>
        <v>8</v>
      </c>
      <c r="K20" s="810"/>
      <c r="L20" s="50" t="s">
        <v>57</v>
      </c>
      <c r="M20" s="803" t="s">
        <v>12</v>
      </c>
      <c r="N20" s="811"/>
      <c r="O20" s="811"/>
      <c r="P20" s="811"/>
      <c r="Q20" s="805"/>
      <c r="R20" s="61">
        <f>SUM(R12:R19)</f>
        <v>8</v>
      </c>
      <c r="S20" s="51" t="s">
        <v>58</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8</v>
      </c>
      <c r="S21" s="52" t="str">
        <f>L20</f>
        <v>m2</v>
      </c>
      <c r="T21" s="22"/>
      <c r="U21" s="23"/>
    </row>
    <row r="22" spans="1:28" ht="21" customHeight="1">
      <c r="A22" s="10" t="s">
        <v>79</v>
      </c>
      <c r="B22" s="165"/>
      <c r="C22" s="164"/>
      <c r="D22" s="820"/>
      <c r="E22" s="821"/>
      <c r="F22" s="821"/>
      <c r="G22" s="821"/>
      <c r="H22" s="821"/>
      <c r="I22" s="822"/>
      <c r="J22" s="825"/>
      <c r="K22" s="826"/>
      <c r="L22" s="828"/>
      <c r="M22" s="803" t="s">
        <v>14</v>
      </c>
      <c r="N22" s="804"/>
      <c r="O22" s="804"/>
      <c r="P22" s="804"/>
      <c r="Q22" s="805"/>
      <c r="R22" s="62">
        <f>R20-R21</f>
        <v>0</v>
      </c>
      <c r="S22" s="53" t="str">
        <f>L20</f>
        <v>m2</v>
      </c>
      <c r="T22" s="54"/>
      <c r="U22" s="24"/>
    </row>
    <row r="23" spans="1:28" ht="21" customHeight="1">
      <c r="B23" s="218"/>
      <c r="C23" s="217"/>
      <c r="M23" s="803" t="s">
        <v>53</v>
      </c>
      <c r="N23" s="804"/>
      <c r="O23" s="804"/>
      <c r="P23" s="804"/>
      <c r="Q23" s="805"/>
      <c r="R23" s="62">
        <f>DEZ!E33</f>
        <v>222.96</v>
      </c>
      <c r="S23" s="53"/>
      <c r="T23" s="54"/>
      <c r="U23" s="24"/>
    </row>
    <row r="24" spans="1:28" ht="21" customHeight="1">
      <c r="B24" s="163"/>
      <c r="C24" s="219"/>
      <c r="M24" s="803" t="s">
        <v>54</v>
      </c>
      <c r="N24" s="804"/>
      <c r="O24" s="804"/>
      <c r="P24" s="804"/>
      <c r="Q24" s="805"/>
      <c r="R24" s="62">
        <f>TRUNC(R23*R22,2)</f>
        <v>0</v>
      </c>
      <c r="S24" s="53" t="s">
        <v>55</v>
      </c>
      <c r="T24" s="54"/>
      <c r="U24" s="24"/>
    </row>
  </sheetData>
  <mergeCells count="36">
    <mergeCell ref="R10:R11"/>
    <mergeCell ref="S10:S11"/>
    <mergeCell ref="M24:Q24"/>
    <mergeCell ref="D21:I22"/>
    <mergeCell ref="J21:K22"/>
    <mergeCell ref="L21:L22"/>
    <mergeCell ref="M21:Q21"/>
    <mergeCell ref="M22:Q22"/>
    <mergeCell ref="M23:Q23"/>
    <mergeCell ref="D12:F12"/>
    <mergeCell ref="G12:I12"/>
    <mergeCell ref="D20:I20"/>
    <mergeCell ref="J20:K20"/>
    <mergeCell ref="M20:Q20"/>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1:K24">
    <cfRule type="cellIs" dxfId="413" priority="1" operator="greaterThanOrEqual">
      <formula>1</formula>
    </cfRule>
    <cfRule type="cellIs" dxfId="412"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DAB0A-3862-4474-8113-A2D014502DE7}">
  <sheetPr>
    <tabColor rgb="FF339933"/>
    <pageSetUpPr fitToPage="1"/>
  </sheetPr>
  <dimension ref="A1:AE24"/>
  <sheetViews>
    <sheetView view="pageBreakPreview" topLeftCell="A4" zoomScale="50" zoomScaleNormal="55" zoomScaleSheetLayoutView="50" workbookViewId="0">
      <selection activeCell="N22" sqref="N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35.42578125" style="2" customWidth="1"/>
    <col min="14" max="14" width="16" style="63" customWidth="1"/>
    <col min="15" max="15" width="9" style="2" customWidth="1"/>
    <col min="16" max="16" width="15.28515625" style="2" customWidth="1"/>
    <col min="17" max="19" width="9.140625" style="2"/>
    <col min="20" max="20" width="9.140625" style="140"/>
    <col min="21" max="22" width="9.140625" style="2"/>
    <col min="23" max="23" width="12.7109375" style="13" customWidth="1"/>
    <col min="24" max="16384" width="9.140625" style="2"/>
  </cols>
  <sheetData>
    <row r="1" spans="1:31" ht="18.75" customHeight="1">
      <c r="B1" s="831" t="s">
        <v>851</v>
      </c>
      <c r="C1" s="832"/>
      <c r="D1" s="832"/>
      <c r="E1" s="832"/>
      <c r="F1" s="832"/>
      <c r="G1" s="832"/>
      <c r="H1" s="832"/>
      <c r="I1" s="832"/>
      <c r="J1" s="832"/>
      <c r="K1" s="832"/>
      <c r="L1" s="832"/>
      <c r="M1" s="832"/>
      <c r="N1" s="832"/>
      <c r="O1" s="832"/>
      <c r="P1" s="832"/>
    </row>
    <row r="2" spans="1:31" ht="18.75" customHeight="1">
      <c r="B2" s="832"/>
      <c r="C2" s="832"/>
      <c r="D2" s="832"/>
      <c r="E2" s="832"/>
      <c r="F2" s="832"/>
      <c r="G2" s="832"/>
      <c r="H2" s="832"/>
      <c r="I2" s="832"/>
      <c r="J2" s="832"/>
      <c r="K2" s="832"/>
      <c r="L2" s="832"/>
      <c r="M2" s="832"/>
      <c r="N2" s="832"/>
      <c r="O2" s="832"/>
      <c r="P2" s="832"/>
    </row>
    <row r="3" spans="1:31" ht="18.75" customHeight="1">
      <c r="B3" s="832"/>
      <c r="C3" s="832"/>
      <c r="D3" s="832"/>
      <c r="E3" s="832"/>
      <c r="F3" s="832"/>
      <c r="G3" s="832"/>
      <c r="H3" s="832"/>
      <c r="I3" s="832"/>
      <c r="J3" s="832"/>
      <c r="K3" s="832"/>
      <c r="L3" s="832"/>
      <c r="M3" s="832"/>
      <c r="N3" s="832"/>
      <c r="O3" s="832"/>
      <c r="P3" s="832"/>
    </row>
    <row r="4" spans="1:31" ht="18.75" customHeight="1">
      <c r="B4" s="832"/>
      <c r="C4" s="832"/>
      <c r="D4" s="832"/>
      <c r="E4" s="832"/>
      <c r="F4" s="832"/>
      <c r="G4" s="832"/>
      <c r="H4" s="832"/>
      <c r="I4" s="832"/>
      <c r="J4" s="832"/>
      <c r="K4" s="832"/>
      <c r="L4" s="832"/>
      <c r="M4" s="832"/>
      <c r="N4" s="832"/>
      <c r="O4" s="832"/>
      <c r="P4" s="832"/>
      <c r="Q4" s="833"/>
      <c r="R4" s="833"/>
      <c r="S4" s="833"/>
      <c r="T4" s="833"/>
      <c r="U4" s="833"/>
      <c r="V4" s="833"/>
    </row>
    <row r="5" spans="1:31" s="21" customFormat="1" ht="15.75" customHeight="1">
      <c r="A5" s="29"/>
      <c r="B5" s="834" t="s">
        <v>5</v>
      </c>
      <c r="C5" s="835"/>
      <c r="D5" s="835"/>
      <c r="E5" s="835"/>
      <c r="F5" s="835"/>
      <c r="G5" s="835"/>
      <c r="H5" s="835"/>
      <c r="I5" s="836"/>
      <c r="J5" s="837" t="s">
        <v>6</v>
      </c>
      <c r="K5" s="838"/>
      <c r="L5" s="838"/>
      <c r="M5" s="838"/>
      <c r="N5" s="841"/>
      <c r="O5" s="841"/>
      <c r="P5" s="841"/>
      <c r="Q5" s="158"/>
      <c r="R5" s="158"/>
      <c r="S5" s="158"/>
      <c r="T5" s="158"/>
      <c r="U5" s="158"/>
      <c r="V5" s="158"/>
      <c r="W5" s="30"/>
    </row>
    <row r="6" spans="1:31"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T6" s="141"/>
      <c r="W6" s="36"/>
    </row>
    <row r="7" spans="1:31" s="35" customFormat="1" ht="15.75">
      <c r="A7" s="31"/>
      <c r="B7" s="98"/>
      <c r="C7" s="145"/>
      <c r="D7" s="37"/>
      <c r="E7" s="38"/>
      <c r="F7" s="38"/>
      <c r="G7" s="37"/>
      <c r="H7" s="38"/>
      <c r="I7" s="56"/>
      <c r="J7" s="136" t="str">
        <f>DEZ!D8</f>
        <v xml:space="preserve">CONTRATO N°: </v>
      </c>
      <c r="K7" s="37"/>
      <c r="L7" s="115" t="str">
        <f>DEZ!F8</f>
        <v>06/2021</v>
      </c>
      <c r="M7" s="37"/>
      <c r="N7" s="58"/>
      <c r="O7" s="37"/>
      <c r="P7" s="733"/>
      <c r="T7" s="141"/>
      <c r="W7" s="36"/>
    </row>
    <row r="8" spans="1:31" s="35" customFormat="1" ht="15.75">
      <c r="A8" s="31"/>
      <c r="B8" s="98" t="s">
        <v>7</v>
      </c>
      <c r="C8" s="121">
        <f>FINANCEIRO!C9</f>
        <v>20</v>
      </c>
      <c r="D8" s="37"/>
      <c r="E8" s="38"/>
      <c r="F8" s="38"/>
      <c r="G8" s="37"/>
      <c r="H8" s="38"/>
      <c r="I8" s="56"/>
      <c r="J8" s="136" t="str">
        <f>DEZ!D9</f>
        <v xml:space="preserve">ASSINATURA: </v>
      </c>
      <c r="K8" s="37"/>
      <c r="L8" s="146">
        <f>DEZ!F9</f>
        <v>44349</v>
      </c>
      <c r="M8" s="38"/>
      <c r="N8" s="59"/>
      <c r="O8" s="38"/>
      <c r="P8" s="733"/>
      <c r="T8" s="141"/>
      <c r="V8" s="39"/>
      <c r="W8" s="39"/>
      <c r="X8" s="39"/>
      <c r="Y8" s="39"/>
      <c r="Z8" s="39"/>
      <c r="AA8" s="39"/>
      <c r="AB8" s="39"/>
      <c r="AC8" s="39"/>
      <c r="AD8" s="39"/>
      <c r="AE8" s="39"/>
    </row>
    <row r="9" spans="1:31" s="35" customFormat="1" ht="15.75">
      <c r="A9" s="31"/>
      <c r="B9" s="99" t="s">
        <v>8</v>
      </c>
      <c r="C9" s="122" t="str">
        <f>FINANCEIRO!C10</f>
        <v>01/07/2023 a 30/09/2023</v>
      </c>
      <c r="D9" s="96"/>
      <c r="E9" s="95"/>
      <c r="F9" s="95"/>
      <c r="G9" s="96"/>
      <c r="H9" s="95"/>
      <c r="I9" s="103"/>
      <c r="J9" s="136" t="str">
        <f>DEZ!D10</f>
        <v xml:space="preserve">INÍCIO DOS SERVIÇOS: </v>
      </c>
      <c r="K9" s="37"/>
      <c r="L9" s="146">
        <f>DEZ!F10</f>
        <v>44473</v>
      </c>
      <c r="M9" s="38"/>
      <c r="N9" s="59"/>
      <c r="O9" s="38"/>
      <c r="P9" s="733"/>
      <c r="T9" s="141"/>
      <c r="V9" s="39"/>
      <c r="W9" s="39"/>
      <c r="X9" s="39"/>
      <c r="Y9" s="39"/>
      <c r="Z9" s="39"/>
      <c r="AA9" s="39"/>
      <c r="AB9" s="39"/>
      <c r="AC9" s="39"/>
      <c r="AD9" s="39"/>
      <c r="AE9" s="39"/>
    </row>
    <row r="10" spans="1:31" s="16" customFormat="1" ht="24.95" customHeight="1">
      <c r="A10" s="14"/>
      <c r="B10" s="843" t="str">
        <f>FINANCEIRO!A456</f>
        <v>4.3.7.3</v>
      </c>
      <c r="C10" s="845" t="str">
        <f>FINANCEIRO!C451</f>
        <v>FORNECIMENTO E APLICAÇÃO DE CONCRETO USINADO FCK=40 MPA - CONSIDERANDO BOMBEAMENTO (5% DE PERDAS JÁ INCLUÍDO NO CUSTO) (6% DE TAXA P/CONCR.
BOMBEAVEL)</v>
      </c>
      <c r="D10" s="816" t="s">
        <v>854</v>
      </c>
      <c r="E10" s="816"/>
      <c r="F10" s="816"/>
      <c r="G10" s="816" t="s">
        <v>33</v>
      </c>
      <c r="H10" s="816"/>
      <c r="I10" s="816"/>
      <c r="J10" s="812" t="s">
        <v>853</v>
      </c>
      <c r="K10" s="812" t="s">
        <v>855</v>
      </c>
      <c r="L10" s="812" t="s">
        <v>856</v>
      </c>
      <c r="M10" s="812" t="s">
        <v>62</v>
      </c>
      <c r="N10" s="849" t="s">
        <v>857</v>
      </c>
      <c r="O10" s="812" t="s">
        <v>10</v>
      </c>
      <c r="P10" s="812" t="s">
        <v>858</v>
      </c>
      <c r="Q10" s="120"/>
      <c r="R10" s="120"/>
      <c r="S10" s="143"/>
      <c r="T10" s="144"/>
      <c r="U10" s="15"/>
      <c r="V10" s="12"/>
      <c r="W10" s="12"/>
      <c r="X10" s="12"/>
      <c r="Y10" s="12"/>
      <c r="Z10" s="12"/>
      <c r="AA10" s="12"/>
      <c r="AB10" s="12"/>
      <c r="AC10" s="12"/>
      <c r="AD10" s="12"/>
      <c r="AE10" s="12"/>
    </row>
    <row r="11" spans="1:31" s="16" customFormat="1" ht="39.6" customHeight="1">
      <c r="A11" s="14"/>
      <c r="B11" s="844"/>
      <c r="C11" s="846"/>
      <c r="D11" s="816"/>
      <c r="E11" s="816"/>
      <c r="F11" s="816"/>
      <c r="G11" s="816"/>
      <c r="H11" s="816"/>
      <c r="I11" s="816"/>
      <c r="J11" s="813"/>
      <c r="K11" s="813"/>
      <c r="L11" s="813"/>
      <c r="M11" s="813"/>
      <c r="N11" s="850"/>
      <c r="O11" s="813"/>
      <c r="P11" s="813"/>
      <c r="Q11" s="120"/>
      <c r="R11" s="120"/>
      <c r="S11" s="143"/>
      <c r="T11" s="144"/>
      <c r="U11" s="15"/>
      <c r="V11" s="12"/>
      <c r="W11" s="12"/>
      <c r="X11" s="12"/>
      <c r="Y11" s="12"/>
      <c r="Z11" s="12"/>
      <c r="AA11" s="12"/>
      <c r="AB11" s="12"/>
      <c r="AC11" s="12"/>
      <c r="AD11" s="12"/>
      <c r="AE11" s="12"/>
    </row>
    <row r="12" spans="1:31" s="73" customFormat="1" ht="15">
      <c r="A12" s="64"/>
      <c r="B12" s="109"/>
      <c r="C12" s="237" t="s">
        <v>1475</v>
      </c>
      <c r="D12" s="854">
        <v>42</v>
      </c>
      <c r="E12" s="855"/>
      <c r="F12" s="856"/>
      <c r="G12" s="932">
        <v>1.2</v>
      </c>
      <c r="H12" s="933"/>
      <c r="I12" s="934"/>
      <c r="J12" s="226"/>
      <c r="K12" s="81">
        <f>D12*G12</f>
        <v>50.4</v>
      </c>
      <c r="L12" s="82">
        <f>K12*0.1</f>
        <v>5.04</v>
      </c>
      <c r="M12" s="83"/>
      <c r="N12" s="85">
        <f>L12</f>
        <v>5.04</v>
      </c>
      <c r="O12" s="154" t="s">
        <v>58</v>
      </c>
      <c r="P12" s="215">
        <v>16</v>
      </c>
      <c r="Q12" s="71"/>
      <c r="R12" s="71"/>
      <c r="S12" s="152"/>
      <c r="T12" s="153"/>
      <c r="U12" s="72"/>
    </row>
    <row r="13" spans="1:31" s="73" customFormat="1" ht="21" customHeight="1">
      <c r="A13" s="64"/>
      <c r="B13" s="109"/>
      <c r="C13" s="237"/>
      <c r="D13" s="77"/>
      <c r="E13" s="78"/>
      <c r="F13" s="79"/>
      <c r="H13" s="78"/>
      <c r="I13" s="79"/>
      <c r="J13" s="66"/>
      <c r="K13" s="108"/>
      <c r="L13" s="67"/>
      <c r="M13" s="68"/>
      <c r="N13" s="85"/>
      <c r="O13" s="154"/>
      <c r="P13" s="215"/>
      <c r="Q13" s="71"/>
      <c r="R13" s="71"/>
      <c r="S13" s="152"/>
      <c r="T13" s="153"/>
      <c r="U13" s="72"/>
      <c r="V13" s="71"/>
      <c r="W13" s="74"/>
    </row>
    <row r="14" spans="1:31" s="73" customFormat="1" ht="21" customHeight="1">
      <c r="A14" s="64"/>
      <c r="B14" s="109"/>
      <c r="C14" s="237"/>
      <c r="D14" s="854"/>
      <c r="E14" s="855"/>
      <c r="F14" s="856"/>
      <c r="G14" s="857"/>
      <c r="H14" s="858"/>
      <c r="I14" s="859"/>
      <c r="J14" s="226"/>
      <c r="K14" s="81"/>
      <c r="L14" s="67"/>
      <c r="M14" s="68"/>
      <c r="N14" s="85"/>
      <c r="O14" s="154"/>
      <c r="P14" s="215"/>
      <c r="Q14" s="71"/>
      <c r="R14" s="71"/>
      <c r="S14" s="152"/>
      <c r="T14" s="153"/>
      <c r="U14" s="72"/>
      <c r="V14" s="71"/>
      <c r="W14" s="74"/>
    </row>
    <row r="15" spans="1:31" s="90" customFormat="1" ht="21" customHeight="1">
      <c r="A15" s="75"/>
      <c r="B15" s="107"/>
      <c r="C15" s="104"/>
      <c r="D15" s="77"/>
      <c r="E15" s="78"/>
      <c r="F15" s="79"/>
      <c r="G15" s="77"/>
      <c r="H15" s="78"/>
      <c r="I15" s="79"/>
      <c r="J15" s="80"/>
      <c r="K15" s="81"/>
      <c r="L15" s="82"/>
      <c r="M15" s="83"/>
      <c r="N15" s="85"/>
      <c r="O15" s="154"/>
      <c r="P15" s="215"/>
      <c r="Q15" s="86"/>
      <c r="R15" s="86"/>
      <c r="S15" s="86"/>
      <c r="T15" s="151"/>
      <c r="U15" s="87"/>
      <c r="V15" s="88"/>
      <c r="W15" s="89"/>
    </row>
    <row r="16" spans="1:31" s="90" customFormat="1" ht="21" customHeight="1">
      <c r="A16" s="75"/>
      <c r="B16" s="107"/>
      <c r="C16" s="104"/>
      <c r="D16" s="77"/>
      <c r="E16" s="78"/>
      <c r="F16" s="79"/>
      <c r="G16" s="77"/>
      <c r="H16" s="78"/>
      <c r="I16" s="79"/>
      <c r="J16" s="80"/>
      <c r="K16" s="81"/>
      <c r="L16" s="82"/>
      <c r="M16" s="83"/>
      <c r="N16" s="85"/>
      <c r="O16" s="154"/>
      <c r="P16" s="215"/>
      <c r="Q16" s="86"/>
      <c r="R16" s="86"/>
      <c r="S16" s="86"/>
      <c r="T16" s="151"/>
      <c r="U16" s="87"/>
      <c r="V16" s="88"/>
      <c r="W16" s="89"/>
    </row>
    <row r="17" spans="1:23" s="90" customFormat="1" ht="21" customHeight="1">
      <c r="A17" s="75"/>
      <c r="B17" s="157"/>
      <c r="C17" s="76"/>
      <c r="D17" s="77"/>
      <c r="E17" s="78"/>
      <c r="F17" s="79"/>
      <c r="G17" s="77"/>
      <c r="H17" s="78"/>
      <c r="I17" s="79"/>
      <c r="J17" s="80"/>
      <c r="K17" s="81"/>
      <c r="L17" s="82"/>
      <c r="M17" s="83"/>
      <c r="N17" s="85"/>
      <c r="O17" s="154"/>
      <c r="P17" s="215"/>
      <c r="Q17" s="86"/>
      <c r="R17" s="86"/>
      <c r="S17" s="86"/>
      <c r="T17" s="151"/>
      <c r="U17" s="87"/>
      <c r="V17" s="88"/>
      <c r="W17" s="89"/>
    </row>
    <row r="18" spans="1:23" s="90" customFormat="1" ht="21" customHeight="1">
      <c r="A18" s="75"/>
      <c r="B18" s="157"/>
      <c r="C18" s="76"/>
      <c r="D18" s="77"/>
      <c r="E18" s="78"/>
      <c r="F18" s="79"/>
      <c r="G18" s="77"/>
      <c r="H18" s="78"/>
      <c r="I18" s="79"/>
      <c r="J18" s="80"/>
      <c r="K18" s="81"/>
      <c r="L18" s="82"/>
      <c r="M18" s="83"/>
      <c r="N18" s="85"/>
      <c r="O18" s="154"/>
      <c r="P18" s="215"/>
      <c r="Q18" s="86"/>
      <c r="R18" s="86"/>
      <c r="S18" s="86"/>
      <c r="T18" s="151"/>
      <c r="U18" s="87"/>
      <c r="V18" s="88"/>
      <c r="W18" s="89"/>
    </row>
    <row r="19" spans="1:23" s="90" customFormat="1" ht="21" customHeight="1">
      <c r="A19" s="75"/>
      <c r="B19" s="157"/>
      <c r="C19" s="76"/>
      <c r="D19" s="77"/>
      <c r="E19" s="78"/>
      <c r="F19" s="79"/>
      <c r="G19" s="77"/>
      <c r="H19" s="78"/>
      <c r="I19" s="79"/>
      <c r="J19" s="80"/>
      <c r="K19" s="81"/>
      <c r="L19" s="82"/>
      <c r="M19" s="83"/>
      <c r="N19" s="85"/>
      <c r="O19" s="154"/>
      <c r="P19" s="215"/>
      <c r="Q19" s="86"/>
      <c r="R19" s="86"/>
      <c r="S19" s="86"/>
      <c r="T19" s="151"/>
      <c r="U19" s="87"/>
      <c r="V19" s="88"/>
      <c r="W19" s="89"/>
    </row>
    <row r="20" spans="1:23" ht="49.5" customHeight="1">
      <c r="B20" s="161"/>
      <c r="C20" s="162"/>
      <c r="D20" s="806" t="s">
        <v>11</v>
      </c>
      <c r="E20" s="807"/>
      <c r="F20" s="807"/>
      <c r="G20" s="807"/>
      <c r="H20" s="807"/>
      <c r="I20" s="808"/>
      <c r="J20" s="809">
        <f>FINANCEIRO!J456</f>
        <v>6.54</v>
      </c>
      <c r="K20" s="810"/>
      <c r="L20" s="50" t="str">
        <f>FINANCEIRO!D451</f>
        <v>m3</v>
      </c>
      <c r="M20" s="732" t="s">
        <v>12</v>
      </c>
      <c r="N20" s="61">
        <f>SUM(N12:N19)</f>
        <v>5.04</v>
      </c>
      <c r="O20" s="51" t="str">
        <f>L20</f>
        <v>m3</v>
      </c>
      <c r="P20" s="22"/>
    </row>
    <row r="21" spans="1:23" ht="33.75" customHeight="1">
      <c r="B21" s="163"/>
      <c r="C21" s="19"/>
      <c r="D21" s="817" t="s">
        <v>13</v>
      </c>
      <c r="E21" s="818"/>
      <c r="F21" s="818"/>
      <c r="G21" s="818"/>
      <c r="H21" s="818"/>
      <c r="I21" s="819"/>
      <c r="J21" s="823">
        <f>N20/J20</f>
        <v>0.77064220183486243</v>
      </c>
      <c r="K21" s="824"/>
      <c r="L21" s="827"/>
      <c r="M21" s="732" t="s">
        <v>34</v>
      </c>
      <c r="N21" s="61">
        <f>N12</f>
        <v>5.04</v>
      </c>
      <c r="O21" s="52" t="str">
        <f>L20</f>
        <v>m3</v>
      </c>
      <c r="P21" s="22"/>
    </row>
    <row r="22" spans="1:23" ht="32.25" customHeight="1">
      <c r="B22" s="165"/>
      <c r="C22" s="164"/>
      <c r="D22" s="820"/>
      <c r="E22" s="821"/>
      <c r="F22" s="821"/>
      <c r="G22" s="821"/>
      <c r="H22" s="821"/>
      <c r="I22" s="822"/>
      <c r="J22" s="825"/>
      <c r="K22" s="826"/>
      <c r="L22" s="828"/>
      <c r="M22" s="732" t="s">
        <v>14</v>
      </c>
      <c r="N22" s="62">
        <f>N20-N21</f>
        <v>0</v>
      </c>
      <c r="O22" s="53" t="str">
        <f>L20</f>
        <v>m3</v>
      </c>
      <c r="P22" s="54"/>
    </row>
    <row r="23" spans="1:23" ht="37.5" customHeight="1">
      <c r="B23" s="218"/>
      <c r="C23" s="217"/>
      <c r="M23" s="732" t="s">
        <v>53</v>
      </c>
      <c r="N23" s="62">
        <f>FINANCEIRO!E456</f>
        <v>486.08</v>
      </c>
      <c r="O23" s="53"/>
      <c r="P23" s="54"/>
    </row>
    <row r="24" spans="1:23" ht="38.25" customHeight="1">
      <c r="B24" s="163"/>
      <c r="C24" s="219"/>
      <c r="M24" s="732" t="s">
        <v>54</v>
      </c>
      <c r="N24" s="62">
        <f>TRUNC(N23*N22,2)</f>
        <v>0</v>
      </c>
      <c r="O24" s="53" t="s">
        <v>55</v>
      </c>
      <c r="P24" s="54"/>
    </row>
  </sheetData>
  <mergeCells count="25">
    <mergeCell ref="D21:I22"/>
    <mergeCell ref="J21:K22"/>
    <mergeCell ref="L21:L22"/>
    <mergeCell ref="D12:F12"/>
    <mergeCell ref="G12:I12"/>
    <mergeCell ref="D14:F14"/>
    <mergeCell ref="G14:I14"/>
    <mergeCell ref="D20:I20"/>
    <mergeCell ref="J20:K20"/>
    <mergeCell ref="P10:P11"/>
    <mergeCell ref="B1:P4"/>
    <mergeCell ref="Q4:V4"/>
    <mergeCell ref="B5:I5"/>
    <mergeCell ref="J5:M5"/>
    <mergeCell ref="N5:P5"/>
    <mergeCell ref="B10:B11"/>
    <mergeCell ref="C10:C11"/>
    <mergeCell ref="D10:F11"/>
    <mergeCell ref="G10:I11"/>
    <mergeCell ref="J10:J11"/>
    <mergeCell ref="K10:K11"/>
    <mergeCell ref="L10:L11"/>
    <mergeCell ref="M10:M11"/>
    <mergeCell ref="N10:N11"/>
    <mergeCell ref="O10:O11"/>
  </mergeCells>
  <conditionalFormatting sqref="J21:K24">
    <cfRule type="cellIs" dxfId="243" priority="1" operator="greaterThanOrEqual">
      <formula>1</formula>
    </cfRule>
    <cfRule type="cellIs" dxfId="242" priority="2" operator="greaterThan">
      <formula>100%</formula>
    </cfRule>
  </conditionalFormatting>
  <pageMargins left="0.51181102362204722" right="0.51181102362204722" top="0.78740157480314965" bottom="0.78740157480314965" header="0.31496062992125984" footer="0.31496062992125984"/>
  <pageSetup paperSize="9" scale="55" fitToHeight="0" orientation="landscape" r:id="rId1"/>
  <headerFooter>
    <oddFooter>Página &amp;P de &amp;N</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0C43B-AB00-4D64-AA30-DD1992B85107}">
  <sheetPr>
    <tabColor rgb="FF339933"/>
    <pageSetUpPr fitToPage="1"/>
  </sheetPr>
  <dimension ref="A1:AJ23"/>
  <sheetViews>
    <sheetView view="pageBreakPreview" zoomScale="50" zoomScaleNormal="55" zoomScaleSheetLayoutView="50" workbookViewId="0">
      <selection activeCell="R21" sqref="R21"/>
    </sheetView>
  </sheetViews>
  <sheetFormatPr defaultColWidth="9.140625" defaultRowHeight="12.75"/>
  <cols>
    <col min="1" max="1" width="9.140625" style="10"/>
    <col min="2" max="2" width="18.42578125" style="18" bestFit="1" customWidth="1"/>
    <col min="3" max="3" width="79.42578125" style="2" customWidth="1"/>
    <col min="4" max="4" width="6.7109375" style="2" customWidth="1"/>
    <col min="5" max="5" width="2.42578125" style="2" customWidth="1"/>
    <col min="6" max="6" width="13.42578125" style="2"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FINANCEIRO!A429</f>
        <v>4.3.2.11</v>
      </c>
      <c r="C10" s="845" t="str">
        <f>FINANCEIRO!C429</f>
        <v>Impermeabilização de estrutura com Sika Top 107 ou equivalente</v>
      </c>
      <c r="D10" s="816" t="s">
        <v>1317</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67.5" customHeight="1">
      <c r="A12" s="64"/>
      <c r="B12" s="112"/>
      <c r="C12" s="76" t="s">
        <v>1458</v>
      </c>
      <c r="D12" s="961"/>
      <c r="E12" s="962"/>
      <c r="F12" s="963"/>
      <c r="G12" s="851"/>
      <c r="H12" s="852"/>
      <c r="I12" s="853"/>
      <c r="J12" s="226"/>
      <c r="K12" s="81"/>
      <c r="L12" s="82"/>
      <c r="M12" s="83"/>
      <c r="N12" s="105"/>
      <c r="O12" s="84"/>
      <c r="P12" s="82"/>
      <c r="Q12" s="93"/>
      <c r="R12" s="85">
        <v>195.37</v>
      </c>
      <c r="S12" s="111" t="str">
        <f>FINANCEIRO!D429</f>
        <v>m2</v>
      </c>
      <c r="T12" s="215">
        <v>16</v>
      </c>
      <c r="U12" s="91"/>
      <c r="V12" s="71"/>
      <c r="W12" s="71"/>
      <c r="X12" s="152"/>
      <c r="Y12" s="153"/>
      <c r="Z12" s="72"/>
    </row>
    <row r="13" spans="1:36" s="73" customFormat="1" ht="21" customHeight="1">
      <c r="A13" s="64"/>
      <c r="B13" s="112"/>
      <c r="C13" s="76" t="s">
        <v>1459</v>
      </c>
      <c r="D13" s="860"/>
      <c r="E13" s="861"/>
      <c r="F13" s="862"/>
      <c r="G13" s="77"/>
      <c r="H13" s="78"/>
      <c r="I13" s="79"/>
      <c r="J13" s="80"/>
      <c r="K13" s="81"/>
      <c r="L13" s="82"/>
      <c r="M13" s="83"/>
      <c r="N13" s="105"/>
      <c r="O13" s="84"/>
      <c r="P13" s="82"/>
      <c r="Q13" s="93"/>
      <c r="R13" s="85"/>
      <c r="S13" s="111"/>
      <c r="T13" s="215"/>
      <c r="U13" s="91"/>
      <c r="V13" s="71"/>
      <c r="W13" s="71"/>
      <c r="X13" s="152"/>
      <c r="Y13" s="153"/>
      <c r="Z13" s="72"/>
    </row>
    <row r="14" spans="1:36" s="73" customFormat="1" ht="21" customHeight="1">
      <c r="A14" s="64"/>
      <c r="B14" s="109"/>
      <c r="C14" s="76" t="s">
        <v>1460</v>
      </c>
      <c r="D14" s="77"/>
      <c r="E14" s="78"/>
      <c r="F14" s="79"/>
      <c r="G14" s="77"/>
      <c r="H14" s="78"/>
      <c r="I14" s="79"/>
      <c r="J14" s="66"/>
      <c r="K14" s="108"/>
      <c r="L14" s="67"/>
      <c r="M14" s="68"/>
      <c r="N14" s="110"/>
      <c r="O14" s="69"/>
      <c r="P14" s="67"/>
      <c r="Q14" s="106"/>
      <c r="R14" s="85">
        <f>M14*D14</f>
        <v>0</v>
      </c>
      <c r="S14" s="111"/>
      <c r="T14" s="215"/>
      <c r="U14" s="94"/>
      <c r="V14" s="71"/>
      <c r="W14" s="71"/>
      <c r="X14" s="152"/>
      <c r="Y14" s="153"/>
      <c r="Z14" s="72"/>
      <c r="AA14" s="71"/>
      <c r="AB14" s="74"/>
    </row>
    <row r="15" spans="1:36" s="73" customFormat="1" ht="21" customHeight="1">
      <c r="A15" s="64"/>
      <c r="B15" s="109"/>
      <c r="C15" s="65"/>
      <c r="D15" s="77"/>
      <c r="E15" s="78"/>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ht="39.6" customHeight="1">
      <c r="B19" s="161"/>
      <c r="C19" s="162"/>
      <c r="D19" s="806" t="s">
        <v>11</v>
      </c>
      <c r="E19" s="807"/>
      <c r="F19" s="807"/>
      <c r="G19" s="807"/>
      <c r="H19" s="807"/>
      <c r="I19" s="808"/>
      <c r="J19" s="809">
        <f>FINANCEIRO!J429</f>
        <v>195.37</v>
      </c>
      <c r="K19" s="810"/>
      <c r="L19" s="50" t="str">
        <f>FINANCEIRO!D429</f>
        <v>m2</v>
      </c>
      <c r="M19" s="803" t="s">
        <v>12</v>
      </c>
      <c r="N19" s="811"/>
      <c r="O19" s="811"/>
      <c r="P19" s="811"/>
      <c r="Q19" s="805"/>
      <c r="R19" s="61">
        <f>SUM(R12:R18)</f>
        <v>195.37</v>
      </c>
      <c r="S19" s="51" t="str">
        <f>S12</f>
        <v>m2</v>
      </c>
      <c r="T19" s="22"/>
      <c r="U19" s="23"/>
    </row>
    <row r="20" spans="1:28" ht="21" customHeight="1">
      <c r="B20" s="163"/>
      <c r="C20" s="19"/>
      <c r="D20" s="817" t="s">
        <v>13</v>
      </c>
      <c r="E20" s="818"/>
      <c r="F20" s="818"/>
      <c r="G20" s="818"/>
      <c r="H20" s="818"/>
      <c r="I20" s="819"/>
      <c r="J20" s="823">
        <f>R19/J19</f>
        <v>1</v>
      </c>
      <c r="K20" s="824"/>
      <c r="L20" s="827"/>
      <c r="M20" s="803" t="s">
        <v>34</v>
      </c>
      <c r="N20" s="804"/>
      <c r="O20" s="804"/>
      <c r="P20" s="804"/>
      <c r="Q20" s="805"/>
      <c r="R20" s="61">
        <f>R12</f>
        <v>195.37</v>
      </c>
      <c r="S20" s="52" t="str">
        <f>S19</f>
        <v>m2</v>
      </c>
      <c r="T20" s="22"/>
      <c r="U20" s="23"/>
    </row>
    <row r="21" spans="1:28" ht="21" customHeight="1">
      <c r="A21" s="10" t="s">
        <v>809</v>
      </c>
      <c r="B21" s="165"/>
      <c r="C21" s="164"/>
      <c r="D21" s="820"/>
      <c r="E21" s="821"/>
      <c r="F21" s="821"/>
      <c r="G21" s="821"/>
      <c r="H21" s="821"/>
      <c r="I21" s="822"/>
      <c r="J21" s="825"/>
      <c r="K21" s="826"/>
      <c r="L21" s="828"/>
      <c r="M21" s="803" t="s">
        <v>14</v>
      </c>
      <c r="N21" s="804"/>
      <c r="O21" s="804"/>
      <c r="P21" s="804"/>
      <c r="Q21" s="805"/>
      <c r="R21" s="62">
        <f>R19-R20</f>
        <v>0</v>
      </c>
      <c r="S21" s="53" t="str">
        <f>S19</f>
        <v>m2</v>
      </c>
      <c r="T21" s="54"/>
      <c r="U21" s="24"/>
    </row>
    <row r="22" spans="1:28" ht="21" customHeight="1">
      <c r="B22" s="218"/>
      <c r="C22" s="217"/>
      <c r="M22" s="803" t="s">
        <v>53</v>
      </c>
      <c r="N22" s="804"/>
      <c r="O22" s="804"/>
      <c r="P22" s="804"/>
      <c r="Q22" s="805"/>
      <c r="R22" s="62">
        <f>FINANCEIRO!E429</f>
        <v>64.3</v>
      </c>
      <c r="S22" s="53"/>
      <c r="T22" s="54"/>
      <c r="U22" s="24"/>
    </row>
    <row r="23" spans="1:28" ht="21" customHeight="1">
      <c r="B23" s="163"/>
      <c r="C23" s="219"/>
      <c r="M23" s="803" t="s">
        <v>54</v>
      </c>
      <c r="N23" s="804"/>
      <c r="O23" s="804"/>
      <c r="P23" s="804"/>
      <c r="Q23" s="805"/>
      <c r="R23" s="62">
        <f>TRUNC(R22*R21,2)</f>
        <v>0</v>
      </c>
      <c r="S23" s="53" t="s">
        <v>55</v>
      </c>
      <c r="T23" s="54"/>
      <c r="U23" s="24"/>
    </row>
  </sheetData>
  <mergeCells count="37">
    <mergeCell ref="M23:Q23"/>
    <mergeCell ref="D20:I21"/>
    <mergeCell ref="J20:K21"/>
    <mergeCell ref="L20:L21"/>
    <mergeCell ref="M20:Q20"/>
    <mergeCell ref="M21:Q21"/>
    <mergeCell ref="M22:Q22"/>
    <mergeCell ref="D19:I19"/>
    <mergeCell ref="J19:K19"/>
    <mergeCell ref="M19:Q19"/>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0:K23">
    <cfRule type="cellIs" dxfId="241" priority="1" operator="greaterThanOrEqual">
      <formula>1</formula>
    </cfRule>
    <cfRule type="cellIs" dxfId="240" priority="2" operator="greaterThan">
      <formula>100%</formula>
    </cfRule>
  </conditionalFormatting>
  <pageMargins left="0.51181102362204722" right="0.51181102362204722" top="0.78740157480314965" bottom="0.78740157480314965" header="0.31496062992125984" footer="0.31496062992125984"/>
  <pageSetup paperSize="9" scale="45" fitToHeight="0" orientation="landscape" r:id="rId1"/>
  <headerFooter>
    <oddFooter>Página &amp;P de &amp;N</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6A775-7D81-4C56-B674-E0E8A1CDBF67}">
  <sheetPr>
    <tabColor rgb="FF339933"/>
    <pageSetUpPr fitToPage="1"/>
  </sheetPr>
  <dimension ref="A1:AJ24"/>
  <sheetViews>
    <sheetView view="pageBreakPreview" zoomScale="50" zoomScaleNormal="55" zoomScaleSheetLayoutView="50"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DEZ!A422</f>
        <v>4.3.3.1</v>
      </c>
      <c r="C10" s="845" t="str">
        <f>DEZ!C422</f>
        <v>Lastro regularizado e impermeabilizado de concreto, espessura de 10 cm , com armação em tela Q-61</v>
      </c>
      <c r="D10" s="816" t="s">
        <v>1317</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0.5" customHeight="1">
      <c r="A12" s="64"/>
      <c r="B12" s="112"/>
      <c r="C12" s="76" t="s">
        <v>1463</v>
      </c>
      <c r="D12" s="964"/>
      <c r="E12" s="965"/>
      <c r="F12" s="966"/>
      <c r="G12" s="851"/>
      <c r="H12" s="852"/>
      <c r="I12" s="853"/>
      <c r="J12" s="80"/>
      <c r="K12" s="81"/>
      <c r="L12" s="82"/>
      <c r="M12" s="83"/>
      <c r="N12" s="105"/>
      <c r="O12" s="84"/>
      <c r="P12" s="82"/>
      <c r="Q12" s="93"/>
      <c r="R12" s="85">
        <f>61.46+90</f>
        <v>151.46</v>
      </c>
      <c r="S12" s="111" t="s">
        <v>57</v>
      </c>
      <c r="T12" s="215">
        <v>16</v>
      </c>
      <c r="U12" s="91"/>
      <c r="V12" s="71"/>
      <c r="W12" s="71"/>
      <c r="X12" s="152"/>
      <c r="Y12" s="153"/>
      <c r="Z12" s="72"/>
    </row>
    <row r="13" spans="1:36" s="73" customFormat="1" ht="21" customHeight="1">
      <c r="A13" s="64"/>
      <c r="B13" s="112"/>
      <c r="C13" s="76" t="s">
        <v>1462</v>
      </c>
      <c r="D13" s="860"/>
      <c r="E13" s="861"/>
      <c r="F13" s="862"/>
      <c r="G13" s="77"/>
      <c r="H13" s="78"/>
      <c r="I13" s="79"/>
      <c r="J13" s="80"/>
      <c r="K13" s="81"/>
      <c r="L13" s="82"/>
      <c r="M13" s="83"/>
      <c r="N13" s="105"/>
      <c r="O13" s="84"/>
      <c r="P13" s="82"/>
      <c r="Q13" s="93"/>
      <c r="R13" s="85"/>
      <c r="S13" s="111"/>
      <c r="T13" s="215"/>
      <c r="U13" s="91"/>
      <c r="V13" s="71"/>
      <c r="W13" s="71"/>
      <c r="X13" s="152"/>
      <c r="Y13" s="153"/>
      <c r="Z13" s="72"/>
    </row>
    <row r="14" spans="1:36" s="73" customFormat="1" ht="21" customHeight="1">
      <c r="A14" s="64"/>
      <c r="B14" s="109"/>
      <c r="C14" s="65" t="s">
        <v>1464</v>
      </c>
      <c r="D14" s="77"/>
      <c r="E14" s="78"/>
      <c r="F14" s="79"/>
      <c r="G14" s="77"/>
      <c r="H14" s="78"/>
      <c r="I14" s="79"/>
      <c r="J14" s="66"/>
      <c r="K14" s="108"/>
      <c r="L14" s="67"/>
      <c r="M14" s="68"/>
      <c r="N14" s="110"/>
      <c r="O14" s="69"/>
      <c r="P14" s="67"/>
      <c r="Q14" s="106"/>
      <c r="R14" s="70">
        <f>M14*D14</f>
        <v>0</v>
      </c>
      <c r="S14" s="111"/>
      <c r="T14" s="215"/>
      <c r="U14" s="94"/>
      <c r="V14" s="71"/>
      <c r="W14" s="71"/>
      <c r="X14" s="152"/>
      <c r="Y14" s="153"/>
      <c r="Z14" s="72"/>
      <c r="AA14" s="71"/>
      <c r="AB14" s="74"/>
    </row>
    <row r="15" spans="1:36" s="73" customFormat="1" ht="21" customHeight="1">
      <c r="A15" s="64"/>
      <c r="B15" s="109"/>
      <c r="C15" s="65" t="s">
        <v>1466</v>
      </c>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76" t="s">
        <v>1461</v>
      </c>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t="s">
        <v>1465</v>
      </c>
      <c r="D18" s="77"/>
      <c r="E18" s="78"/>
      <c r="F18" s="79"/>
      <c r="G18" s="77"/>
      <c r="H18" s="78"/>
      <c r="I18" s="79"/>
      <c r="J18" s="66"/>
      <c r="K18" s="108"/>
      <c r="L18" s="67"/>
      <c r="M18" s="68"/>
      <c r="N18" s="110"/>
      <c r="O18" s="69"/>
      <c r="P18" s="67"/>
      <c r="Q18" s="106"/>
      <c r="R18" s="70"/>
      <c r="S18" s="106"/>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DEZ!I422</f>
        <v>151.46</v>
      </c>
      <c r="K20" s="810"/>
      <c r="L20" s="50" t="str">
        <f>S20</f>
        <v>m²</v>
      </c>
      <c r="M20" s="803" t="s">
        <v>12</v>
      </c>
      <c r="N20" s="811"/>
      <c r="O20" s="811"/>
      <c r="P20" s="811"/>
      <c r="Q20" s="805"/>
      <c r="R20" s="61">
        <f>SUM(R12:R19)</f>
        <v>151.46</v>
      </c>
      <c r="S20" s="51" t="str">
        <f>DEZ!D422</f>
        <v>m²</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151.46</v>
      </c>
      <c r="S21" s="52" t="str">
        <f>S20</f>
        <v>m²</v>
      </c>
      <c r="T21" s="22"/>
      <c r="U21" s="23"/>
    </row>
    <row r="22" spans="1:28" ht="21" customHeight="1">
      <c r="A22" s="10" t="s">
        <v>809</v>
      </c>
      <c r="B22" s="165"/>
      <c r="C22" s="164"/>
      <c r="D22" s="820"/>
      <c r="E22" s="821"/>
      <c r="F22" s="821"/>
      <c r="G22" s="821"/>
      <c r="H22" s="821"/>
      <c r="I22" s="822"/>
      <c r="J22" s="825"/>
      <c r="K22" s="826"/>
      <c r="L22" s="828"/>
      <c r="M22" s="803" t="s">
        <v>14</v>
      </c>
      <c r="N22" s="804"/>
      <c r="O22" s="804"/>
      <c r="P22" s="804"/>
      <c r="Q22" s="805"/>
      <c r="R22" s="62">
        <f>R20-R21</f>
        <v>0</v>
      </c>
      <c r="S22" s="53" t="str">
        <f>S20</f>
        <v>m²</v>
      </c>
      <c r="T22" s="54"/>
      <c r="U22" s="24"/>
    </row>
    <row r="23" spans="1:28" ht="21" customHeight="1">
      <c r="B23" s="218"/>
      <c r="C23" s="217"/>
      <c r="M23" s="803" t="s">
        <v>53</v>
      </c>
      <c r="N23" s="804"/>
      <c r="O23" s="804"/>
      <c r="P23" s="804"/>
      <c r="Q23" s="805"/>
      <c r="R23" s="62">
        <f>DEZ!E422</f>
        <v>91.41</v>
      </c>
      <c r="S23" s="53"/>
      <c r="T23" s="54"/>
      <c r="U23" s="24"/>
    </row>
    <row r="24" spans="1:28" ht="21" customHeight="1">
      <c r="B24" s="163"/>
      <c r="C24" s="219"/>
      <c r="M24" s="803" t="s">
        <v>54</v>
      </c>
      <c r="N24" s="804"/>
      <c r="O24" s="804"/>
      <c r="P24" s="804"/>
      <c r="Q24" s="805"/>
      <c r="R24" s="62">
        <f>TRUNC(R23*R22,2)</f>
        <v>0</v>
      </c>
      <c r="S24" s="53" t="s">
        <v>55</v>
      </c>
      <c r="T24" s="54"/>
      <c r="U24" s="24"/>
    </row>
  </sheetData>
  <mergeCells count="37">
    <mergeCell ref="M24:Q24"/>
    <mergeCell ref="D21:I22"/>
    <mergeCell ref="J21:K22"/>
    <mergeCell ref="L21:L22"/>
    <mergeCell ref="M21:Q21"/>
    <mergeCell ref="M22:Q22"/>
    <mergeCell ref="M23:Q23"/>
    <mergeCell ref="D20:I20"/>
    <mergeCell ref="J20:K20"/>
    <mergeCell ref="M20:Q20"/>
    <mergeCell ref="N10:N11"/>
    <mergeCell ref="O10:O11"/>
    <mergeCell ref="P10:P11"/>
    <mergeCell ref="Q10:Q11"/>
    <mergeCell ref="D12:F12"/>
    <mergeCell ref="D13:F13"/>
    <mergeCell ref="G12:I12"/>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1:K24">
    <cfRule type="cellIs" dxfId="239" priority="1" operator="greaterThanOrEqual">
      <formula>1</formula>
    </cfRule>
    <cfRule type="cellIs" dxfId="238" priority="2" operator="greaterThan">
      <formula>100%</formula>
    </cfRule>
  </conditionalFormatting>
  <pageMargins left="0.51181102362204722" right="0.51181102362204722" top="0.78740157480314965" bottom="0.78740157480314965" header="0.31496062992125984" footer="0.31496062992125984"/>
  <pageSetup paperSize="9" scale="46" fitToHeight="0" orientation="landscape" r:id="rId1"/>
  <headerFooter>
    <oddFooter>Página &amp;P de &amp;N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F5DF-999A-4A94-9F8F-640F1BB37943}">
  <sheetPr>
    <tabColor rgb="FF339933"/>
    <pageSetUpPr fitToPage="1"/>
  </sheetPr>
  <dimension ref="A1:AJ24"/>
  <sheetViews>
    <sheetView view="pageBreakPreview" zoomScale="50" zoomScaleNormal="55" zoomScaleSheetLayoutView="50"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FINANCEIRO!A451</f>
        <v>4.3.6.5</v>
      </c>
      <c r="C10" s="845" t="str">
        <f>FINANCEIRO!C451</f>
        <v>FORNECIMENTO E APLICAÇÃO DE CONCRETO USINADO FCK=40 MPA - CONSIDERANDO BOMBEAMENTO (5% DE PERDAS JÁ INCLUÍDO NO CUSTO) (6% DE TAXA P/CONCR.
BOMBEAVEL)</v>
      </c>
      <c r="D10" s="816" t="s">
        <v>1317</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0.5" customHeight="1">
      <c r="A12" s="64"/>
      <c r="B12" s="112"/>
      <c r="C12" s="76" t="s">
        <v>1450</v>
      </c>
      <c r="D12" s="964"/>
      <c r="E12" s="965"/>
      <c r="F12" s="966"/>
      <c r="G12" s="851"/>
      <c r="H12" s="852"/>
      <c r="I12" s="853"/>
      <c r="J12" s="80"/>
      <c r="K12" s="81">
        <f>D12*G12</f>
        <v>0</v>
      </c>
      <c r="L12" s="82">
        <v>5.78</v>
      </c>
      <c r="M12" s="83"/>
      <c r="N12" s="105"/>
      <c r="O12" s="84"/>
      <c r="P12" s="82"/>
      <c r="Q12" s="93"/>
      <c r="R12" s="85">
        <f>L12</f>
        <v>5.78</v>
      </c>
      <c r="S12" s="111" t="s">
        <v>58</v>
      </c>
      <c r="T12" s="215">
        <v>16</v>
      </c>
      <c r="U12" s="91"/>
      <c r="V12" s="71"/>
      <c r="W12" s="71"/>
      <c r="X12" s="152"/>
      <c r="Y12" s="153"/>
      <c r="Z12" s="72"/>
    </row>
    <row r="13" spans="1:36" s="73" customFormat="1" ht="21" customHeight="1">
      <c r="A13" s="64"/>
      <c r="B13" s="112"/>
      <c r="C13" s="76"/>
      <c r="D13" s="964"/>
      <c r="E13" s="965"/>
      <c r="F13" s="966"/>
      <c r="G13" s="851"/>
      <c r="H13" s="852"/>
      <c r="I13" s="853"/>
      <c r="J13" s="80"/>
      <c r="K13" s="81"/>
      <c r="L13" s="82"/>
      <c r="M13" s="83"/>
      <c r="N13" s="105"/>
      <c r="O13" s="84"/>
      <c r="P13" s="82"/>
      <c r="Q13" s="93"/>
      <c r="R13" s="85"/>
      <c r="S13" s="111"/>
      <c r="T13" s="215"/>
      <c r="U13" s="91"/>
      <c r="V13" s="71"/>
      <c r="W13" s="71"/>
      <c r="X13" s="152"/>
      <c r="Y13" s="153"/>
      <c r="Z13" s="72"/>
    </row>
    <row r="14" spans="1:36" s="73" customFormat="1" ht="21" customHeight="1">
      <c r="A14" s="64"/>
      <c r="B14" s="112"/>
      <c r="C14" s="76"/>
      <c r="D14" s="860"/>
      <c r="E14" s="861"/>
      <c r="F14" s="862"/>
      <c r="G14" s="77"/>
      <c r="H14" s="78"/>
      <c r="I14" s="79"/>
      <c r="J14" s="80"/>
      <c r="K14" s="81"/>
      <c r="L14" s="82"/>
      <c r="M14" s="83"/>
      <c r="N14" s="105"/>
      <c r="O14" s="84"/>
      <c r="P14" s="82"/>
      <c r="Q14" s="93"/>
      <c r="R14" s="85"/>
      <c r="S14" s="111"/>
      <c r="T14" s="215"/>
      <c r="U14" s="91"/>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85">
        <f>M15*D15</f>
        <v>0</v>
      </c>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FINANCEIRO!J451</f>
        <v>8.9</v>
      </c>
      <c r="K20" s="810"/>
      <c r="L20" s="50" t="str">
        <f>FINANCEIRO!D451</f>
        <v>m3</v>
      </c>
      <c r="M20" s="803" t="s">
        <v>12</v>
      </c>
      <c r="N20" s="811"/>
      <c r="O20" s="811"/>
      <c r="P20" s="811"/>
      <c r="Q20" s="805"/>
      <c r="R20" s="61">
        <f>SUM(R12:R19)</f>
        <v>5.78</v>
      </c>
      <c r="S20" s="51" t="s">
        <v>58</v>
      </c>
      <c r="T20" s="22"/>
      <c r="U20" s="23"/>
    </row>
    <row r="21" spans="1:28" ht="21" customHeight="1">
      <c r="B21" s="163"/>
      <c r="C21" s="19"/>
      <c r="D21" s="817" t="s">
        <v>13</v>
      </c>
      <c r="E21" s="818"/>
      <c r="F21" s="818"/>
      <c r="G21" s="818"/>
      <c r="H21" s="818"/>
      <c r="I21" s="819"/>
      <c r="J21" s="823">
        <f>R20/J20</f>
        <v>0.64943820224719107</v>
      </c>
      <c r="K21" s="824"/>
      <c r="L21" s="827"/>
      <c r="M21" s="803" t="s">
        <v>34</v>
      </c>
      <c r="N21" s="804"/>
      <c r="O21" s="804"/>
      <c r="P21" s="804"/>
      <c r="Q21" s="805"/>
      <c r="R21" s="61">
        <f>R12</f>
        <v>5.78</v>
      </c>
      <c r="S21" s="52" t="str">
        <f>S20</f>
        <v>m3</v>
      </c>
      <c r="T21" s="22"/>
      <c r="U21" s="23"/>
    </row>
    <row r="22" spans="1:28" ht="21" customHeight="1">
      <c r="A22" s="10" t="s">
        <v>809</v>
      </c>
      <c r="B22" s="165"/>
      <c r="C22" s="164"/>
      <c r="D22" s="820"/>
      <c r="E22" s="821"/>
      <c r="F22" s="821"/>
      <c r="G22" s="821"/>
      <c r="H22" s="821"/>
      <c r="I22" s="822"/>
      <c r="J22" s="825"/>
      <c r="K22" s="826"/>
      <c r="L22" s="828"/>
      <c r="M22" s="803" t="s">
        <v>14</v>
      </c>
      <c r="N22" s="804"/>
      <c r="O22" s="804"/>
      <c r="P22" s="804"/>
      <c r="Q22" s="805"/>
      <c r="R22" s="62">
        <f>R20-R21</f>
        <v>0</v>
      </c>
      <c r="S22" s="53" t="str">
        <f>S20</f>
        <v>m3</v>
      </c>
      <c r="T22" s="54"/>
      <c r="U22" s="24"/>
    </row>
    <row r="23" spans="1:28" ht="21" customHeight="1">
      <c r="B23" s="218"/>
      <c r="C23" s="217"/>
      <c r="M23" s="803" t="s">
        <v>53</v>
      </c>
      <c r="N23" s="804"/>
      <c r="O23" s="804"/>
      <c r="P23" s="804"/>
      <c r="Q23" s="805"/>
      <c r="R23" s="62">
        <f>FINANCEIRO!E451</f>
        <v>486.08</v>
      </c>
      <c r="S23" s="53"/>
      <c r="T23" s="54"/>
      <c r="U23" s="24"/>
    </row>
    <row r="24" spans="1:28" ht="21" customHeight="1">
      <c r="B24" s="163"/>
      <c r="C24" s="219"/>
      <c r="M24" s="803" t="s">
        <v>54</v>
      </c>
      <c r="N24" s="804"/>
      <c r="O24" s="804"/>
      <c r="P24" s="804"/>
      <c r="Q24" s="805"/>
      <c r="R24" s="62">
        <f>TRUNC(R23*R22,2)</f>
        <v>0</v>
      </c>
      <c r="S24" s="53" t="s">
        <v>55</v>
      </c>
      <c r="T24" s="54"/>
      <c r="U24" s="24"/>
    </row>
  </sheetData>
  <mergeCells count="39">
    <mergeCell ref="M23:Q23"/>
    <mergeCell ref="R10:R11"/>
    <mergeCell ref="N10:N11"/>
    <mergeCell ref="M24:Q24"/>
    <mergeCell ref="D14:F14"/>
    <mergeCell ref="D20:I20"/>
    <mergeCell ref="J20:K20"/>
    <mergeCell ref="M20:Q20"/>
    <mergeCell ref="D21:I22"/>
    <mergeCell ref="J21:K22"/>
    <mergeCell ref="L21:L22"/>
    <mergeCell ref="M21:Q21"/>
    <mergeCell ref="M22:Q22"/>
    <mergeCell ref="D12:F12"/>
    <mergeCell ref="G12:I12"/>
    <mergeCell ref="D13:F13"/>
    <mergeCell ref="G13:I13"/>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S10:S11"/>
  </mergeCells>
  <conditionalFormatting sqref="J21:K24">
    <cfRule type="cellIs" dxfId="237" priority="1" operator="greaterThanOrEqual">
      <formula>1</formula>
    </cfRule>
    <cfRule type="cellIs" dxfId="236" priority="2" operator="greaterThan">
      <formula>100%</formula>
    </cfRule>
  </conditionalFormatting>
  <pageMargins left="0.51181102362204722" right="0.51181102362204722" top="0.78740157480314965" bottom="0.78740157480314965" header="0.31496062992125984" footer="0.31496062992125984"/>
  <pageSetup paperSize="9" scale="46" fitToHeight="0" orientation="landscape" r:id="rId1"/>
  <headerFooter>
    <oddFooter>Página &amp;P de &amp;N</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BDB20-B547-4306-82BB-17EDD4791DC0}">
  <sheetPr>
    <tabColor rgb="FF339933"/>
    <pageSetUpPr fitToPage="1"/>
  </sheetPr>
  <dimension ref="A1:AF27"/>
  <sheetViews>
    <sheetView showGridLines="0" view="pageBreakPreview" topLeftCell="A6" zoomScale="50" zoomScaleNormal="55" zoomScaleSheetLayoutView="50" workbookViewId="0">
      <selection activeCell="N25" sqref="N25"/>
    </sheetView>
  </sheetViews>
  <sheetFormatPr defaultColWidth="9.140625" defaultRowHeight="12.75"/>
  <cols>
    <col min="1" max="1" width="9.140625" style="10"/>
    <col min="2" max="2" width="13.42578125" style="18" customWidth="1"/>
    <col min="3" max="3" width="77.7109375" style="2" customWidth="1"/>
    <col min="4" max="4" width="13.7109375" style="2" customWidth="1"/>
    <col min="5" max="5" width="6.7109375" style="2" customWidth="1"/>
    <col min="6" max="6" width="2.42578125" style="2" customWidth="1"/>
    <col min="7" max="7" width="7.140625" style="2" bestFit="1" customWidth="1"/>
    <col min="8" max="8" width="15.42578125" style="2" customWidth="1"/>
    <col min="9" max="10" width="13.5703125" style="2" customWidth="1"/>
    <col min="11" max="11" width="20.42578125" style="2" bestFit="1" customWidth="1"/>
    <col min="12" max="13" width="13.5703125" style="2" hidden="1" customWidth="1"/>
    <col min="14" max="14" width="19.140625" style="63" customWidth="1"/>
    <col min="15" max="15" width="9" style="2" customWidth="1"/>
    <col min="16" max="16" width="15.28515625" style="2" customWidth="1"/>
    <col min="17" max="17" width="38.140625" style="2" bestFit="1" customWidth="1"/>
    <col min="18" max="20" width="9.140625" style="2"/>
    <col min="21" max="21" width="9.140625" style="140"/>
    <col min="22" max="23" width="9.140625" style="2"/>
    <col min="24" max="24" width="12.7109375" style="13" customWidth="1"/>
    <col min="25" max="16384" width="9.140625" style="2"/>
  </cols>
  <sheetData>
    <row r="1" spans="1:32" ht="18.75" customHeight="1">
      <c r="B1" s="831" t="s">
        <v>851</v>
      </c>
      <c r="C1" s="832"/>
      <c r="D1" s="832"/>
      <c r="E1" s="832"/>
      <c r="F1" s="832"/>
      <c r="G1" s="832"/>
      <c r="H1" s="832"/>
      <c r="I1" s="832"/>
      <c r="J1" s="832"/>
      <c r="K1" s="832"/>
      <c r="L1" s="832"/>
      <c r="M1" s="832"/>
      <c r="N1" s="832"/>
      <c r="O1" s="832"/>
      <c r="P1" s="832"/>
      <c r="Q1" s="832"/>
    </row>
    <row r="2" spans="1:32" ht="18.75" customHeight="1">
      <c r="B2" s="832"/>
      <c r="C2" s="832"/>
      <c r="D2" s="832"/>
      <c r="E2" s="832"/>
      <c r="F2" s="832"/>
      <c r="G2" s="832"/>
      <c r="H2" s="832"/>
      <c r="I2" s="832"/>
      <c r="J2" s="832"/>
      <c r="K2" s="832"/>
      <c r="L2" s="832"/>
      <c r="M2" s="832"/>
      <c r="N2" s="832"/>
      <c r="O2" s="832"/>
      <c r="P2" s="832"/>
      <c r="Q2" s="832"/>
    </row>
    <row r="3" spans="1:32" ht="18.75" customHeight="1">
      <c r="B3" s="832"/>
      <c r="C3" s="832"/>
      <c r="D3" s="832"/>
      <c r="E3" s="832"/>
      <c r="F3" s="832"/>
      <c r="G3" s="832"/>
      <c r="H3" s="832"/>
      <c r="I3" s="832"/>
      <c r="J3" s="832"/>
      <c r="K3" s="832"/>
      <c r="L3" s="832"/>
      <c r="M3" s="832"/>
      <c r="N3" s="832"/>
      <c r="O3" s="832"/>
      <c r="P3" s="832"/>
      <c r="Q3" s="832"/>
    </row>
    <row r="4" spans="1:32" ht="18.75" customHeight="1">
      <c r="B4" s="832"/>
      <c r="C4" s="832"/>
      <c r="D4" s="832"/>
      <c r="E4" s="832"/>
      <c r="F4" s="832"/>
      <c r="G4" s="832"/>
      <c r="H4" s="832"/>
      <c r="I4" s="832"/>
      <c r="J4" s="832"/>
      <c r="K4" s="832"/>
      <c r="L4" s="832"/>
      <c r="M4" s="832"/>
      <c r="N4" s="832"/>
      <c r="O4" s="832"/>
      <c r="P4" s="832"/>
      <c r="Q4" s="832"/>
      <c r="R4" s="833"/>
      <c r="S4" s="833"/>
      <c r="T4" s="833"/>
      <c r="U4" s="833"/>
      <c r="V4" s="833"/>
      <c r="W4" s="833"/>
    </row>
    <row r="5" spans="1:32" s="21" customFormat="1" ht="15.75" customHeight="1">
      <c r="A5" s="29"/>
      <c r="B5" s="834" t="s">
        <v>5</v>
      </c>
      <c r="C5" s="835"/>
      <c r="D5" s="835"/>
      <c r="E5" s="835"/>
      <c r="F5" s="835"/>
      <c r="G5" s="836"/>
      <c r="H5" s="837" t="s">
        <v>6</v>
      </c>
      <c r="I5" s="838"/>
      <c r="J5" s="838"/>
      <c r="K5" s="838"/>
      <c r="L5" s="838"/>
      <c r="M5" s="839"/>
      <c r="N5" s="841"/>
      <c r="O5" s="841"/>
      <c r="P5" s="841"/>
      <c r="Q5" s="842"/>
      <c r="R5" s="158"/>
      <c r="S5" s="158"/>
      <c r="T5" s="158"/>
      <c r="U5" s="158"/>
      <c r="V5" s="158"/>
      <c r="W5" s="158"/>
      <c r="X5" s="30"/>
    </row>
    <row r="6" spans="1:32" s="35" customFormat="1" ht="15.75">
      <c r="A6" s="31"/>
      <c r="B6" s="97" t="s">
        <v>4</v>
      </c>
      <c r="C6" s="101" t="str">
        <f>VLOOKUP(B6,DEZ!_xlnm.Print_Area,3,FALSE)</f>
        <v>Execução de quatro pontos de embarque e desembarque do sistema aquaviário</v>
      </c>
      <c r="D6" s="33"/>
      <c r="E6" s="33"/>
      <c r="F6" s="100"/>
      <c r="G6" s="102"/>
      <c r="H6" s="135" t="str">
        <f>DEZ!D7</f>
        <v xml:space="preserve">EMPREITEIRA:  </v>
      </c>
      <c r="I6" s="37"/>
      <c r="J6" s="32" t="str">
        <f>DEZ!F7</f>
        <v>AMF Engenharia e Serviços Ltda.</v>
      </c>
      <c r="K6" s="32"/>
      <c r="L6" s="32"/>
      <c r="M6" s="55"/>
      <c r="N6" s="57"/>
      <c r="O6" s="33"/>
      <c r="P6" s="33"/>
      <c r="Q6" s="34"/>
      <c r="U6" s="141"/>
      <c r="X6" s="36"/>
    </row>
    <row r="7" spans="1:32" s="35" customFormat="1" ht="15.75">
      <c r="A7" s="31"/>
      <c r="B7" s="98"/>
      <c r="C7" s="145"/>
      <c r="D7" s="37"/>
      <c r="E7" s="37"/>
      <c r="F7" s="38"/>
      <c r="G7" s="56"/>
      <c r="H7" s="136" t="str">
        <f>DEZ!D8</f>
        <v xml:space="preserve">CONTRATO N°: </v>
      </c>
      <c r="I7" s="37"/>
      <c r="J7" s="115" t="str">
        <f>DEZ!F8</f>
        <v>06/2021</v>
      </c>
      <c r="K7" s="37"/>
      <c r="L7" s="115"/>
      <c r="M7" s="116"/>
      <c r="N7" s="58"/>
      <c r="O7" s="37"/>
      <c r="P7" s="829"/>
      <c r="Q7" s="830"/>
      <c r="U7" s="141"/>
      <c r="X7" s="36"/>
    </row>
    <row r="8" spans="1:32" s="35" customFormat="1" ht="15.75">
      <c r="A8" s="31"/>
      <c r="B8" s="98" t="s">
        <v>7</v>
      </c>
      <c r="C8" s="121">
        <f>FINANCEIRO!C9</f>
        <v>20</v>
      </c>
      <c r="D8" s="37"/>
      <c r="E8" s="37"/>
      <c r="F8" s="38"/>
      <c r="G8" s="56"/>
      <c r="H8" s="136" t="str">
        <f>DEZ!D9</f>
        <v xml:space="preserve">ASSINATURA: </v>
      </c>
      <c r="I8" s="37"/>
      <c r="J8" s="146">
        <f>DEZ!F9</f>
        <v>44349</v>
      </c>
      <c r="K8" s="38"/>
      <c r="L8" s="38"/>
      <c r="M8" s="56"/>
      <c r="N8" s="59"/>
      <c r="O8" s="38"/>
      <c r="P8" s="829"/>
      <c r="Q8" s="830"/>
      <c r="U8" s="141"/>
      <c r="W8" s="39"/>
      <c r="X8" s="39"/>
      <c r="Y8" s="39"/>
      <c r="Z8" s="39"/>
      <c r="AA8" s="39"/>
      <c r="AB8" s="39"/>
      <c r="AC8" s="39"/>
      <c r="AD8" s="39"/>
      <c r="AE8" s="39"/>
      <c r="AF8" s="39"/>
    </row>
    <row r="9" spans="1:32" s="35" customFormat="1" ht="15.75">
      <c r="A9" s="31"/>
      <c r="B9" s="99" t="s">
        <v>8</v>
      </c>
      <c r="C9" s="122" t="str">
        <f>FINANCEIRO!C10</f>
        <v>01/07/2023 a 30/09/2023</v>
      </c>
      <c r="D9" s="96"/>
      <c r="E9" s="96"/>
      <c r="F9" s="95"/>
      <c r="G9" s="103"/>
      <c r="H9" s="136" t="str">
        <f>DEZ!D10</f>
        <v xml:space="preserve">INÍCIO DOS SERVIÇOS: </v>
      </c>
      <c r="I9" s="37"/>
      <c r="J9" s="146">
        <f>DEZ!F10</f>
        <v>44473</v>
      </c>
      <c r="K9" s="38"/>
      <c r="L9" s="38"/>
      <c r="M9" s="56"/>
      <c r="N9" s="59"/>
      <c r="O9" s="38"/>
      <c r="P9" s="829"/>
      <c r="Q9" s="830"/>
      <c r="U9" s="141"/>
      <c r="W9" s="39"/>
      <c r="X9" s="39"/>
      <c r="Y9" s="39"/>
      <c r="Z9" s="39"/>
      <c r="AA9" s="39"/>
      <c r="AB9" s="39"/>
      <c r="AC9" s="39"/>
      <c r="AD9" s="39"/>
      <c r="AE9" s="39"/>
      <c r="AF9" s="39"/>
    </row>
    <row r="10" spans="1:32" s="16" customFormat="1" ht="24.95" customHeight="1">
      <c r="A10" s="14"/>
      <c r="B10" s="843" t="str">
        <f>FINANCEIRO!A474</f>
        <v>4.3.10.1</v>
      </c>
      <c r="C10" s="845" t="str">
        <f>FINANCEIRO!C474</f>
        <v>Cerca de engranzamento soldado, incluso instalação</v>
      </c>
      <c r="D10" s="816" t="s">
        <v>1317</v>
      </c>
      <c r="E10" s="816" t="s">
        <v>33</v>
      </c>
      <c r="F10" s="816"/>
      <c r="G10" s="816"/>
      <c r="H10" s="812" t="s">
        <v>853</v>
      </c>
      <c r="I10" s="812" t="s">
        <v>855</v>
      </c>
      <c r="J10" s="812" t="s">
        <v>856</v>
      </c>
      <c r="K10" s="812" t="s">
        <v>62</v>
      </c>
      <c r="L10" s="812"/>
      <c r="M10" s="812"/>
      <c r="N10" s="849" t="s">
        <v>857</v>
      </c>
      <c r="O10" s="812" t="s">
        <v>10</v>
      </c>
      <c r="P10" s="812" t="s">
        <v>858</v>
      </c>
      <c r="Q10" s="847" t="s">
        <v>35</v>
      </c>
      <c r="R10" s="120"/>
      <c r="S10" s="120"/>
      <c r="T10" s="143"/>
      <c r="U10" s="144"/>
      <c r="V10" s="15"/>
      <c r="W10" s="12"/>
      <c r="X10" s="12"/>
      <c r="Y10" s="12"/>
      <c r="Z10" s="12"/>
      <c r="AA10" s="12"/>
      <c r="AB10" s="12"/>
      <c r="AC10" s="12"/>
      <c r="AD10" s="12"/>
      <c r="AE10" s="12"/>
      <c r="AF10" s="12"/>
    </row>
    <row r="11" spans="1:32" s="16" customFormat="1" ht="39.6" customHeight="1">
      <c r="A11" s="14"/>
      <c r="B11" s="844"/>
      <c r="C11" s="846"/>
      <c r="D11" s="816"/>
      <c r="E11" s="816"/>
      <c r="F11" s="816"/>
      <c r="G11" s="816"/>
      <c r="H11" s="813"/>
      <c r="I11" s="813"/>
      <c r="J11" s="813"/>
      <c r="K11" s="813"/>
      <c r="L11" s="813"/>
      <c r="M11" s="813"/>
      <c r="N11" s="850"/>
      <c r="O11" s="813"/>
      <c r="P11" s="813"/>
      <c r="Q11" s="848"/>
      <c r="R11" s="120"/>
      <c r="S11" s="120"/>
      <c r="T11" s="143"/>
      <c r="U11" s="144"/>
      <c r="V11" s="15"/>
      <c r="W11" s="12"/>
      <c r="X11" s="12"/>
      <c r="Y11" s="12"/>
      <c r="Z11" s="12"/>
      <c r="AA11" s="12"/>
      <c r="AB11" s="12"/>
      <c r="AC11" s="12"/>
      <c r="AD11" s="12"/>
      <c r="AE11" s="12"/>
      <c r="AF11" s="12"/>
    </row>
    <row r="12" spans="1:32" s="73" customFormat="1" ht="40.5" customHeight="1">
      <c r="A12" s="64"/>
      <c r="B12" s="112"/>
      <c r="C12" s="76" t="s">
        <v>1469</v>
      </c>
      <c r="D12" s="612"/>
      <c r="E12" s="851"/>
      <c r="F12" s="852"/>
      <c r="G12" s="853"/>
      <c r="H12" s="80"/>
      <c r="I12" s="81"/>
      <c r="J12" s="82"/>
      <c r="K12" s="83"/>
      <c r="L12" s="105"/>
      <c r="M12" s="84"/>
      <c r="N12" s="85"/>
      <c r="O12" s="111"/>
      <c r="P12" s="215"/>
      <c r="Q12" s="91"/>
      <c r="R12" s="71"/>
      <c r="S12" s="71"/>
      <c r="T12" s="152"/>
      <c r="U12" s="153"/>
      <c r="V12" s="72"/>
    </row>
    <row r="13" spans="1:32" s="73" customFormat="1" ht="21" customHeight="1">
      <c r="A13" s="64"/>
      <c r="B13" s="112"/>
      <c r="C13" s="76" t="s">
        <v>1467</v>
      </c>
      <c r="D13" s="612"/>
      <c r="E13" s="77"/>
      <c r="F13" s="78"/>
      <c r="G13" s="79"/>
      <c r="H13" s="80"/>
      <c r="I13" s="81"/>
      <c r="J13" s="82"/>
      <c r="K13" s="83"/>
      <c r="L13" s="105"/>
      <c r="M13" s="84"/>
      <c r="N13" s="85"/>
      <c r="O13" s="111"/>
      <c r="P13" s="215"/>
      <c r="Q13" s="91"/>
      <c r="R13" s="71"/>
      <c r="S13" s="71"/>
      <c r="T13" s="152"/>
      <c r="U13" s="153"/>
      <c r="V13" s="72"/>
    </row>
    <row r="14" spans="1:32" s="73" customFormat="1" ht="21" customHeight="1">
      <c r="A14" s="64"/>
      <c r="B14" s="109"/>
      <c r="C14" s="76" t="s">
        <v>1468</v>
      </c>
      <c r="D14" s="612"/>
      <c r="E14" s="77"/>
      <c r="F14" s="78"/>
      <c r="G14" s="79"/>
      <c r="H14" s="66"/>
      <c r="I14" s="108"/>
      <c r="J14" s="67"/>
      <c r="K14" s="68"/>
      <c r="L14" s="110"/>
      <c r="M14" s="69"/>
      <c r="N14" s="85">
        <v>46.02</v>
      </c>
      <c r="O14" s="111" t="s">
        <v>57</v>
      </c>
      <c r="P14" s="215">
        <v>16</v>
      </c>
      <c r="Q14" s="94"/>
      <c r="R14" s="71"/>
      <c r="S14" s="71"/>
      <c r="T14" s="152"/>
      <c r="U14" s="153"/>
      <c r="V14" s="72"/>
      <c r="W14" s="71"/>
      <c r="X14" s="74"/>
    </row>
    <row r="15" spans="1:32" s="73" customFormat="1" ht="30">
      <c r="A15" s="64"/>
      <c r="B15" s="109"/>
      <c r="C15" s="753" t="s">
        <v>1486</v>
      </c>
      <c r="D15" s="612"/>
      <c r="E15" s="77"/>
      <c r="F15" s="78"/>
      <c r="G15" s="79"/>
      <c r="H15" s="80"/>
      <c r="I15" s="81"/>
      <c r="J15" s="82"/>
      <c r="K15" s="68"/>
      <c r="L15" s="110"/>
      <c r="M15" s="69"/>
      <c r="N15" s="70"/>
      <c r="O15" s="111"/>
      <c r="P15" s="215"/>
      <c r="Q15" s="94"/>
      <c r="R15" s="71"/>
      <c r="S15" s="71"/>
      <c r="T15" s="152"/>
      <c r="U15" s="153"/>
      <c r="V15" s="72"/>
      <c r="W15" s="71"/>
      <c r="X15" s="74"/>
    </row>
    <row r="16" spans="1:32" s="73" customFormat="1" ht="21" customHeight="1">
      <c r="A16" s="64"/>
      <c r="B16" s="109"/>
      <c r="C16" s="76" t="s">
        <v>1482</v>
      </c>
      <c r="D16" s="612"/>
      <c r="E16" s="77"/>
      <c r="F16" s="78"/>
      <c r="G16" s="79"/>
      <c r="H16" s="711"/>
      <c r="I16" s="108"/>
      <c r="J16" s="67"/>
      <c r="K16" s="68"/>
      <c r="L16" s="110"/>
      <c r="M16" s="69"/>
      <c r="N16" s="70"/>
      <c r="O16" s="106"/>
      <c r="P16" s="215"/>
      <c r="Q16" s="94"/>
      <c r="R16" s="71"/>
      <c r="S16" s="71"/>
      <c r="T16" s="152"/>
      <c r="U16" s="153"/>
      <c r="V16" s="72"/>
      <c r="W16" s="71"/>
      <c r="X16" s="74"/>
    </row>
    <row r="17" spans="1:24" s="90" customFormat="1" ht="21" customHeight="1">
      <c r="A17" s="75"/>
      <c r="B17" s="107"/>
      <c r="C17" s="76" t="s">
        <v>1487</v>
      </c>
      <c r="D17" s="612"/>
      <c r="E17" s="77"/>
      <c r="F17" s="78"/>
      <c r="G17" s="79"/>
      <c r="H17" s="80"/>
      <c r="I17" s="81"/>
      <c r="J17" s="82"/>
      <c r="K17" s="83"/>
      <c r="L17" s="84"/>
      <c r="M17" s="155"/>
      <c r="N17" s="70">
        <v>42.45</v>
      </c>
      <c r="O17" s="111" t="s">
        <v>57</v>
      </c>
      <c r="P17" s="215">
        <v>17</v>
      </c>
      <c r="Q17" s="92"/>
      <c r="R17" s="86"/>
      <c r="S17" s="86"/>
      <c r="T17" s="86"/>
      <c r="U17" s="151"/>
      <c r="V17" s="87"/>
      <c r="W17" s="88"/>
      <c r="X17" s="89"/>
    </row>
    <row r="18" spans="1:24" s="90" customFormat="1" ht="32.25" customHeight="1">
      <c r="A18" s="75"/>
      <c r="B18" s="107"/>
      <c r="C18" s="753" t="s">
        <v>1484</v>
      </c>
      <c r="D18" s="612"/>
      <c r="E18" s="77"/>
      <c r="F18" s="78"/>
      <c r="G18" s="79"/>
      <c r="H18" s="80"/>
      <c r="I18" s="81"/>
      <c r="J18" s="82"/>
      <c r="K18" s="83"/>
      <c r="L18" s="84"/>
      <c r="M18" s="155"/>
      <c r="N18" s="70"/>
      <c r="O18" s="111"/>
      <c r="P18" s="215"/>
      <c r="Q18" s="92"/>
      <c r="R18" s="86"/>
      <c r="S18" s="86"/>
      <c r="T18" s="86"/>
      <c r="U18" s="151"/>
      <c r="V18" s="87"/>
      <c r="W18" s="88"/>
      <c r="X18" s="89"/>
    </row>
    <row r="19" spans="1:24" s="90" customFormat="1" ht="21" customHeight="1">
      <c r="A19" s="75"/>
      <c r="B19" s="107"/>
      <c r="C19" s="76" t="s">
        <v>1483</v>
      </c>
      <c r="D19" s="612"/>
      <c r="E19" s="77"/>
      <c r="F19" s="78"/>
      <c r="G19" s="79"/>
      <c r="H19" s="80"/>
      <c r="I19" s="81"/>
      <c r="J19" s="82"/>
      <c r="K19" s="83"/>
      <c r="L19" s="84"/>
      <c r="M19" s="155"/>
      <c r="N19" s="70"/>
      <c r="O19" s="111"/>
      <c r="P19" s="215"/>
      <c r="Q19" s="92"/>
      <c r="R19" s="86"/>
      <c r="S19" s="86"/>
      <c r="T19" s="86"/>
      <c r="U19" s="151"/>
      <c r="V19" s="87"/>
      <c r="W19" s="88"/>
      <c r="X19" s="89"/>
    </row>
    <row r="20" spans="1:24" s="90" customFormat="1" ht="21" customHeight="1">
      <c r="A20" s="75"/>
      <c r="B20" s="107"/>
      <c r="C20" s="65" t="s">
        <v>1485</v>
      </c>
      <c r="D20" s="612"/>
      <c r="E20" s="77"/>
      <c r="F20" s="78"/>
      <c r="G20" s="79"/>
      <c r="H20" s="80"/>
      <c r="I20" s="81"/>
      <c r="J20" s="82"/>
      <c r="K20" s="83"/>
      <c r="L20" s="84"/>
      <c r="M20" s="155"/>
      <c r="N20" s="70">
        <v>22.92</v>
      </c>
      <c r="O20" s="111" t="s">
        <v>57</v>
      </c>
      <c r="P20" s="215">
        <v>17</v>
      </c>
      <c r="Q20" s="92"/>
      <c r="R20" s="86"/>
      <c r="S20" s="86"/>
      <c r="T20" s="86"/>
      <c r="U20" s="151"/>
      <c r="V20" s="87"/>
      <c r="W20" s="88"/>
      <c r="X20" s="89"/>
    </row>
    <row r="21" spans="1:24" s="90" customFormat="1" ht="21" customHeight="1">
      <c r="A21" s="75"/>
      <c r="B21" s="107"/>
      <c r="C21" s="76"/>
      <c r="D21" s="612"/>
      <c r="E21" s="77"/>
      <c r="F21" s="78"/>
      <c r="G21" s="79"/>
      <c r="H21" s="80"/>
      <c r="I21" s="81"/>
      <c r="J21" s="82"/>
      <c r="K21" s="83"/>
      <c r="L21" s="84"/>
      <c r="M21" s="155"/>
      <c r="N21" s="70"/>
      <c r="O21" s="111"/>
      <c r="P21" s="215"/>
      <c r="Q21" s="92"/>
      <c r="R21" s="86"/>
      <c r="S21" s="86"/>
      <c r="T21" s="86"/>
      <c r="U21" s="151"/>
      <c r="V21" s="87"/>
      <c r="W21" s="88"/>
      <c r="X21" s="89"/>
    </row>
    <row r="22" spans="1:24" s="90" customFormat="1" ht="37.5" customHeight="1">
      <c r="A22" s="75"/>
      <c r="B22" s="107"/>
      <c r="C22" s="76"/>
      <c r="D22" s="612"/>
      <c r="E22" s="77"/>
      <c r="F22" s="78"/>
      <c r="G22" s="79"/>
      <c r="H22" s="80"/>
      <c r="I22" s="81"/>
      <c r="J22" s="82"/>
      <c r="K22" s="83"/>
      <c r="L22" s="84"/>
      <c r="M22" s="155"/>
      <c r="N22" s="70"/>
      <c r="O22" s="111"/>
      <c r="Q22" s="92"/>
      <c r="R22" s="86"/>
      <c r="S22" s="86"/>
      <c r="T22" s="86"/>
      <c r="U22" s="151"/>
      <c r="V22" s="87"/>
      <c r="W22" s="88"/>
      <c r="X22" s="89"/>
    </row>
    <row r="23" spans="1:24" ht="29.25" customHeight="1">
      <c r="B23" s="161"/>
      <c r="C23" s="162"/>
      <c r="D23" s="806" t="s">
        <v>11</v>
      </c>
      <c r="E23" s="807"/>
      <c r="F23" s="807"/>
      <c r="G23" s="808"/>
      <c r="H23" s="809">
        <f>FINANCEIRO!J474</f>
        <v>111.39</v>
      </c>
      <c r="I23" s="810"/>
      <c r="J23" s="50" t="str">
        <f>FINANCEIRO!D474</f>
        <v>m²</v>
      </c>
      <c r="K23" s="803" t="s">
        <v>12</v>
      </c>
      <c r="L23" s="811"/>
      <c r="M23" s="811"/>
      <c r="N23" s="61">
        <f>SUM(N13:N21)</f>
        <v>111.39</v>
      </c>
      <c r="O23" s="51" t="s">
        <v>57</v>
      </c>
      <c r="P23" s="22"/>
      <c r="Q23" s="23"/>
    </row>
    <row r="24" spans="1:24" ht="51" customHeight="1">
      <c r="B24" s="163"/>
      <c r="C24" s="19"/>
      <c r="D24" s="817" t="s">
        <v>13</v>
      </c>
      <c r="E24" s="818"/>
      <c r="F24" s="818"/>
      <c r="G24" s="819"/>
      <c r="H24" s="823">
        <f>N23/H23</f>
        <v>1</v>
      </c>
      <c r="I24" s="824"/>
      <c r="J24" s="827"/>
      <c r="K24" s="803" t="s">
        <v>34</v>
      </c>
      <c r="L24" s="804"/>
      <c r="M24" s="804"/>
      <c r="N24" s="61">
        <f>SUM(N14:N20)</f>
        <v>111.39</v>
      </c>
      <c r="O24" s="52" t="str">
        <f>O23</f>
        <v>m2</v>
      </c>
      <c r="P24" s="22"/>
      <c r="Q24" s="23"/>
    </row>
    <row r="25" spans="1:24" ht="40.5" customHeight="1">
      <c r="B25" s="165"/>
      <c r="C25" s="164"/>
      <c r="D25" s="820"/>
      <c r="E25" s="821"/>
      <c r="F25" s="821"/>
      <c r="G25" s="822"/>
      <c r="H25" s="825"/>
      <c r="I25" s="826"/>
      <c r="J25" s="828"/>
      <c r="K25" s="803" t="s">
        <v>14</v>
      </c>
      <c r="L25" s="804"/>
      <c r="M25" s="804"/>
      <c r="N25" s="62">
        <f>N23-N24</f>
        <v>0</v>
      </c>
      <c r="O25" s="53" t="str">
        <f>O23</f>
        <v>m2</v>
      </c>
      <c r="P25" s="22"/>
      <c r="Q25" s="24"/>
    </row>
    <row r="26" spans="1:24" ht="32.25" customHeight="1">
      <c r="B26" s="218"/>
      <c r="C26" s="217"/>
      <c r="K26" s="803" t="s">
        <v>53</v>
      </c>
      <c r="L26" s="804"/>
      <c r="M26" s="804"/>
      <c r="N26" s="62">
        <f>FINANCEIRO!E474</f>
        <v>280.31</v>
      </c>
      <c r="O26" s="53"/>
      <c r="P26" s="54"/>
      <c r="Q26" s="24"/>
    </row>
    <row r="27" spans="1:24" ht="43.5" customHeight="1">
      <c r="B27" s="163"/>
      <c r="C27" s="219"/>
      <c r="K27" s="803" t="s">
        <v>54</v>
      </c>
      <c r="L27" s="804"/>
      <c r="M27" s="804"/>
      <c r="N27" s="62">
        <f>TRUNC(N26*N25,2)</f>
        <v>0</v>
      </c>
      <c r="O27" s="53" t="s">
        <v>55</v>
      </c>
      <c r="P27" s="54"/>
      <c r="Q27" s="24"/>
    </row>
  </sheetData>
  <mergeCells count="33">
    <mergeCell ref="K26:M26"/>
    <mergeCell ref="K27:M27"/>
    <mergeCell ref="D23:G23"/>
    <mergeCell ref="H23:I23"/>
    <mergeCell ref="K23:M23"/>
    <mergeCell ref="D24:G25"/>
    <mergeCell ref="H24:I25"/>
    <mergeCell ref="J24:J25"/>
    <mergeCell ref="K24:M24"/>
    <mergeCell ref="K25:M25"/>
    <mergeCell ref="E12:G12"/>
    <mergeCell ref="L10:L11"/>
    <mergeCell ref="M10:M11"/>
    <mergeCell ref="P8:Q8"/>
    <mergeCell ref="P9:Q9"/>
    <mergeCell ref="I10:I11"/>
    <mergeCell ref="J10:J11"/>
    <mergeCell ref="K10:K11"/>
    <mergeCell ref="P10:P11"/>
    <mergeCell ref="Q10:Q11"/>
    <mergeCell ref="N10:N11"/>
    <mergeCell ref="O10:O11"/>
    <mergeCell ref="B10:B11"/>
    <mergeCell ref="C10:C11"/>
    <mergeCell ref="D10:D11"/>
    <mergeCell ref="E10:G11"/>
    <mergeCell ref="H10:H11"/>
    <mergeCell ref="P7:Q7"/>
    <mergeCell ref="B1:Q4"/>
    <mergeCell ref="R4:W4"/>
    <mergeCell ref="B5:G5"/>
    <mergeCell ref="H5:M5"/>
    <mergeCell ref="N5:Q5"/>
  </mergeCells>
  <conditionalFormatting sqref="H24:I27">
    <cfRule type="cellIs" dxfId="235" priority="1" operator="greaterThanOrEqual">
      <formula>1</formula>
    </cfRule>
    <cfRule type="cellIs" dxfId="234" priority="2" operator="greaterThan">
      <formula>100%</formula>
    </cfRule>
  </conditionalFormatting>
  <pageMargins left="0.51181102362204722" right="0.51181102362204722" top="0.78740157480314965" bottom="0.78740157480314965" header="0.31496062992125984" footer="0.31496062992125984"/>
  <pageSetup paperSize="9" scale="51" fitToHeight="0" orientation="landscape" r:id="rId1"/>
  <headerFooter>
    <oddFooter>Página &amp;P de &amp;N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943CC-EDF3-406B-B539-899BB8DBF9D8}">
  <sheetPr>
    <tabColor rgb="FF339933"/>
    <pageSetUpPr fitToPage="1"/>
  </sheetPr>
  <dimension ref="A1:AF31"/>
  <sheetViews>
    <sheetView view="pageBreakPreview" topLeftCell="B4" zoomScale="50" zoomScaleNormal="55" zoomScaleSheetLayoutView="50" workbookViewId="0">
      <selection activeCell="N25" sqref="N25"/>
    </sheetView>
  </sheetViews>
  <sheetFormatPr defaultColWidth="9.140625" defaultRowHeight="12.75"/>
  <cols>
    <col min="1" max="1" width="9.140625" style="10"/>
    <col min="2" max="2" width="18.42578125" style="18" bestFit="1" customWidth="1"/>
    <col min="3" max="3" width="75.7109375" style="2" customWidth="1"/>
    <col min="4" max="4" width="22.7109375" style="2" bestFit="1" customWidth="1"/>
    <col min="5" max="5" width="6.7109375" style="2" customWidth="1"/>
    <col min="6" max="6" width="2.42578125" style="2" customWidth="1"/>
    <col min="7" max="7" width="7.140625" style="2" bestFit="1" customWidth="1"/>
    <col min="8" max="8" width="12.140625" style="2" customWidth="1"/>
    <col min="9" max="10" width="13.5703125" style="2" customWidth="1"/>
    <col min="11" max="11" width="12.28515625" style="2" customWidth="1"/>
    <col min="12" max="13" width="13.5703125" style="2" customWidth="1"/>
    <col min="14" max="14" width="18.85546875" style="63" customWidth="1"/>
    <col min="15" max="15" width="9" style="2" customWidth="1"/>
    <col min="16" max="16" width="15.28515625" style="2" customWidth="1"/>
    <col min="17" max="17" width="38.140625" style="2" bestFit="1" customWidth="1"/>
    <col min="18" max="20" width="9.140625" style="2"/>
    <col min="21" max="21" width="9.140625" style="140"/>
    <col min="22" max="23" width="9.140625" style="2"/>
    <col min="24" max="24" width="12.7109375" style="13" customWidth="1"/>
    <col min="25" max="16384" width="9.140625" style="2"/>
  </cols>
  <sheetData>
    <row r="1" spans="1:32" ht="18.75" customHeight="1">
      <c r="B1" s="831" t="s">
        <v>851</v>
      </c>
      <c r="C1" s="832"/>
      <c r="D1" s="832"/>
      <c r="E1" s="832"/>
      <c r="F1" s="832"/>
      <c r="G1" s="832"/>
      <c r="H1" s="832"/>
      <c r="I1" s="832"/>
      <c r="J1" s="832"/>
      <c r="K1" s="832"/>
      <c r="L1" s="832"/>
      <c r="M1" s="832"/>
      <c r="N1" s="832"/>
      <c r="O1" s="832"/>
      <c r="P1" s="832"/>
      <c r="Q1" s="832"/>
    </row>
    <row r="2" spans="1:32" ht="18.75" customHeight="1">
      <c r="B2" s="832"/>
      <c r="C2" s="832"/>
      <c r="D2" s="832"/>
      <c r="E2" s="832"/>
      <c r="F2" s="832"/>
      <c r="G2" s="832"/>
      <c r="H2" s="832"/>
      <c r="I2" s="832"/>
      <c r="J2" s="832"/>
      <c r="K2" s="832"/>
      <c r="L2" s="832"/>
      <c r="M2" s="832"/>
      <c r="N2" s="832"/>
      <c r="O2" s="832"/>
      <c r="P2" s="832"/>
      <c r="Q2" s="832"/>
    </row>
    <row r="3" spans="1:32" ht="18.75" customHeight="1">
      <c r="B3" s="832"/>
      <c r="C3" s="832"/>
      <c r="D3" s="832"/>
      <c r="E3" s="832"/>
      <c r="F3" s="832"/>
      <c r="G3" s="832"/>
      <c r="H3" s="832"/>
      <c r="I3" s="832"/>
      <c r="J3" s="832"/>
      <c r="K3" s="832"/>
      <c r="L3" s="832"/>
      <c r="M3" s="832"/>
      <c r="N3" s="832"/>
      <c r="O3" s="832"/>
      <c r="P3" s="832"/>
      <c r="Q3" s="832"/>
    </row>
    <row r="4" spans="1:32" ht="18.75" customHeight="1">
      <c r="B4" s="832"/>
      <c r="C4" s="832"/>
      <c r="D4" s="832"/>
      <c r="E4" s="832"/>
      <c r="F4" s="832"/>
      <c r="G4" s="832"/>
      <c r="H4" s="832"/>
      <c r="I4" s="832"/>
      <c r="J4" s="832"/>
      <c r="K4" s="832"/>
      <c r="L4" s="832"/>
      <c r="M4" s="832"/>
      <c r="N4" s="832"/>
      <c r="O4" s="832"/>
      <c r="P4" s="832"/>
      <c r="Q4" s="832"/>
      <c r="R4" s="833"/>
      <c r="S4" s="833"/>
      <c r="T4" s="833"/>
      <c r="U4" s="833"/>
      <c r="V4" s="833"/>
      <c r="W4" s="833"/>
    </row>
    <row r="5" spans="1:32" s="21" customFormat="1" ht="15.75" customHeight="1">
      <c r="A5" s="29"/>
      <c r="B5" s="834" t="s">
        <v>5</v>
      </c>
      <c r="C5" s="835"/>
      <c r="D5" s="835"/>
      <c r="E5" s="835"/>
      <c r="F5" s="835"/>
      <c r="G5" s="836"/>
      <c r="H5" s="837" t="s">
        <v>6</v>
      </c>
      <c r="I5" s="838"/>
      <c r="J5" s="838"/>
      <c r="K5" s="838"/>
      <c r="L5" s="838"/>
      <c r="M5" s="839"/>
      <c r="N5" s="841"/>
      <c r="O5" s="841"/>
      <c r="P5" s="841"/>
      <c r="Q5" s="842"/>
      <c r="R5" s="158"/>
      <c r="S5" s="158"/>
      <c r="T5" s="158"/>
      <c r="U5" s="158"/>
      <c r="V5" s="158"/>
      <c r="W5" s="158"/>
      <c r="X5" s="30"/>
    </row>
    <row r="6" spans="1:32" s="35" customFormat="1" ht="15.75">
      <c r="A6" s="31"/>
      <c r="B6" s="97" t="s">
        <v>4</v>
      </c>
      <c r="C6" s="101" t="str">
        <f>VLOOKUP(B6,DEZ!_xlnm.Print_Area,3,FALSE)</f>
        <v>Execução de quatro pontos de embarque e desembarque do sistema aquaviário</v>
      </c>
      <c r="D6" s="33"/>
      <c r="E6" s="33"/>
      <c r="F6" s="100"/>
      <c r="G6" s="102"/>
      <c r="H6" s="135" t="str">
        <f>DEZ!D7</f>
        <v xml:space="preserve">EMPREITEIRA:  </v>
      </c>
      <c r="I6" s="37"/>
      <c r="J6" s="32" t="str">
        <f>DEZ!F7</f>
        <v>AMF Engenharia e Serviços Ltda.</v>
      </c>
      <c r="K6" s="32"/>
      <c r="L6" s="32"/>
      <c r="M6" s="55"/>
      <c r="N6" s="57"/>
      <c r="O6" s="33"/>
      <c r="P6" s="33"/>
      <c r="Q6" s="34"/>
      <c r="U6" s="141"/>
      <c r="X6" s="36"/>
    </row>
    <row r="7" spans="1:32" s="35" customFormat="1" ht="15.75">
      <c r="A7" s="31"/>
      <c r="B7" s="98"/>
      <c r="C7" s="145"/>
      <c r="D7" s="37"/>
      <c r="E7" s="37"/>
      <c r="F7" s="38"/>
      <c r="G7" s="56"/>
      <c r="H7" s="136" t="str">
        <f>DEZ!D8</f>
        <v xml:space="preserve">CONTRATO N°: </v>
      </c>
      <c r="I7" s="37"/>
      <c r="J7" s="115" t="str">
        <f>DEZ!F8</f>
        <v>06/2021</v>
      </c>
      <c r="K7" s="37"/>
      <c r="L7" s="115"/>
      <c r="M7" s="116"/>
      <c r="N7" s="58"/>
      <c r="O7" s="37"/>
      <c r="P7" s="829"/>
      <c r="Q7" s="830"/>
      <c r="U7" s="141"/>
      <c r="X7" s="36"/>
    </row>
    <row r="8" spans="1:32" s="35" customFormat="1" ht="15.75">
      <c r="A8" s="31"/>
      <c r="B8" s="98" t="s">
        <v>7</v>
      </c>
      <c r="C8" s="121">
        <f>FINANCEIRO!C9</f>
        <v>20</v>
      </c>
      <c r="D8" s="37"/>
      <c r="E8" s="37"/>
      <c r="F8" s="38"/>
      <c r="G8" s="56"/>
      <c r="H8" s="136" t="str">
        <f>DEZ!D9</f>
        <v xml:space="preserve">ASSINATURA: </v>
      </c>
      <c r="I8" s="37"/>
      <c r="J8" s="146">
        <f>DEZ!F9</f>
        <v>44349</v>
      </c>
      <c r="K8" s="38"/>
      <c r="L8" s="38"/>
      <c r="M8" s="56"/>
      <c r="N8" s="59"/>
      <c r="O8" s="38"/>
      <c r="P8" s="829"/>
      <c r="Q8" s="830"/>
      <c r="U8" s="141"/>
      <c r="W8" s="39"/>
      <c r="X8" s="39"/>
      <c r="Y8" s="39"/>
      <c r="Z8" s="39"/>
      <c r="AA8" s="39"/>
      <c r="AB8" s="39"/>
      <c r="AC8" s="39"/>
      <c r="AD8" s="39"/>
      <c r="AE8" s="39"/>
      <c r="AF8" s="39"/>
    </row>
    <row r="9" spans="1:32" s="35" customFormat="1" ht="15.75">
      <c r="A9" s="31"/>
      <c r="B9" s="99" t="s">
        <v>8</v>
      </c>
      <c r="C9" s="122" t="str">
        <f>FINANCEIRO!C10</f>
        <v>01/07/2023 a 30/09/2023</v>
      </c>
      <c r="D9" s="96"/>
      <c r="E9" s="96"/>
      <c r="F9" s="95"/>
      <c r="G9" s="103"/>
      <c r="H9" s="136" t="str">
        <f>DEZ!D10</f>
        <v xml:space="preserve">INÍCIO DOS SERVIÇOS: </v>
      </c>
      <c r="I9" s="37"/>
      <c r="J9" s="146">
        <f>DEZ!F10</f>
        <v>44473</v>
      </c>
      <c r="K9" s="38"/>
      <c r="L9" s="38"/>
      <c r="M9" s="56"/>
      <c r="N9" s="59"/>
      <c r="O9" s="38"/>
      <c r="P9" s="829"/>
      <c r="Q9" s="830"/>
      <c r="U9" s="141"/>
      <c r="W9" s="39"/>
      <c r="X9" s="39"/>
      <c r="Y9" s="39"/>
      <c r="Z9" s="39"/>
      <c r="AA9" s="39"/>
      <c r="AB9" s="39"/>
      <c r="AC9" s="39"/>
      <c r="AD9" s="39"/>
      <c r="AE9" s="39"/>
      <c r="AF9" s="39"/>
    </row>
    <row r="10" spans="1:32" s="16" customFormat="1" ht="24.95" customHeight="1">
      <c r="A10" s="14"/>
      <c r="B10" s="843" t="str">
        <f>FINANCEIRO!A693</f>
        <v>5.4.3.16</v>
      </c>
      <c r="C10" s="845" t="str">
        <f>FINANCEIRO!C693</f>
        <v>Estaca raiz perfurada em solo, diâm. 410mm com injeção de arg. incl. fornecimento de todos materiais</v>
      </c>
      <c r="D10" s="816" t="s">
        <v>854</v>
      </c>
      <c r="E10" s="816" t="s">
        <v>62</v>
      </c>
      <c r="F10" s="816"/>
      <c r="G10" s="816"/>
      <c r="H10" s="812" t="s">
        <v>1352</v>
      </c>
      <c r="I10" s="812" t="s">
        <v>855</v>
      </c>
      <c r="J10" s="812" t="s">
        <v>856</v>
      </c>
      <c r="K10" s="812"/>
      <c r="L10" s="812"/>
      <c r="M10" s="812"/>
      <c r="N10" s="849" t="s">
        <v>857</v>
      </c>
      <c r="O10" s="812" t="s">
        <v>10</v>
      </c>
      <c r="P10" s="812" t="s">
        <v>858</v>
      </c>
      <c r="Q10" s="847" t="s">
        <v>35</v>
      </c>
      <c r="R10" s="120"/>
      <c r="S10" s="120"/>
      <c r="T10" s="143"/>
      <c r="U10" s="144"/>
      <c r="V10" s="15"/>
      <c r="W10" s="12"/>
      <c r="X10" s="12"/>
      <c r="Y10" s="12"/>
      <c r="Z10" s="12"/>
      <c r="AA10" s="12"/>
      <c r="AB10" s="12"/>
      <c r="AC10" s="12"/>
      <c r="AD10" s="12"/>
      <c r="AE10" s="12"/>
      <c r="AF10" s="12"/>
    </row>
    <row r="11" spans="1:32" s="16" customFormat="1" ht="39.6" customHeight="1">
      <c r="A11" s="14"/>
      <c r="B11" s="844"/>
      <c r="C11" s="846"/>
      <c r="D11" s="816"/>
      <c r="E11" s="816"/>
      <c r="F11" s="816"/>
      <c r="G11" s="816"/>
      <c r="H11" s="813"/>
      <c r="I11" s="813"/>
      <c r="J11" s="813"/>
      <c r="K11" s="813"/>
      <c r="L11" s="813"/>
      <c r="M11" s="813"/>
      <c r="N11" s="850"/>
      <c r="O11" s="813"/>
      <c r="P11" s="813"/>
      <c r="Q11" s="848"/>
      <c r="R11" s="120"/>
      <c r="S11" s="120"/>
      <c r="T11" s="143"/>
      <c r="U11" s="144"/>
      <c r="V11" s="15"/>
      <c r="W11" s="12"/>
      <c r="X11" s="12"/>
      <c r="Y11" s="12"/>
      <c r="Z11" s="12"/>
      <c r="AA11" s="12"/>
      <c r="AB11" s="12"/>
      <c r="AC11" s="12"/>
      <c r="AD11" s="12"/>
      <c r="AE11" s="12"/>
      <c r="AF11" s="12"/>
    </row>
    <row r="12" spans="1:32" s="73" customFormat="1" ht="21" customHeight="1">
      <c r="A12" s="64"/>
      <c r="B12" s="109"/>
      <c r="C12" s="76" t="s">
        <v>1393</v>
      </c>
      <c r="D12" s="750" t="s">
        <v>1479</v>
      </c>
      <c r="E12" s="684">
        <v>1</v>
      </c>
      <c r="F12" s="78"/>
      <c r="G12" s="685"/>
      <c r="H12" s="66"/>
      <c r="I12" s="81"/>
      <c r="J12" s="67"/>
      <c r="K12" s="68"/>
      <c r="L12" s="110"/>
      <c r="M12" s="69"/>
      <c r="N12" s="85">
        <f>D12*E12</f>
        <v>23.5</v>
      </c>
      <c r="O12" s="154" t="s">
        <v>51</v>
      </c>
      <c r="P12" s="215">
        <v>13</v>
      </c>
      <c r="Q12" s="94"/>
      <c r="R12" s="71"/>
      <c r="S12" s="71"/>
      <c r="T12" s="152"/>
      <c r="U12" s="153"/>
      <c r="V12" s="72"/>
      <c r="W12" s="71"/>
      <c r="X12" s="74"/>
    </row>
    <row r="13" spans="1:32" s="73" customFormat="1" ht="21" customHeight="1">
      <c r="A13" s="64"/>
      <c r="B13" s="109"/>
      <c r="C13" s="76" t="s">
        <v>1408</v>
      </c>
      <c r="D13" s="750" t="s">
        <v>1479</v>
      </c>
      <c r="E13" s="684">
        <v>1</v>
      </c>
      <c r="F13" s="78"/>
      <c r="G13" s="685"/>
      <c r="H13" s="66"/>
      <c r="I13" s="81"/>
      <c r="J13" s="67"/>
      <c r="K13" s="68"/>
      <c r="L13" s="110"/>
      <c r="M13" s="69"/>
      <c r="N13" s="85">
        <f t="shared" ref="N13:N24" si="0">D13*E13</f>
        <v>23.5</v>
      </c>
      <c r="O13" s="154" t="s">
        <v>51</v>
      </c>
      <c r="P13" s="215">
        <v>13</v>
      </c>
      <c r="Q13" s="94"/>
      <c r="R13" s="71"/>
      <c r="S13" s="71"/>
      <c r="T13" s="152"/>
      <c r="U13" s="153"/>
      <c r="V13" s="72"/>
      <c r="W13" s="71"/>
      <c r="X13" s="74"/>
    </row>
    <row r="14" spans="1:32" s="73" customFormat="1" ht="21" customHeight="1">
      <c r="A14" s="64"/>
      <c r="B14" s="109"/>
      <c r="C14" s="76" t="s">
        <v>1409</v>
      </c>
      <c r="D14" s="750" t="s">
        <v>1479</v>
      </c>
      <c r="E14" s="684">
        <v>1</v>
      </c>
      <c r="F14" s="78"/>
      <c r="G14" s="685"/>
      <c r="H14" s="66"/>
      <c r="I14" s="81"/>
      <c r="J14" s="67"/>
      <c r="K14" s="68"/>
      <c r="L14" s="110"/>
      <c r="M14" s="69"/>
      <c r="N14" s="85">
        <f t="shared" si="0"/>
        <v>23.5</v>
      </c>
      <c r="O14" s="154" t="s">
        <v>51</v>
      </c>
      <c r="P14" s="215">
        <v>13</v>
      </c>
      <c r="Q14" s="94"/>
      <c r="R14" s="71"/>
      <c r="S14" s="71"/>
      <c r="T14" s="152"/>
      <c r="U14" s="153"/>
      <c r="V14" s="72"/>
      <c r="W14" s="71"/>
      <c r="X14" s="74"/>
    </row>
    <row r="15" spans="1:32" s="73" customFormat="1" ht="21" customHeight="1">
      <c r="A15" s="64"/>
      <c r="B15" s="109"/>
      <c r="C15" s="76" t="s">
        <v>1410</v>
      </c>
      <c r="D15" s="750" t="s">
        <v>1478</v>
      </c>
      <c r="E15" s="684">
        <v>1</v>
      </c>
      <c r="F15" s="78"/>
      <c r="G15" s="685"/>
      <c r="H15" s="66"/>
      <c r="I15" s="81"/>
      <c r="J15" s="67"/>
      <c r="K15" s="68"/>
      <c r="L15" s="110"/>
      <c r="M15" s="69"/>
      <c r="N15" s="85">
        <f t="shared" si="0"/>
        <v>23</v>
      </c>
      <c r="O15" s="154" t="s">
        <v>51</v>
      </c>
      <c r="P15" s="215">
        <v>13</v>
      </c>
      <c r="Q15" s="94"/>
      <c r="R15" s="71"/>
      <c r="S15" s="71"/>
      <c r="T15" s="152"/>
      <c r="U15" s="153"/>
      <c r="V15" s="72"/>
      <c r="W15" s="71"/>
      <c r="X15" s="74"/>
    </row>
    <row r="16" spans="1:32" s="73" customFormat="1" ht="21" customHeight="1">
      <c r="A16" s="64"/>
      <c r="B16" s="109"/>
      <c r="C16" s="76" t="s">
        <v>1411</v>
      </c>
      <c r="D16" s="750" t="s">
        <v>1478</v>
      </c>
      <c r="E16" s="684">
        <v>1</v>
      </c>
      <c r="F16" s="78"/>
      <c r="G16" s="685"/>
      <c r="H16" s="66"/>
      <c r="I16" s="81"/>
      <c r="J16" s="67"/>
      <c r="K16" s="68"/>
      <c r="L16" s="110"/>
      <c r="M16" s="69"/>
      <c r="N16" s="85">
        <v>18</v>
      </c>
      <c r="O16" s="154" t="s">
        <v>51</v>
      </c>
      <c r="P16" s="215">
        <v>13</v>
      </c>
      <c r="Q16" s="94"/>
      <c r="R16" s="71"/>
      <c r="S16" s="71"/>
      <c r="T16" s="152"/>
      <c r="U16" s="153"/>
      <c r="V16" s="72"/>
      <c r="W16" s="71"/>
      <c r="X16" s="74"/>
    </row>
    <row r="17" spans="1:24" s="73" customFormat="1" ht="21" customHeight="1">
      <c r="A17" s="64"/>
      <c r="B17" s="109"/>
      <c r="C17" s="76" t="s">
        <v>1411</v>
      </c>
      <c r="D17" s="750" t="s">
        <v>1478</v>
      </c>
      <c r="E17" s="684">
        <v>1</v>
      </c>
      <c r="F17" s="78"/>
      <c r="G17" s="685"/>
      <c r="H17" s="66"/>
      <c r="I17" s="81"/>
      <c r="J17" s="67"/>
      <c r="K17" s="68"/>
      <c r="L17" s="110"/>
      <c r="M17" s="69"/>
      <c r="N17" s="85">
        <v>5</v>
      </c>
      <c r="O17" s="154" t="s">
        <v>51</v>
      </c>
      <c r="P17" s="215">
        <v>13</v>
      </c>
      <c r="Q17" s="94"/>
      <c r="R17" s="71"/>
      <c r="S17" s="71"/>
      <c r="T17" s="152"/>
      <c r="U17" s="153"/>
      <c r="V17" s="72"/>
      <c r="W17" s="71"/>
      <c r="X17" s="74"/>
    </row>
    <row r="18" spans="1:24" s="73" customFormat="1" ht="21" customHeight="1">
      <c r="A18" s="64"/>
      <c r="B18" s="109"/>
      <c r="C18" s="76" t="s">
        <v>1412</v>
      </c>
      <c r="D18" s="750" t="s">
        <v>1478</v>
      </c>
      <c r="E18" s="684">
        <v>1</v>
      </c>
      <c r="F18" s="78"/>
      <c r="G18" s="685"/>
      <c r="H18" s="66"/>
      <c r="I18" s="81"/>
      <c r="J18" s="67"/>
      <c r="K18" s="68"/>
      <c r="L18" s="110"/>
      <c r="M18" s="69"/>
      <c r="N18" s="85">
        <f t="shared" si="0"/>
        <v>23</v>
      </c>
      <c r="O18" s="154" t="s">
        <v>51</v>
      </c>
      <c r="P18" s="215">
        <v>17</v>
      </c>
      <c r="Q18" s="94"/>
      <c r="R18" s="71"/>
      <c r="S18" s="71"/>
      <c r="T18" s="152"/>
      <c r="U18" s="153"/>
      <c r="V18" s="72"/>
      <c r="W18" s="71"/>
      <c r="X18" s="74"/>
    </row>
    <row r="19" spans="1:24" s="73" customFormat="1" ht="21" customHeight="1">
      <c r="A19" s="64"/>
      <c r="B19" s="109"/>
      <c r="C19" s="76" t="s">
        <v>1413</v>
      </c>
      <c r="D19" s="750" t="s">
        <v>1479</v>
      </c>
      <c r="E19" s="684">
        <v>1</v>
      </c>
      <c r="F19" s="78"/>
      <c r="G19" s="685"/>
      <c r="H19" s="66"/>
      <c r="I19" s="81"/>
      <c r="J19" s="67"/>
      <c r="K19" s="68"/>
      <c r="L19" s="110"/>
      <c r="M19" s="69"/>
      <c r="N19" s="85">
        <f t="shared" si="0"/>
        <v>23.5</v>
      </c>
      <c r="O19" s="154" t="s">
        <v>51</v>
      </c>
      <c r="P19" s="215">
        <v>17</v>
      </c>
      <c r="Q19" s="94"/>
      <c r="R19" s="71"/>
      <c r="S19" s="71"/>
      <c r="T19" s="152"/>
      <c r="U19" s="153"/>
      <c r="V19" s="72"/>
      <c r="W19" s="71"/>
      <c r="X19" s="74"/>
    </row>
    <row r="20" spans="1:24" s="73" customFormat="1" ht="21" customHeight="1">
      <c r="A20" s="64"/>
      <c r="B20" s="109"/>
      <c r="C20" s="76" t="s">
        <v>1414</v>
      </c>
      <c r="D20" s="750" t="s">
        <v>1479</v>
      </c>
      <c r="E20" s="684">
        <v>1</v>
      </c>
      <c r="F20" s="78"/>
      <c r="G20" s="685"/>
      <c r="H20" s="66"/>
      <c r="I20" s="81"/>
      <c r="J20" s="67"/>
      <c r="K20" s="68"/>
      <c r="L20" s="110"/>
      <c r="M20" s="69"/>
      <c r="N20" s="85">
        <f t="shared" si="0"/>
        <v>23.5</v>
      </c>
      <c r="O20" s="154" t="s">
        <v>51</v>
      </c>
      <c r="P20" s="215">
        <v>17</v>
      </c>
      <c r="Q20" s="94"/>
      <c r="R20" s="71"/>
      <c r="S20" s="71"/>
      <c r="T20" s="152"/>
      <c r="U20" s="153"/>
      <c r="V20" s="72"/>
      <c r="W20" s="71"/>
      <c r="X20" s="74"/>
    </row>
    <row r="21" spans="1:24" s="73" customFormat="1" ht="21" customHeight="1">
      <c r="A21" s="64"/>
      <c r="B21" s="109"/>
      <c r="C21" s="76" t="s">
        <v>1418</v>
      </c>
      <c r="D21" s="750" t="s">
        <v>1479</v>
      </c>
      <c r="E21" s="684">
        <v>1</v>
      </c>
      <c r="F21" s="78"/>
      <c r="G21" s="685"/>
      <c r="H21" s="66"/>
      <c r="I21" s="81"/>
      <c r="J21" s="67"/>
      <c r="K21" s="68"/>
      <c r="L21" s="110"/>
      <c r="M21" s="69"/>
      <c r="N21" s="85">
        <f t="shared" si="0"/>
        <v>23.5</v>
      </c>
      <c r="O21" s="154" t="s">
        <v>51</v>
      </c>
      <c r="P21" s="215">
        <v>17</v>
      </c>
      <c r="Q21" s="94"/>
      <c r="R21" s="71"/>
      <c r="S21" s="71"/>
      <c r="T21" s="152"/>
      <c r="U21" s="153"/>
      <c r="V21" s="72"/>
      <c r="W21" s="71"/>
      <c r="X21" s="74"/>
    </row>
    <row r="22" spans="1:24" s="73" customFormat="1" ht="21" customHeight="1">
      <c r="A22" s="64"/>
      <c r="B22" s="109"/>
      <c r="C22" s="76" t="s">
        <v>1415</v>
      </c>
      <c r="D22" s="750" t="s">
        <v>1478</v>
      </c>
      <c r="E22" s="684">
        <v>1</v>
      </c>
      <c r="F22" s="78"/>
      <c r="G22" s="685"/>
      <c r="H22" s="66"/>
      <c r="I22" s="81"/>
      <c r="J22" s="67"/>
      <c r="K22" s="68"/>
      <c r="L22" s="110"/>
      <c r="M22" s="69"/>
      <c r="N22" s="85">
        <f t="shared" si="0"/>
        <v>23</v>
      </c>
      <c r="O22" s="154" t="s">
        <v>51</v>
      </c>
      <c r="P22" s="215">
        <v>17</v>
      </c>
      <c r="Q22" s="94"/>
      <c r="R22" s="71"/>
      <c r="S22" s="71"/>
      <c r="T22" s="152"/>
      <c r="U22" s="153"/>
      <c r="V22" s="72"/>
      <c r="W22" s="71"/>
      <c r="X22" s="74"/>
    </row>
    <row r="23" spans="1:24" s="73" customFormat="1" ht="21" customHeight="1">
      <c r="A23" s="64"/>
      <c r="B23" s="109"/>
      <c r="C23" s="76" t="s">
        <v>1416</v>
      </c>
      <c r="D23" s="750" t="s">
        <v>1478</v>
      </c>
      <c r="E23" s="684">
        <v>1</v>
      </c>
      <c r="F23" s="78"/>
      <c r="G23" s="685"/>
      <c r="H23" s="66"/>
      <c r="I23" s="81"/>
      <c r="J23" s="67"/>
      <c r="K23" s="68"/>
      <c r="L23" s="110"/>
      <c r="M23" s="69"/>
      <c r="N23" s="85">
        <f t="shared" si="0"/>
        <v>23</v>
      </c>
      <c r="O23" s="154" t="s">
        <v>51</v>
      </c>
      <c r="P23" s="215">
        <v>17</v>
      </c>
      <c r="Q23" s="94"/>
      <c r="R23" s="71"/>
      <c r="S23" s="71"/>
      <c r="T23" s="152"/>
      <c r="U23" s="153"/>
      <c r="V23" s="72"/>
      <c r="W23" s="71"/>
      <c r="X23" s="74"/>
    </row>
    <row r="24" spans="1:24" s="73" customFormat="1" ht="21" customHeight="1">
      <c r="A24" s="64"/>
      <c r="B24" s="109"/>
      <c r="C24" s="76" t="s">
        <v>1417</v>
      </c>
      <c r="D24" s="750" t="s">
        <v>1478</v>
      </c>
      <c r="E24" s="684">
        <v>1</v>
      </c>
      <c r="F24" s="78"/>
      <c r="G24" s="685"/>
      <c r="H24" s="66"/>
      <c r="I24" s="81"/>
      <c r="J24" s="67"/>
      <c r="K24" s="68"/>
      <c r="L24" s="110"/>
      <c r="M24" s="69"/>
      <c r="N24" s="85">
        <f t="shared" si="0"/>
        <v>23</v>
      </c>
      <c r="O24" s="154" t="s">
        <v>51</v>
      </c>
      <c r="P24" s="215">
        <v>17</v>
      </c>
      <c r="Q24" s="94"/>
      <c r="R24" s="71"/>
      <c r="S24" s="71"/>
      <c r="T24" s="152"/>
      <c r="U24" s="153"/>
      <c r="V24" s="72"/>
      <c r="W24" s="71"/>
      <c r="X24" s="74"/>
    </row>
    <row r="25" spans="1:24" s="73" customFormat="1" ht="21" customHeight="1">
      <c r="A25" s="64"/>
      <c r="B25" s="109"/>
      <c r="C25" s="76"/>
      <c r="D25" s="750"/>
      <c r="E25" s="684"/>
      <c r="F25" s="78"/>
      <c r="G25" s="685"/>
      <c r="H25" s="66"/>
      <c r="I25" s="81"/>
      <c r="J25" s="67"/>
      <c r="K25" s="68"/>
      <c r="L25" s="110"/>
      <c r="M25" s="69"/>
      <c r="N25" s="85">
        <f t="shared" ref="N25" si="1">D25</f>
        <v>0</v>
      </c>
      <c r="O25" s="154"/>
      <c r="P25" s="215"/>
      <c r="Q25" s="94"/>
      <c r="R25" s="71"/>
      <c r="S25" s="71"/>
      <c r="T25" s="152"/>
      <c r="U25" s="153"/>
      <c r="V25" s="72"/>
      <c r="W25" s="71"/>
      <c r="X25" s="74"/>
    </row>
    <row r="26" spans="1:24" s="90" customFormat="1" ht="21" customHeight="1">
      <c r="A26" s="75"/>
      <c r="B26" s="107"/>
      <c r="C26" s="104"/>
      <c r="D26" s="77"/>
      <c r="E26" s="77"/>
      <c r="F26" s="78"/>
      <c r="G26" s="79"/>
      <c r="H26" s="80"/>
      <c r="I26" s="81"/>
      <c r="J26" s="82"/>
      <c r="K26" s="83"/>
      <c r="L26" s="84"/>
      <c r="M26" s="155"/>
      <c r="N26" s="85"/>
      <c r="O26" s="154"/>
      <c r="P26" s="215"/>
      <c r="Q26" s="92"/>
      <c r="R26" s="86"/>
      <c r="S26" s="86"/>
      <c r="T26" s="86"/>
      <c r="U26" s="151"/>
      <c r="V26" s="87"/>
      <c r="W26" s="88"/>
      <c r="X26" s="89"/>
    </row>
    <row r="27" spans="1:24" ht="39.6" customHeight="1">
      <c r="B27" s="161"/>
      <c r="C27" s="162"/>
      <c r="D27" s="806" t="s">
        <v>11</v>
      </c>
      <c r="E27" s="807"/>
      <c r="F27" s="807"/>
      <c r="G27" s="808"/>
      <c r="H27" s="809">
        <f>FINANCEIRO!J693</f>
        <v>279</v>
      </c>
      <c r="I27" s="810"/>
      <c r="J27" s="50" t="s">
        <v>51</v>
      </c>
      <c r="K27" s="803" t="s">
        <v>12</v>
      </c>
      <c r="L27" s="811"/>
      <c r="M27" s="811"/>
      <c r="N27" s="752">
        <f>SUM(N12:N26)</f>
        <v>279</v>
      </c>
      <c r="O27" s="51" t="str">
        <f>J27</f>
        <v>m</v>
      </c>
      <c r="P27" s="22"/>
      <c r="Q27" s="23"/>
    </row>
    <row r="28" spans="1:24" ht="21" customHeight="1">
      <c r="B28" s="163"/>
      <c r="C28" s="19"/>
      <c r="D28" s="817" t="s">
        <v>13</v>
      </c>
      <c r="E28" s="818"/>
      <c r="F28" s="818"/>
      <c r="G28" s="819"/>
      <c r="H28" s="823">
        <f>N27/H27</f>
        <v>1</v>
      </c>
      <c r="I28" s="824"/>
      <c r="J28" s="827"/>
      <c r="K28" s="803" t="s">
        <v>34</v>
      </c>
      <c r="L28" s="804"/>
      <c r="M28" s="804"/>
      <c r="N28" s="751">
        <f>SUM(N12:N24)</f>
        <v>279</v>
      </c>
      <c r="O28" s="52" t="str">
        <f>J27</f>
        <v>m</v>
      </c>
      <c r="P28" s="22"/>
      <c r="Q28" s="23"/>
    </row>
    <row r="29" spans="1:24" ht="21" customHeight="1">
      <c r="A29" s="10" t="s">
        <v>465</v>
      </c>
      <c r="B29" s="165"/>
      <c r="C29" s="164"/>
      <c r="D29" s="820"/>
      <c r="E29" s="821"/>
      <c r="F29" s="821"/>
      <c r="G29" s="822"/>
      <c r="H29" s="825"/>
      <c r="I29" s="826"/>
      <c r="J29" s="828"/>
      <c r="K29" s="803" t="s">
        <v>14</v>
      </c>
      <c r="L29" s="804"/>
      <c r="M29" s="804"/>
      <c r="N29" s="62">
        <f>N27-N28</f>
        <v>0</v>
      </c>
      <c r="O29" s="53" t="str">
        <f>J27</f>
        <v>m</v>
      </c>
      <c r="P29" s="54"/>
      <c r="Q29" s="24"/>
    </row>
    <row r="30" spans="1:24" ht="21" customHeight="1">
      <c r="B30" s="218"/>
      <c r="C30" s="217"/>
      <c r="K30" s="803" t="s">
        <v>53</v>
      </c>
      <c r="L30" s="804"/>
      <c r="M30" s="804"/>
      <c r="N30" s="62">
        <f>DEZ!E339</f>
        <v>578.87</v>
      </c>
      <c r="O30" s="53"/>
      <c r="P30" s="54"/>
      <c r="Q30" s="24"/>
    </row>
    <row r="31" spans="1:24" ht="21" customHeight="1">
      <c r="B31" s="163"/>
      <c r="C31" s="219"/>
      <c r="K31" s="803" t="s">
        <v>54</v>
      </c>
      <c r="L31" s="804"/>
      <c r="M31" s="804"/>
      <c r="N31" s="62">
        <f>TRUNC(N30*N29,2)</f>
        <v>0</v>
      </c>
      <c r="O31" s="53" t="s">
        <v>55</v>
      </c>
      <c r="P31" s="54"/>
      <c r="Q31" s="24"/>
    </row>
  </sheetData>
  <mergeCells count="32">
    <mergeCell ref="K30:M30"/>
    <mergeCell ref="K31:M31"/>
    <mergeCell ref="D27:G27"/>
    <mergeCell ref="H27:I27"/>
    <mergeCell ref="K27:M27"/>
    <mergeCell ref="D28:G29"/>
    <mergeCell ref="H28:I29"/>
    <mergeCell ref="J28:J29"/>
    <mergeCell ref="K28:M28"/>
    <mergeCell ref="K29:M29"/>
    <mergeCell ref="P8:Q8"/>
    <mergeCell ref="P9:Q9"/>
    <mergeCell ref="B10:B11"/>
    <mergeCell ref="C10:C11"/>
    <mergeCell ref="D10:D11"/>
    <mergeCell ref="E10:G11"/>
    <mergeCell ref="H10:H11"/>
    <mergeCell ref="I10:I11"/>
    <mergeCell ref="J10:J11"/>
    <mergeCell ref="K10:K11"/>
    <mergeCell ref="P10:P11"/>
    <mergeCell ref="Q10:Q11"/>
    <mergeCell ref="L10:L11"/>
    <mergeCell ref="M10:M11"/>
    <mergeCell ref="N10:N11"/>
    <mergeCell ref="O10:O11"/>
    <mergeCell ref="P7:Q7"/>
    <mergeCell ref="B1:Q4"/>
    <mergeCell ref="R4:W4"/>
    <mergeCell ref="B5:G5"/>
    <mergeCell ref="H5:M5"/>
    <mergeCell ref="N5:Q5"/>
  </mergeCells>
  <conditionalFormatting sqref="H28:I31">
    <cfRule type="cellIs" dxfId="233" priority="1" operator="greaterThanOrEqual">
      <formula>1</formula>
    </cfRule>
    <cfRule type="cellIs" dxfId="232" priority="2" operator="greaterThan">
      <formula>100%</formula>
    </cfRule>
  </conditionalFormatting>
  <pageMargins left="0.51181102362204722" right="0.51181102362204722" top="0.78740157480314965" bottom="0.78740157480314965" header="0.31496062992125984" footer="0.31496062992125984"/>
  <pageSetup paperSize="9" scale="46" fitToHeight="0" orientation="landscape" r:id="rId1"/>
  <headerFooter>
    <oddFooter>Página &amp;P de &amp;N</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FC54-07B6-44F1-BD01-3939B1599B95}">
  <sheetPr>
    <tabColor rgb="FF339933"/>
    <pageSetUpPr fitToPage="1"/>
  </sheetPr>
  <dimension ref="A1:AF19"/>
  <sheetViews>
    <sheetView view="pageBreakPreview" topLeftCell="B4" zoomScale="50" zoomScaleNormal="55" zoomScaleSheetLayoutView="50" workbookViewId="0">
      <selection activeCell="N25" sqref="N25"/>
    </sheetView>
  </sheetViews>
  <sheetFormatPr defaultColWidth="9.140625" defaultRowHeight="12.75"/>
  <cols>
    <col min="1" max="1" width="9.140625" style="10"/>
    <col min="2" max="2" width="18.42578125" style="18" bestFit="1" customWidth="1"/>
    <col min="3" max="3" width="75.7109375" style="2" customWidth="1"/>
    <col min="4" max="4" width="22.7109375" style="2" bestFit="1" customWidth="1"/>
    <col min="5" max="5" width="6.7109375" style="2" customWidth="1"/>
    <col min="6" max="6" width="2.42578125" style="2" customWidth="1"/>
    <col min="7" max="7" width="7.140625" style="2" bestFit="1" customWidth="1"/>
    <col min="8" max="8" width="12.140625" style="2" customWidth="1"/>
    <col min="9" max="10" width="13.5703125" style="2" customWidth="1"/>
    <col min="11" max="11" width="12.28515625" style="2" customWidth="1"/>
    <col min="12" max="13" width="13.5703125" style="2" customWidth="1"/>
    <col min="14" max="14" width="18.85546875" style="63" customWidth="1"/>
    <col min="15" max="15" width="9" style="2" customWidth="1"/>
    <col min="16" max="16" width="15.28515625" style="2" customWidth="1"/>
    <col min="17" max="17" width="38.140625" style="2" bestFit="1" customWidth="1"/>
    <col min="18" max="20" width="9.140625" style="2"/>
    <col min="21" max="21" width="9.140625" style="140"/>
    <col min="22" max="23" width="9.140625" style="2"/>
    <col min="24" max="24" width="12.7109375" style="13" customWidth="1"/>
    <col min="25" max="16384" width="9.140625" style="2"/>
  </cols>
  <sheetData>
    <row r="1" spans="1:32" ht="18.75" customHeight="1">
      <c r="B1" s="831" t="s">
        <v>851</v>
      </c>
      <c r="C1" s="832"/>
      <c r="D1" s="832"/>
      <c r="E1" s="832"/>
      <c r="F1" s="832"/>
      <c r="G1" s="832"/>
      <c r="H1" s="832"/>
      <c r="I1" s="832"/>
      <c r="J1" s="832"/>
      <c r="K1" s="832"/>
      <c r="L1" s="832"/>
      <c r="M1" s="832"/>
      <c r="N1" s="832"/>
      <c r="O1" s="832"/>
      <c r="P1" s="832"/>
      <c r="Q1" s="832"/>
    </row>
    <row r="2" spans="1:32" ht="18.75" customHeight="1">
      <c r="B2" s="832"/>
      <c r="C2" s="832"/>
      <c r="D2" s="832"/>
      <c r="E2" s="832"/>
      <c r="F2" s="832"/>
      <c r="G2" s="832"/>
      <c r="H2" s="832"/>
      <c r="I2" s="832"/>
      <c r="J2" s="832"/>
      <c r="K2" s="832"/>
      <c r="L2" s="832"/>
      <c r="M2" s="832"/>
      <c r="N2" s="832"/>
      <c r="O2" s="832"/>
      <c r="P2" s="832"/>
      <c r="Q2" s="832"/>
    </row>
    <row r="3" spans="1:32" ht="18.75" customHeight="1">
      <c r="B3" s="832"/>
      <c r="C3" s="832"/>
      <c r="D3" s="832"/>
      <c r="E3" s="832"/>
      <c r="F3" s="832"/>
      <c r="G3" s="832"/>
      <c r="H3" s="832"/>
      <c r="I3" s="832"/>
      <c r="J3" s="832"/>
      <c r="K3" s="832"/>
      <c r="L3" s="832"/>
      <c r="M3" s="832"/>
      <c r="N3" s="832"/>
      <c r="O3" s="832"/>
      <c r="P3" s="832"/>
      <c r="Q3" s="832"/>
    </row>
    <row r="4" spans="1:32" ht="18.75" customHeight="1">
      <c r="B4" s="832"/>
      <c r="C4" s="832"/>
      <c r="D4" s="832"/>
      <c r="E4" s="832"/>
      <c r="F4" s="832"/>
      <c r="G4" s="832"/>
      <c r="H4" s="832"/>
      <c r="I4" s="832"/>
      <c r="J4" s="832"/>
      <c r="K4" s="832"/>
      <c r="L4" s="832"/>
      <c r="M4" s="832"/>
      <c r="N4" s="832"/>
      <c r="O4" s="832"/>
      <c r="P4" s="832"/>
      <c r="Q4" s="832"/>
      <c r="R4" s="833"/>
      <c r="S4" s="833"/>
      <c r="T4" s="833"/>
      <c r="U4" s="833"/>
      <c r="V4" s="833"/>
      <c r="W4" s="833"/>
    </row>
    <row r="5" spans="1:32" s="21" customFormat="1" ht="15.75" customHeight="1">
      <c r="A5" s="29"/>
      <c r="B5" s="834" t="s">
        <v>5</v>
      </c>
      <c r="C5" s="835"/>
      <c r="D5" s="835"/>
      <c r="E5" s="835"/>
      <c r="F5" s="835"/>
      <c r="G5" s="836"/>
      <c r="H5" s="837" t="s">
        <v>6</v>
      </c>
      <c r="I5" s="838"/>
      <c r="J5" s="838"/>
      <c r="K5" s="838"/>
      <c r="L5" s="838"/>
      <c r="M5" s="839"/>
      <c r="N5" s="841"/>
      <c r="O5" s="841"/>
      <c r="P5" s="841"/>
      <c r="Q5" s="842"/>
      <c r="R5" s="158"/>
      <c r="S5" s="158"/>
      <c r="T5" s="158"/>
      <c r="U5" s="158"/>
      <c r="V5" s="158"/>
      <c r="W5" s="158"/>
      <c r="X5" s="30"/>
    </row>
    <row r="6" spans="1:32" s="35" customFormat="1" ht="15.75">
      <c r="A6" s="31"/>
      <c r="B6" s="97" t="s">
        <v>4</v>
      </c>
      <c r="C6" s="101" t="str">
        <f>VLOOKUP(B6,DEZ!_xlnm.Print_Area,3,FALSE)</f>
        <v>Execução de quatro pontos de embarque e desembarque do sistema aquaviário</v>
      </c>
      <c r="D6" s="33"/>
      <c r="E6" s="33"/>
      <c r="F6" s="100"/>
      <c r="G6" s="102"/>
      <c r="H6" s="135" t="str">
        <f>DEZ!D7</f>
        <v xml:space="preserve">EMPREITEIRA:  </v>
      </c>
      <c r="I6" s="37"/>
      <c r="J6" s="32" t="str">
        <f>DEZ!F7</f>
        <v>AMF Engenharia e Serviços Ltda.</v>
      </c>
      <c r="K6" s="32"/>
      <c r="L6" s="32"/>
      <c r="M6" s="55"/>
      <c r="N6" s="57"/>
      <c r="O6" s="33"/>
      <c r="P6" s="33"/>
      <c r="Q6" s="34"/>
      <c r="U6" s="141"/>
      <c r="X6" s="36"/>
    </row>
    <row r="7" spans="1:32" s="35" customFormat="1" ht="15.75">
      <c r="A7" s="31"/>
      <c r="B7" s="98"/>
      <c r="C7" s="145"/>
      <c r="D7" s="37"/>
      <c r="E7" s="37"/>
      <c r="F7" s="38"/>
      <c r="G7" s="56"/>
      <c r="H7" s="136" t="str">
        <f>DEZ!D8</f>
        <v xml:space="preserve">CONTRATO N°: </v>
      </c>
      <c r="I7" s="37"/>
      <c r="J7" s="115" t="str">
        <f>DEZ!F8</f>
        <v>06/2021</v>
      </c>
      <c r="K7" s="37"/>
      <c r="L7" s="115"/>
      <c r="M7" s="116"/>
      <c r="N7" s="58"/>
      <c r="O7" s="37"/>
      <c r="P7" s="829"/>
      <c r="Q7" s="830"/>
      <c r="U7" s="141"/>
      <c r="X7" s="36"/>
    </row>
    <row r="8" spans="1:32" s="35" customFormat="1" ht="15.75">
      <c r="A8" s="31"/>
      <c r="B8" s="98" t="s">
        <v>7</v>
      </c>
      <c r="C8" s="121">
        <f>FINANCEIRO!C9</f>
        <v>20</v>
      </c>
      <c r="D8" s="37"/>
      <c r="E8" s="37"/>
      <c r="F8" s="38"/>
      <c r="G8" s="56"/>
      <c r="H8" s="136" t="str">
        <f>DEZ!D9</f>
        <v xml:space="preserve">ASSINATURA: </v>
      </c>
      <c r="I8" s="37"/>
      <c r="J8" s="146">
        <f>DEZ!F9</f>
        <v>44349</v>
      </c>
      <c r="K8" s="38"/>
      <c r="L8" s="38"/>
      <c r="M8" s="56"/>
      <c r="N8" s="59"/>
      <c r="O8" s="38"/>
      <c r="P8" s="829"/>
      <c r="Q8" s="830"/>
      <c r="U8" s="141"/>
      <c r="W8" s="39"/>
      <c r="X8" s="39"/>
      <c r="Y8" s="39"/>
      <c r="Z8" s="39"/>
      <c r="AA8" s="39"/>
      <c r="AB8" s="39"/>
      <c r="AC8" s="39"/>
      <c r="AD8" s="39"/>
      <c r="AE8" s="39"/>
      <c r="AF8" s="39"/>
    </row>
    <row r="9" spans="1:32" s="35" customFormat="1" ht="15.75">
      <c r="A9" s="31"/>
      <c r="B9" s="99" t="s">
        <v>8</v>
      </c>
      <c r="C9" s="122" t="str">
        <f>FINANCEIRO!C10</f>
        <v>01/07/2023 a 30/09/2023</v>
      </c>
      <c r="D9" s="96"/>
      <c r="E9" s="96"/>
      <c r="F9" s="95"/>
      <c r="G9" s="103"/>
      <c r="H9" s="136" t="str">
        <f>DEZ!D10</f>
        <v xml:space="preserve">INÍCIO DOS SERVIÇOS: </v>
      </c>
      <c r="I9" s="37"/>
      <c r="J9" s="146">
        <f>DEZ!F10</f>
        <v>44473</v>
      </c>
      <c r="K9" s="38"/>
      <c r="L9" s="38"/>
      <c r="M9" s="56"/>
      <c r="N9" s="59"/>
      <c r="O9" s="38"/>
      <c r="P9" s="829"/>
      <c r="Q9" s="830"/>
      <c r="U9" s="141"/>
      <c r="W9" s="39"/>
      <c r="X9" s="39"/>
      <c r="Y9" s="39"/>
      <c r="Z9" s="39"/>
      <c r="AA9" s="39"/>
      <c r="AB9" s="39"/>
      <c r="AC9" s="39"/>
      <c r="AD9" s="39"/>
      <c r="AE9" s="39"/>
      <c r="AF9" s="39"/>
    </row>
    <row r="10" spans="1:32" s="16" customFormat="1" ht="24.95" customHeight="1">
      <c r="A10" s="14"/>
      <c r="B10" s="843" t="str">
        <f>FINANCEIRO!A699</f>
        <v>5.4.4.1</v>
      </c>
      <c r="C10" s="845" t="str">
        <f>FINANCEIRO!C699</f>
        <v>Guarda corpo de tubo de ferro galvanizado, diâm. 2" e 1/2", h= 1,1 m inclusive pintura a óleo ou esmalte</v>
      </c>
      <c r="D10" s="816" t="s">
        <v>854</v>
      </c>
      <c r="E10" s="816" t="s">
        <v>62</v>
      </c>
      <c r="F10" s="816"/>
      <c r="G10" s="816"/>
      <c r="H10" s="812" t="s">
        <v>1352</v>
      </c>
      <c r="I10" s="812" t="s">
        <v>855</v>
      </c>
      <c r="J10" s="812" t="s">
        <v>856</v>
      </c>
      <c r="K10" s="812"/>
      <c r="L10" s="812"/>
      <c r="M10" s="812"/>
      <c r="N10" s="849" t="s">
        <v>857</v>
      </c>
      <c r="O10" s="812" t="s">
        <v>10</v>
      </c>
      <c r="P10" s="812" t="s">
        <v>858</v>
      </c>
      <c r="Q10" s="847" t="s">
        <v>35</v>
      </c>
      <c r="R10" s="120"/>
      <c r="S10" s="120"/>
      <c r="T10" s="143"/>
      <c r="U10" s="144"/>
      <c r="V10" s="15"/>
      <c r="W10" s="12"/>
      <c r="X10" s="12"/>
      <c r="Y10" s="12"/>
      <c r="Z10" s="12"/>
      <c r="AA10" s="12"/>
      <c r="AB10" s="12"/>
      <c r="AC10" s="12"/>
      <c r="AD10" s="12"/>
      <c r="AE10" s="12"/>
      <c r="AF10" s="12"/>
    </row>
    <row r="11" spans="1:32" s="16" customFormat="1" ht="39.6" customHeight="1">
      <c r="A11" s="14"/>
      <c r="B11" s="844"/>
      <c r="C11" s="846"/>
      <c r="D11" s="816"/>
      <c r="E11" s="816"/>
      <c r="F11" s="816"/>
      <c r="G11" s="816"/>
      <c r="H11" s="813"/>
      <c r="I11" s="813"/>
      <c r="J11" s="813"/>
      <c r="K11" s="813"/>
      <c r="L11" s="813"/>
      <c r="M11" s="813"/>
      <c r="N11" s="850"/>
      <c r="O11" s="813"/>
      <c r="P11" s="813"/>
      <c r="Q11" s="848"/>
      <c r="R11" s="120"/>
      <c r="S11" s="120"/>
      <c r="T11" s="143"/>
      <c r="U11" s="144"/>
      <c r="V11" s="15"/>
      <c r="W11" s="12"/>
      <c r="X11" s="12"/>
      <c r="Y11" s="12"/>
      <c r="Z11" s="12"/>
      <c r="AA11" s="12"/>
      <c r="AB11" s="12"/>
      <c r="AC11" s="12"/>
      <c r="AD11" s="12"/>
      <c r="AE11" s="12"/>
      <c r="AF11" s="12"/>
    </row>
    <row r="12" spans="1:32" s="73" customFormat="1" ht="21" customHeight="1">
      <c r="A12" s="64"/>
      <c r="B12" s="109"/>
      <c r="C12" s="76" t="s">
        <v>1481</v>
      </c>
      <c r="D12" s="750" t="s">
        <v>1480</v>
      </c>
      <c r="E12" s="684"/>
      <c r="F12" s="78"/>
      <c r="G12" s="685"/>
      <c r="H12" s="66">
        <v>0.5</v>
      </c>
      <c r="I12" s="81"/>
      <c r="J12" s="67"/>
      <c r="K12" s="68"/>
      <c r="L12" s="110"/>
      <c r="M12" s="69"/>
      <c r="N12" s="85">
        <f>H12*D12</f>
        <v>11.93</v>
      </c>
      <c r="O12" s="154" t="s">
        <v>51</v>
      </c>
      <c r="P12" s="215">
        <v>17</v>
      </c>
      <c r="Q12" s="94"/>
      <c r="R12" s="71"/>
      <c r="S12" s="71"/>
      <c r="T12" s="152"/>
      <c r="U12" s="153"/>
      <c r="V12" s="72"/>
      <c r="W12" s="71"/>
      <c r="X12" s="74"/>
    </row>
    <row r="13" spans="1:32" s="73" customFormat="1" ht="21" customHeight="1">
      <c r="A13" s="64"/>
      <c r="B13" s="109"/>
      <c r="C13" s="76"/>
      <c r="D13" s="750"/>
      <c r="E13" s="684"/>
      <c r="F13" s="78"/>
      <c r="G13" s="685"/>
      <c r="H13" s="66"/>
      <c r="I13" s="81"/>
      <c r="J13" s="67"/>
      <c r="K13" s="68"/>
      <c r="L13" s="110"/>
      <c r="M13" s="69"/>
      <c r="N13" s="85">
        <f t="shared" ref="N13" si="0">D13</f>
        <v>0</v>
      </c>
      <c r="O13" s="154"/>
      <c r="P13" s="215"/>
      <c r="Q13" s="94"/>
      <c r="R13" s="71"/>
      <c r="S13" s="71"/>
      <c r="T13" s="152"/>
      <c r="U13" s="153"/>
      <c r="V13" s="72"/>
      <c r="W13" s="71"/>
      <c r="X13" s="74"/>
    </row>
    <row r="14" spans="1:32" s="90" customFormat="1" ht="21" customHeight="1">
      <c r="A14" s="75"/>
      <c r="B14" s="107"/>
      <c r="C14" s="104"/>
      <c r="D14" s="77"/>
      <c r="E14" s="77"/>
      <c r="F14" s="78"/>
      <c r="G14" s="79"/>
      <c r="H14" s="80"/>
      <c r="I14" s="81"/>
      <c r="J14" s="82"/>
      <c r="K14" s="83"/>
      <c r="L14" s="84"/>
      <c r="M14" s="155"/>
      <c r="N14" s="85"/>
      <c r="O14" s="154"/>
      <c r="P14" s="215"/>
      <c r="Q14" s="92"/>
      <c r="R14" s="86"/>
      <c r="S14" s="86"/>
      <c r="T14" s="86"/>
      <c r="U14" s="151"/>
      <c r="V14" s="87"/>
      <c r="W14" s="88"/>
      <c r="X14" s="89"/>
    </row>
    <row r="15" spans="1:32" ht="39.6" customHeight="1">
      <c r="B15" s="161"/>
      <c r="C15" s="162"/>
      <c r="D15" s="806" t="s">
        <v>11</v>
      </c>
      <c r="E15" s="807"/>
      <c r="F15" s="807"/>
      <c r="G15" s="808"/>
      <c r="H15" s="809">
        <f>FINANCEIRO!J699</f>
        <v>23.86</v>
      </c>
      <c r="I15" s="810"/>
      <c r="J15" s="50" t="s">
        <v>51</v>
      </c>
      <c r="K15" s="803" t="s">
        <v>12</v>
      </c>
      <c r="L15" s="811"/>
      <c r="M15" s="811"/>
      <c r="N15" s="751">
        <f>SUM(N12:N14)</f>
        <v>11.93</v>
      </c>
      <c r="O15" s="51" t="str">
        <f>J15</f>
        <v>m</v>
      </c>
      <c r="P15" s="22"/>
      <c r="Q15" s="23"/>
    </row>
    <row r="16" spans="1:32" ht="21" customHeight="1">
      <c r="B16" s="163"/>
      <c r="C16" s="19"/>
      <c r="D16" s="817" t="s">
        <v>13</v>
      </c>
      <c r="E16" s="818"/>
      <c r="F16" s="818"/>
      <c r="G16" s="819"/>
      <c r="H16" s="823">
        <f>N15/H15</f>
        <v>0.5</v>
      </c>
      <c r="I16" s="824"/>
      <c r="J16" s="827"/>
      <c r="K16" s="803" t="s">
        <v>34</v>
      </c>
      <c r="L16" s="804"/>
      <c r="M16" s="804"/>
      <c r="N16" s="751">
        <f>N12</f>
        <v>11.93</v>
      </c>
      <c r="O16" s="52" t="str">
        <f>J15</f>
        <v>m</v>
      </c>
      <c r="P16" s="22"/>
      <c r="Q16" s="23"/>
    </row>
    <row r="17" spans="1:17" ht="21" customHeight="1">
      <c r="A17" s="10" t="s">
        <v>465</v>
      </c>
      <c r="B17" s="165"/>
      <c r="C17" s="164"/>
      <c r="D17" s="820"/>
      <c r="E17" s="821"/>
      <c r="F17" s="821"/>
      <c r="G17" s="822"/>
      <c r="H17" s="825"/>
      <c r="I17" s="826"/>
      <c r="J17" s="828"/>
      <c r="K17" s="803" t="s">
        <v>14</v>
      </c>
      <c r="L17" s="804"/>
      <c r="M17" s="804"/>
      <c r="N17" s="62">
        <f>N15-N16</f>
        <v>0</v>
      </c>
      <c r="O17" s="53" t="str">
        <f>J15</f>
        <v>m</v>
      </c>
      <c r="P17" s="54"/>
      <c r="Q17" s="24"/>
    </row>
    <row r="18" spans="1:17" ht="21" customHeight="1">
      <c r="B18" s="218"/>
      <c r="C18" s="217"/>
      <c r="K18" s="803" t="s">
        <v>53</v>
      </c>
      <c r="L18" s="804"/>
      <c r="M18" s="804"/>
      <c r="N18" s="62">
        <f>FINANCEIRO!E699</f>
        <v>366.23</v>
      </c>
      <c r="O18" s="53"/>
      <c r="P18" s="54"/>
      <c r="Q18" s="24"/>
    </row>
    <row r="19" spans="1:17" ht="21" customHeight="1">
      <c r="B19" s="163"/>
      <c r="C19" s="219"/>
      <c r="K19" s="803" t="s">
        <v>54</v>
      </c>
      <c r="L19" s="804"/>
      <c r="M19" s="804"/>
      <c r="N19" s="62">
        <f>TRUNC(N18*N17,2)</f>
        <v>0</v>
      </c>
      <c r="O19" s="53" t="s">
        <v>55</v>
      </c>
      <c r="P19" s="54"/>
      <c r="Q19" s="24"/>
    </row>
  </sheetData>
  <mergeCells count="32">
    <mergeCell ref="K18:M18"/>
    <mergeCell ref="K19:M19"/>
    <mergeCell ref="D15:G15"/>
    <mergeCell ref="H15:I15"/>
    <mergeCell ref="K15:M15"/>
    <mergeCell ref="D16:G17"/>
    <mergeCell ref="H16:I17"/>
    <mergeCell ref="J16:J17"/>
    <mergeCell ref="K16:M16"/>
    <mergeCell ref="K17:M17"/>
    <mergeCell ref="Q10:Q11"/>
    <mergeCell ref="P8:Q8"/>
    <mergeCell ref="P9:Q9"/>
    <mergeCell ref="B10:B11"/>
    <mergeCell ref="C10:C11"/>
    <mergeCell ref="D10:D11"/>
    <mergeCell ref="E10:G11"/>
    <mergeCell ref="H10:H11"/>
    <mergeCell ref="I10:I11"/>
    <mergeCell ref="J10:J11"/>
    <mergeCell ref="K10:K11"/>
    <mergeCell ref="L10:L11"/>
    <mergeCell ref="M10:M11"/>
    <mergeCell ref="N10:N11"/>
    <mergeCell ref="O10:O11"/>
    <mergeCell ref="P10:P11"/>
    <mergeCell ref="P7:Q7"/>
    <mergeCell ref="B1:Q4"/>
    <mergeCell ref="R4:W4"/>
    <mergeCell ref="B5:G5"/>
    <mergeCell ref="H5:M5"/>
    <mergeCell ref="N5:Q5"/>
  </mergeCells>
  <conditionalFormatting sqref="H16:I19">
    <cfRule type="cellIs" dxfId="231" priority="1" operator="greaterThanOrEqual">
      <formula>1</formula>
    </cfRule>
    <cfRule type="cellIs" dxfId="230" priority="2" operator="greaterThan">
      <formula>100%</formula>
    </cfRule>
  </conditionalFormatting>
  <pageMargins left="0.51181102362204722" right="0.51181102362204722" top="0.78740157480314965" bottom="0.78740157480314965" header="0.31496062992125984" footer="0.31496062992125984"/>
  <pageSetup paperSize="9" scale="46" fitToHeight="0" orientation="landscape" r:id="rId1"/>
  <headerFooter>
    <oddFooter>Página &amp;P de &amp;N</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34168-6117-4FAD-9E57-CC26D1F91151}">
  <sheetPr>
    <tabColor rgb="FF339933"/>
    <pageSetUpPr fitToPage="1"/>
  </sheetPr>
  <dimension ref="A1:AF23"/>
  <sheetViews>
    <sheetView view="pageBreakPreview" zoomScale="50" zoomScaleNormal="55" zoomScaleSheetLayoutView="50" workbookViewId="0">
      <selection activeCell="R21" sqref="R21"/>
    </sheetView>
  </sheetViews>
  <sheetFormatPr defaultColWidth="9.140625" defaultRowHeight="12.75"/>
  <cols>
    <col min="1" max="1" width="9.140625" style="10"/>
    <col min="2" max="2" width="14.42578125" style="18" customWidth="1"/>
    <col min="3" max="3" width="80" style="2" customWidth="1"/>
    <col min="4" max="4" width="6.7109375" style="2" customWidth="1"/>
    <col min="5" max="5" width="2.42578125" style="2" customWidth="1"/>
    <col min="6" max="6" width="13.42578125" style="2"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26.28515625" style="2" customWidth="1"/>
    <col min="14" max="14" width="13.5703125" style="2" hidden="1" customWidth="1"/>
    <col min="15" max="15" width="26.7109375" style="63" bestFit="1" customWidth="1"/>
    <col min="16" max="16" width="9" style="2" customWidth="1"/>
    <col min="17" max="17" width="15.28515625" style="2" customWidth="1"/>
    <col min="18" max="20" width="9.140625" style="2"/>
    <col min="21" max="21" width="9.140625" style="140"/>
    <col min="22" max="23" width="9.140625" style="2"/>
    <col min="24" max="24" width="12.7109375" style="13" customWidth="1"/>
    <col min="25" max="16384" width="9.140625" style="2"/>
  </cols>
  <sheetData>
    <row r="1" spans="1:32" ht="18.75" customHeight="1">
      <c r="B1" s="831" t="s">
        <v>851</v>
      </c>
      <c r="C1" s="832"/>
      <c r="D1" s="832"/>
      <c r="E1" s="832"/>
      <c r="F1" s="832"/>
      <c r="G1" s="832"/>
      <c r="H1" s="832"/>
      <c r="I1" s="832"/>
      <c r="J1" s="832"/>
      <c r="K1" s="832"/>
      <c r="L1" s="832"/>
      <c r="M1" s="832"/>
      <c r="N1" s="832"/>
      <c r="O1" s="832"/>
      <c r="P1" s="832"/>
      <c r="Q1" s="832"/>
    </row>
    <row r="2" spans="1:32" ht="18.75" customHeight="1">
      <c r="B2" s="832"/>
      <c r="C2" s="832"/>
      <c r="D2" s="832"/>
      <c r="E2" s="832"/>
      <c r="F2" s="832"/>
      <c r="G2" s="832"/>
      <c r="H2" s="832"/>
      <c r="I2" s="832"/>
      <c r="J2" s="832"/>
      <c r="K2" s="832"/>
      <c r="L2" s="832"/>
      <c r="M2" s="832"/>
      <c r="N2" s="832"/>
      <c r="O2" s="832"/>
      <c r="P2" s="832"/>
      <c r="Q2" s="832"/>
    </row>
    <row r="3" spans="1:32" ht="18.75" customHeight="1">
      <c r="B3" s="832"/>
      <c r="C3" s="832"/>
      <c r="D3" s="832"/>
      <c r="E3" s="832"/>
      <c r="F3" s="832"/>
      <c r="G3" s="832"/>
      <c r="H3" s="832"/>
      <c r="I3" s="832"/>
      <c r="J3" s="832"/>
      <c r="K3" s="832"/>
      <c r="L3" s="832"/>
      <c r="M3" s="832"/>
      <c r="N3" s="832"/>
      <c r="O3" s="832"/>
      <c r="P3" s="832"/>
      <c r="Q3" s="832"/>
    </row>
    <row r="4" spans="1:32" ht="18.75" customHeight="1">
      <c r="B4" s="832"/>
      <c r="C4" s="832"/>
      <c r="D4" s="832"/>
      <c r="E4" s="832"/>
      <c r="F4" s="832"/>
      <c r="G4" s="832"/>
      <c r="H4" s="832"/>
      <c r="I4" s="832"/>
      <c r="J4" s="832"/>
      <c r="K4" s="832"/>
      <c r="L4" s="832"/>
      <c r="M4" s="832"/>
      <c r="N4" s="832"/>
      <c r="O4" s="832"/>
      <c r="P4" s="832"/>
      <c r="Q4" s="832"/>
      <c r="R4" s="833"/>
      <c r="S4" s="833"/>
      <c r="T4" s="833"/>
      <c r="U4" s="833"/>
      <c r="V4" s="833"/>
      <c r="W4" s="833"/>
    </row>
    <row r="5" spans="1:32" s="21" customFormat="1" ht="15.75" customHeight="1">
      <c r="A5" s="29"/>
      <c r="B5" s="834" t="s">
        <v>5</v>
      </c>
      <c r="C5" s="835"/>
      <c r="D5" s="835"/>
      <c r="E5" s="835"/>
      <c r="F5" s="835"/>
      <c r="G5" s="835"/>
      <c r="H5" s="835"/>
      <c r="I5" s="836"/>
      <c r="J5" s="837" t="s">
        <v>6</v>
      </c>
      <c r="K5" s="838"/>
      <c r="L5" s="838"/>
      <c r="M5" s="838"/>
      <c r="N5" s="838"/>
      <c r="O5" s="841"/>
      <c r="P5" s="841"/>
      <c r="Q5" s="841"/>
      <c r="R5" s="158"/>
      <c r="S5" s="158"/>
      <c r="T5" s="158"/>
      <c r="U5" s="158"/>
      <c r="V5" s="158"/>
      <c r="W5" s="158"/>
      <c r="X5" s="30"/>
    </row>
    <row r="6" spans="1:32"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7"/>
      <c r="P6" s="33"/>
      <c r="Q6" s="33"/>
      <c r="U6" s="141"/>
      <c r="X6" s="36"/>
    </row>
    <row r="7" spans="1:32" s="35" customFormat="1" ht="15.75">
      <c r="A7" s="31"/>
      <c r="B7" s="98"/>
      <c r="C7" s="145"/>
      <c r="D7" s="37"/>
      <c r="E7" s="38"/>
      <c r="F7" s="38"/>
      <c r="G7" s="37"/>
      <c r="H7" s="38"/>
      <c r="I7" s="56"/>
      <c r="J7" s="136" t="str">
        <f>DEZ!D8</f>
        <v xml:space="preserve">CONTRATO N°: </v>
      </c>
      <c r="K7" s="37"/>
      <c r="L7" s="115" t="str">
        <f>DEZ!F8</f>
        <v>06/2021</v>
      </c>
      <c r="M7" s="37"/>
      <c r="N7" s="115"/>
      <c r="O7" s="58"/>
      <c r="P7" s="37"/>
      <c r="Q7" s="733"/>
      <c r="U7" s="141"/>
      <c r="X7" s="36"/>
    </row>
    <row r="8" spans="1:32"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9"/>
      <c r="P8" s="38"/>
      <c r="Q8" s="733"/>
      <c r="U8" s="141"/>
      <c r="W8" s="39"/>
      <c r="X8" s="39"/>
      <c r="Y8" s="39"/>
      <c r="Z8" s="39"/>
      <c r="AA8" s="39"/>
      <c r="AB8" s="39"/>
      <c r="AC8" s="39"/>
      <c r="AD8" s="39"/>
      <c r="AE8" s="39"/>
      <c r="AF8" s="39"/>
    </row>
    <row r="9" spans="1:32"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9"/>
      <c r="P9" s="38"/>
      <c r="Q9" s="733"/>
      <c r="U9" s="141"/>
      <c r="W9" s="39"/>
      <c r="X9" s="39"/>
      <c r="Y9" s="39"/>
      <c r="Z9" s="39"/>
      <c r="AA9" s="39"/>
      <c r="AB9" s="39"/>
      <c r="AC9" s="39"/>
      <c r="AD9" s="39"/>
      <c r="AE9" s="39"/>
      <c r="AF9" s="39"/>
    </row>
    <row r="10" spans="1:32" s="16" customFormat="1" ht="24.95" customHeight="1">
      <c r="A10" s="14"/>
      <c r="B10" s="843" t="str">
        <f>FINANCEIRO!A479</f>
        <v>4.3.10.6</v>
      </c>
      <c r="C10" s="845" t="str">
        <f>FINANCEIRO!C479</f>
        <v>Alvenaria de blocos cerâmicos 10 furos 10x20x20cm, assentados c/argamassa de cimento, cal hidratada CH1 e areia traço 1:0,5:8, juntas 12mm e espessura das paredes, s/revestimento,
20cm (bloco comprado fábrica,posto obra)</v>
      </c>
      <c r="D10" s="816" t="s">
        <v>1317</v>
      </c>
      <c r="E10" s="816"/>
      <c r="F10" s="816"/>
      <c r="G10" s="816" t="s">
        <v>33</v>
      </c>
      <c r="H10" s="816"/>
      <c r="I10" s="816"/>
      <c r="J10" s="812" t="s">
        <v>853</v>
      </c>
      <c r="K10" s="812" t="s">
        <v>855</v>
      </c>
      <c r="L10" s="812" t="s">
        <v>856</v>
      </c>
      <c r="M10" s="812" t="s">
        <v>62</v>
      </c>
      <c r="N10" s="812"/>
      <c r="O10" s="849" t="s">
        <v>857</v>
      </c>
      <c r="P10" s="812" t="s">
        <v>10</v>
      </c>
      <c r="Q10" s="812" t="s">
        <v>858</v>
      </c>
      <c r="R10" s="120"/>
      <c r="S10" s="120"/>
      <c r="T10" s="143"/>
      <c r="U10" s="144"/>
      <c r="V10" s="15"/>
      <c r="W10" s="12"/>
      <c r="X10" s="12"/>
      <c r="Y10" s="12"/>
      <c r="Z10" s="12"/>
      <c r="AA10" s="12"/>
      <c r="AB10" s="12"/>
      <c r="AC10" s="12"/>
      <c r="AD10" s="12"/>
      <c r="AE10" s="12"/>
      <c r="AF10" s="12"/>
    </row>
    <row r="11" spans="1:32" s="16" customFormat="1" ht="39.6" customHeight="1">
      <c r="A11" s="14"/>
      <c r="B11" s="844"/>
      <c r="C11" s="846"/>
      <c r="D11" s="816"/>
      <c r="E11" s="816"/>
      <c r="F11" s="816"/>
      <c r="G11" s="816"/>
      <c r="H11" s="816"/>
      <c r="I11" s="816"/>
      <c r="J11" s="813"/>
      <c r="K11" s="813"/>
      <c r="L11" s="813"/>
      <c r="M11" s="813"/>
      <c r="N11" s="813"/>
      <c r="O11" s="850"/>
      <c r="P11" s="813"/>
      <c r="Q11" s="813"/>
      <c r="R11" s="120"/>
      <c r="S11" s="120"/>
      <c r="T11" s="143"/>
      <c r="U11" s="144"/>
      <c r="V11" s="15"/>
      <c r="W11" s="12"/>
      <c r="X11" s="12"/>
      <c r="Y11" s="12"/>
      <c r="Z11" s="12"/>
      <c r="AA11" s="12"/>
      <c r="AB11" s="12"/>
      <c r="AC11" s="12"/>
      <c r="AD11" s="12"/>
      <c r="AE11" s="12"/>
      <c r="AF11" s="12"/>
    </row>
    <row r="12" spans="1:32" s="73" customFormat="1" ht="49.5" customHeight="1">
      <c r="A12" s="64"/>
      <c r="B12" s="112"/>
      <c r="C12" s="76" t="s">
        <v>1470</v>
      </c>
      <c r="D12" s="956"/>
      <c r="E12" s="957"/>
      <c r="F12" s="958"/>
      <c r="G12" s="851"/>
      <c r="H12" s="852"/>
      <c r="I12" s="853"/>
      <c r="J12" s="80"/>
      <c r="K12" s="81">
        <v>1.85</v>
      </c>
      <c r="L12" s="82"/>
      <c r="M12" s="83"/>
      <c r="N12" s="105"/>
      <c r="O12" s="85">
        <f>K12</f>
        <v>1.85</v>
      </c>
      <c r="P12" s="111" t="s">
        <v>57</v>
      </c>
      <c r="Q12" s="215">
        <v>16</v>
      </c>
      <c r="R12" s="71"/>
      <c r="S12" s="71"/>
      <c r="T12" s="152"/>
      <c r="U12" s="153"/>
      <c r="V12" s="72"/>
    </row>
    <row r="13" spans="1:32" s="73" customFormat="1" ht="45" customHeight="1">
      <c r="A13" s="64"/>
      <c r="B13" s="112"/>
      <c r="C13" s="76" t="s">
        <v>1471</v>
      </c>
      <c r="D13" s="860"/>
      <c r="E13" s="861"/>
      <c r="F13" s="862"/>
      <c r="G13" s="77"/>
      <c r="H13" s="78"/>
      <c r="I13" s="79"/>
      <c r="J13" s="80"/>
      <c r="K13" s="81">
        <v>5</v>
      </c>
      <c r="L13" s="82"/>
      <c r="M13" s="83"/>
      <c r="N13" s="105"/>
      <c r="O13" s="85">
        <f>K13</f>
        <v>5</v>
      </c>
      <c r="P13" s="111" t="s">
        <v>57</v>
      </c>
      <c r="Q13" s="215">
        <v>16</v>
      </c>
      <c r="R13" s="71"/>
      <c r="S13" s="71"/>
      <c r="T13" s="152"/>
      <c r="U13" s="153"/>
      <c r="V13" s="72"/>
    </row>
    <row r="14" spans="1:32" s="73" customFormat="1" ht="21" customHeight="1">
      <c r="A14" s="64"/>
      <c r="B14" s="109"/>
      <c r="C14" s="65"/>
      <c r="D14" s="77"/>
      <c r="E14" s="78"/>
      <c r="F14" s="79"/>
      <c r="G14" s="77"/>
      <c r="H14" s="78"/>
      <c r="I14" s="79"/>
      <c r="J14" s="66"/>
      <c r="K14" s="108"/>
      <c r="L14" s="67"/>
      <c r="M14" s="68"/>
      <c r="N14" s="110"/>
      <c r="O14" s="85">
        <f>M14*D14</f>
        <v>0</v>
      </c>
      <c r="P14" s="111"/>
      <c r="Q14" s="215"/>
      <c r="R14" s="71"/>
      <c r="S14" s="71"/>
      <c r="T14" s="152"/>
      <c r="U14" s="153"/>
      <c r="V14" s="72"/>
      <c r="W14" s="71"/>
      <c r="X14" s="74"/>
    </row>
    <row r="15" spans="1:32" s="73" customFormat="1" ht="21" customHeight="1">
      <c r="A15" s="64"/>
      <c r="B15" s="109"/>
      <c r="C15" s="65"/>
      <c r="D15" s="77"/>
      <c r="E15" s="78"/>
      <c r="F15" s="79"/>
      <c r="G15" s="77"/>
      <c r="H15" s="78"/>
      <c r="I15" s="79"/>
      <c r="J15" s="66"/>
      <c r="K15" s="108"/>
      <c r="L15" s="67"/>
      <c r="M15" s="68"/>
      <c r="N15" s="110"/>
      <c r="O15" s="70"/>
      <c r="P15" s="111"/>
      <c r="Q15" s="215"/>
      <c r="R15" s="71"/>
      <c r="S15" s="71"/>
      <c r="T15" s="152"/>
      <c r="U15" s="153"/>
      <c r="V15" s="72"/>
      <c r="W15" s="71"/>
      <c r="X15" s="74"/>
    </row>
    <row r="16" spans="1:32" s="73" customFormat="1" ht="21" customHeight="1">
      <c r="A16" s="64"/>
      <c r="B16" s="109"/>
      <c r="C16" s="65"/>
      <c r="D16" s="77"/>
      <c r="E16" s="78"/>
      <c r="G16" s="77"/>
      <c r="H16" s="78"/>
      <c r="I16" s="79"/>
      <c r="J16" s="66"/>
      <c r="K16" s="108"/>
      <c r="L16" s="67"/>
      <c r="M16" s="68"/>
      <c r="N16" s="110"/>
      <c r="O16" s="70"/>
      <c r="P16" s="111"/>
      <c r="Q16" s="215"/>
      <c r="R16" s="71"/>
      <c r="S16" s="71"/>
      <c r="T16" s="152"/>
      <c r="U16" s="153"/>
      <c r="V16" s="72"/>
      <c r="W16" s="71"/>
      <c r="X16" s="74"/>
    </row>
    <row r="17" spans="1:24" s="73" customFormat="1" ht="21" customHeight="1">
      <c r="A17" s="64"/>
      <c r="B17" s="109"/>
      <c r="C17" s="65"/>
      <c r="D17" s="77"/>
      <c r="E17" s="78"/>
      <c r="F17" s="79"/>
      <c r="G17" s="77"/>
      <c r="H17" s="78"/>
      <c r="I17" s="79"/>
      <c r="J17" s="66"/>
      <c r="K17" s="108"/>
      <c r="L17" s="67"/>
      <c r="M17" s="68"/>
      <c r="N17" s="110"/>
      <c r="O17" s="70"/>
      <c r="P17" s="111"/>
      <c r="Q17" s="215"/>
      <c r="R17" s="71"/>
      <c r="S17" s="71"/>
      <c r="T17" s="152"/>
      <c r="U17" s="153"/>
      <c r="V17" s="72"/>
      <c r="W17" s="71"/>
      <c r="X17" s="74"/>
    </row>
    <row r="18" spans="1:24" s="90" customFormat="1" ht="21" customHeight="1">
      <c r="A18" s="75"/>
      <c r="B18" s="107"/>
      <c r="C18" s="104"/>
      <c r="D18" s="77"/>
      <c r="E18" s="78"/>
      <c r="F18" s="79"/>
      <c r="G18" s="77"/>
      <c r="H18" s="78"/>
      <c r="I18" s="79"/>
      <c r="J18" s="80"/>
      <c r="K18" s="81"/>
      <c r="L18" s="82"/>
      <c r="M18" s="83"/>
      <c r="N18" s="84"/>
      <c r="O18" s="85"/>
      <c r="P18" s="154"/>
      <c r="Q18" s="215"/>
      <c r="R18" s="86"/>
      <c r="S18" s="86"/>
      <c r="T18" s="86"/>
      <c r="U18" s="151"/>
      <c r="V18" s="87"/>
      <c r="W18" s="88"/>
      <c r="X18" s="89"/>
    </row>
    <row r="19" spans="1:24" ht="48" customHeight="1">
      <c r="B19" s="161"/>
      <c r="C19" s="162"/>
      <c r="D19" s="806" t="s">
        <v>11</v>
      </c>
      <c r="E19" s="807"/>
      <c r="F19" s="807"/>
      <c r="G19" s="807"/>
      <c r="H19" s="807"/>
      <c r="I19" s="808"/>
      <c r="J19" s="809">
        <f>FINANCEIRO!J479</f>
        <v>8.32</v>
      </c>
      <c r="K19" s="810"/>
      <c r="L19" s="50" t="s">
        <v>57</v>
      </c>
      <c r="M19" s="803" t="s">
        <v>12</v>
      </c>
      <c r="N19" s="811"/>
      <c r="O19" s="61">
        <f>SUM(O12:O18)</f>
        <v>6.85</v>
      </c>
      <c r="P19" s="51" t="s">
        <v>57</v>
      </c>
      <c r="Q19" s="22"/>
    </row>
    <row r="20" spans="1:24" ht="40.5" customHeight="1">
      <c r="B20" s="163"/>
      <c r="C20" s="19"/>
      <c r="D20" s="817" t="s">
        <v>13</v>
      </c>
      <c r="E20" s="818"/>
      <c r="F20" s="818"/>
      <c r="G20" s="818"/>
      <c r="H20" s="818"/>
      <c r="I20" s="819"/>
      <c r="J20" s="823">
        <f>O19/J19</f>
        <v>0.8233173076923076</v>
      </c>
      <c r="K20" s="824"/>
      <c r="L20" s="827"/>
      <c r="M20" s="803" t="s">
        <v>34</v>
      </c>
      <c r="N20" s="804"/>
      <c r="O20" s="61">
        <f>SUM(O12:O13)</f>
        <v>6.85</v>
      </c>
      <c r="P20" s="52" t="str">
        <f>P19</f>
        <v>m2</v>
      </c>
      <c r="Q20" s="22"/>
    </row>
    <row r="21" spans="1:24" ht="40.5" customHeight="1">
      <c r="A21" s="10" t="s">
        <v>809</v>
      </c>
      <c r="B21" s="165"/>
      <c r="C21" s="164"/>
      <c r="D21" s="820"/>
      <c r="E21" s="821"/>
      <c r="F21" s="821"/>
      <c r="G21" s="821"/>
      <c r="H21" s="821"/>
      <c r="I21" s="822"/>
      <c r="J21" s="825"/>
      <c r="K21" s="826"/>
      <c r="L21" s="828"/>
      <c r="M21" s="803" t="s">
        <v>14</v>
      </c>
      <c r="N21" s="804"/>
      <c r="O21" s="62">
        <f>O19-O20</f>
        <v>0</v>
      </c>
      <c r="P21" s="53" t="str">
        <f>P19</f>
        <v>m2</v>
      </c>
      <c r="Q21" s="54"/>
    </row>
    <row r="22" spans="1:24" ht="36" customHeight="1">
      <c r="B22" s="218"/>
      <c r="C22" s="217"/>
      <c r="M22" s="803" t="s">
        <v>53</v>
      </c>
      <c r="N22" s="804"/>
      <c r="O22" s="62">
        <f>FINANCEIRO!E479</f>
        <v>88.68</v>
      </c>
      <c r="P22" s="53"/>
      <c r="Q22" s="54"/>
    </row>
    <row r="23" spans="1:24" ht="40.5" customHeight="1">
      <c r="B23" s="163"/>
      <c r="C23" s="219"/>
      <c r="M23" s="803" t="s">
        <v>54</v>
      </c>
      <c r="N23" s="804"/>
      <c r="O23" s="62">
        <f>TRUNC(O22*O21,2)</f>
        <v>0</v>
      </c>
      <c r="P23" s="53" t="s">
        <v>55</v>
      </c>
      <c r="Q23" s="54"/>
    </row>
  </sheetData>
  <mergeCells count="30">
    <mergeCell ref="M23:N23"/>
    <mergeCell ref="D20:I21"/>
    <mergeCell ref="J20:K21"/>
    <mergeCell ref="L20:L21"/>
    <mergeCell ref="M20:N20"/>
    <mergeCell ref="M21:N21"/>
    <mergeCell ref="M22:N22"/>
    <mergeCell ref="D19:I19"/>
    <mergeCell ref="J19:K19"/>
    <mergeCell ref="M19:N19"/>
    <mergeCell ref="N10:N11"/>
    <mergeCell ref="D12:F12"/>
    <mergeCell ref="G12:I12"/>
    <mergeCell ref="D13:F13"/>
    <mergeCell ref="K10:K11"/>
    <mergeCell ref="L10:L11"/>
    <mergeCell ref="M10:M11"/>
    <mergeCell ref="Q10:Q11"/>
    <mergeCell ref="O10:O11"/>
    <mergeCell ref="P10:P11"/>
    <mergeCell ref="B1:Q4"/>
    <mergeCell ref="R4:W4"/>
    <mergeCell ref="B5:I5"/>
    <mergeCell ref="J5:N5"/>
    <mergeCell ref="O5:Q5"/>
    <mergeCell ref="B10:B11"/>
    <mergeCell ref="C10:C11"/>
    <mergeCell ref="D10:F11"/>
    <mergeCell ref="G10:I11"/>
    <mergeCell ref="J10:J11"/>
  </mergeCells>
  <phoneticPr fontId="61" type="noConversion"/>
  <conditionalFormatting sqref="J20:K23">
    <cfRule type="cellIs" dxfId="229" priority="1" operator="greaterThanOrEqual">
      <formula>1</formula>
    </cfRule>
    <cfRule type="cellIs" dxfId="228" priority="2" operator="greaterThan">
      <formula>100%</formula>
    </cfRule>
  </conditionalFormatting>
  <pageMargins left="0.51181102362204722" right="0.51181102362204722" top="0.78740157480314965" bottom="0.78740157480314965" header="0.31496062992125984" footer="0.31496062992125984"/>
  <pageSetup paperSize="9" scale="54" fitToHeight="0" orientation="landscape" r:id="rId1"/>
  <headerFooter>
    <oddFooter>Página &amp;P de &amp;N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6821B-F130-4514-A6D9-1D3836CC6468}">
  <sheetPr>
    <tabColor rgb="FF339933"/>
    <pageSetUpPr fitToPage="1"/>
  </sheetPr>
  <dimension ref="A1:AE23"/>
  <sheetViews>
    <sheetView view="pageBreakPreview" zoomScale="50" zoomScaleNormal="55" zoomScaleSheetLayoutView="50" workbookViewId="0">
      <selection activeCell="M21" sqref="M21:Q21"/>
    </sheetView>
  </sheetViews>
  <sheetFormatPr defaultColWidth="9.140625" defaultRowHeight="12.75"/>
  <cols>
    <col min="1" max="1" width="9.140625" style="10"/>
    <col min="2" max="2" width="18.42578125" style="18" bestFit="1" customWidth="1"/>
    <col min="3" max="3" width="84.5703125" style="2" customWidth="1"/>
    <col min="4" max="4" width="6.7109375" style="2" customWidth="1"/>
    <col min="5" max="5" width="2.42578125" style="2" customWidth="1"/>
    <col min="6" max="6" width="13.42578125" style="2"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20.85546875" style="2" customWidth="1"/>
    <col min="14" max="14" width="26.7109375" style="63" bestFit="1" customWidth="1"/>
    <col min="15" max="15" width="9" style="2" customWidth="1"/>
    <col min="16" max="16" width="15.28515625" style="2" customWidth="1"/>
    <col min="17" max="19" width="9.140625" style="2"/>
    <col min="20" max="20" width="9.140625" style="140"/>
    <col min="21" max="22" width="9.140625" style="2"/>
    <col min="23" max="23" width="12.7109375" style="13" customWidth="1"/>
    <col min="24" max="16384" width="9.140625" style="2"/>
  </cols>
  <sheetData>
    <row r="1" spans="1:31" ht="18.75" customHeight="1">
      <c r="B1" s="831" t="s">
        <v>851</v>
      </c>
      <c r="C1" s="832"/>
      <c r="D1" s="832"/>
      <c r="E1" s="832"/>
      <c r="F1" s="832"/>
      <c r="G1" s="832"/>
      <c r="H1" s="832"/>
      <c r="I1" s="832"/>
      <c r="J1" s="832"/>
      <c r="K1" s="832"/>
      <c r="L1" s="832"/>
      <c r="M1" s="832"/>
      <c r="N1" s="832"/>
      <c r="O1" s="832"/>
      <c r="P1" s="832"/>
    </row>
    <row r="2" spans="1:31" ht="18.75" customHeight="1">
      <c r="B2" s="832"/>
      <c r="C2" s="832"/>
      <c r="D2" s="832"/>
      <c r="E2" s="832"/>
      <c r="F2" s="832"/>
      <c r="G2" s="832"/>
      <c r="H2" s="832"/>
      <c r="I2" s="832"/>
      <c r="J2" s="832"/>
      <c r="K2" s="832"/>
      <c r="L2" s="832"/>
      <c r="M2" s="832"/>
      <c r="N2" s="832"/>
      <c r="O2" s="832"/>
      <c r="P2" s="832"/>
    </row>
    <row r="3" spans="1:31" ht="18.75" customHeight="1">
      <c r="B3" s="832"/>
      <c r="C3" s="832"/>
      <c r="D3" s="832"/>
      <c r="E3" s="832"/>
      <c r="F3" s="832"/>
      <c r="G3" s="832"/>
      <c r="H3" s="832"/>
      <c r="I3" s="832"/>
      <c r="J3" s="832"/>
      <c r="K3" s="832"/>
      <c r="L3" s="832"/>
      <c r="M3" s="832"/>
      <c r="N3" s="832"/>
      <c r="O3" s="832"/>
      <c r="P3" s="832"/>
    </row>
    <row r="4" spans="1:31" ht="18.75" customHeight="1">
      <c r="B4" s="832"/>
      <c r="C4" s="832"/>
      <c r="D4" s="832"/>
      <c r="E4" s="832"/>
      <c r="F4" s="832"/>
      <c r="G4" s="832"/>
      <c r="H4" s="832"/>
      <c r="I4" s="832"/>
      <c r="J4" s="832"/>
      <c r="K4" s="832"/>
      <c r="L4" s="832"/>
      <c r="M4" s="832"/>
      <c r="N4" s="832"/>
      <c r="O4" s="832"/>
      <c r="P4" s="832"/>
      <c r="Q4" s="833"/>
      <c r="R4" s="833"/>
      <c r="S4" s="833"/>
      <c r="T4" s="833"/>
      <c r="U4" s="833"/>
      <c r="V4" s="833"/>
    </row>
    <row r="5" spans="1:31" s="21" customFormat="1" ht="15.75" customHeight="1">
      <c r="A5" s="29"/>
      <c r="B5" s="834" t="s">
        <v>5</v>
      </c>
      <c r="C5" s="835"/>
      <c r="D5" s="835"/>
      <c r="E5" s="835"/>
      <c r="F5" s="835"/>
      <c r="G5" s="835"/>
      <c r="H5" s="835"/>
      <c r="I5" s="836"/>
      <c r="J5" s="837" t="s">
        <v>6</v>
      </c>
      <c r="K5" s="838"/>
      <c r="L5" s="838"/>
      <c r="M5" s="838"/>
      <c r="N5" s="841"/>
      <c r="O5" s="841"/>
      <c r="P5" s="841"/>
      <c r="Q5" s="158"/>
      <c r="R5" s="158"/>
      <c r="S5" s="158"/>
      <c r="T5" s="158"/>
      <c r="U5" s="158"/>
      <c r="V5" s="158"/>
      <c r="W5" s="30"/>
    </row>
    <row r="6" spans="1:31"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T6" s="141"/>
      <c r="W6" s="36"/>
    </row>
    <row r="7" spans="1:31" s="35" customFormat="1" ht="15.75">
      <c r="A7" s="31"/>
      <c r="B7" s="98"/>
      <c r="C7" s="145"/>
      <c r="D7" s="37"/>
      <c r="E7" s="38"/>
      <c r="F7" s="38"/>
      <c r="G7" s="37"/>
      <c r="H7" s="38"/>
      <c r="I7" s="56"/>
      <c r="J7" s="136" t="str">
        <f>DEZ!D8</f>
        <v xml:space="preserve">CONTRATO N°: </v>
      </c>
      <c r="K7" s="37"/>
      <c r="L7" s="115" t="str">
        <f>DEZ!F8</f>
        <v>06/2021</v>
      </c>
      <c r="M7" s="37"/>
      <c r="N7" s="58"/>
      <c r="O7" s="37"/>
      <c r="P7" s="733"/>
      <c r="T7" s="141"/>
      <c r="W7" s="36"/>
    </row>
    <row r="8" spans="1:31"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59"/>
      <c r="O8" s="38"/>
      <c r="P8" s="733"/>
      <c r="T8" s="141"/>
      <c r="V8" s="39"/>
      <c r="W8" s="39"/>
      <c r="X8" s="39"/>
      <c r="Y8" s="39"/>
      <c r="Z8" s="39"/>
      <c r="AA8" s="39"/>
      <c r="AB8" s="39"/>
      <c r="AC8" s="39"/>
      <c r="AD8" s="39"/>
      <c r="AE8" s="39"/>
    </row>
    <row r="9" spans="1:31"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59"/>
      <c r="O9" s="38"/>
      <c r="P9" s="733"/>
      <c r="T9" s="141"/>
      <c r="V9" s="39"/>
      <c r="W9" s="39"/>
      <c r="X9" s="39"/>
      <c r="Y9" s="39"/>
      <c r="Z9" s="39"/>
      <c r="AA9" s="39"/>
      <c r="AB9" s="39"/>
      <c r="AC9" s="39"/>
      <c r="AD9" s="39"/>
      <c r="AE9" s="39"/>
    </row>
    <row r="10" spans="1:31" s="16" customFormat="1" ht="24.95" customHeight="1">
      <c r="A10" s="14"/>
      <c r="B10" s="843" t="str">
        <f>FINANCEIRO!A480</f>
        <v>4.3.10.7</v>
      </c>
      <c r="C10" s="845" t="str">
        <f>FINANCEIRO!C480</f>
        <v>Chapisco de argamassa de cimento e areia média ou grossa lavada, no traço 1:3, espessura 5 mm</v>
      </c>
      <c r="D10" s="816" t="s">
        <v>1317</v>
      </c>
      <c r="E10" s="816"/>
      <c r="F10" s="816"/>
      <c r="G10" s="816" t="s">
        <v>33</v>
      </c>
      <c r="H10" s="816"/>
      <c r="I10" s="816"/>
      <c r="J10" s="812" t="s">
        <v>853</v>
      </c>
      <c r="K10" s="812" t="s">
        <v>855</v>
      </c>
      <c r="L10" s="812" t="s">
        <v>856</v>
      </c>
      <c r="M10" s="812" t="s">
        <v>62</v>
      </c>
      <c r="N10" s="849" t="s">
        <v>857</v>
      </c>
      <c r="O10" s="812" t="s">
        <v>10</v>
      </c>
      <c r="P10" s="812" t="s">
        <v>858</v>
      </c>
      <c r="Q10" s="120"/>
      <c r="R10" s="120"/>
      <c r="S10" s="143"/>
      <c r="T10" s="144"/>
      <c r="U10" s="15"/>
      <c r="V10" s="12"/>
      <c r="W10" s="12"/>
      <c r="X10" s="12"/>
      <c r="Y10" s="12"/>
      <c r="Z10" s="12"/>
      <c r="AA10" s="12"/>
      <c r="AB10" s="12"/>
      <c r="AC10" s="12"/>
      <c r="AD10" s="12"/>
      <c r="AE10" s="12"/>
    </row>
    <row r="11" spans="1:31" s="16" customFormat="1" ht="39.6" customHeight="1">
      <c r="A11" s="14"/>
      <c r="B11" s="844"/>
      <c r="C11" s="846"/>
      <c r="D11" s="816"/>
      <c r="E11" s="816"/>
      <c r="F11" s="816"/>
      <c r="G11" s="816"/>
      <c r="H11" s="816"/>
      <c r="I11" s="816"/>
      <c r="J11" s="813"/>
      <c r="K11" s="813"/>
      <c r="L11" s="813"/>
      <c r="M11" s="813"/>
      <c r="N11" s="850"/>
      <c r="O11" s="813"/>
      <c r="P11" s="813"/>
      <c r="Q11" s="120"/>
      <c r="R11" s="120"/>
      <c r="S11" s="143"/>
      <c r="T11" s="144"/>
      <c r="U11" s="15"/>
      <c r="V11" s="12"/>
      <c r="W11" s="12"/>
      <c r="X11" s="12"/>
      <c r="Y11" s="12"/>
      <c r="Z11" s="12"/>
      <c r="AA11" s="12"/>
      <c r="AB11" s="12"/>
      <c r="AC11" s="12"/>
      <c r="AD11" s="12"/>
      <c r="AE11" s="12"/>
    </row>
    <row r="12" spans="1:31" s="73" customFormat="1" ht="49.5" customHeight="1">
      <c r="A12" s="64"/>
      <c r="B12" s="112"/>
      <c r="C12" s="76" t="s">
        <v>1472</v>
      </c>
      <c r="D12" s="956"/>
      <c r="E12" s="957"/>
      <c r="F12" s="958"/>
      <c r="G12" s="851"/>
      <c r="H12" s="852"/>
      <c r="I12" s="853"/>
      <c r="J12" s="80"/>
      <c r="K12" s="81">
        <f>1.85*2</f>
        <v>3.7</v>
      </c>
      <c r="L12" s="82"/>
      <c r="M12" s="83"/>
      <c r="N12" s="85">
        <f>K12</f>
        <v>3.7</v>
      </c>
      <c r="O12" s="111" t="s">
        <v>57</v>
      </c>
      <c r="P12" s="215">
        <v>16</v>
      </c>
      <c r="Q12" s="71"/>
      <c r="R12" s="71"/>
      <c r="S12" s="152"/>
      <c r="T12" s="153"/>
      <c r="U12" s="72"/>
    </row>
    <row r="13" spans="1:31" s="73" customFormat="1" ht="61.5" customHeight="1">
      <c r="A13" s="64"/>
      <c r="B13" s="112"/>
      <c r="C13" s="76" t="s">
        <v>1455</v>
      </c>
      <c r="D13" s="860"/>
      <c r="E13" s="861"/>
      <c r="F13" s="862"/>
      <c r="G13" s="77"/>
      <c r="H13" s="78"/>
      <c r="I13" s="79"/>
      <c r="J13" s="80"/>
      <c r="K13" s="81">
        <v>3</v>
      </c>
      <c r="L13" s="82"/>
      <c r="M13" s="83"/>
      <c r="N13" s="85">
        <f>K13</f>
        <v>3</v>
      </c>
      <c r="O13" s="111" t="s">
        <v>57</v>
      </c>
      <c r="P13" s="215">
        <v>16</v>
      </c>
      <c r="Q13" s="71"/>
      <c r="R13" s="71"/>
      <c r="S13" s="152"/>
      <c r="T13" s="153"/>
      <c r="U13" s="72"/>
    </row>
    <row r="14" spans="1:31" s="73" customFormat="1" ht="21" customHeight="1">
      <c r="A14" s="64"/>
      <c r="B14" s="109"/>
      <c r="C14" s="65"/>
      <c r="D14" s="77"/>
      <c r="E14" s="78"/>
      <c r="F14" s="79"/>
      <c r="G14" s="77"/>
      <c r="H14" s="78"/>
      <c r="I14" s="79"/>
      <c r="J14" s="66"/>
      <c r="K14" s="108"/>
      <c r="L14" s="67"/>
      <c r="M14" s="68"/>
      <c r="N14" s="85">
        <f>M14*D14</f>
        <v>0</v>
      </c>
      <c r="O14" s="111"/>
      <c r="P14" s="215"/>
      <c r="Q14" s="71"/>
      <c r="R14" s="71"/>
      <c r="S14" s="152"/>
      <c r="T14" s="153"/>
      <c r="U14" s="72"/>
      <c r="V14" s="71"/>
      <c r="W14" s="74"/>
    </row>
    <row r="15" spans="1:31" s="73" customFormat="1" ht="21" customHeight="1">
      <c r="A15" s="64"/>
      <c r="B15" s="109"/>
      <c r="C15" s="65"/>
      <c r="D15" s="77"/>
      <c r="E15" s="78"/>
      <c r="F15" s="79"/>
      <c r="G15" s="77"/>
      <c r="H15" s="78"/>
      <c r="I15" s="79"/>
      <c r="J15" s="66"/>
      <c r="K15" s="108"/>
      <c r="L15" s="67"/>
      <c r="M15" s="68"/>
      <c r="N15" s="70"/>
      <c r="O15" s="111"/>
      <c r="P15" s="215"/>
      <c r="Q15" s="71"/>
      <c r="R15" s="71"/>
      <c r="S15" s="152"/>
      <c r="T15" s="153"/>
      <c r="U15" s="72"/>
      <c r="V15" s="71"/>
      <c r="W15" s="74"/>
    </row>
    <row r="16" spans="1:31" s="73" customFormat="1" ht="21" customHeight="1">
      <c r="A16" s="64"/>
      <c r="B16" s="109"/>
      <c r="C16" s="65"/>
      <c r="D16" s="77"/>
      <c r="E16" s="78"/>
      <c r="G16" s="77"/>
      <c r="H16" s="78"/>
      <c r="I16" s="79"/>
      <c r="J16" s="66"/>
      <c r="K16" s="108"/>
      <c r="L16" s="67"/>
      <c r="M16" s="68"/>
      <c r="N16" s="70"/>
      <c r="O16" s="111"/>
      <c r="P16" s="215"/>
      <c r="Q16" s="71"/>
      <c r="R16" s="71"/>
      <c r="S16" s="152"/>
      <c r="T16" s="153"/>
      <c r="U16" s="72"/>
      <c r="V16" s="71"/>
      <c r="W16" s="74"/>
    </row>
    <row r="17" spans="1:23" s="73" customFormat="1" ht="21" customHeight="1">
      <c r="A17" s="64"/>
      <c r="B17" s="109"/>
      <c r="C17" s="65"/>
      <c r="D17" s="77"/>
      <c r="E17" s="78"/>
      <c r="F17" s="79"/>
      <c r="G17" s="77"/>
      <c r="H17" s="78"/>
      <c r="I17" s="79"/>
      <c r="J17" s="66"/>
      <c r="K17" s="108"/>
      <c r="L17" s="67"/>
      <c r="M17" s="68"/>
      <c r="N17" s="70"/>
      <c r="O17" s="111"/>
      <c r="P17" s="215"/>
      <c r="Q17" s="71"/>
      <c r="R17" s="71"/>
      <c r="S17" s="152"/>
      <c r="T17" s="153"/>
      <c r="U17" s="72"/>
      <c r="V17" s="71"/>
      <c r="W17" s="74"/>
    </row>
    <row r="18" spans="1:23" s="90" customFormat="1" ht="21" customHeight="1">
      <c r="A18" s="75"/>
      <c r="B18" s="107"/>
      <c r="C18" s="104"/>
      <c r="D18" s="77"/>
      <c r="E18" s="78"/>
      <c r="F18" s="79"/>
      <c r="G18" s="77"/>
      <c r="H18" s="78"/>
      <c r="I18" s="79"/>
      <c r="J18" s="80"/>
      <c r="K18" s="81"/>
      <c r="L18" s="82"/>
      <c r="M18" s="83"/>
      <c r="N18" s="85"/>
      <c r="O18" s="154"/>
      <c r="P18" s="215"/>
      <c r="Q18" s="86"/>
      <c r="R18" s="86"/>
      <c r="S18" s="86"/>
      <c r="T18" s="151"/>
      <c r="U18" s="87"/>
      <c r="V18" s="88"/>
      <c r="W18" s="89"/>
    </row>
    <row r="19" spans="1:23" ht="45">
      <c r="B19" s="161"/>
      <c r="C19" s="162"/>
      <c r="D19" s="806" t="s">
        <v>11</v>
      </c>
      <c r="E19" s="807"/>
      <c r="F19" s="807"/>
      <c r="G19" s="807"/>
      <c r="H19" s="807"/>
      <c r="I19" s="808"/>
      <c r="J19" s="809">
        <f>FINANCEIRO!J480</f>
        <v>531.42999999999995</v>
      </c>
      <c r="K19" s="810"/>
      <c r="L19" s="50" t="s">
        <v>57</v>
      </c>
      <c r="M19" s="732" t="s">
        <v>12</v>
      </c>
      <c r="N19" s="61">
        <f>SUM(N12:N18)</f>
        <v>6.7</v>
      </c>
      <c r="O19" s="51" t="s">
        <v>57</v>
      </c>
      <c r="P19" s="22"/>
    </row>
    <row r="20" spans="1:23" ht="30">
      <c r="B20" s="163"/>
      <c r="C20" s="19"/>
      <c r="D20" s="817" t="s">
        <v>13</v>
      </c>
      <c r="E20" s="818"/>
      <c r="F20" s="818"/>
      <c r="G20" s="818"/>
      <c r="H20" s="818"/>
      <c r="I20" s="819"/>
      <c r="J20" s="823">
        <f>N19/J19</f>
        <v>1.2607492990610241E-2</v>
      </c>
      <c r="K20" s="824"/>
      <c r="L20" s="827"/>
      <c r="M20" s="732" t="s">
        <v>34</v>
      </c>
      <c r="N20" s="61">
        <f>SUM(N12:N13)</f>
        <v>6.7</v>
      </c>
      <c r="O20" s="52" t="str">
        <f>O19</f>
        <v>m2</v>
      </c>
      <c r="P20" s="22"/>
    </row>
    <row r="21" spans="1:23" ht="15.75">
      <c r="A21" s="10" t="s">
        <v>809</v>
      </c>
      <c r="B21" s="165"/>
      <c r="C21" s="164"/>
      <c r="D21" s="820"/>
      <c r="E21" s="821"/>
      <c r="F21" s="821"/>
      <c r="G21" s="821"/>
      <c r="H21" s="821"/>
      <c r="I21" s="822"/>
      <c r="J21" s="825"/>
      <c r="K21" s="826"/>
      <c r="L21" s="828"/>
      <c r="M21" s="732" t="s">
        <v>14</v>
      </c>
      <c r="N21" s="62">
        <f>N19-N20</f>
        <v>0</v>
      </c>
      <c r="O21" s="53" t="str">
        <f>O19</f>
        <v>m2</v>
      </c>
      <c r="P21" s="54"/>
    </row>
    <row r="22" spans="1:23" ht="15.75">
      <c r="B22" s="218"/>
      <c r="C22" s="217"/>
      <c r="M22" s="732" t="s">
        <v>53</v>
      </c>
      <c r="N22" s="62">
        <f>FINANCEIRO!E480</f>
        <v>5.64</v>
      </c>
      <c r="O22" s="53"/>
      <c r="P22" s="54"/>
    </row>
    <row r="23" spans="1:23" ht="30">
      <c r="B23" s="163"/>
      <c r="C23" s="219"/>
      <c r="M23" s="732" t="s">
        <v>54</v>
      </c>
      <c r="N23" s="62">
        <f>TRUNC(N22*N21,2)</f>
        <v>0</v>
      </c>
      <c r="O23" s="53" t="s">
        <v>55</v>
      </c>
      <c r="P23" s="54"/>
    </row>
  </sheetData>
  <mergeCells count="24">
    <mergeCell ref="D20:I21"/>
    <mergeCell ref="J20:K21"/>
    <mergeCell ref="L20:L21"/>
    <mergeCell ref="D19:I19"/>
    <mergeCell ref="J19:K19"/>
    <mergeCell ref="D12:F12"/>
    <mergeCell ref="G12:I12"/>
    <mergeCell ref="D13:F13"/>
    <mergeCell ref="B10:B11"/>
    <mergeCell ref="C10:C11"/>
    <mergeCell ref="D10:F11"/>
    <mergeCell ref="G10:I11"/>
    <mergeCell ref="J10:J11"/>
    <mergeCell ref="K10:K11"/>
    <mergeCell ref="L10:L11"/>
    <mergeCell ref="M10:M11"/>
    <mergeCell ref="P10:P11"/>
    <mergeCell ref="N10:N11"/>
    <mergeCell ref="O10:O11"/>
    <mergeCell ref="B1:P4"/>
    <mergeCell ref="Q4:V4"/>
    <mergeCell ref="B5:I5"/>
    <mergeCell ref="J5:M5"/>
    <mergeCell ref="N5:P5"/>
  </mergeCells>
  <conditionalFormatting sqref="J20:K23">
    <cfRule type="cellIs" dxfId="227" priority="1" operator="greaterThanOrEqual">
      <formula>1</formula>
    </cfRule>
    <cfRule type="cellIs" dxfId="226" priority="2" operator="greaterThan">
      <formula>100%</formula>
    </cfRule>
  </conditionalFormatting>
  <pageMargins left="0.51181102362204722" right="0.51181102362204722" top="0.78740157480314965" bottom="0.78740157480314965" header="0.31496062992125984" footer="0.31496062992125984"/>
  <pageSetup paperSize="9" scale="52" fitToHeight="0" orientation="landscape" r:id="rId1"/>
  <headerFooter>
    <oddFooter>Página &amp;P de &amp;N</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B2925-D550-4FB0-B0EB-9F7E9B910A8E}">
  <sheetPr>
    <tabColor rgb="FF339933"/>
    <pageSetUpPr fitToPage="1"/>
  </sheetPr>
  <dimension ref="A1:AJ23"/>
  <sheetViews>
    <sheetView view="pageBreakPreview" zoomScale="50" zoomScaleNormal="55" zoomScaleSheetLayoutView="50"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13.42578125" style="2"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FINANCEIRO!A535</f>
        <v>4.6.1.3</v>
      </c>
      <c r="C10" s="845" t="str">
        <f>FINANCEIRO!C535</f>
        <v>Caixa de embutir marca de referência Tigreflex, 4x2"</v>
      </c>
      <c r="D10" s="816" t="s">
        <v>1317</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67.5" customHeight="1">
      <c r="A12" s="64"/>
      <c r="B12" s="112"/>
      <c r="C12" s="76" t="s">
        <v>1457</v>
      </c>
      <c r="D12" s="961"/>
      <c r="E12" s="962"/>
      <c r="F12" s="963"/>
      <c r="G12" s="851"/>
      <c r="H12" s="852"/>
      <c r="I12" s="853"/>
      <c r="J12" s="80"/>
      <c r="K12" s="81"/>
      <c r="L12" s="82"/>
      <c r="M12" s="83">
        <v>15</v>
      </c>
      <c r="N12" s="105"/>
      <c r="O12" s="84"/>
      <c r="P12" s="82"/>
      <c r="Q12" s="93"/>
      <c r="R12" s="85">
        <f>M12</f>
        <v>15</v>
      </c>
      <c r="S12" s="111" t="str">
        <f>FINANCEIRO!D535</f>
        <v>und</v>
      </c>
      <c r="T12" s="215">
        <v>16</v>
      </c>
      <c r="U12" s="91"/>
      <c r="V12" s="71"/>
      <c r="W12" s="71"/>
      <c r="X12" s="152"/>
      <c r="Y12" s="153"/>
      <c r="Z12" s="72"/>
    </row>
    <row r="13" spans="1:36" s="73" customFormat="1" ht="21" customHeight="1">
      <c r="A13" s="64"/>
      <c r="B13" s="112"/>
      <c r="C13" s="76"/>
      <c r="D13" s="860"/>
      <c r="E13" s="861"/>
      <c r="F13" s="862"/>
      <c r="G13" s="77"/>
      <c r="H13" s="78"/>
      <c r="I13" s="79"/>
      <c r="J13" s="80"/>
      <c r="K13" s="81"/>
      <c r="L13" s="82"/>
      <c r="M13" s="83"/>
      <c r="N13" s="105"/>
      <c r="O13" s="84"/>
      <c r="P13" s="82"/>
      <c r="Q13" s="93"/>
      <c r="R13" s="85"/>
      <c r="S13" s="111"/>
      <c r="T13" s="215"/>
      <c r="U13" s="91"/>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85">
        <f>M14*D14</f>
        <v>0</v>
      </c>
      <c r="S14" s="111"/>
      <c r="T14" s="215"/>
      <c r="U14" s="94"/>
      <c r="V14" s="71"/>
      <c r="W14" s="71"/>
      <c r="X14" s="152"/>
      <c r="Y14" s="153"/>
      <c r="Z14" s="72"/>
      <c r="AA14" s="71"/>
      <c r="AB14" s="74"/>
    </row>
    <row r="15" spans="1:36" s="73" customFormat="1" ht="21" customHeight="1">
      <c r="A15" s="64"/>
      <c r="B15" s="109"/>
      <c r="C15" s="65"/>
      <c r="D15" s="77"/>
      <c r="E15" s="78"/>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ht="39.6" customHeight="1">
      <c r="B19" s="161"/>
      <c r="C19" s="162"/>
      <c r="D19" s="806" t="s">
        <v>11</v>
      </c>
      <c r="E19" s="807"/>
      <c r="F19" s="807"/>
      <c r="G19" s="807"/>
      <c r="H19" s="807"/>
      <c r="I19" s="808"/>
      <c r="J19" s="809">
        <f>FINANCEIRO!J535</f>
        <v>20</v>
      </c>
      <c r="K19" s="810"/>
      <c r="L19" s="50" t="str">
        <f>FINANCEIRO!D535</f>
        <v>und</v>
      </c>
      <c r="M19" s="803" t="s">
        <v>12</v>
      </c>
      <c r="N19" s="811"/>
      <c r="O19" s="811"/>
      <c r="P19" s="811"/>
      <c r="Q19" s="805"/>
      <c r="R19" s="61">
        <f>SUM(R12:R18)</f>
        <v>15</v>
      </c>
      <c r="S19" s="51" t="str">
        <f>S12</f>
        <v>und</v>
      </c>
      <c r="T19" s="22"/>
      <c r="U19" s="23"/>
    </row>
    <row r="20" spans="1:28" ht="21" customHeight="1">
      <c r="B20" s="163"/>
      <c r="C20" s="19"/>
      <c r="D20" s="817" t="s">
        <v>13</v>
      </c>
      <c r="E20" s="818"/>
      <c r="F20" s="818"/>
      <c r="G20" s="818"/>
      <c r="H20" s="818"/>
      <c r="I20" s="819"/>
      <c r="J20" s="823">
        <f>R19/J19</f>
        <v>0.75</v>
      </c>
      <c r="K20" s="824"/>
      <c r="L20" s="827"/>
      <c r="M20" s="803" t="s">
        <v>34</v>
      </c>
      <c r="N20" s="804"/>
      <c r="O20" s="804"/>
      <c r="P20" s="804"/>
      <c r="Q20" s="805"/>
      <c r="R20" s="61">
        <f>R12</f>
        <v>15</v>
      </c>
      <c r="S20" s="52" t="str">
        <f>S19</f>
        <v>und</v>
      </c>
      <c r="T20" s="22"/>
      <c r="U20" s="23"/>
    </row>
    <row r="21" spans="1:28" ht="21" customHeight="1">
      <c r="A21" s="10" t="s">
        <v>809</v>
      </c>
      <c r="B21" s="165"/>
      <c r="C21" s="164"/>
      <c r="D21" s="820"/>
      <c r="E21" s="821"/>
      <c r="F21" s="821"/>
      <c r="G21" s="821"/>
      <c r="H21" s="821"/>
      <c r="I21" s="822"/>
      <c r="J21" s="825"/>
      <c r="K21" s="826"/>
      <c r="L21" s="828"/>
      <c r="M21" s="803" t="s">
        <v>14</v>
      </c>
      <c r="N21" s="804"/>
      <c r="O21" s="804"/>
      <c r="P21" s="804"/>
      <c r="Q21" s="805"/>
      <c r="R21" s="62">
        <f>R19-R20</f>
        <v>0</v>
      </c>
      <c r="S21" s="53" t="str">
        <f>S19</f>
        <v>und</v>
      </c>
      <c r="T21" s="54"/>
      <c r="U21" s="24"/>
    </row>
    <row r="22" spans="1:28" ht="21" customHeight="1">
      <c r="B22" s="218"/>
      <c r="C22" s="217"/>
      <c r="M22" s="803" t="s">
        <v>53</v>
      </c>
      <c r="N22" s="804"/>
      <c r="O22" s="804"/>
      <c r="P22" s="804"/>
      <c r="Q22" s="805"/>
      <c r="R22" s="62">
        <f>FINANCEIRO!E535</f>
        <v>7.47</v>
      </c>
      <c r="S22" s="53"/>
      <c r="T22" s="54"/>
      <c r="U22" s="24"/>
    </row>
    <row r="23" spans="1:28" ht="21" customHeight="1">
      <c r="B23" s="163"/>
      <c r="C23" s="219"/>
      <c r="M23" s="803" t="s">
        <v>54</v>
      </c>
      <c r="N23" s="804"/>
      <c r="O23" s="804"/>
      <c r="P23" s="804"/>
      <c r="Q23" s="805"/>
      <c r="R23" s="62">
        <f>TRUNC(R22*R21,2)</f>
        <v>0</v>
      </c>
      <c r="S23" s="53" t="s">
        <v>55</v>
      </c>
      <c r="T23" s="54"/>
      <c r="U23" s="24"/>
    </row>
  </sheetData>
  <mergeCells count="37">
    <mergeCell ref="M23:Q23"/>
    <mergeCell ref="D20:I21"/>
    <mergeCell ref="J20:K21"/>
    <mergeCell ref="L20:L21"/>
    <mergeCell ref="M20:Q20"/>
    <mergeCell ref="M21:Q21"/>
    <mergeCell ref="M22:Q22"/>
    <mergeCell ref="D19:I19"/>
    <mergeCell ref="J19:K19"/>
    <mergeCell ref="M19:Q19"/>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0:K23">
    <cfRule type="cellIs" dxfId="225" priority="1" operator="greaterThanOrEqual">
      <formula>1</formula>
    </cfRule>
    <cfRule type="cellIs" dxfId="224" priority="2" operator="greaterThan">
      <formula>100%</formula>
    </cfRule>
  </conditionalFormatting>
  <pageMargins left="0.51181102362204722" right="0.51181102362204722" top="0.78740157480314965" bottom="0.78740157480314965" header="0.31496062992125984" footer="0.31496062992125984"/>
  <pageSetup paperSize="9" scale="45" fitToHeight="0" orientation="landscape" r:id="rId1"/>
  <headerFooter>
    <oddFooter>Página &amp;P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3">
    <tabColor rgb="FF339933"/>
    <pageSetUpPr fitToPage="1"/>
  </sheetPr>
  <dimension ref="A1:AJ31"/>
  <sheetViews>
    <sheetView view="pageBreakPreview" topLeftCell="A12" zoomScale="60" zoomScaleNormal="55" workbookViewId="0">
      <selection activeCell="R30" sqref="R3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DEZ!A36</f>
        <v>1.1.3.1</v>
      </c>
      <c r="C10" s="845" t="str">
        <f>DEZ!C36</f>
        <v>Tapume Telha Metálica Ondulada 0,50mm Branca h=2,20m, incl. montagem estr. mad. 8"x8", c/adesivo "IOPES" 60x60cm a cada 10m, incl. faixas pint. esmalte sint. cores azul c/ h=30cm e
rosa c/ h=10cm (Reaproveitamento 2x)</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65" t="s">
        <v>963</v>
      </c>
      <c r="D12" s="854">
        <f>18 + 30 + 18 + 15</f>
        <v>81</v>
      </c>
      <c r="E12" s="855"/>
      <c r="F12" s="856"/>
      <c r="G12" s="77"/>
      <c r="H12" s="78"/>
      <c r="I12" s="79"/>
      <c r="J12" s="80"/>
      <c r="K12" s="81"/>
      <c r="L12" s="82"/>
      <c r="M12" s="83"/>
      <c r="N12" s="105"/>
      <c r="O12" s="84"/>
      <c r="P12" s="82"/>
      <c r="Q12" s="93"/>
      <c r="R12" s="85">
        <f>D12</f>
        <v>81</v>
      </c>
      <c r="S12" s="111" t="s">
        <v>51</v>
      </c>
      <c r="T12" s="215">
        <v>4</v>
      </c>
      <c r="U12" s="94"/>
      <c r="V12" s="71"/>
      <c r="W12" s="71"/>
      <c r="X12" s="152"/>
      <c r="Y12" s="153"/>
      <c r="Z12" s="72"/>
    </row>
    <row r="13" spans="1:36" s="73" customFormat="1" ht="21" customHeight="1">
      <c r="A13" s="64"/>
      <c r="B13" s="109"/>
      <c r="C13" s="65" t="s">
        <v>976</v>
      </c>
      <c r="D13" s="854">
        <v>90</v>
      </c>
      <c r="E13" s="855"/>
      <c r="F13" s="856">
        <v>90</v>
      </c>
      <c r="G13" s="77"/>
      <c r="H13" s="78"/>
      <c r="I13" s="79"/>
      <c r="J13" s="80"/>
      <c r="K13" s="81"/>
      <c r="L13" s="82"/>
      <c r="M13" s="83"/>
      <c r="N13" s="105"/>
      <c r="O13" s="84"/>
      <c r="P13" s="82"/>
      <c r="Q13" s="93"/>
      <c r="R13" s="255">
        <v>110</v>
      </c>
      <c r="S13" s="111" t="s">
        <v>51</v>
      </c>
      <c r="T13" s="215">
        <v>5</v>
      </c>
      <c r="U13" s="94"/>
      <c r="V13" s="71"/>
      <c r="W13" s="71"/>
      <c r="X13" s="152"/>
      <c r="Y13" s="153"/>
      <c r="Z13" s="72"/>
    </row>
    <row r="14" spans="1:36" s="73" customFormat="1" ht="21" customHeight="1">
      <c r="A14" s="64"/>
      <c r="B14" s="109"/>
      <c r="C14" s="65" t="s">
        <v>1257</v>
      </c>
      <c r="D14" s="854">
        <v>60.25</v>
      </c>
      <c r="E14" s="855"/>
      <c r="F14" s="856"/>
      <c r="G14" s="77"/>
      <c r="H14" s="78"/>
      <c r="I14" s="79"/>
      <c r="J14" s="66"/>
      <c r="K14" s="108"/>
      <c r="L14" s="67"/>
      <c r="M14" s="68"/>
      <c r="N14" s="110"/>
      <c r="O14" s="69"/>
      <c r="P14" s="67"/>
      <c r="Q14" s="106"/>
      <c r="R14" s="85">
        <f>D14</f>
        <v>60.25</v>
      </c>
      <c r="S14" s="111" t="s">
        <v>51</v>
      </c>
      <c r="T14" s="215">
        <v>7</v>
      </c>
      <c r="U14" s="94"/>
      <c r="V14" s="71"/>
      <c r="W14" s="71"/>
      <c r="X14" s="152"/>
      <c r="Y14" s="153"/>
      <c r="Z14" s="72"/>
      <c r="AA14" s="71"/>
      <c r="AB14" s="74"/>
    </row>
    <row r="15" spans="1:36" s="73" customFormat="1" ht="21" customHeight="1">
      <c r="A15" s="64"/>
      <c r="B15" s="109"/>
      <c r="C15" s="65" t="s">
        <v>1258</v>
      </c>
      <c r="D15" s="854">
        <v>82</v>
      </c>
      <c r="E15" s="855"/>
      <c r="F15" s="856"/>
      <c r="G15" s="77"/>
      <c r="H15" s="78"/>
      <c r="I15" s="79"/>
      <c r="J15" s="66"/>
      <c r="K15" s="108"/>
      <c r="L15" s="67"/>
      <c r="M15" s="68"/>
      <c r="N15" s="110"/>
      <c r="O15" s="69"/>
      <c r="P15" s="67"/>
      <c r="Q15" s="106"/>
      <c r="R15" s="70">
        <v>82</v>
      </c>
      <c r="S15" s="111" t="s">
        <v>51</v>
      </c>
      <c r="T15" s="215">
        <v>8</v>
      </c>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07"/>
      <c r="C20" s="104"/>
      <c r="D20" s="77"/>
      <c r="E20" s="78"/>
      <c r="F20" s="79"/>
      <c r="G20" s="77"/>
      <c r="H20" s="78"/>
      <c r="I20" s="79"/>
      <c r="J20" s="80"/>
      <c r="K20" s="81"/>
      <c r="L20" s="82"/>
      <c r="M20" s="83"/>
      <c r="N20" s="84"/>
      <c r="O20" s="155"/>
      <c r="P20" s="156"/>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1" customFormat="1" ht="21" customHeight="1">
      <c r="A25" s="11"/>
      <c r="B25" s="25"/>
      <c r="C25" s="20"/>
      <c r="D25" s="26"/>
      <c r="E25" s="159"/>
      <c r="F25" s="27"/>
      <c r="G25" s="26"/>
      <c r="H25" s="159"/>
      <c r="I25" s="27"/>
      <c r="J25" s="28"/>
      <c r="K25" s="49"/>
      <c r="L25" s="40"/>
      <c r="M25" s="41"/>
      <c r="N25" s="160"/>
      <c r="O25" s="160"/>
      <c r="P25" s="40"/>
      <c r="Q25" s="42"/>
      <c r="R25" s="60"/>
      <c r="S25" s="43"/>
      <c r="T25" s="215"/>
      <c r="U25" s="48"/>
      <c r="V25" s="120"/>
      <c r="W25" s="120"/>
      <c r="X25" s="120"/>
      <c r="Y25" s="142"/>
      <c r="Z25" s="15"/>
      <c r="AA25" s="17"/>
      <c r="AB25" s="44"/>
    </row>
    <row r="26" spans="1:28" ht="21" customHeight="1">
      <c r="B26" s="118"/>
      <c r="C26" s="119"/>
      <c r="D26" s="26"/>
      <c r="E26" s="159"/>
      <c r="F26" s="27"/>
      <c r="G26" s="26"/>
      <c r="H26" s="159"/>
      <c r="I26" s="27"/>
      <c r="J26" s="28"/>
      <c r="K26" s="49"/>
      <c r="L26" s="40"/>
      <c r="M26" s="41"/>
      <c r="N26" s="160"/>
      <c r="O26" s="160"/>
      <c r="P26" s="40"/>
      <c r="Q26" s="42"/>
      <c r="R26" s="60"/>
      <c r="S26" s="43"/>
      <c r="T26" s="216"/>
      <c r="U26" s="117"/>
    </row>
    <row r="27" spans="1:28" ht="39.6" customHeight="1">
      <c r="B27" s="161"/>
      <c r="C27" s="162"/>
      <c r="D27" s="806" t="s">
        <v>11</v>
      </c>
      <c r="E27" s="807"/>
      <c r="F27" s="807"/>
      <c r="G27" s="807"/>
      <c r="H27" s="807"/>
      <c r="I27" s="808"/>
      <c r="J27" s="809">
        <f>DEZ!I36</f>
        <v>333.25</v>
      </c>
      <c r="K27" s="810"/>
      <c r="L27" s="50" t="str">
        <f>DEZ!D36</f>
        <v>m</v>
      </c>
      <c r="M27" s="803" t="s">
        <v>12</v>
      </c>
      <c r="N27" s="811"/>
      <c r="O27" s="811"/>
      <c r="P27" s="811"/>
      <c r="Q27" s="805"/>
      <c r="R27" s="61">
        <f>SUM(R12:R26)</f>
        <v>333.25</v>
      </c>
      <c r="S27" s="51" t="str">
        <f>L27</f>
        <v>m</v>
      </c>
      <c r="T27" s="22"/>
      <c r="U27" s="23"/>
    </row>
    <row r="28" spans="1:28" ht="21" customHeight="1">
      <c r="B28" s="163"/>
      <c r="C28" s="19"/>
      <c r="D28" s="817" t="s">
        <v>13</v>
      </c>
      <c r="E28" s="818"/>
      <c r="F28" s="818"/>
      <c r="G28" s="818"/>
      <c r="H28" s="818"/>
      <c r="I28" s="819"/>
      <c r="J28" s="823">
        <f>R27/J27</f>
        <v>1</v>
      </c>
      <c r="K28" s="824"/>
      <c r="L28" s="827"/>
      <c r="M28" s="803" t="s">
        <v>34</v>
      </c>
      <c r="N28" s="804"/>
      <c r="O28" s="804"/>
      <c r="P28" s="804"/>
      <c r="Q28" s="805"/>
      <c r="R28" s="61">
        <f>SUM(R12:R15)</f>
        <v>333.25</v>
      </c>
      <c r="S28" s="52" t="str">
        <f>L27</f>
        <v>m</v>
      </c>
      <c r="T28" s="22"/>
      <c r="U28" s="23"/>
    </row>
    <row r="29" spans="1:28" ht="21" customHeight="1">
      <c r="A29" s="10" t="s">
        <v>76</v>
      </c>
      <c r="B29" s="165"/>
      <c r="C29" s="164"/>
      <c r="D29" s="820"/>
      <c r="E29" s="821"/>
      <c r="F29" s="821"/>
      <c r="G29" s="821"/>
      <c r="H29" s="821"/>
      <c r="I29" s="822"/>
      <c r="J29" s="825"/>
      <c r="K29" s="826"/>
      <c r="L29" s="828"/>
      <c r="M29" s="803" t="s">
        <v>14</v>
      </c>
      <c r="N29" s="804"/>
      <c r="O29" s="804"/>
      <c r="P29" s="804"/>
      <c r="Q29" s="805"/>
      <c r="R29" s="62">
        <f>R27-R28</f>
        <v>0</v>
      </c>
      <c r="S29" s="53" t="str">
        <f>L27</f>
        <v>m</v>
      </c>
      <c r="T29" s="54"/>
      <c r="U29" s="24"/>
    </row>
    <row r="30" spans="1:28" ht="21" customHeight="1">
      <c r="B30" s="218"/>
      <c r="C30" s="217"/>
      <c r="M30" s="803" t="s">
        <v>53</v>
      </c>
      <c r="N30" s="804"/>
      <c r="O30" s="804"/>
      <c r="P30" s="804"/>
      <c r="Q30" s="805"/>
      <c r="R30" s="62">
        <f>DEZ!E36</f>
        <v>138.65</v>
      </c>
      <c r="S30" s="53"/>
      <c r="T30" s="54"/>
      <c r="U30" s="24"/>
    </row>
    <row r="31" spans="1:28" ht="21" customHeight="1">
      <c r="B31" s="163"/>
      <c r="C31" s="219"/>
      <c r="M31" s="803" t="s">
        <v>54</v>
      </c>
      <c r="N31" s="804"/>
      <c r="O31" s="804"/>
      <c r="P31" s="804"/>
      <c r="Q31" s="805"/>
      <c r="R31" s="62">
        <f>TRUNC(R30*R29,2)</f>
        <v>0</v>
      </c>
      <c r="S31" s="53" t="s">
        <v>55</v>
      </c>
      <c r="T31" s="54"/>
      <c r="U31" s="24"/>
    </row>
  </sheetData>
  <mergeCells count="38">
    <mergeCell ref="D28:I29"/>
    <mergeCell ref="J28:K29"/>
    <mergeCell ref="L28:L29"/>
    <mergeCell ref="M28:Q28"/>
    <mergeCell ref="M29:Q29"/>
    <mergeCell ref="D12:F12"/>
    <mergeCell ref="T10:T11"/>
    <mergeCell ref="U10:U11"/>
    <mergeCell ref="D27:I27"/>
    <mergeCell ref="J27:K27"/>
    <mergeCell ref="M27:Q27"/>
    <mergeCell ref="N10:N11"/>
    <mergeCell ref="O10:O11"/>
    <mergeCell ref="P10:P11"/>
    <mergeCell ref="S10:S11"/>
    <mergeCell ref="D13:F13"/>
    <mergeCell ref="D14:F14"/>
    <mergeCell ref="D15:F15"/>
    <mergeCell ref="M30:Q30"/>
    <mergeCell ref="M31:Q31"/>
    <mergeCell ref="K10:K11"/>
    <mergeCell ref="L10:L11"/>
    <mergeCell ref="M10:M11"/>
    <mergeCell ref="B1:U4"/>
    <mergeCell ref="V4:AA4"/>
    <mergeCell ref="B5:I5"/>
    <mergeCell ref="J5:O5"/>
    <mergeCell ref="P5:U5"/>
    <mergeCell ref="T7:U7"/>
    <mergeCell ref="B10:B11"/>
    <mergeCell ref="C10:C11"/>
    <mergeCell ref="D10:F11"/>
    <mergeCell ref="G10:I11"/>
    <mergeCell ref="J10:J11"/>
    <mergeCell ref="Q10:Q11"/>
    <mergeCell ref="R10:R11"/>
    <mergeCell ref="T8:U8"/>
    <mergeCell ref="T9:U9"/>
  </mergeCells>
  <conditionalFormatting sqref="J28:K31">
    <cfRule type="cellIs" dxfId="411" priority="1" operator="greaterThanOrEqual">
      <formula>1</formula>
    </cfRule>
    <cfRule type="cellIs" dxfId="41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27755-6094-4CC9-B171-EC21E582D39E}">
  <sheetPr>
    <tabColor rgb="FF339933"/>
    <pageSetUpPr fitToPage="1"/>
  </sheetPr>
  <dimension ref="A1:AJ23"/>
  <sheetViews>
    <sheetView view="pageBreakPreview" zoomScale="50" zoomScaleNormal="55" zoomScaleSheetLayoutView="50"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13.42578125" style="2"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FINANCEIRO!A546</f>
        <v>4.6.1.14</v>
      </c>
      <c r="C10" s="845" t="str">
        <f>FINANCEIRO!C546</f>
        <v>Eletroduto flexível corrugado 3/4" , marca de referência TIGRE</v>
      </c>
      <c r="D10" s="816" t="s">
        <v>1317</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67.5" customHeight="1">
      <c r="A12" s="64"/>
      <c r="B12" s="112"/>
      <c r="C12" s="76" t="s">
        <v>1452</v>
      </c>
      <c r="D12" s="956">
        <v>26.4</v>
      </c>
      <c r="E12" s="957"/>
      <c r="F12" s="958"/>
      <c r="G12" s="851"/>
      <c r="H12" s="852"/>
      <c r="I12" s="853"/>
      <c r="J12" s="80"/>
      <c r="K12" s="81"/>
      <c r="L12" s="82"/>
      <c r="M12" s="83"/>
      <c r="N12" s="105"/>
      <c r="O12" s="84"/>
      <c r="P12" s="82"/>
      <c r="Q12" s="93"/>
      <c r="R12" s="85">
        <f>D12</f>
        <v>26.4</v>
      </c>
      <c r="S12" s="111" t="s">
        <v>51</v>
      </c>
      <c r="T12" s="215">
        <v>16</v>
      </c>
      <c r="U12" s="91"/>
      <c r="V12" s="71"/>
      <c r="W12" s="71"/>
      <c r="X12" s="152"/>
      <c r="Y12" s="153"/>
      <c r="Z12" s="72"/>
    </row>
    <row r="13" spans="1:36" s="73" customFormat="1" ht="40.5" customHeight="1">
      <c r="A13" s="64"/>
      <c r="B13" s="112"/>
      <c r="C13" s="76" t="s">
        <v>1457</v>
      </c>
      <c r="D13" s="956">
        <f>16+8+14</f>
        <v>38</v>
      </c>
      <c r="E13" s="957"/>
      <c r="F13" s="958"/>
      <c r="G13" s="77"/>
      <c r="H13" s="78"/>
      <c r="I13" s="79"/>
      <c r="J13" s="80"/>
      <c r="K13" s="81"/>
      <c r="L13" s="82"/>
      <c r="M13" s="83"/>
      <c r="N13" s="105"/>
      <c r="O13" s="84"/>
      <c r="P13" s="82"/>
      <c r="Q13" s="93"/>
      <c r="R13" s="85">
        <f>D13</f>
        <v>38</v>
      </c>
      <c r="S13" s="111" t="s">
        <v>51</v>
      </c>
      <c r="T13" s="215">
        <v>16</v>
      </c>
      <c r="U13" s="91"/>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85">
        <f>M14*D14</f>
        <v>0</v>
      </c>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ht="39.6" customHeight="1">
      <c r="B19" s="161"/>
      <c r="C19" s="162"/>
      <c r="D19" s="806" t="s">
        <v>11</v>
      </c>
      <c r="E19" s="807"/>
      <c r="F19" s="807"/>
      <c r="G19" s="807"/>
      <c r="H19" s="807"/>
      <c r="I19" s="808"/>
      <c r="J19" s="809">
        <f>FINANCEIRO!J546</f>
        <v>78.400000000000006</v>
      </c>
      <c r="K19" s="810"/>
      <c r="L19" s="50" t="s">
        <v>51</v>
      </c>
      <c r="M19" s="803" t="s">
        <v>12</v>
      </c>
      <c r="N19" s="811"/>
      <c r="O19" s="811"/>
      <c r="P19" s="811"/>
      <c r="Q19" s="805"/>
      <c r="R19" s="61">
        <f>SUM(R12:R18)</f>
        <v>64.400000000000006</v>
      </c>
      <c r="S19" s="51" t="s">
        <v>51</v>
      </c>
      <c r="T19" s="22"/>
      <c r="U19" s="23"/>
    </row>
    <row r="20" spans="1:28" ht="21" customHeight="1">
      <c r="B20" s="163"/>
      <c r="C20" s="19"/>
      <c r="D20" s="817" t="s">
        <v>13</v>
      </c>
      <c r="E20" s="818"/>
      <c r="F20" s="818"/>
      <c r="G20" s="818"/>
      <c r="H20" s="818"/>
      <c r="I20" s="819"/>
      <c r="J20" s="823">
        <f>R19/J19</f>
        <v>0.8214285714285714</v>
      </c>
      <c r="K20" s="824"/>
      <c r="L20" s="827"/>
      <c r="M20" s="803" t="s">
        <v>34</v>
      </c>
      <c r="N20" s="804"/>
      <c r="O20" s="804"/>
      <c r="P20" s="804"/>
      <c r="Q20" s="805"/>
      <c r="R20" s="61">
        <f>SUM(R12:R13)</f>
        <v>64.400000000000006</v>
      </c>
      <c r="S20" s="52" t="str">
        <f>S19</f>
        <v>m</v>
      </c>
      <c r="T20" s="22"/>
      <c r="U20" s="23"/>
    </row>
    <row r="21" spans="1:28" ht="21" customHeight="1">
      <c r="A21" s="10" t="s">
        <v>809</v>
      </c>
      <c r="B21" s="165"/>
      <c r="C21" s="164"/>
      <c r="D21" s="820"/>
      <c r="E21" s="821"/>
      <c r="F21" s="821"/>
      <c r="G21" s="821"/>
      <c r="H21" s="821"/>
      <c r="I21" s="822"/>
      <c r="J21" s="825"/>
      <c r="K21" s="826"/>
      <c r="L21" s="828"/>
      <c r="M21" s="803" t="s">
        <v>14</v>
      </c>
      <c r="N21" s="804"/>
      <c r="O21" s="804"/>
      <c r="P21" s="804"/>
      <c r="Q21" s="805"/>
      <c r="R21" s="62">
        <f>R19-R20</f>
        <v>0</v>
      </c>
      <c r="S21" s="53" t="str">
        <f>S19</f>
        <v>m</v>
      </c>
      <c r="T21" s="54"/>
      <c r="U21" s="24"/>
    </row>
    <row r="22" spans="1:28" ht="21" customHeight="1">
      <c r="B22" s="218"/>
      <c r="C22" s="217"/>
      <c r="M22" s="803" t="s">
        <v>53</v>
      </c>
      <c r="N22" s="804"/>
      <c r="O22" s="804"/>
      <c r="P22" s="804"/>
      <c r="Q22" s="805"/>
      <c r="R22" s="62">
        <f>FINANCEIRO!E546</f>
        <v>7.5</v>
      </c>
      <c r="S22" s="53"/>
      <c r="T22" s="54"/>
      <c r="U22" s="24"/>
    </row>
    <row r="23" spans="1:28" ht="21" customHeight="1">
      <c r="B23" s="163"/>
      <c r="C23" s="219"/>
      <c r="M23" s="803" t="s">
        <v>54</v>
      </c>
      <c r="N23" s="804"/>
      <c r="O23" s="804"/>
      <c r="P23" s="804"/>
      <c r="Q23" s="805"/>
      <c r="R23" s="62">
        <f>TRUNC(R22*R21,2)</f>
        <v>0</v>
      </c>
      <c r="S23" s="53" t="s">
        <v>55</v>
      </c>
      <c r="T23" s="54"/>
      <c r="U23" s="24"/>
    </row>
  </sheetData>
  <mergeCells count="37">
    <mergeCell ref="M23:Q23"/>
    <mergeCell ref="D20:I21"/>
    <mergeCell ref="J20:K21"/>
    <mergeCell ref="L20:L21"/>
    <mergeCell ref="M20:Q20"/>
    <mergeCell ref="M21:Q21"/>
    <mergeCell ref="M22:Q22"/>
    <mergeCell ref="D19:I19"/>
    <mergeCell ref="J19:K19"/>
    <mergeCell ref="M19:Q19"/>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0:K23">
    <cfRule type="cellIs" dxfId="223" priority="1" operator="greaterThanOrEqual">
      <formula>1</formula>
    </cfRule>
    <cfRule type="cellIs" dxfId="222" priority="2" operator="greaterThan">
      <formula>100%</formula>
    </cfRule>
  </conditionalFormatting>
  <pageMargins left="0.51181102362204722" right="0.51181102362204722" top="0.78740157480314965" bottom="0.78740157480314965" header="0.31496062992125984" footer="0.31496062992125984"/>
  <pageSetup paperSize="9" scale="45" fitToHeight="0" orientation="landscape" r:id="rId1"/>
  <headerFooter>
    <oddFooter>Página &amp;P de &amp;N</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AA429-AF88-49DB-99A9-011BDA9B575B}">
  <sheetPr>
    <tabColor rgb="FF339933"/>
    <pageSetUpPr fitToPage="1"/>
  </sheetPr>
  <dimension ref="A1:AJ23"/>
  <sheetViews>
    <sheetView view="pageBreakPreview" zoomScale="50" zoomScaleNormal="55" zoomScaleSheetLayoutView="50"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13.42578125" style="2"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FINANCEIRO!A549</f>
        <v>4.6.1.17</v>
      </c>
      <c r="C10" s="845" t="str">
        <f>FINANCEIRO!C549</f>
        <v>Instalação e fornecimento de luminária High Bay LED 100W</v>
      </c>
      <c r="D10" s="816" t="s">
        <v>1317</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67.5" customHeight="1">
      <c r="A12" s="64"/>
      <c r="B12" s="112"/>
      <c r="C12" s="76" t="s">
        <v>1453</v>
      </c>
      <c r="D12" s="956"/>
      <c r="E12" s="957"/>
      <c r="F12" s="958"/>
      <c r="G12" s="851"/>
      <c r="H12" s="852"/>
      <c r="I12" s="853"/>
      <c r="J12" s="80"/>
      <c r="K12" s="81"/>
      <c r="L12" s="82"/>
      <c r="M12" s="83">
        <v>8</v>
      </c>
      <c r="N12" s="105"/>
      <c r="O12" s="84"/>
      <c r="P12" s="82"/>
      <c r="Q12" s="93"/>
      <c r="R12" s="85">
        <f>M12</f>
        <v>8</v>
      </c>
      <c r="S12" s="111" t="str">
        <f>FINANCEIRO!D549</f>
        <v>un</v>
      </c>
      <c r="T12" s="215">
        <v>16</v>
      </c>
      <c r="U12" s="91"/>
      <c r="V12" s="71"/>
      <c r="W12" s="71"/>
      <c r="X12" s="152"/>
      <c r="Y12" s="153"/>
      <c r="Z12" s="72"/>
    </row>
    <row r="13" spans="1:36" s="73" customFormat="1" ht="21" customHeight="1">
      <c r="A13" s="64"/>
      <c r="B13" s="112"/>
      <c r="C13" s="76"/>
      <c r="D13" s="860"/>
      <c r="E13" s="861"/>
      <c r="F13" s="862"/>
      <c r="G13" s="77"/>
      <c r="H13" s="78"/>
      <c r="I13" s="79"/>
      <c r="J13" s="80"/>
      <c r="K13" s="81"/>
      <c r="L13" s="82"/>
      <c r="M13" s="83"/>
      <c r="N13" s="105"/>
      <c r="O13" s="84"/>
      <c r="P13" s="82"/>
      <c r="Q13" s="93"/>
      <c r="R13" s="85"/>
      <c r="S13" s="111"/>
      <c r="T13" s="215"/>
      <c r="U13" s="91"/>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85">
        <f>M14*D14</f>
        <v>0</v>
      </c>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ht="39.6" customHeight="1">
      <c r="B19" s="161"/>
      <c r="C19" s="162"/>
      <c r="D19" s="806" t="s">
        <v>11</v>
      </c>
      <c r="E19" s="807"/>
      <c r="F19" s="807"/>
      <c r="G19" s="807"/>
      <c r="H19" s="807"/>
      <c r="I19" s="808"/>
      <c r="J19" s="809">
        <f>FINANCEIRO!J549</f>
        <v>20</v>
      </c>
      <c r="K19" s="810"/>
      <c r="L19" s="50" t="str">
        <f>S12</f>
        <v>un</v>
      </c>
      <c r="M19" s="803" t="s">
        <v>12</v>
      </c>
      <c r="N19" s="811"/>
      <c r="O19" s="811"/>
      <c r="P19" s="811"/>
      <c r="Q19" s="805"/>
      <c r="R19" s="61">
        <f>SUM(R12:R18)</f>
        <v>8</v>
      </c>
      <c r="S19" s="51" t="str">
        <f>S12</f>
        <v>un</v>
      </c>
      <c r="T19" s="22"/>
      <c r="U19" s="23"/>
    </row>
    <row r="20" spans="1:28" ht="21" customHeight="1">
      <c r="B20" s="163"/>
      <c r="C20" s="19"/>
      <c r="D20" s="817" t="s">
        <v>13</v>
      </c>
      <c r="E20" s="818"/>
      <c r="F20" s="818"/>
      <c r="G20" s="818"/>
      <c r="H20" s="818"/>
      <c r="I20" s="819"/>
      <c r="J20" s="823">
        <f>R19/J19</f>
        <v>0.4</v>
      </c>
      <c r="K20" s="824"/>
      <c r="L20" s="827"/>
      <c r="M20" s="803" t="s">
        <v>34</v>
      </c>
      <c r="N20" s="804"/>
      <c r="O20" s="804"/>
      <c r="P20" s="804"/>
      <c r="Q20" s="805"/>
      <c r="R20" s="61">
        <f>R12</f>
        <v>8</v>
      </c>
      <c r="S20" s="52" t="str">
        <f>S19</f>
        <v>un</v>
      </c>
      <c r="T20" s="22"/>
      <c r="U20" s="23"/>
    </row>
    <row r="21" spans="1:28" ht="21" customHeight="1">
      <c r="A21" s="10" t="s">
        <v>809</v>
      </c>
      <c r="B21" s="165"/>
      <c r="C21" s="164"/>
      <c r="D21" s="820"/>
      <c r="E21" s="821"/>
      <c r="F21" s="821"/>
      <c r="G21" s="821"/>
      <c r="H21" s="821"/>
      <c r="I21" s="822"/>
      <c r="J21" s="825"/>
      <c r="K21" s="826"/>
      <c r="L21" s="828"/>
      <c r="M21" s="803" t="s">
        <v>14</v>
      </c>
      <c r="N21" s="804"/>
      <c r="O21" s="804"/>
      <c r="P21" s="804"/>
      <c r="Q21" s="805"/>
      <c r="R21" s="62">
        <f>R19-R20</f>
        <v>0</v>
      </c>
      <c r="S21" s="53" t="str">
        <f>S19</f>
        <v>un</v>
      </c>
      <c r="T21" s="54"/>
      <c r="U21" s="24"/>
    </row>
    <row r="22" spans="1:28" ht="21" customHeight="1">
      <c r="B22" s="218"/>
      <c r="C22" s="217"/>
      <c r="M22" s="803" t="s">
        <v>53</v>
      </c>
      <c r="N22" s="804"/>
      <c r="O22" s="804"/>
      <c r="P22" s="804"/>
      <c r="Q22" s="805"/>
      <c r="R22" s="62">
        <f>FINANCEIRO!E549</f>
        <v>362.44</v>
      </c>
      <c r="S22" s="53"/>
      <c r="T22" s="54"/>
      <c r="U22" s="24"/>
    </row>
    <row r="23" spans="1:28" ht="21" customHeight="1">
      <c r="B23" s="163"/>
      <c r="C23" s="219"/>
      <c r="M23" s="803" t="s">
        <v>54</v>
      </c>
      <c r="N23" s="804"/>
      <c r="O23" s="804"/>
      <c r="P23" s="804"/>
      <c r="Q23" s="805"/>
      <c r="R23" s="62">
        <f>TRUNC(R22*R21,2)</f>
        <v>0</v>
      </c>
      <c r="S23" s="53" t="s">
        <v>55</v>
      </c>
      <c r="T23" s="54"/>
      <c r="U23" s="24"/>
    </row>
  </sheetData>
  <mergeCells count="37">
    <mergeCell ref="M23:Q23"/>
    <mergeCell ref="D20:I21"/>
    <mergeCell ref="J20:K21"/>
    <mergeCell ref="L20:L21"/>
    <mergeCell ref="M20:Q20"/>
    <mergeCell ref="M21:Q21"/>
    <mergeCell ref="M22:Q22"/>
    <mergeCell ref="D19:I19"/>
    <mergeCell ref="J19:K19"/>
    <mergeCell ref="M19:Q19"/>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0:K23">
    <cfRule type="cellIs" dxfId="221" priority="1" operator="greaterThanOrEqual">
      <formula>1</formula>
    </cfRule>
    <cfRule type="cellIs" dxfId="220" priority="2" operator="greaterThan">
      <formula>100%</formula>
    </cfRule>
  </conditionalFormatting>
  <pageMargins left="0.51181102362204722" right="0.51181102362204722" top="0.78740157480314965" bottom="0.78740157480314965" header="0.31496062992125984" footer="0.31496062992125984"/>
  <pageSetup paperSize="9" scale="45" fitToHeight="0" orientation="landscape" r:id="rId1"/>
  <headerFooter>
    <oddFooter>Página &amp;P de &amp;N</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61C62-2018-4876-9BF1-948BDFE65221}">
  <sheetPr>
    <tabColor rgb="FF339933"/>
    <pageSetUpPr fitToPage="1"/>
  </sheetPr>
  <dimension ref="A1:AJ23"/>
  <sheetViews>
    <sheetView view="pageBreakPreview" zoomScale="50" zoomScaleNormal="55" zoomScaleSheetLayoutView="50"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13.42578125" style="2"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FINANCEIRO!A554</f>
        <v>4.6.2.1</v>
      </c>
      <c r="C10" s="845" t="str">
        <f>FINANCEIRO!C554</f>
        <v>Caixa de aterramento de concreto simples, nas dimensões de 30x30x25cm, com revest. int. em chapisco e reboco, tampa de concreto esp.5cm e lastro de brita esp. 5 cm, incl. haste 5/8"x2400mm</v>
      </c>
      <c r="D10" s="816" t="s">
        <v>1317</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67.5" customHeight="1">
      <c r="A12" s="64"/>
      <c r="B12" s="112"/>
      <c r="C12" s="76" t="s">
        <v>1454</v>
      </c>
      <c r="D12" s="956"/>
      <c r="E12" s="957"/>
      <c r="F12" s="958"/>
      <c r="G12" s="851"/>
      <c r="H12" s="852"/>
      <c r="I12" s="853"/>
      <c r="J12" s="80"/>
      <c r="K12" s="81"/>
      <c r="L12" s="82"/>
      <c r="M12" s="83">
        <v>2</v>
      </c>
      <c r="N12" s="105"/>
      <c r="O12" s="84"/>
      <c r="P12" s="82"/>
      <c r="Q12" s="93"/>
      <c r="R12" s="85">
        <f>M12</f>
        <v>2</v>
      </c>
      <c r="S12" s="111" t="str">
        <f>FINANCEIRO!D549</f>
        <v>un</v>
      </c>
      <c r="T12" s="215">
        <v>16</v>
      </c>
      <c r="U12" s="91"/>
      <c r="V12" s="71"/>
      <c r="W12" s="71"/>
      <c r="X12" s="152"/>
      <c r="Y12" s="153"/>
      <c r="Z12" s="72"/>
    </row>
    <row r="13" spans="1:36" s="73" customFormat="1" ht="21" customHeight="1">
      <c r="A13" s="64"/>
      <c r="B13" s="112"/>
      <c r="C13" s="76"/>
      <c r="D13" s="860"/>
      <c r="E13" s="861"/>
      <c r="F13" s="862"/>
      <c r="G13" s="77"/>
      <c r="H13" s="78"/>
      <c r="I13" s="79"/>
      <c r="J13" s="80"/>
      <c r="K13" s="81"/>
      <c r="L13" s="82"/>
      <c r="M13" s="83"/>
      <c r="N13" s="105"/>
      <c r="O13" s="84"/>
      <c r="P13" s="82"/>
      <c r="Q13" s="93"/>
      <c r="R13" s="85"/>
      <c r="S13" s="111"/>
      <c r="T13" s="215"/>
      <c r="U13" s="91"/>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85">
        <f>M14*D14</f>
        <v>0</v>
      </c>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ht="39.6" customHeight="1">
      <c r="B19" s="161"/>
      <c r="C19" s="162"/>
      <c r="D19" s="806" t="s">
        <v>11</v>
      </c>
      <c r="E19" s="807"/>
      <c r="F19" s="807"/>
      <c r="G19" s="807"/>
      <c r="H19" s="807"/>
      <c r="I19" s="808"/>
      <c r="J19" s="809">
        <f>FINANCEIRO!J554</f>
        <v>4</v>
      </c>
      <c r="K19" s="810"/>
      <c r="L19" s="50" t="str">
        <f>S12</f>
        <v>un</v>
      </c>
      <c r="M19" s="803" t="s">
        <v>12</v>
      </c>
      <c r="N19" s="811"/>
      <c r="O19" s="811"/>
      <c r="P19" s="811"/>
      <c r="Q19" s="805"/>
      <c r="R19" s="61">
        <f>SUM(R12:R18)</f>
        <v>2</v>
      </c>
      <c r="S19" s="51" t="str">
        <f>S12</f>
        <v>un</v>
      </c>
      <c r="T19" s="22"/>
      <c r="U19" s="23"/>
    </row>
    <row r="20" spans="1:28" ht="21" customHeight="1">
      <c r="B20" s="163"/>
      <c r="C20" s="19"/>
      <c r="D20" s="817" t="s">
        <v>13</v>
      </c>
      <c r="E20" s="818"/>
      <c r="F20" s="818"/>
      <c r="G20" s="818"/>
      <c r="H20" s="818"/>
      <c r="I20" s="819"/>
      <c r="J20" s="823">
        <f>R19/J19</f>
        <v>0.5</v>
      </c>
      <c r="K20" s="824"/>
      <c r="L20" s="827"/>
      <c r="M20" s="803" t="s">
        <v>34</v>
      </c>
      <c r="N20" s="804"/>
      <c r="O20" s="804"/>
      <c r="P20" s="804"/>
      <c r="Q20" s="805"/>
      <c r="R20" s="61">
        <f>R12</f>
        <v>2</v>
      </c>
      <c r="S20" s="52" t="str">
        <f>S19</f>
        <v>un</v>
      </c>
      <c r="T20" s="22"/>
      <c r="U20" s="23"/>
    </row>
    <row r="21" spans="1:28" ht="21" customHeight="1">
      <c r="A21" s="10" t="s">
        <v>809</v>
      </c>
      <c r="B21" s="165"/>
      <c r="C21" s="164"/>
      <c r="D21" s="820"/>
      <c r="E21" s="821"/>
      <c r="F21" s="821"/>
      <c r="G21" s="821"/>
      <c r="H21" s="821"/>
      <c r="I21" s="822"/>
      <c r="J21" s="825"/>
      <c r="K21" s="826"/>
      <c r="L21" s="828"/>
      <c r="M21" s="803" t="s">
        <v>14</v>
      </c>
      <c r="N21" s="804"/>
      <c r="O21" s="804"/>
      <c r="P21" s="804"/>
      <c r="Q21" s="805"/>
      <c r="R21" s="62">
        <f>R19-R20</f>
        <v>0</v>
      </c>
      <c r="S21" s="53" t="str">
        <f>S19</f>
        <v>un</v>
      </c>
      <c r="T21" s="54"/>
      <c r="U21" s="24"/>
    </row>
    <row r="22" spans="1:28" ht="21" customHeight="1">
      <c r="B22" s="218"/>
      <c r="C22" s="217"/>
      <c r="M22" s="803" t="s">
        <v>53</v>
      </c>
      <c r="N22" s="804"/>
      <c r="O22" s="804"/>
      <c r="P22" s="804"/>
      <c r="Q22" s="805"/>
      <c r="R22" s="62">
        <f>FINANCEIRO!E554</f>
        <v>188.46</v>
      </c>
      <c r="S22" s="53"/>
      <c r="T22" s="54"/>
      <c r="U22" s="24"/>
    </row>
    <row r="23" spans="1:28" ht="21" customHeight="1">
      <c r="B23" s="163"/>
      <c r="C23" s="219"/>
      <c r="M23" s="803" t="s">
        <v>54</v>
      </c>
      <c r="N23" s="804"/>
      <c r="O23" s="804"/>
      <c r="P23" s="804"/>
      <c r="Q23" s="805"/>
      <c r="R23" s="62">
        <f>TRUNC(R22*R21,2)</f>
        <v>0</v>
      </c>
      <c r="S23" s="53" t="s">
        <v>55</v>
      </c>
      <c r="T23" s="54"/>
      <c r="U23" s="24"/>
    </row>
  </sheetData>
  <mergeCells count="37">
    <mergeCell ref="M23:Q23"/>
    <mergeCell ref="D20:I21"/>
    <mergeCell ref="J20:K21"/>
    <mergeCell ref="L20:L21"/>
    <mergeCell ref="M20:Q20"/>
    <mergeCell ref="M21:Q21"/>
    <mergeCell ref="M22:Q22"/>
    <mergeCell ref="D19:I19"/>
    <mergeCell ref="J19:K19"/>
    <mergeCell ref="M19:Q19"/>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0:K23">
    <cfRule type="cellIs" dxfId="219" priority="1" operator="greaterThanOrEqual">
      <formula>1</formula>
    </cfRule>
    <cfRule type="cellIs" dxfId="218" priority="2" operator="greaterThan">
      <formula>100%</formula>
    </cfRule>
  </conditionalFormatting>
  <pageMargins left="0.51181102362204722" right="0.51181102362204722" top="0.78740157480314965" bottom="0.78740157480314965" header="0.31496062992125984" footer="0.31496062992125984"/>
  <pageSetup paperSize="9" scale="45" fitToHeight="0" orientation="landscape" r:id="rId1"/>
  <headerFooter>
    <oddFooter>Página &amp;P de &amp;N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10EFF-06BB-46DB-B966-67E3C061C9C3}">
  <sheetPr>
    <tabColor rgb="FF339933"/>
    <pageSetUpPr fitToPage="1"/>
  </sheetPr>
  <dimension ref="A1:AJ23"/>
  <sheetViews>
    <sheetView view="pageBreakPreview" zoomScale="50" zoomScaleNormal="55" zoomScaleSheetLayoutView="50"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13.42578125" style="2"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FINANCEIRO!A556</f>
        <v>4.6.2.3</v>
      </c>
      <c r="C10" s="845" t="str">
        <f>FINANCEIRO!C556</f>
        <v>Cabo de cobre nú 50mm2, ref. TEL 5750, marca de referência Termotécnica ou equivalente</v>
      </c>
      <c r="D10" s="816" t="s">
        <v>1317</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67.5" customHeight="1">
      <c r="A12" s="64"/>
      <c r="B12" s="112"/>
      <c r="C12" s="76" t="s">
        <v>1451</v>
      </c>
      <c r="D12" s="956">
        <v>79.2</v>
      </c>
      <c r="E12" s="957"/>
      <c r="F12" s="958"/>
      <c r="G12" s="851"/>
      <c r="H12" s="852"/>
      <c r="I12" s="853"/>
      <c r="J12" s="80"/>
      <c r="K12" s="81"/>
      <c r="L12" s="82"/>
      <c r="M12" s="83"/>
      <c r="N12" s="105"/>
      <c r="O12" s="84"/>
      <c r="P12" s="82"/>
      <c r="Q12" s="93"/>
      <c r="R12" s="85">
        <v>70.900000000000006</v>
      </c>
      <c r="S12" s="111" t="s">
        <v>51</v>
      </c>
      <c r="T12" s="215">
        <v>16</v>
      </c>
      <c r="U12" s="91"/>
      <c r="V12" s="71"/>
      <c r="W12" s="71"/>
      <c r="X12" s="152"/>
      <c r="Y12" s="153"/>
      <c r="Z12" s="72"/>
    </row>
    <row r="13" spans="1:36" s="73" customFormat="1" ht="21" customHeight="1">
      <c r="A13" s="64"/>
      <c r="B13" s="112"/>
      <c r="C13" s="76"/>
      <c r="D13" s="860"/>
      <c r="E13" s="861"/>
      <c r="F13" s="862"/>
      <c r="G13" s="77"/>
      <c r="H13" s="78"/>
      <c r="I13" s="79"/>
      <c r="J13" s="80"/>
      <c r="K13" s="81"/>
      <c r="L13" s="82"/>
      <c r="M13" s="83"/>
      <c r="N13" s="105"/>
      <c r="O13" s="84"/>
      <c r="P13" s="82"/>
      <c r="Q13" s="93"/>
      <c r="R13" s="85"/>
      <c r="S13" s="111"/>
      <c r="T13" s="215"/>
      <c r="U13" s="91"/>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85">
        <f>M14*D14</f>
        <v>0</v>
      </c>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ht="39.6" customHeight="1">
      <c r="B19" s="161"/>
      <c r="C19" s="162"/>
      <c r="D19" s="806" t="s">
        <v>11</v>
      </c>
      <c r="E19" s="807"/>
      <c r="F19" s="807"/>
      <c r="G19" s="807"/>
      <c r="H19" s="807"/>
      <c r="I19" s="808"/>
      <c r="J19" s="809">
        <f>FINANCEIRO!J556</f>
        <v>70.900000000000006</v>
      </c>
      <c r="K19" s="810"/>
      <c r="L19" s="50" t="s">
        <v>51</v>
      </c>
      <c r="M19" s="803" t="s">
        <v>12</v>
      </c>
      <c r="N19" s="811"/>
      <c r="O19" s="811"/>
      <c r="P19" s="811"/>
      <c r="Q19" s="805"/>
      <c r="R19" s="61">
        <f>SUM(R12:R18)</f>
        <v>70.900000000000006</v>
      </c>
      <c r="S19" s="51" t="s">
        <v>51</v>
      </c>
      <c r="T19" s="22"/>
      <c r="U19" s="23"/>
    </row>
    <row r="20" spans="1:28" ht="21" customHeight="1">
      <c r="B20" s="163"/>
      <c r="C20" s="19"/>
      <c r="D20" s="817" t="s">
        <v>13</v>
      </c>
      <c r="E20" s="818"/>
      <c r="F20" s="818"/>
      <c r="G20" s="818"/>
      <c r="H20" s="818"/>
      <c r="I20" s="819"/>
      <c r="J20" s="823">
        <f>R19/J19</f>
        <v>1</v>
      </c>
      <c r="K20" s="824"/>
      <c r="L20" s="827"/>
      <c r="M20" s="803" t="s">
        <v>34</v>
      </c>
      <c r="N20" s="804"/>
      <c r="O20" s="804"/>
      <c r="P20" s="804"/>
      <c r="Q20" s="805"/>
      <c r="R20" s="61">
        <f>R12</f>
        <v>70.900000000000006</v>
      </c>
      <c r="S20" s="52" t="str">
        <f>S19</f>
        <v>m</v>
      </c>
      <c r="T20" s="22"/>
      <c r="U20" s="23"/>
    </row>
    <row r="21" spans="1:28" ht="21" customHeight="1">
      <c r="A21" s="10" t="s">
        <v>809</v>
      </c>
      <c r="B21" s="165"/>
      <c r="C21" s="164"/>
      <c r="D21" s="820"/>
      <c r="E21" s="821"/>
      <c r="F21" s="821"/>
      <c r="G21" s="821"/>
      <c r="H21" s="821"/>
      <c r="I21" s="822"/>
      <c r="J21" s="825"/>
      <c r="K21" s="826"/>
      <c r="L21" s="828"/>
      <c r="M21" s="803" t="s">
        <v>14</v>
      </c>
      <c r="N21" s="804"/>
      <c r="O21" s="804"/>
      <c r="P21" s="804"/>
      <c r="Q21" s="805"/>
      <c r="R21" s="62">
        <f>R19-R20</f>
        <v>0</v>
      </c>
      <c r="S21" s="53" t="str">
        <f>S19</f>
        <v>m</v>
      </c>
      <c r="T21" s="54"/>
      <c r="U21" s="24"/>
    </row>
    <row r="22" spans="1:28" ht="21" customHeight="1">
      <c r="B22" s="218"/>
      <c r="C22" s="217"/>
      <c r="M22" s="803" t="s">
        <v>53</v>
      </c>
      <c r="N22" s="804"/>
      <c r="O22" s="804"/>
      <c r="P22" s="804"/>
      <c r="Q22" s="805"/>
      <c r="R22" s="62">
        <f>FINANCEIRO!E556</f>
        <v>33.369999999999997</v>
      </c>
      <c r="S22" s="53"/>
      <c r="T22" s="54"/>
      <c r="U22" s="24"/>
    </row>
    <row r="23" spans="1:28" ht="21" customHeight="1">
      <c r="B23" s="163"/>
      <c r="C23" s="219"/>
      <c r="M23" s="803" t="s">
        <v>54</v>
      </c>
      <c r="N23" s="804"/>
      <c r="O23" s="804"/>
      <c r="P23" s="804"/>
      <c r="Q23" s="805"/>
      <c r="R23" s="62">
        <f>TRUNC(R22*R21,2)</f>
        <v>0</v>
      </c>
      <c r="S23" s="53" t="s">
        <v>55</v>
      </c>
      <c r="T23" s="54"/>
      <c r="U23" s="24"/>
    </row>
  </sheetData>
  <mergeCells count="37">
    <mergeCell ref="M23:Q23"/>
    <mergeCell ref="D20:I21"/>
    <mergeCell ref="J20:K21"/>
    <mergeCell ref="L20:L21"/>
    <mergeCell ref="M20:Q20"/>
    <mergeCell ref="M21:Q21"/>
    <mergeCell ref="M22:Q22"/>
    <mergeCell ref="D19:I19"/>
    <mergeCell ref="J19:K19"/>
    <mergeCell ref="M19:Q19"/>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0:K23">
    <cfRule type="cellIs" dxfId="217" priority="1" operator="greaterThanOrEqual">
      <formula>1</formula>
    </cfRule>
    <cfRule type="cellIs" dxfId="216" priority="2" operator="greaterThan">
      <formula>100%</formula>
    </cfRule>
  </conditionalFormatting>
  <pageMargins left="0.51181102362204722" right="0.51181102362204722" top="0.78740157480314965" bottom="0.78740157480314965" header="0.31496062992125984" footer="0.31496062992125984"/>
  <pageSetup paperSize="9" scale="45" fitToHeight="0" orientation="landscape" r:id="rId1"/>
  <headerFooter>
    <oddFooter>Página &amp;P de &amp;N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1EE2-7C0F-46E6-A4A6-A34BD81F4A34}">
  <sheetPr codeName="Planilha143">
    <tabColor rgb="FF339933"/>
    <pageSetUpPr fitToPage="1"/>
  </sheetPr>
  <dimension ref="A1:AJ21"/>
  <sheetViews>
    <sheetView view="pageBreakPreview" topLeftCell="B1" zoomScale="50" zoomScaleNormal="55" zoomScaleSheetLayoutView="50" workbookViewId="0">
      <selection activeCell="R12" sqref="R12:R1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DEZ!A71</f>
        <v>2.3.2.2</v>
      </c>
      <c r="C10" s="845" t="str">
        <f>DEZ!C71</f>
        <v>Estaca hélice contínua - confecção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65" t="s">
        <v>1391</v>
      </c>
      <c r="D12" s="77"/>
      <c r="E12" s="78"/>
      <c r="F12" s="79"/>
      <c r="G12" s="77"/>
      <c r="H12" s="78"/>
      <c r="I12" s="79"/>
      <c r="J12" s="66"/>
      <c r="K12" s="108"/>
      <c r="L12" s="67">
        <f>35.71*0.28</f>
        <v>9.998800000000001</v>
      </c>
      <c r="M12" s="68"/>
      <c r="N12" s="110"/>
      <c r="O12" s="69"/>
      <c r="P12" s="67"/>
      <c r="Q12" s="106"/>
      <c r="R12" s="93">
        <f>L12</f>
        <v>9.998800000000001</v>
      </c>
      <c r="S12" s="111" t="s">
        <v>58</v>
      </c>
      <c r="T12" s="215">
        <v>10</v>
      </c>
      <c r="U12" s="94"/>
      <c r="V12" s="71"/>
      <c r="W12" s="71"/>
      <c r="X12" s="152"/>
      <c r="Y12" s="153"/>
      <c r="Z12" s="72"/>
      <c r="AA12" s="71"/>
      <c r="AB12" s="74"/>
    </row>
    <row r="13" spans="1:36" s="73" customFormat="1" ht="21" customHeight="1">
      <c r="A13" s="64"/>
      <c r="B13" s="109"/>
      <c r="C13" s="65" t="s">
        <v>1391</v>
      </c>
      <c r="D13" s="77"/>
      <c r="E13" s="78"/>
      <c r="F13" s="79"/>
      <c r="G13" s="77"/>
      <c r="H13" s="78"/>
      <c r="I13" s="79"/>
      <c r="J13" s="66"/>
      <c r="K13" s="108"/>
      <c r="L13" s="67">
        <v>25.71</v>
      </c>
      <c r="M13" s="68"/>
      <c r="N13" s="110"/>
      <c r="O13" s="69"/>
      <c r="P13" s="67"/>
      <c r="Q13" s="106"/>
      <c r="R13" s="70">
        <f>L13</f>
        <v>25.71</v>
      </c>
      <c r="S13" s="111" t="s">
        <v>58</v>
      </c>
      <c r="T13" s="215">
        <v>12</v>
      </c>
      <c r="U13" s="94"/>
      <c r="V13" s="71"/>
      <c r="W13" s="71"/>
      <c r="X13" s="152"/>
      <c r="Y13" s="153"/>
      <c r="Z13" s="72"/>
      <c r="AA13" s="71"/>
      <c r="AB13" s="74"/>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1" ht="39.6" customHeight="1">
      <c r="B17" s="161"/>
      <c r="C17" s="162"/>
      <c r="D17" s="806" t="s">
        <v>11</v>
      </c>
      <c r="E17" s="807"/>
      <c r="F17" s="807"/>
      <c r="G17" s="807"/>
      <c r="H17" s="807"/>
      <c r="I17" s="808"/>
      <c r="J17" s="809">
        <f>DEZ!I71</f>
        <v>35.71</v>
      </c>
      <c r="K17" s="810"/>
      <c r="L17" s="50" t="str">
        <f>DEZ!D71</f>
        <v>m³</v>
      </c>
      <c r="M17" s="803" t="s">
        <v>12</v>
      </c>
      <c r="N17" s="811"/>
      <c r="O17" s="811"/>
      <c r="P17" s="811"/>
      <c r="Q17" s="805"/>
      <c r="R17" s="61">
        <f>SUM(R12:R16)</f>
        <v>35.708800000000004</v>
      </c>
      <c r="S17" s="51" t="str">
        <f>L17</f>
        <v>m³</v>
      </c>
      <c r="T17" s="22"/>
      <c r="U17" s="23"/>
    </row>
    <row r="18" spans="1:21" ht="21" customHeight="1">
      <c r="B18" s="163"/>
      <c r="C18" s="19"/>
      <c r="D18" s="817" t="s">
        <v>13</v>
      </c>
      <c r="E18" s="818"/>
      <c r="F18" s="818"/>
      <c r="G18" s="818"/>
      <c r="H18" s="818"/>
      <c r="I18" s="819"/>
      <c r="J18" s="823">
        <f>R17/J17</f>
        <v>0.99996639596751613</v>
      </c>
      <c r="K18" s="824"/>
      <c r="L18" s="827"/>
      <c r="M18" s="803" t="s">
        <v>34</v>
      </c>
      <c r="N18" s="804"/>
      <c r="O18" s="804"/>
      <c r="P18" s="804"/>
      <c r="Q18" s="805"/>
      <c r="R18" s="734">
        <f>SUM(R12:R13)</f>
        <v>35.708800000000004</v>
      </c>
      <c r="S18" s="52" t="str">
        <f>L17</f>
        <v>m³</v>
      </c>
      <c r="T18" s="22"/>
      <c r="U18" s="23"/>
    </row>
    <row r="19" spans="1:21" ht="21" customHeight="1">
      <c r="A19" s="10" t="s">
        <v>77</v>
      </c>
      <c r="B19" s="165"/>
      <c r="C19" s="164"/>
      <c r="D19" s="820"/>
      <c r="E19" s="821"/>
      <c r="F19" s="821"/>
      <c r="G19" s="821"/>
      <c r="H19" s="821"/>
      <c r="I19" s="822"/>
      <c r="J19" s="825"/>
      <c r="K19" s="826"/>
      <c r="L19" s="828"/>
      <c r="M19" s="803" t="s">
        <v>14</v>
      </c>
      <c r="N19" s="804"/>
      <c r="O19" s="804"/>
      <c r="P19" s="804"/>
      <c r="Q19" s="805"/>
      <c r="R19" s="720">
        <f>R17-R18</f>
        <v>0</v>
      </c>
      <c r="S19" s="53" t="str">
        <f>L17</f>
        <v>m³</v>
      </c>
      <c r="T19" s="54"/>
      <c r="U19" s="24"/>
    </row>
    <row r="20" spans="1:21" ht="21" customHeight="1">
      <c r="B20" s="218"/>
      <c r="C20" s="217"/>
      <c r="M20" s="803" t="s">
        <v>53</v>
      </c>
      <c r="N20" s="804"/>
      <c r="O20" s="804"/>
      <c r="P20" s="804"/>
      <c r="Q20" s="805"/>
      <c r="R20" s="62">
        <f>DEZ!E71</f>
        <v>596.34</v>
      </c>
      <c r="S20" s="53"/>
      <c r="T20" s="54"/>
      <c r="U20" s="24"/>
    </row>
    <row r="21" spans="1:21" ht="21" customHeight="1">
      <c r="B21" s="163"/>
      <c r="C21" s="219"/>
      <c r="M21" s="803" t="s">
        <v>54</v>
      </c>
      <c r="N21" s="804"/>
      <c r="O21" s="804"/>
      <c r="P21" s="804"/>
      <c r="Q21" s="805"/>
      <c r="R21" s="62">
        <f>TRUNC(R20*R19,2)</f>
        <v>0</v>
      </c>
      <c r="S21" s="53" t="s">
        <v>55</v>
      </c>
      <c r="T21" s="54"/>
      <c r="U21" s="24"/>
    </row>
  </sheetData>
  <mergeCells count="34">
    <mergeCell ref="M20:Q20"/>
    <mergeCell ref="M21:Q21"/>
    <mergeCell ref="T10:T11"/>
    <mergeCell ref="U10:U11"/>
    <mergeCell ref="D17:I17"/>
    <mergeCell ref="J17:K17"/>
    <mergeCell ref="M17:Q17"/>
    <mergeCell ref="D18:I19"/>
    <mergeCell ref="J18:K19"/>
    <mergeCell ref="L18:L19"/>
    <mergeCell ref="M18:Q18"/>
    <mergeCell ref="M19:Q19"/>
    <mergeCell ref="N10:N11"/>
    <mergeCell ref="O10:O11"/>
    <mergeCell ref="P10:P11"/>
    <mergeCell ref="Q10:Q11"/>
    <mergeCell ref="R10:R11"/>
    <mergeCell ref="S10:S11"/>
    <mergeCell ref="T8:U8"/>
    <mergeCell ref="T9:U9"/>
    <mergeCell ref="B10:B11"/>
    <mergeCell ref="C10:C11"/>
    <mergeCell ref="D10:F11"/>
    <mergeCell ref="G10:I11"/>
    <mergeCell ref="J10:J11"/>
    <mergeCell ref="K10:K11"/>
    <mergeCell ref="L10:L11"/>
    <mergeCell ref="M10:M11"/>
    <mergeCell ref="T7:U7"/>
    <mergeCell ref="B1:U4"/>
    <mergeCell ref="V4:AA4"/>
    <mergeCell ref="B5:I5"/>
    <mergeCell ref="J5:O5"/>
    <mergeCell ref="P5:U5"/>
  </mergeCells>
  <conditionalFormatting sqref="J18:K21">
    <cfRule type="cellIs" dxfId="215" priority="1" operator="greaterThanOrEqual">
      <formula>1</formula>
    </cfRule>
    <cfRule type="cellIs" dxfId="21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A7D2-E0AC-441F-80A7-1A43FD390F96}">
  <sheetPr codeName="Planilha150">
    <tabColor rgb="FF339933"/>
    <pageSetUpPr fitToPage="1"/>
  </sheetPr>
  <dimension ref="A1:AJ22"/>
  <sheetViews>
    <sheetView view="pageBreakPreview" zoomScale="50" zoomScaleNormal="55" zoomScaleSheetLayoutView="50" workbookViewId="0">
      <selection activeCell="R20" sqref="R2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2.140625" style="2" customWidth="1"/>
    <col min="11" max="12" width="13.5703125" style="2" customWidth="1"/>
    <col min="13" max="13" width="12.28515625" style="2" hidden="1" customWidth="1"/>
    <col min="14" max="14" width="13.5703125" style="2" hidden="1" customWidth="1"/>
    <col min="15" max="15" width="13.5703125" style="2" customWidth="1"/>
    <col min="16" max="16" width="15.140625" style="2" bestFit="1" customWidth="1"/>
    <col min="17" max="17" width="7.42578125" style="2" customWidth="1"/>
    <col min="18" max="18" width="20.14062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DEZ!A326</f>
        <v>3.4.3.3</v>
      </c>
      <c r="C10" s="845" t="str">
        <f>DEZ!C326</f>
        <v>Apoio náutico para a execução da cravação de camisa metálica D = 600 a 1800 mm</v>
      </c>
      <c r="D10" s="816" t="s">
        <v>854</v>
      </c>
      <c r="E10" s="816"/>
      <c r="F10" s="816"/>
      <c r="G10" s="816" t="s">
        <v>62</v>
      </c>
      <c r="H10" s="816"/>
      <c r="I10" s="816"/>
      <c r="J10" s="812" t="s">
        <v>1352</v>
      </c>
      <c r="K10" s="812" t="s">
        <v>855</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1399</v>
      </c>
      <c r="D12" s="854">
        <v>119</v>
      </c>
      <c r="E12" s="855"/>
      <c r="F12" s="856"/>
      <c r="G12" s="851"/>
      <c r="H12" s="852"/>
      <c r="I12" s="853"/>
      <c r="J12" s="715"/>
      <c r="K12" s="81"/>
      <c r="L12" s="82"/>
      <c r="M12" s="83"/>
      <c r="N12" s="105"/>
      <c r="O12" s="84"/>
      <c r="P12" s="82"/>
      <c r="Q12" s="93"/>
      <c r="R12" s="85">
        <v>119</v>
      </c>
      <c r="S12" s="154" t="s">
        <v>51</v>
      </c>
      <c r="T12" s="215">
        <v>11</v>
      </c>
      <c r="U12" s="94"/>
      <c r="V12" s="71"/>
      <c r="W12" s="71"/>
      <c r="X12" s="152"/>
      <c r="Y12" s="153"/>
      <c r="Z12" s="72"/>
    </row>
    <row r="13" spans="1:36" s="73" customFormat="1" ht="31.9" customHeight="1">
      <c r="A13" s="64"/>
      <c r="B13" s="109"/>
      <c r="C13" s="76" t="s">
        <v>1399</v>
      </c>
      <c r="D13" s="854">
        <v>55</v>
      </c>
      <c r="E13" s="855"/>
      <c r="F13" s="856"/>
      <c r="G13" s="854"/>
      <c r="H13" s="855"/>
      <c r="I13" s="856"/>
      <c r="J13" s="715"/>
      <c r="K13" s="81"/>
      <c r="L13" s="82"/>
      <c r="M13" s="83"/>
      <c r="N13" s="105"/>
      <c r="O13" s="84"/>
      <c r="P13" s="82"/>
      <c r="Q13" s="93"/>
      <c r="R13" s="85">
        <f>D13</f>
        <v>55</v>
      </c>
      <c r="S13" s="154" t="s">
        <v>51</v>
      </c>
      <c r="T13" s="215">
        <v>12</v>
      </c>
      <c r="U13" s="94"/>
      <c r="V13" s="71"/>
      <c r="W13" s="71"/>
      <c r="X13" s="152"/>
      <c r="Y13" s="153"/>
      <c r="Z13" s="72"/>
    </row>
    <row r="14" spans="1:36" s="73" customFormat="1" ht="21" customHeight="1">
      <c r="A14" s="64"/>
      <c r="B14" s="109"/>
      <c r="C14" s="76"/>
      <c r="D14" s="854"/>
      <c r="E14" s="855"/>
      <c r="F14" s="856"/>
      <c r="G14" s="854"/>
      <c r="H14" s="855"/>
      <c r="I14" s="856"/>
      <c r="J14" s="715"/>
      <c r="K14" s="81"/>
      <c r="L14" s="67"/>
      <c r="M14" s="68"/>
      <c r="N14" s="110"/>
      <c r="O14" s="69"/>
      <c r="P14" s="67"/>
      <c r="Q14" s="106"/>
      <c r="R14" s="85"/>
      <c r="S14" s="154"/>
      <c r="T14" s="215"/>
      <c r="U14" s="94"/>
      <c r="V14" s="71"/>
      <c r="W14" s="71"/>
      <c r="X14" s="152"/>
      <c r="Y14" s="153"/>
      <c r="Z14" s="72"/>
      <c r="AA14" s="71"/>
      <c r="AB14" s="74"/>
    </row>
    <row r="15" spans="1:36" s="73" customFormat="1" ht="21" customHeight="1">
      <c r="A15" s="64"/>
      <c r="B15" s="109"/>
      <c r="C15" s="76"/>
      <c r="D15" s="854"/>
      <c r="E15" s="855"/>
      <c r="F15" s="856"/>
      <c r="G15" s="854"/>
      <c r="H15" s="855"/>
      <c r="I15" s="856"/>
      <c r="J15" s="715"/>
      <c r="K15" s="81"/>
      <c r="L15" s="67"/>
      <c r="M15" s="68"/>
      <c r="N15" s="110"/>
      <c r="O15" s="69"/>
      <c r="P15" s="67"/>
      <c r="Q15" s="106"/>
      <c r="R15" s="85"/>
      <c r="S15" s="154"/>
      <c r="T15" s="215"/>
      <c r="U15" s="94"/>
      <c r="V15" s="71"/>
      <c r="W15" s="71"/>
      <c r="X15" s="152"/>
      <c r="Y15" s="153"/>
      <c r="Z15" s="72"/>
      <c r="AA15" s="71"/>
      <c r="AB15" s="74"/>
    </row>
    <row r="16" spans="1:36" s="73" customFormat="1" ht="21" customHeight="1">
      <c r="A16" s="64"/>
      <c r="B16" s="109"/>
      <c r="C16" s="76"/>
      <c r="D16" s="684"/>
      <c r="E16" s="78"/>
      <c r="F16" s="685"/>
      <c r="G16" s="684"/>
      <c r="H16" s="78"/>
      <c r="I16" s="685"/>
      <c r="J16" s="66"/>
      <c r="K16" s="81"/>
      <c r="L16" s="67"/>
      <c r="M16" s="68"/>
      <c r="N16" s="110"/>
      <c r="O16" s="69"/>
      <c r="P16" s="67"/>
      <c r="Q16" s="106"/>
      <c r="R16" s="85"/>
      <c r="S16" s="154"/>
      <c r="T16" s="215"/>
      <c r="U16" s="94"/>
      <c r="V16" s="71"/>
      <c r="W16" s="71"/>
      <c r="X16" s="152"/>
      <c r="Y16" s="153"/>
      <c r="Z16" s="72"/>
      <c r="AA16" s="71"/>
      <c r="AB16" s="74"/>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ht="39.6" customHeight="1">
      <c r="B18" s="161"/>
      <c r="C18" s="162"/>
      <c r="D18" s="806" t="s">
        <v>11</v>
      </c>
      <c r="E18" s="807"/>
      <c r="F18" s="807"/>
      <c r="G18" s="807"/>
      <c r="H18" s="807"/>
      <c r="I18" s="808"/>
      <c r="J18" s="809">
        <f>DEZ!I326</f>
        <v>174</v>
      </c>
      <c r="K18" s="810"/>
      <c r="L18" s="50" t="s">
        <v>51</v>
      </c>
      <c r="M18" s="803" t="s">
        <v>12</v>
      </c>
      <c r="N18" s="811"/>
      <c r="O18" s="811"/>
      <c r="P18" s="811"/>
      <c r="Q18" s="805"/>
      <c r="R18" s="61">
        <f>SUM(R12:R17)</f>
        <v>174</v>
      </c>
      <c r="S18" s="51" t="str">
        <f>L18</f>
        <v>m</v>
      </c>
      <c r="T18" s="22"/>
      <c r="U18" s="23"/>
    </row>
    <row r="19" spans="1:28" ht="21" customHeight="1">
      <c r="B19" s="163"/>
      <c r="C19" s="19"/>
      <c r="D19" s="817" t="s">
        <v>13</v>
      </c>
      <c r="E19" s="818"/>
      <c r="F19" s="818"/>
      <c r="G19" s="818"/>
      <c r="H19" s="818"/>
      <c r="I19" s="819"/>
      <c r="J19" s="823">
        <f>R18/J18</f>
        <v>1</v>
      </c>
      <c r="K19" s="824"/>
      <c r="L19" s="827"/>
      <c r="M19" s="803" t="s">
        <v>34</v>
      </c>
      <c r="N19" s="804"/>
      <c r="O19" s="804"/>
      <c r="P19" s="804"/>
      <c r="Q19" s="805"/>
      <c r="R19" s="61">
        <f>SUM(R12:R13)</f>
        <v>174</v>
      </c>
      <c r="S19" s="52" t="str">
        <f>L18</f>
        <v>m</v>
      </c>
      <c r="T19" s="22"/>
      <c r="U19" s="23"/>
    </row>
    <row r="20" spans="1:28" ht="21" customHeight="1">
      <c r="A20" s="10" t="s">
        <v>465</v>
      </c>
      <c r="B20" s="165"/>
      <c r="C20" s="164"/>
      <c r="D20" s="820"/>
      <c r="E20" s="821"/>
      <c r="F20" s="821"/>
      <c r="G20" s="821"/>
      <c r="H20" s="821"/>
      <c r="I20" s="822"/>
      <c r="J20" s="825"/>
      <c r="K20" s="826"/>
      <c r="L20" s="828"/>
      <c r="M20" s="803" t="s">
        <v>14</v>
      </c>
      <c r="N20" s="804"/>
      <c r="O20" s="804"/>
      <c r="P20" s="804"/>
      <c r="Q20" s="805"/>
      <c r="R20" s="62">
        <f>R18-R19</f>
        <v>0</v>
      </c>
      <c r="S20" s="53" t="str">
        <f>L18</f>
        <v>m</v>
      </c>
      <c r="T20" s="54"/>
      <c r="U20" s="24"/>
    </row>
    <row r="21" spans="1:28" ht="21" customHeight="1">
      <c r="B21" s="218"/>
      <c r="C21" s="217"/>
      <c r="M21" s="803" t="s">
        <v>53</v>
      </c>
      <c r="N21" s="804"/>
      <c r="O21" s="804"/>
      <c r="P21" s="804"/>
      <c r="Q21" s="805"/>
      <c r="R21" s="62">
        <f>DEZ!E326</f>
        <v>294.97000000000003</v>
      </c>
      <c r="S21" s="53"/>
      <c r="T21" s="54"/>
      <c r="U21" s="24"/>
    </row>
    <row r="22" spans="1:28" ht="21" customHeight="1">
      <c r="B22" s="163"/>
      <c r="C22" s="219"/>
      <c r="M22" s="803" t="s">
        <v>54</v>
      </c>
      <c r="N22" s="804"/>
      <c r="O22" s="804"/>
      <c r="P22" s="804"/>
      <c r="Q22" s="805"/>
      <c r="R22" s="62">
        <f>TRUNC(R21*R20,2)</f>
        <v>0</v>
      </c>
      <c r="S22" s="53" t="s">
        <v>55</v>
      </c>
      <c r="T22" s="54"/>
      <c r="U22" s="24"/>
    </row>
  </sheetData>
  <mergeCells count="42">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S10:S11"/>
    <mergeCell ref="D14:F14"/>
    <mergeCell ref="G14:I14"/>
    <mergeCell ref="D15:F15"/>
    <mergeCell ref="G15:I15"/>
    <mergeCell ref="D12:F12"/>
    <mergeCell ref="G12:I12"/>
    <mergeCell ref="D13:F13"/>
    <mergeCell ref="G13:I13"/>
    <mergeCell ref="N10:N11"/>
    <mergeCell ref="D18:I18"/>
    <mergeCell ref="M21:Q21"/>
    <mergeCell ref="M22:Q22"/>
    <mergeCell ref="M18:Q18"/>
    <mergeCell ref="D19:I20"/>
    <mergeCell ref="J19:K20"/>
    <mergeCell ref="L19:L20"/>
    <mergeCell ref="M19:Q19"/>
    <mergeCell ref="M20:Q20"/>
    <mergeCell ref="J18:K18"/>
  </mergeCells>
  <conditionalFormatting sqref="J19:K22">
    <cfRule type="cellIs" dxfId="213" priority="1" operator="greaterThanOrEqual">
      <formula>1</formula>
    </cfRule>
    <cfRule type="cellIs" dxfId="212" priority="2" operator="greaterThan">
      <formula>100%</formula>
    </cfRule>
  </conditionalFormatting>
  <pageMargins left="0.51181102362204722" right="0.51181102362204722" top="0.78740157480314965" bottom="0.78740157480314965" header="0.31496062992125984" footer="0.31496062992125984"/>
  <pageSetup paperSize="9" scale="48" fitToHeight="0" orientation="landscape" r:id="rId1"/>
  <headerFooter>
    <oddFooter>Página &amp;P de &amp;N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9BDAB-33FB-4E68-8FA1-2D5B77E09CAD}">
  <sheetPr codeName="Planilha151">
    <tabColor rgb="FF339933"/>
    <pageSetUpPr fitToPage="1"/>
  </sheetPr>
  <dimension ref="A1:AJ22"/>
  <sheetViews>
    <sheetView view="pageBreakPreview" zoomScale="50" zoomScaleNormal="55" zoomScaleSheetLayoutView="50" workbookViewId="0">
      <selection activeCell="R20" sqref="R2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2.1406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8.710937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DEZ!A328</f>
        <v>3.4.3.5</v>
      </c>
      <c r="C10" s="845" t="str">
        <f>DEZ!C328</f>
        <v>Apoio náutico para a escavação com perfuratriz tipo Wirth em solo D = 600 mm a 1800 mm</v>
      </c>
      <c r="D10" s="816" t="s">
        <v>854</v>
      </c>
      <c r="E10" s="816"/>
      <c r="F10" s="816"/>
      <c r="G10" s="816" t="s">
        <v>62</v>
      </c>
      <c r="H10" s="816"/>
      <c r="I10" s="816"/>
      <c r="J10" s="812" t="s">
        <v>1352</v>
      </c>
      <c r="K10" s="812" t="s">
        <v>855</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1399</v>
      </c>
      <c r="D12" s="854">
        <v>119</v>
      </c>
      <c r="E12" s="855"/>
      <c r="F12" s="856"/>
      <c r="G12" s="851"/>
      <c r="H12" s="852"/>
      <c r="I12" s="853"/>
      <c r="J12" s="715"/>
      <c r="K12" s="81"/>
      <c r="L12" s="82"/>
      <c r="M12" s="83"/>
      <c r="N12" s="105"/>
      <c r="O12" s="84"/>
      <c r="P12" s="82"/>
      <c r="Q12" s="93"/>
      <c r="R12" s="85">
        <f>D12</f>
        <v>119</v>
      </c>
      <c r="S12" s="154" t="s">
        <v>51</v>
      </c>
      <c r="T12" s="215">
        <v>11</v>
      </c>
      <c r="U12" s="94"/>
      <c r="V12" s="71"/>
      <c r="W12" s="71"/>
      <c r="X12" s="152"/>
      <c r="Y12" s="153"/>
      <c r="Z12" s="72"/>
    </row>
    <row r="13" spans="1:36" s="73" customFormat="1" ht="31.9" customHeight="1">
      <c r="A13" s="64"/>
      <c r="B13" s="109"/>
      <c r="C13" s="76" t="s">
        <v>1399</v>
      </c>
      <c r="D13" s="854">
        <v>55</v>
      </c>
      <c r="E13" s="855"/>
      <c r="F13" s="856"/>
      <c r="G13" s="854"/>
      <c r="H13" s="855"/>
      <c r="I13" s="856"/>
      <c r="J13" s="715"/>
      <c r="K13" s="81"/>
      <c r="L13" s="82"/>
      <c r="M13" s="83"/>
      <c r="N13" s="105"/>
      <c r="O13" s="84"/>
      <c r="P13" s="82"/>
      <c r="Q13" s="93"/>
      <c r="R13" s="85">
        <f>D13</f>
        <v>55</v>
      </c>
      <c r="S13" s="154" t="s">
        <v>51</v>
      </c>
      <c r="T13" s="215">
        <v>12</v>
      </c>
      <c r="U13" s="94"/>
      <c r="V13" s="71"/>
      <c r="W13" s="71"/>
      <c r="X13" s="152"/>
      <c r="Y13" s="153"/>
      <c r="Z13" s="72"/>
    </row>
    <row r="14" spans="1:36" s="73" customFormat="1" ht="21" customHeight="1">
      <c r="A14" s="64"/>
      <c r="B14" s="109"/>
      <c r="C14" s="76"/>
      <c r="D14" s="854"/>
      <c r="E14" s="855"/>
      <c r="F14" s="856"/>
      <c r="G14" s="854"/>
      <c r="H14" s="855"/>
      <c r="I14" s="856"/>
      <c r="J14" s="715"/>
      <c r="K14" s="81"/>
      <c r="L14" s="67"/>
      <c r="M14" s="68"/>
      <c r="N14" s="110"/>
      <c r="O14" s="69"/>
      <c r="P14" s="67"/>
      <c r="Q14" s="106"/>
      <c r="R14" s="85"/>
      <c r="S14" s="154"/>
      <c r="T14" s="215"/>
      <c r="U14" s="94"/>
      <c r="V14" s="71"/>
      <c r="W14" s="71"/>
      <c r="X14" s="152"/>
      <c r="Y14" s="153"/>
      <c r="Z14" s="72"/>
      <c r="AA14" s="71"/>
      <c r="AB14" s="74"/>
    </row>
    <row r="15" spans="1:36" s="73" customFormat="1" ht="21" customHeight="1">
      <c r="A15" s="64"/>
      <c r="B15" s="109"/>
      <c r="C15" s="76"/>
      <c r="D15" s="854"/>
      <c r="E15" s="855"/>
      <c r="F15" s="856"/>
      <c r="G15" s="854"/>
      <c r="H15" s="855"/>
      <c r="I15" s="856"/>
      <c r="J15" s="715"/>
      <c r="K15" s="81"/>
      <c r="L15" s="67"/>
      <c r="M15" s="68"/>
      <c r="N15" s="110"/>
      <c r="O15" s="69"/>
      <c r="P15" s="67"/>
      <c r="Q15" s="106"/>
      <c r="R15" s="85"/>
      <c r="S15" s="154"/>
      <c r="T15" s="215"/>
      <c r="U15" s="94"/>
      <c r="V15" s="71"/>
      <c r="W15" s="71"/>
      <c r="X15" s="152"/>
      <c r="Y15" s="153"/>
      <c r="Z15" s="72"/>
      <c r="AA15" s="71"/>
      <c r="AB15" s="74"/>
    </row>
    <row r="16" spans="1:36" s="73" customFormat="1" ht="21" customHeight="1">
      <c r="A16" s="64"/>
      <c r="B16" s="109"/>
      <c r="C16" s="76"/>
      <c r="D16" s="684"/>
      <c r="E16" s="78"/>
      <c r="F16" s="685"/>
      <c r="G16" s="684"/>
      <c r="H16" s="78"/>
      <c r="I16" s="685"/>
      <c r="J16" s="66"/>
      <c r="K16" s="81"/>
      <c r="L16" s="67"/>
      <c r="M16" s="68"/>
      <c r="N16" s="110"/>
      <c r="O16" s="69"/>
      <c r="P16" s="67"/>
      <c r="Q16" s="106"/>
      <c r="R16" s="85"/>
      <c r="S16" s="154"/>
      <c r="T16" s="215"/>
      <c r="U16" s="94"/>
      <c r="V16" s="71"/>
      <c r="W16" s="71"/>
      <c r="X16" s="152"/>
      <c r="Y16" s="153"/>
      <c r="Z16" s="72"/>
      <c r="AA16" s="71"/>
      <c r="AB16" s="74"/>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ht="39.6" customHeight="1">
      <c r="B18" s="161"/>
      <c r="C18" s="162"/>
      <c r="D18" s="806" t="s">
        <v>11</v>
      </c>
      <c r="E18" s="807"/>
      <c r="F18" s="807"/>
      <c r="G18" s="807"/>
      <c r="H18" s="807"/>
      <c r="I18" s="808"/>
      <c r="J18" s="809">
        <f>DEZ!I326</f>
        <v>174</v>
      </c>
      <c r="K18" s="810"/>
      <c r="L18" s="50" t="s">
        <v>51</v>
      </c>
      <c r="M18" s="803" t="s">
        <v>12</v>
      </c>
      <c r="N18" s="811"/>
      <c r="O18" s="811"/>
      <c r="P18" s="811"/>
      <c r="Q18" s="805"/>
      <c r="R18" s="61">
        <f>SUM(R12:R17)</f>
        <v>174</v>
      </c>
      <c r="S18" s="51" t="str">
        <f>L18</f>
        <v>m</v>
      </c>
      <c r="T18" s="22"/>
      <c r="U18" s="23"/>
    </row>
    <row r="19" spans="1:28" ht="21" customHeight="1">
      <c r="B19" s="163"/>
      <c r="C19" s="19"/>
      <c r="D19" s="817" t="s">
        <v>13</v>
      </c>
      <c r="E19" s="818"/>
      <c r="F19" s="818"/>
      <c r="G19" s="818"/>
      <c r="H19" s="818"/>
      <c r="I19" s="819"/>
      <c r="J19" s="823">
        <f>R18/J18</f>
        <v>1</v>
      </c>
      <c r="K19" s="824"/>
      <c r="L19" s="827"/>
      <c r="M19" s="803" t="s">
        <v>34</v>
      </c>
      <c r="N19" s="804"/>
      <c r="O19" s="804"/>
      <c r="P19" s="804"/>
      <c r="Q19" s="805"/>
      <c r="R19" s="61">
        <f>SUM(R12:R13)</f>
        <v>174</v>
      </c>
      <c r="S19" s="52" t="str">
        <f>L18</f>
        <v>m</v>
      </c>
      <c r="T19" s="22"/>
      <c r="U19" s="23"/>
    </row>
    <row r="20" spans="1:28" ht="21" customHeight="1">
      <c r="A20" s="10" t="s">
        <v>465</v>
      </c>
      <c r="B20" s="165"/>
      <c r="C20" s="164"/>
      <c r="D20" s="820"/>
      <c r="E20" s="821"/>
      <c r="F20" s="821"/>
      <c r="G20" s="821"/>
      <c r="H20" s="821"/>
      <c r="I20" s="822"/>
      <c r="J20" s="825"/>
      <c r="K20" s="826"/>
      <c r="L20" s="828"/>
      <c r="M20" s="803" t="s">
        <v>14</v>
      </c>
      <c r="N20" s="804"/>
      <c r="O20" s="804"/>
      <c r="P20" s="804"/>
      <c r="Q20" s="805"/>
      <c r="R20" s="62">
        <f>R18-R19</f>
        <v>0</v>
      </c>
      <c r="S20" s="53" t="str">
        <f>L18</f>
        <v>m</v>
      </c>
      <c r="T20" s="54"/>
      <c r="U20" s="24"/>
    </row>
    <row r="21" spans="1:28" ht="21" customHeight="1">
      <c r="B21" s="218"/>
      <c r="C21" s="217"/>
      <c r="M21" s="803" t="s">
        <v>53</v>
      </c>
      <c r="N21" s="804"/>
      <c r="O21" s="804"/>
      <c r="P21" s="804"/>
      <c r="Q21" s="805"/>
      <c r="R21" s="62">
        <f>DEZ!E328</f>
        <v>358.26</v>
      </c>
      <c r="S21" s="53"/>
      <c r="T21" s="54"/>
      <c r="U21" s="24"/>
    </row>
    <row r="22" spans="1:28" ht="21" customHeight="1">
      <c r="B22" s="163"/>
      <c r="C22" s="219"/>
      <c r="M22" s="803" t="s">
        <v>54</v>
      </c>
      <c r="N22" s="804"/>
      <c r="O22" s="804"/>
      <c r="P22" s="804"/>
      <c r="Q22" s="805"/>
      <c r="R22" s="62">
        <f>TRUNC(R21*R20,2)</f>
        <v>0</v>
      </c>
      <c r="S22" s="53" t="s">
        <v>55</v>
      </c>
      <c r="T22" s="54"/>
      <c r="U22" s="24"/>
    </row>
  </sheetData>
  <mergeCells count="42">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S10:S11"/>
    <mergeCell ref="D14:F14"/>
    <mergeCell ref="G14:I14"/>
    <mergeCell ref="D15:F15"/>
    <mergeCell ref="G15:I15"/>
    <mergeCell ref="D12:F12"/>
    <mergeCell ref="G12:I12"/>
    <mergeCell ref="D13:F13"/>
    <mergeCell ref="G13:I13"/>
    <mergeCell ref="N10:N11"/>
    <mergeCell ref="D18:I18"/>
    <mergeCell ref="M21:Q21"/>
    <mergeCell ref="M22:Q22"/>
    <mergeCell ref="M18:Q18"/>
    <mergeCell ref="D19:I20"/>
    <mergeCell ref="J19:K20"/>
    <mergeCell ref="L19:L20"/>
    <mergeCell ref="M19:Q19"/>
    <mergeCell ref="M20:Q20"/>
    <mergeCell ref="J18:K18"/>
  </mergeCells>
  <conditionalFormatting sqref="J19:K22">
    <cfRule type="cellIs" dxfId="211" priority="1" operator="greaterThanOrEqual">
      <formula>1</formula>
    </cfRule>
    <cfRule type="cellIs" dxfId="21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CE22B-2A56-4A60-8E7E-772A19E74E97}">
  <sheetPr codeName="Planilha152">
    <tabColor rgb="FF339933"/>
    <pageSetUpPr fitToPage="1"/>
  </sheetPr>
  <dimension ref="A1:AJ22"/>
  <sheetViews>
    <sheetView view="pageBreakPreview" topLeftCell="B1" zoomScale="50" zoomScaleNormal="55" zoomScaleSheetLayoutView="50" workbookViewId="0">
      <selection activeCell="R20" sqref="R2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2.140625" style="2" customWidth="1"/>
    <col min="11" max="11" width="13.5703125" style="2" customWidth="1"/>
    <col min="12" max="12" width="17" style="2" customWidth="1"/>
    <col min="13" max="14" width="16" style="2" hidden="1" customWidth="1"/>
    <col min="15" max="16" width="16" style="2" customWidth="1"/>
    <col min="17" max="17" width="23.7109375" style="2" customWidth="1"/>
    <col min="18" max="18" width="18.710937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DEZ!A330</f>
        <v>3.4.3.7</v>
      </c>
      <c r="C10" s="845" t="str">
        <f>DEZ!C330</f>
        <v>Apoio náutico para a escavação com perfuratriz tipo Wirth em rocha de alta dureza e alta abrasão - resistência a compressão acima de 80 MPa - D = 600 a 1800 mm</v>
      </c>
      <c r="D10" s="816" t="s">
        <v>854</v>
      </c>
      <c r="E10" s="816"/>
      <c r="F10" s="816"/>
      <c r="G10" s="816" t="s">
        <v>62</v>
      </c>
      <c r="H10" s="816"/>
      <c r="I10" s="816"/>
      <c r="J10" s="812" t="s">
        <v>1352</v>
      </c>
      <c r="K10" s="812" t="s">
        <v>855</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1399</v>
      </c>
      <c r="D12" s="681">
        <v>2.6</v>
      </c>
      <c r="E12" s="682"/>
      <c r="F12" s="683"/>
      <c r="G12" s="851">
        <v>10</v>
      </c>
      <c r="H12" s="852"/>
      <c r="I12" s="853"/>
      <c r="J12" s="715"/>
      <c r="K12" s="81"/>
      <c r="L12" s="82"/>
      <c r="M12" s="83"/>
      <c r="N12" s="105"/>
      <c r="O12" s="84"/>
      <c r="P12" s="82"/>
      <c r="Q12" s="93"/>
      <c r="R12" s="85">
        <f>D12*G12</f>
        <v>26</v>
      </c>
      <c r="S12" s="154" t="s">
        <v>51</v>
      </c>
      <c r="T12" s="215">
        <v>11</v>
      </c>
      <c r="U12" s="94"/>
      <c r="V12" s="71"/>
      <c r="W12" s="71"/>
      <c r="X12" s="152"/>
      <c r="Y12" s="153"/>
      <c r="Z12" s="72"/>
    </row>
    <row r="13" spans="1:36" s="73" customFormat="1" ht="31.9" customHeight="1">
      <c r="A13" s="64"/>
      <c r="B13" s="109"/>
      <c r="C13" s="76" t="s">
        <v>1399</v>
      </c>
      <c r="D13" s="681">
        <v>2.6</v>
      </c>
      <c r="E13" s="682"/>
      <c r="F13" s="683"/>
      <c r="G13" s="851">
        <v>2</v>
      </c>
      <c r="H13" s="852"/>
      <c r="I13" s="853"/>
      <c r="J13" s="715"/>
      <c r="K13" s="81"/>
      <c r="L13" s="82"/>
      <c r="M13" s="83"/>
      <c r="N13" s="105"/>
      <c r="O13" s="84"/>
      <c r="P13" s="82"/>
      <c r="Q13" s="93"/>
      <c r="R13" s="85">
        <f>D13*G13</f>
        <v>5.2</v>
      </c>
      <c r="S13" s="154" t="s">
        <v>51</v>
      </c>
      <c r="T13" s="215">
        <v>12</v>
      </c>
      <c r="U13" s="94"/>
      <c r="V13" s="71"/>
      <c r="W13" s="71"/>
      <c r="X13" s="152"/>
      <c r="Y13" s="153"/>
      <c r="Z13" s="72"/>
    </row>
    <row r="14" spans="1:36" s="73" customFormat="1" ht="21" customHeight="1">
      <c r="A14" s="64"/>
      <c r="B14" s="109"/>
      <c r="C14" s="76"/>
      <c r="D14" s="854"/>
      <c r="E14" s="855"/>
      <c r="F14" s="856"/>
      <c r="G14" s="854"/>
      <c r="H14" s="855"/>
      <c r="I14" s="856"/>
      <c r="J14" s="715"/>
      <c r="K14" s="81"/>
      <c r="L14" s="67"/>
      <c r="M14" s="68"/>
      <c r="N14" s="110"/>
      <c r="O14" s="69"/>
      <c r="P14" s="67"/>
      <c r="Q14" s="106"/>
      <c r="R14" s="85"/>
      <c r="S14" s="154"/>
      <c r="T14" s="215"/>
      <c r="U14" s="94"/>
      <c r="V14" s="71"/>
      <c r="W14" s="71"/>
      <c r="X14" s="152"/>
      <c r="Y14" s="153"/>
      <c r="Z14" s="72"/>
      <c r="AA14" s="71"/>
      <c r="AB14" s="74"/>
    </row>
    <row r="15" spans="1:36" s="73" customFormat="1" ht="21" customHeight="1">
      <c r="A15" s="64"/>
      <c r="B15" s="109"/>
      <c r="C15" s="76"/>
      <c r="D15" s="854"/>
      <c r="E15" s="855"/>
      <c r="F15" s="856"/>
      <c r="G15" s="854"/>
      <c r="H15" s="855"/>
      <c r="I15" s="856"/>
      <c r="J15" s="715"/>
      <c r="K15" s="81"/>
      <c r="L15" s="67"/>
      <c r="M15" s="68"/>
      <c r="N15" s="110"/>
      <c r="O15" s="69"/>
      <c r="P15" s="67"/>
      <c r="Q15" s="106"/>
      <c r="R15" s="85"/>
      <c r="S15" s="154"/>
      <c r="T15" s="215"/>
      <c r="U15" s="94"/>
      <c r="V15" s="71"/>
      <c r="W15" s="71"/>
      <c r="X15" s="152"/>
      <c r="Y15" s="153"/>
      <c r="Z15" s="72"/>
      <c r="AA15" s="71"/>
      <c r="AB15" s="74"/>
    </row>
    <row r="16" spans="1:36" s="73" customFormat="1" ht="21" customHeight="1">
      <c r="A16" s="64"/>
      <c r="B16" s="109"/>
      <c r="C16" s="76"/>
      <c r="D16" s="684"/>
      <c r="E16" s="78"/>
      <c r="F16" s="685"/>
      <c r="G16" s="684"/>
      <c r="H16" s="78"/>
      <c r="I16" s="685"/>
      <c r="J16" s="66"/>
      <c r="K16" s="81"/>
      <c r="L16" s="67"/>
      <c r="M16" s="68"/>
      <c r="N16" s="110"/>
      <c r="O16" s="69"/>
      <c r="P16" s="67"/>
      <c r="Q16" s="106"/>
      <c r="R16" s="85"/>
      <c r="S16" s="154"/>
      <c r="T16" s="215"/>
      <c r="U16" s="94"/>
      <c r="V16" s="71"/>
      <c r="W16" s="71"/>
      <c r="X16" s="152"/>
      <c r="Y16" s="153"/>
      <c r="Z16" s="72"/>
      <c r="AA16" s="71"/>
      <c r="AB16" s="74"/>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ht="15.75">
      <c r="B18" s="161"/>
      <c r="C18" s="162"/>
      <c r="D18" s="806" t="s">
        <v>11</v>
      </c>
      <c r="E18" s="807"/>
      <c r="F18" s="807"/>
      <c r="G18" s="807"/>
      <c r="H18" s="807"/>
      <c r="I18" s="808"/>
      <c r="J18" s="809">
        <f>DEZ!I330</f>
        <v>31.200000000000003</v>
      </c>
      <c r="K18" s="810"/>
      <c r="L18" s="727" t="s">
        <v>51</v>
      </c>
      <c r="M18" s="803" t="s">
        <v>12</v>
      </c>
      <c r="N18" s="811"/>
      <c r="O18" s="811"/>
      <c r="P18" s="811"/>
      <c r="Q18" s="805"/>
      <c r="R18" s="61">
        <f>SUM(R12:R17)</f>
        <v>31.2</v>
      </c>
      <c r="S18" s="51" t="str">
        <f>L18</f>
        <v>m</v>
      </c>
      <c r="T18" s="22"/>
      <c r="U18" s="23"/>
    </row>
    <row r="19" spans="1:28" ht="21" customHeight="1">
      <c r="B19" s="163"/>
      <c r="C19" s="19"/>
      <c r="D19" s="817" t="s">
        <v>13</v>
      </c>
      <c r="E19" s="818"/>
      <c r="F19" s="818"/>
      <c r="G19" s="818"/>
      <c r="H19" s="818"/>
      <c r="I19" s="819"/>
      <c r="J19" s="823">
        <f>R18/J18</f>
        <v>0.99999999999999989</v>
      </c>
      <c r="K19" s="824"/>
      <c r="L19" s="827"/>
      <c r="M19" s="803" t="s">
        <v>34</v>
      </c>
      <c r="N19" s="804"/>
      <c r="O19" s="804"/>
      <c r="P19" s="804"/>
      <c r="Q19" s="805"/>
      <c r="R19" s="61">
        <f>SUM(R12:R13)</f>
        <v>31.2</v>
      </c>
      <c r="S19" s="52" t="str">
        <f>L18</f>
        <v>m</v>
      </c>
      <c r="T19" s="22"/>
      <c r="U19" s="23"/>
    </row>
    <row r="20" spans="1:28" ht="21" customHeight="1">
      <c r="A20" s="10" t="s">
        <v>465</v>
      </c>
      <c r="B20" s="165"/>
      <c r="C20" s="164"/>
      <c r="D20" s="820"/>
      <c r="E20" s="821"/>
      <c r="F20" s="821"/>
      <c r="G20" s="821"/>
      <c r="H20" s="821"/>
      <c r="I20" s="822"/>
      <c r="J20" s="825"/>
      <c r="K20" s="826"/>
      <c r="L20" s="828"/>
      <c r="M20" s="803" t="s">
        <v>14</v>
      </c>
      <c r="N20" s="804"/>
      <c r="O20" s="804"/>
      <c r="P20" s="804"/>
      <c r="Q20" s="805"/>
      <c r="R20" s="62">
        <f>R18-R19</f>
        <v>0</v>
      </c>
      <c r="S20" s="53" t="str">
        <f>L18</f>
        <v>m</v>
      </c>
      <c r="T20" s="54"/>
      <c r="U20" s="24"/>
    </row>
    <row r="21" spans="1:28" ht="21" customHeight="1">
      <c r="B21" s="218"/>
      <c r="C21" s="217"/>
      <c r="M21" s="803" t="s">
        <v>53</v>
      </c>
      <c r="N21" s="804"/>
      <c r="O21" s="804"/>
      <c r="P21" s="804"/>
      <c r="Q21" s="805"/>
      <c r="R21" s="62">
        <f>DEZ!E330</f>
        <v>2019.23</v>
      </c>
      <c r="S21" s="53"/>
      <c r="T21" s="54"/>
      <c r="U21" s="24"/>
    </row>
    <row r="22" spans="1:28" ht="21" customHeight="1">
      <c r="B22" s="163"/>
      <c r="C22" s="219"/>
      <c r="M22" s="803" t="s">
        <v>54</v>
      </c>
      <c r="N22" s="804"/>
      <c r="O22" s="804"/>
      <c r="P22" s="804"/>
      <c r="Q22" s="805"/>
      <c r="R22" s="62">
        <f>TRUNC(R21*R20,2)</f>
        <v>0</v>
      </c>
      <c r="S22" s="53" t="s">
        <v>55</v>
      </c>
      <c r="T22" s="54"/>
      <c r="U22" s="24"/>
    </row>
  </sheetData>
  <mergeCells count="40">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S10:S11"/>
    <mergeCell ref="D14:F14"/>
    <mergeCell ref="G14:I14"/>
    <mergeCell ref="D15:F15"/>
    <mergeCell ref="G15:I15"/>
    <mergeCell ref="G12:I12"/>
    <mergeCell ref="G13:I13"/>
    <mergeCell ref="N10:N11"/>
    <mergeCell ref="D18:I18"/>
    <mergeCell ref="M21:Q21"/>
    <mergeCell ref="M22:Q22"/>
    <mergeCell ref="M18:Q18"/>
    <mergeCell ref="D19:I20"/>
    <mergeCell ref="J19:K20"/>
    <mergeCell ref="L19:L20"/>
    <mergeCell ref="M19:Q19"/>
    <mergeCell ref="M20:Q20"/>
    <mergeCell ref="J18:K18"/>
  </mergeCells>
  <conditionalFormatting sqref="J19:K22">
    <cfRule type="cellIs" dxfId="209" priority="1" operator="greaterThanOrEqual">
      <formula>1</formula>
    </cfRule>
    <cfRule type="cellIs" dxfId="20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8C749-4F63-4A44-8BDE-6BFB11542311}">
  <sheetPr>
    <tabColor rgb="FF339933"/>
    <pageSetUpPr fitToPage="1"/>
  </sheetPr>
  <dimension ref="A1:AJ22"/>
  <sheetViews>
    <sheetView view="pageBreakPreview" topLeftCell="B1" zoomScale="50" zoomScaleNormal="55" zoomScaleSheetLayoutView="50" workbookViewId="0">
      <selection activeCell="R20" sqref="R2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2.140625" style="2" customWidth="1"/>
    <col min="11" max="11" width="13.5703125" style="2" customWidth="1"/>
    <col min="12" max="12" width="17" style="2" customWidth="1"/>
    <col min="13" max="14" width="16" style="2" hidden="1" customWidth="1"/>
    <col min="15" max="16" width="16" style="2" customWidth="1"/>
    <col min="17" max="17" width="23.7109375" style="2" customWidth="1"/>
    <col min="18" max="18" width="18.710937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DEZ!A335</f>
        <v>3.4.3.12</v>
      </c>
      <c r="C10" s="845" t="str">
        <f>DEZ!C335</f>
        <v>Arrasamento de camisa metálica com espessura de 8 mm D = 700 mm</v>
      </c>
      <c r="D10" s="816" t="s">
        <v>854</v>
      </c>
      <c r="E10" s="816"/>
      <c r="F10" s="816"/>
      <c r="G10" s="816" t="s">
        <v>62</v>
      </c>
      <c r="H10" s="816"/>
      <c r="I10" s="816"/>
      <c r="J10" s="812" t="s">
        <v>1352</v>
      </c>
      <c r="K10" s="812" t="s">
        <v>855</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1420</v>
      </c>
      <c r="D12" s="681"/>
      <c r="E12" s="682"/>
      <c r="F12" s="683"/>
      <c r="G12" s="851">
        <v>4</v>
      </c>
      <c r="H12" s="852"/>
      <c r="I12" s="853"/>
      <c r="J12" s="715"/>
      <c r="K12" s="81"/>
      <c r="L12" s="82"/>
      <c r="M12" s="83"/>
      <c r="N12" s="105"/>
      <c r="O12" s="84"/>
      <c r="P12" s="82"/>
      <c r="Q12" s="93"/>
      <c r="R12" s="85">
        <f>G12</f>
        <v>4</v>
      </c>
      <c r="S12" s="154" t="s">
        <v>10</v>
      </c>
      <c r="T12" s="215">
        <v>12</v>
      </c>
      <c r="U12" s="94"/>
      <c r="V12" s="71"/>
      <c r="W12" s="71"/>
      <c r="X12" s="152"/>
      <c r="Y12" s="153"/>
      <c r="Z12" s="72"/>
    </row>
    <row r="13" spans="1:36" s="73" customFormat="1" ht="31.9" customHeight="1">
      <c r="A13" s="64"/>
      <c r="B13" s="109"/>
      <c r="C13" s="76"/>
      <c r="D13" s="681"/>
      <c r="E13" s="682"/>
      <c r="F13" s="683"/>
      <c r="G13" s="851"/>
      <c r="H13" s="852"/>
      <c r="I13" s="853"/>
      <c r="J13" s="715"/>
      <c r="K13" s="81"/>
      <c r="L13" s="82"/>
      <c r="M13" s="83"/>
      <c r="N13" s="105"/>
      <c r="O13" s="84"/>
      <c r="P13" s="82"/>
      <c r="Q13" s="93"/>
      <c r="R13" s="85"/>
      <c r="S13" s="154"/>
      <c r="T13" s="215"/>
      <c r="U13" s="94"/>
      <c r="V13" s="71"/>
      <c r="W13" s="71"/>
      <c r="X13" s="152"/>
      <c r="Y13" s="153"/>
      <c r="Z13" s="72"/>
    </row>
    <row r="14" spans="1:36" s="73" customFormat="1" ht="21" customHeight="1">
      <c r="A14" s="64"/>
      <c r="B14" s="109"/>
      <c r="C14" s="76"/>
      <c r="D14" s="854"/>
      <c r="E14" s="855"/>
      <c r="F14" s="856"/>
      <c r="G14" s="854"/>
      <c r="H14" s="855"/>
      <c r="I14" s="856"/>
      <c r="J14" s="715"/>
      <c r="K14" s="81"/>
      <c r="L14" s="67"/>
      <c r="M14" s="68"/>
      <c r="N14" s="110"/>
      <c r="O14" s="69"/>
      <c r="P14" s="67"/>
      <c r="Q14" s="106"/>
      <c r="R14" s="85"/>
      <c r="S14" s="154"/>
      <c r="T14" s="215"/>
      <c r="U14" s="94"/>
      <c r="V14" s="71"/>
      <c r="W14" s="71"/>
      <c r="X14" s="152"/>
      <c r="Y14" s="153"/>
      <c r="Z14" s="72"/>
      <c r="AA14" s="71"/>
      <c r="AB14" s="74"/>
    </row>
    <row r="15" spans="1:36" s="73" customFormat="1" ht="21" customHeight="1">
      <c r="A15" s="64"/>
      <c r="B15" s="109"/>
      <c r="C15" s="76"/>
      <c r="D15" s="854"/>
      <c r="E15" s="855"/>
      <c r="F15" s="856"/>
      <c r="G15" s="854"/>
      <c r="H15" s="855"/>
      <c r="I15" s="856"/>
      <c r="J15" s="715"/>
      <c r="K15" s="81"/>
      <c r="L15" s="67"/>
      <c r="M15" s="68"/>
      <c r="N15" s="110"/>
      <c r="O15" s="69"/>
      <c r="P15" s="67"/>
      <c r="Q15" s="106"/>
      <c r="R15" s="85"/>
      <c r="S15" s="154"/>
      <c r="T15" s="215"/>
      <c r="U15" s="94"/>
      <c r="V15" s="71"/>
      <c r="W15" s="71"/>
      <c r="X15" s="152"/>
      <c r="Y15" s="153"/>
      <c r="Z15" s="72"/>
      <c r="AA15" s="71"/>
      <c r="AB15" s="74"/>
    </row>
    <row r="16" spans="1:36" s="73" customFormat="1" ht="21" customHeight="1">
      <c r="A16" s="64"/>
      <c r="B16" s="109"/>
      <c r="C16" s="76"/>
      <c r="D16" s="684"/>
      <c r="E16" s="78"/>
      <c r="F16" s="685"/>
      <c r="G16" s="684"/>
      <c r="H16" s="78"/>
      <c r="I16" s="685"/>
      <c r="J16" s="66"/>
      <c r="K16" s="81"/>
      <c r="L16" s="67"/>
      <c r="M16" s="68"/>
      <c r="N16" s="110"/>
      <c r="O16" s="69"/>
      <c r="P16" s="67"/>
      <c r="Q16" s="106"/>
      <c r="R16" s="85"/>
      <c r="S16" s="154"/>
      <c r="T16" s="215"/>
      <c r="U16" s="94"/>
      <c r="V16" s="71"/>
      <c r="W16" s="71"/>
      <c r="X16" s="152"/>
      <c r="Y16" s="153"/>
      <c r="Z16" s="72"/>
      <c r="AA16" s="71"/>
      <c r="AB16" s="74"/>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ht="15.75">
      <c r="B18" s="161"/>
      <c r="C18" s="162"/>
      <c r="D18" s="806" t="s">
        <v>11</v>
      </c>
      <c r="E18" s="807"/>
      <c r="F18" s="807"/>
      <c r="G18" s="807"/>
      <c r="H18" s="807"/>
      <c r="I18" s="808"/>
      <c r="J18" s="809">
        <f>DEZ!I335</f>
        <v>4</v>
      </c>
      <c r="K18" s="810"/>
      <c r="L18" s="727" t="str">
        <f>DEZ!D335</f>
        <v>un</v>
      </c>
      <c r="M18" s="803" t="s">
        <v>12</v>
      </c>
      <c r="N18" s="811"/>
      <c r="O18" s="811"/>
      <c r="P18" s="811"/>
      <c r="Q18" s="805"/>
      <c r="R18" s="61">
        <f>SUM(R12:R17)</f>
        <v>4</v>
      </c>
      <c r="S18" s="51" t="str">
        <f>L18</f>
        <v>un</v>
      </c>
      <c r="T18" s="22"/>
      <c r="U18" s="23"/>
    </row>
    <row r="19" spans="1:28" ht="21" customHeight="1">
      <c r="B19" s="163"/>
      <c r="C19" s="19"/>
      <c r="D19" s="817" t="s">
        <v>13</v>
      </c>
      <c r="E19" s="818"/>
      <c r="F19" s="818"/>
      <c r="G19" s="818"/>
      <c r="H19" s="818"/>
      <c r="I19" s="819"/>
      <c r="J19" s="823">
        <f>R18/J18</f>
        <v>1</v>
      </c>
      <c r="K19" s="824"/>
      <c r="L19" s="827"/>
      <c r="M19" s="803" t="s">
        <v>34</v>
      </c>
      <c r="N19" s="804"/>
      <c r="O19" s="804"/>
      <c r="P19" s="804"/>
      <c r="Q19" s="805"/>
      <c r="R19" s="61">
        <f>R12</f>
        <v>4</v>
      </c>
      <c r="S19" s="52" t="str">
        <f>L18</f>
        <v>un</v>
      </c>
      <c r="T19" s="22"/>
      <c r="U19" s="23"/>
    </row>
    <row r="20" spans="1:28" ht="21" customHeight="1">
      <c r="A20" s="10" t="s">
        <v>465</v>
      </c>
      <c r="B20" s="165"/>
      <c r="C20" s="164"/>
      <c r="D20" s="820"/>
      <c r="E20" s="821"/>
      <c r="F20" s="821"/>
      <c r="G20" s="821"/>
      <c r="H20" s="821"/>
      <c r="I20" s="822"/>
      <c r="J20" s="825"/>
      <c r="K20" s="826"/>
      <c r="L20" s="828"/>
      <c r="M20" s="803" t="s">
        <v>14</v>
      </c>
      <c r="N20" s="804"/>
      <c r="O20" s="804"/>
      <c r="P20" s="804"/>
      <c r="Q20" s="805"/>
      <c r="R20" s="62">
        <f>R18-R19</f>
        <v>0</v>
      </c>
      <c r="S20" s="53" t="str">
        <f>L18</f>
        <v>un</v>
      </c>
      <c r="T20" s="54"/>
      <c r="U20" s="24"/>
    </row>
    <row r="21" spans="1:28" ht="21" customHeight="1">
      <c r="B21" s="218"/>
      <c r="C21" s="217"/>
      <c r="M21" s="803" t="s">
        <v>53</v>
      </c>
      <c r="N21" s="804"/>
      <c r="O21" s="804"/>
      <c r="P21" s="804"/>
      <c r="Q21" s="805"/>
      <c r="R21" s="62">
        <f>DEZ!E335</f>
        <v>1.62</v>
      </c>
      <c r="S21" s="53"/>
      <c r="T21" s="54"/>
      <c r="U21" s="24"/>
    </row>
    <row r="22" spans="1:28" ht="21" customHeight="1">
      <c r="B22" s="163"/>
      <c r="C22" s="219"/>
      <c r="M22" s="803" t="s">
        <v>54</v>
      </c>
      <c r="N22" s="804"/>
      <c r="O22" s="804"/>
      <c r="P22" s="804"/>
      <c r="Q22" s="805"/>
      <c r="R22" s="62">
        <f>TRUNC(R21*R20,2)</f>
        <v>0</v>
      </c>
      <c r="S22" s="53" t="s">
        <v>55</v>
      </c>
      <c r="T22" s="54"/>
      <c r="U22" s="24"/>
    </row>
  </sheetData>
  <mergeCells count="40">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T7:U7"/>
    <mergeCell ref="B1:U4"/>
    <mergeCell ref="V4:AA4"/>
    <mergeCell ref="B5:I5"/>
    <mergeCell ref="J5:O5"/>
    <mergeCell ref="P5:U5"/>
    <mergeCell ref="S10:S11"/>
    <mergeCell ref="N10:N11"/>
    <mergeCell ref="G12:I12"/>
    <mergeCell ref="G13:I13"/>
    <mergeCell ref="D14:F14"/>
    <mergeCell ref="G14:I14"/>
    <mergeCell ref="M21:Q21"/>
    <mergeCell ref="M22:Q22"/>
    <mergeCell ref="D15:F15"/>
    <mergeCell ref="G15:I15"/>
    <mergeCell ref="D18:I18"/>
    <mergeCell ref="J18:K18"/>
    <mergeCell ref="M18:Q18"/>
    <mergeCell ref="D19:I20"/>
    <mergeCell ref="J19:K20"/>
    <mergeCell ref="L19:L20"/>
    <mergeCell ref="M19:Q19"/>
    <mergeCell ref="M20:Q20"/>
  </mergeCells>
  <conditionalFormatting sqref="J19:K22">
    <cfRule type="cellIs" dxfId="207" priority="1" operator="greaterThanOrEqual">
      <formula>1</formula>
    </cfRule>
    <cfRule type="cellIs" dxfId="20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07F28-19DD-4E18-AB40-21F0B96F157E}">
  <sheetPr codeName="Planilha141">
    <tabColor rgb="FF339933"/>
    <pageSetUpPr fitToPage="1"/>
  </sheetPr>
  <dimension ref="A1:AJ22"/>
  <sheetViews>
    <sheetView view="pageBreakPreview" zoomScale="50" zoomScaleNormal="55" zoomScaleSheetLayoutView="50" workbookViewId="0">
      <selection activeCell="R20" sqref="R2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2.1406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8.570312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DEZ!A338</f>
        <v>3.4.3.15</v>
      </c>
      <c r="C10" s="845" t="str">
        <f>DEZ!C338</f>
        <v>Camisa metálica com espessura de 12.7 mm, D = 355 mm, cravada, exclusive escavação e concretagem</v>
      </c>
      <c r="D10" s="816" t="s">
        <v>854</v>
      </c>
      <c r="E10" s="816"/>
      <c r="F10" s="816"/>
      <c r="G10" s="816" t="s">
        <v>62</v>
      </c>
      <c r="H10" s="816"/>
      <c r="I10" s="816"/>
      <c r="J10" s="812" t="s">
        <v>1352</v>
      </c>
      <c r="K10" s="812" t="s">
        <v>855</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8" customHeight="1">
      <c r="A12" s="64"/>
      <c r="B12" s="109"/>
      <c r="C12" s="76" t="s">
        <v>1354</v>
      </c>
      <c r="D12" s="854">
        <f>16.7-2.6</f>
        <v>14.1</v>
      </c>
      <c r="E12" s="855"/>
      <c r="F12" s="856"/>
      <c r="G12" s="851">
        <v>6</v>
      </c>
      <c r="H12" s="852"/>
      <c r="I12" s="853"/>
      <c r="J12" s="715">
        <v>0.5</v>
      </c>
      <c r="K12" s="81"/>
      <c r="L12" s="82"/>
      <c r="M12" s="83"/>
      <c r="N12" s="105"/>
      <c r="O12" s="84"/>
      <c r="P12" s="82"/>
      <c r="Q12" s="93"/>
      <c r="R12" s="85">
        <f>D12*G12*J12</f>
        <v>42.3</v>
      </c>
      <c r="S12" s="154" t="s">
        <v>51</v>
      </c>
      <c r="T12" s="215">
        <v>9</v>
      </c>
      <c r="U12" s="94"/>
      <c r="V12" s="71"/>
      <c r="W12" s="71"/>
      <c r="X12" s="152"/>
      <c r="Y12" s="153"/>
      <c r="Z12" s="72"/>
    </row>
    <row r="13" spans="1:36" s="73" customFormat="1" ht="42" customHeight="1">
      <c r="A13" s="64"/>
      <c r="B13" s="109"/>
      <c r="C13" s="76" t="s">
        <v>1354</v>
      </c>
      <c r="D13" s="854">
        <f>17.5-2.6</f>
        <v>14.9</v>
      </c>
      <c r="E13" s="855"/>
      <c r="F13" s="856"/>
      <c r="G13" s="854">
        <v>6</v>
      </c>
      <c r="H13" s="855"/>
      <c r="I13" s="856"/>
      <c r="J13" s="715">
        <v>0.5</v>
      </c>
      <c r="K13" s="81"/>
      <c r="L13" s="82"/>
      <c r="M13" s="83"/>
      <c r="N13" s="105"/>
      <c r="O13" s="84"/>
      <c r="P13" s="82"/>
      <c r="Q13" s="93"/>
      <c r="R13" s="85">
        <f>D13*G13*J13</f>
        <v>44.7</v>
      </c>
      <c r="S13" s="154" t="s">
        <v>51</v>
      </c>
      <c r="T13" s="215">
        <v>9</v>
      </c>
      <c r="U13" s="94"/>
      <c r="V13" s="71"/>
      <c r="W13" s="71"/>
      <c r="X13" s="152"/>
      <c r="Y13" s="153"/>
      <c r="Z13" s="72"/>
    </row>
    <row r="14" spans="1:36" s="73" customFormat="1" ht="36" customHeight="1">
      <c r="A14" s="64"/>
      <c r="B14" s="109"/>
      <c r="C14" s="76" t="s">
        <v>1354</v>
      </c>
      <c r="D14" s="854">
        <f>17.5-2.6</f>
        <v>14.9</v>
      </c>
      <c r="E14" s="855"/>
      <c r="F14" s="856"/>
      <c r="G14" s="854">
        <v>6</v>
      </c>
      <c r="H14" s="855"/>
      <c r="I14" s="856"/>
      <c r="J14" s="715">
        <v>0.5</v>
      </c>
      <c r="K14" s="81"/>
      <c r="L14" s="67"/>
      <c r="M14" s="68"/>
      <c r="N14" s="110"/>
      <c r="O14" s="69"/>
      <c r="P14" s="67"/>
      <c r="Q14" s="106"/>
      <c r="R14" s="85">
        <f t="shared" ref="R14:R15" si="0">D14*G14*J14</f>
        <v>44.7</v>
      </c>
      <c r="S14" s="154" t="s">
        <v>51</v>
      </c>
      <c r="T14" s="215">
        <v>11</v>
      </c>
      <c r="U14" s="94"/>
      <c r="V14" s="71"/>
      <c r="W14" s="71"/>
      <c r="X14" s="152"/>
      <c r="Y14" s="153"/>
      <c r="Z14" s="72"/>
      <c r="AA14" s="71"/>
      <c r="AB14" s="74"/>
    </row>
    <row r="15" spans="1:36" s="73" customFormat="1" ht="34.5" customHeight="1">
      <c r="A15" s="64"/>
      <c r="B15" s="109"/>
      <c r="C15" s="76" t="s">
        <v>1354</v>
      </c>
      <c r="D15" s="854">
        <f>16.7-2.6</f>
        <v>14.1</v>
      </c>
      <c r="E15" s="855"/>
      <c r="F15" s="856"/>
      <c r="G15" s="851">
        <v>6</v>
      </c>
      <c r="H15" s="852"/>
      <c r="I15" s="853"/>
      <c r="J15" s="715">
        <v>0.5</v>
      </c>
      <c r="K15" s="81"/>
      <c r="L15" s="67"/>
      <c r="M15" s="68"/>
      <c r="N15" s="110"/>
      <c r="O15" s="69"/>
      <c r="P15" s="67"/>
      <c r="Q15" s="106"/>
      <c r="R15" s="85">
        <f t="shared" si="0"/>
        <v>42.3</v>
      </c>
      <c r="S15" s="154" t="s">
        <v>51</v>
      </c>
      <c r="T15" s="215">
        <v>11</v>
      </c>
      <c r="U15" s="94"/>
      <c r="V15" s="71"/>
      <c r="W15" s="71"/>
      <c r="X15" s="152"/>
      <c r="Y15" s="153"/>
      <c r="Z15" s="72"/>
      <c r="AA15" s="71"/>
      <c r="AB15" s="74"/>
    </row>
    <row r="16" spans="1:36" s="73" customFormat="1" ht="21" customHeight="1">
      <c r="A16" s="64"/>
      <c r="B16" s="109"/>
      <c r="C16" s="76"/>
      <c r="D16" s="684"/>
      <c r="E16" s="78"/>
      <c r="F16" s="685"/>
      <c r="G16" s="684"/>
      <c r="H16" s="78"/>
      <c r="I16" s="685"/>
      <c r="J16" s="66"/>
      <c r="K16" s="81"/>
      <c r="L16" s="67"/>
      <c r="M16" s="68"/>
      <c r="N16" s="110"/>
      <c r="O16" s="69"/>
      <c r="P16" s="67"/>
      <c r="Q16" s="106"/>
      <c r="R16" s="85"/>
      <c r="S16" s="154"/>
      <c r="T16" s="215"/>
      <c r="U16" s="94"/>
      <c r="V16" s="71"/>
      <c r="W16" s="71"/>
      <c r="X16" s="152"/>
      <c r="Y16" s="153"/>
      <c r="Z16" s="72"/>
      <c r="AA16" s="71"/>
      <c r="AB16" s="74"/>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ht="39.6" customHeight="1">
      <c r="B18" s="161"/>
      <c r="C18" s="162"/>
      <c r="D18" s="806" t="s">
        <v>11</v>
      </c>
      <c r="E18" s="807"/>
      <c r="F18" s="807"/>
      <c r="G18" s="807"/>
      <c r="H18" s="807"/>
      <c r="I18" s="808"/>
      <c r="J18" s="809">
        <f>DEZ!I338</f>
        <v>174</v>
      </c>
      <c r="K18" s="810"/>
      <c r="L18" s="50" t="s">
        <v>51</v>
      </c>
      <c r="M18" s="803" t="s">
        <v>12</v>
      </c>
      <c r="N18" s="811"/>
      <c r="O18" s="811"/>
      <c r="P18" s="811"/>
      <c r="Q18" s="805"/>
      <c r="R18" s="61">
        <f>SUM(R12:R17)</f>
        <v>174</v>
      </c>
      <c r="S18" s="51" t="str">
        <f>L18</f>
        <v>m</v>
      </c>
      <c r="T18" s="22"/>
      <c r="U18" s="23"/>
    </row>
    <row r="19" spans="1:28" ht="21" customHeight="1">
      <c r="B19" s="163"/>
      <c r="C19" s="19"/>
      <c r="D19" s="817" t="s">
        <v>13</v>
      </c>
      <c r="E19" s="818"/>
      <c r="F19" s="818"/>
      <c r="G19" s="818"/>
      <c r="H19" s="818"/>
      <c r="I19" s="819"/>
      <c r="J19" s="823">
        <f>R18/J18</f>
        <v>1</v>
      </c>
      <c r="K19" s="824"/>
      <c r="L19" s="827"/>
      <c r="M19" s="803" t="s">
        <v>34</v>
      </c>
      <c r="N19" s="804"/>
      <c r="O19" s="804"/>
      <c r="P19" s="804"/>
      <c r="Q19" s="805"/>
      <c r="R19" s="61">
        <f>SUM(R12:R15)</f>
        <v>174</v>
      </c>
      <c r="S19" s="52" t="str">
        <f>L18</f>
        <v>m</v>
      </c>
      <c r="T19" s="22"/>
      <c r="U19" s="23"/>
    </row>
    <row r="20" spans="1:28" ht="21" customHeight="1">
      <c r="A20" s="10" t="s">
        <v>465</v>
      </c>
      <c r="B20" s="165"/>
      <c r="C20" s="164"/>
      <c r="D20" s="820"/>
      <c r="E20" s="821"/>
      <c r="F20" s="821"/>
      <c r="G20" s="821"/>
      <c r="H20" s="821"/>
      <c r="I20" s="822"/>
      <c r="J20" s="825"/>
      <c r="K20" s="826"/>
      <c r="L20" s="828"/>
      <c r="M20" s="803" t="s">
        <v>14</v>
      </c>
      <c r="N20" s="804"/>
      <c r="O20" s="804"/>
      <c r="P20" s="804"/>
      <c r="Q20" s="805"/>
      <c r="R20" s="62">
        <f>R18-R19</f>
        <v>0</v>
      </c>
      <c r="S20" s="53" t="str">
        <f>L18</f>
        <v>m</v>
      </c>
      <c r="T20" s="54"/>
      <c r="U20" s="24"/>
    </row>
    <row r="21" spans="1:28" ht="21" customHeight="1">
      <c r="B21" s="218"/>
      <c r="C21" s="217"/>
      <c r="M21" s="803" t="s">
        <v>53</v>
      </c>
      <c r="N21" s="804"/>
      <c r="O21" s="804"/>
      <c r="P21" s="804"/>
      <c r="Q21" s="805"/>
      <c r="R21" s="62">
        <f>DEZ!E338</f>
        <v>742.5</v>
      </c>
      <c r="S21" s="53"/>
      <c r="T21" s="54"/>
      <c r="U21" s="24"/>
    </row>
    <row r="22" spans="1:28" ht="21" customHeight="1">
      <c r="B22" s="163"/>
      <c r="C22" s="219"/>
      <c r="M22" s="803" t="s">
        <v>54</v>
      </c>
      <c r="N22" s="804"/>
      <c r="O22" s="804"/>
      <c r="P22" s="804"/>
      <c r="Q22" s="805"/>
      <c r="R22" s="62">
        <f>TRUNC(R21*R20,2)</f>
        <v>0</v>
      </c>
      <c r="S22" s="53" t="s">
        <v>55</v>
      </c>
      <c r="T22" s="54"/>
      <c r="U22" s="24"/>
    </row>
  </sheetData>
  <mergeCells count="42">
    <mergeCell ref="D15:F15"/>
    <mergeCell ref="G15:I15"/>
    <mergeCell ref="M22:Q22"/>
    <mergeCell ref="D13:F13"/>
    <mergeCell ref="G12:I12"/>
    <mergeCell ref="G13:I13"/>
    <mergeCell ref="D19:I20"/>
    <mergeCell ref="J19:K20"/>
    <mergeCell ref="L19:L20"/>
    <mergeCell ref="M19:Q19"/>
    <mergeCell ref="M20:Q20"/>
    <mergeCell ref="M21:Q21"/>
    <mergeCell ref="D18:I18"/>
    <mergeCell ref="J18:K18"/>
    <mergeCell ref="M18:Q18"/>
    <mergeCell ref="D12:F12"/>
    <mergeCell ref="D14:F14"/>
    <mergeCell ref="G14:I14"/>
    <mergeCell ref="L10:L11"/>
    <mergeCell ref="M10:M11"/>
    <mergeCell ref="T7:U7"/>
    <mergeCell ref="N10:N11"/>
    <mergeCell ref="O10:O11"/>
    <mergeCell ref="T8:U8"/>
    <mergeCell ref="T9:U9"/>
    <mergeCell ref="B1:U4"/>
    <mergeCell ref="V4:AA4"/>
    <mergeCell ref="B5:I5"/>
    <mergeCell ref="J5:O5"/>
    <mergeCell ref="P5:U5"/>
    <mergeCell ref="B10:B11"/>
    <mergeCell ref="C10:C11"/>
    <mergeCell ref="D10:F11"/>
    <mergeCell ref="G10:I11"/>
    <mergeCell ref="U10:U11"/>
    <mergeCell ref="P10:P11"/>
    <mergeCell ref="T10:T11"/>
    <mergeCell ref="R10:R11"/>
    <mergeCell ref="S10:S11"/>
    <mergeCell ref="Q10:Q11"/>
    <mergeCell ref="J10:J11"/>
    <mergeCell ref="K10:K11"/>
  </mergeCells>
  <conditionalFormatting sqref="J19:K22">
    <cfRule type="cellIs" dxfId="205" priority="1" operator="greaterThanOrEqual">
      <formula>1</formula>
    </cfRule>
    <cfRule type="cellIs" dxfId="20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4">
    <tabColor rgb="FF339933"/>
    <pageSetUpPr fitToPage="1"/>
  </sheetPr>
  <dimension ref="A1:AJ32"/>
  <sheetViews>
    <sheetView view="pageBreakPreview" topLeftCell="B5" zoomScale="50" zoomScaleNormal="55" zoomScaleSheetLayoutView="50" workbookViewId="0">
      <selection activeCell="C15" sqref="C15:C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DEZ!A37</f>
        <v>1.1.3.2</v>
      </c>
      <c r="C10" s="845" t="str">
        <f>DEZ!C37</f>
        <v>Aluguel mensal container para almoxarifado, incl. porta, 2 janelas, 1 pt iluminação, Isolamento térmico (teto), piso em comp. Naval pintado, cert. NR18, incl. laudo descontaminação.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952</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t="s">
        <v>943</v>
      </c>
      <c r="D13" s="77"/>
      <c r="E13" s="78"/>
      <c r="F13" s="79"/>
      <c r="G13" s="77"/>
      <c r="H13" s="78"/>
      <c r="I13" s="79"/>
      <c r="J13" s="66"/>
      <c r="K13" s="108"/>
      <c r="L13" s="67"/>
      <c r="M13" s="68">
        <v>1</v>
      </c>
      <c r="N13" s="110"/>
      <c r="O13" s="69"/>
      <c r="P13" s="67"/>
      <c r="Q13" s="106"/>
      <c r="R13" s="85">
        <f>M13</f>
        <v>1</v>
      </c>
      <c r="S13" s="111" t="s">
        <v>52</v>
      </c>
      <c r="T13" s="215">
        <v>4</v>
      </c>
      <c r="U13" s="94"/>
      <c r="V13" s="71"/>
      <c r="W13" s="71"/>
      <c r="X13" s="152"/>
      <c r="Y13" s="153"/>
      <c r="Z13" s="72"/>
      <c r="AA13" s="71"/>
      <c r="AB13" s="74"/>
    </row>
    <row r="14" spans="1:36" s="73" customFormat="1" ht="21" customHeight="1">
      <c r="A14" s="64"/>
      <c r="B14" s="109"/>
      <c r="C14" s="65" t="s">
        <v>962</v>
      </c>
      <c r="D14" s="77"/>
      <c r="E14" s="78"/>
      <c r="F14" s="79"/>
      <c r="G14" s="77"/>
      <c r="H14" s="78"/>
      <c r="I14" s="79"/>
      <c r="J14" s="66"/>
      <c r="K14" s="108"/>
      <c r="L14" s="67"/>
      <c r="M14" s="68">
        <v>1</v>
      </c>
      <c r="N14" s="110"/>
      <c r="O14" s="69"/>
      <c r="P14" s="67"/>
      <c r="Q14" s="106"/>
      <c r="R14" s="70">
        <f>M14</f>
        <v>1</v>
      </c>
      <c r="S14" s="111" t="s">
        <v>52</v>
      </c>
      <c r="T14" s="215">
        <v>5</v>
      </c>
      <c r="U14" s="94"/>
      <c r="V14" s="71"/>
      <c r="W14" s="71"/>
      <c r="X14" s="152"/>
      <c r="Y14" s="153"/>
      <c r="Z14" s="72"/>
      <c r="AA14" s="71"/>
      <c r="AB14" s="74"/>
    </row>
    <row r="15" spans="1:36" s="73" customFormat="1" ht="21" customHeight="1">
      <c r="A15" s="64"/>
      <c r="B15" s="109"/>
      <c r="C15" s="65" t="s">
        <v>982</v>
      </c>
      <c r="D15" s="77"/>
      <c r="E15" s="78"/>
      <c r="F15" s="79"/>
      <c r="G15" s="77"/>
      <c r="H15" s="78"/>
      <c r="I15" s="79"/>
      <c r="J15" s="80"/>
      <c r="K15" s="81"/>
      <c r="L15" s="82"/>
      <c r="M15" s="68">
        <v>1</v>
      </c>
      <c r="N15" s="110"/>
      <c r="O15" s="69"/>
      <c r="P15" s="67"/>
      <c r="Q15" s="106"/>
      <c r="R15" s="70">
        <f>M15</f>
        <v>1</v>
      </c>
      <c r="S15" s="111" t="s">
        <v>52</v>
      </c>
      <c r="T15" s="215">
        <v>6</v>
      </c>
      <c r="U15" s="94"/>
      <c r="V15" s="71"/>
      <c r="W15" s="71"/>
      <c r="X15" s="152"/>
      <c r="Y15" s="153"/>
      <c r="Z15" s="72"/>
      <c r="AA15" s="71"/>
      <c r="AB15" s="74"/>
    </row>
    <row r="16" spans="1:36" s="73" customFormat="1" ht="21" customHeight="1">
      <c r="A16" s="64"/>
      <c r="B16" s="109"/>
      <c r="C16" s="65" t="s">
        <v>999</v>
      </c>
      <c r="D16" s="77"/>
      <c r="E16" s="78"/>
      <c r="F16" s="79"/>
      <c r="G16" s="77"/>
      <c r="H16" s="78"/>
      <c r="I16" s="79"/>
      <c r="J16" s="80"/>
      <c r="K16" s="81"/>
      <c r="L16" s="82"/>
      <c r="M16" s="68">
        <v>1</v>
      </c>
      <c r="N16" s="110"/>
      <c r="O16" s="69"/>
      <c r="P16" s="67"/>
      <c r="Q16" s="106"/>
      <c r="R16" s="70">
        <v>1</v>
      </c>
      <c r="S16" s="111" t="s">
        <v>52</v>
      </c>
      <c r="T16" s="215">
        <v>7</v>
      </c>
      <c r="U16" s="94"/>
      <c r="V16" s="71"/>
      <c r="W16" s="71"/>
      <c r="X16" s="152"/>
      <c r="Y16" s="153"/>
      <c r="Z16" s="72"/>
      <c r="AA16" s="71"/>
      <c r="AB16" s="74"/>
    </row>
    <row r="17" spans="1:28" s="73" customFormat="1" ht="21" customHeight="1">
      <c r="A17" s="64"/>
      <c r="B17" s="109"/>
      <c r="C17" s="65" t="s">
        <v>1362</v>
      </c>
      <c r="D17" s="77"/>
      <c r="E17" s="78"/>
      <c r="F17" s="79"/>
      <c r="G17" s="77"/>
      <c r="H17" s="78"/>
      <c r="I17" s="79"/>
      <c r="J17" s="66"/>
      <c r="K17" s="108"/>
      <c r="L17" s="67"/>
      <c r="M17" s="68">
        <v>1</v>
      </c>
      <c r="N17" s="110"/>
      <c r="O17" s="69"/>
      <c r="P17" s="67"/>
      <c r="Q17" s="106"/>
      <c r="R17" s="70">
        <f t="shared" ref="R17" si="0">M17</f>
        <v>1</v>
      </c>
      <c r="S17" s="111" t="s">
        <v>52</v>
      </c>
      <c r="T17" s="215">
        <v>9</v>
      </c>
      <c r="U17" s="94"/>
      <c r="V17" s="71"/>
      <c r="W17" s="71"/>
      <c r="X17" s="152"/>
      <c r="Y17" s="153"/>
      <c r="Z17" s="72"/>
      <c r="AA17" s="71"/>
      <c r="AB17" s="74"/>
    </row>
    <row r="18" spans="1:28" s="73" customFormat="1" ht="21" customHeight="1">
      <c r="A18" s="64"/>
      <c r="B18" s="112"/>
      <c r="C18" s="220" t="s">
        <v>964</v>
      </c>
      <c r="D18" s="77"/>
      <c r="E18" s="78"/>
      <c r="F18" s="79"/>
      <c r="G18" s="77"/>
      <c r="H18" s="78"/>
      <c r="I18" s="79"/>
      <c r="J18" s="80"/>
      <c r="K18" s="81"/>
      <c r="L18" s="82"/>
      <c r="M18" s="83"/>
      <c r="N18" s="105"/>
      <c r="O18" s="84"/>
      <c r="P18" s="82"/>
      <c r="Q18" s="93"/>
      <c r="R18" s="85"/>
      <c r="S18" s="111"/>
      <c r="T18" s="215"/>
      <c r="U18" s="91"/>
      <c r="V18" s="71"/>
      <c r="W18" s="71"/>
      <c r="X18" s="152"/>
      <c r="Y18" s="153"/>
      <c r="Z18" s="72"/>
    </row>
    <row r="19" spans="1:28" s="90" customFormat="1" ht="21" customHeight="1">
      <c r="A19" s="75"/>
      <c r="B19" s="107"/>
      <c r="C19" s="65" t="s">
        <v>962</v>
      </c>
      <c r="D19" s="77"/>
      <c r="E19" s="78"/>
      <c r="F19" s="79"/>
      <c r="G19" s="77"/>
      <c r="H19" s="78"/>
      <c r="I19" s="79"/>
      <c r="J19" s="80"/>
      <c r="K19" s="81"/>
      <c r="L19" s="82"/>
      <c r="M19" s="68">
        <v>1</v>
      </c>
      <c r="N19" s="110"/>
      <c r="O19" s="69"/>
      <c r="P19" s="67"/>
      <c r="Q19" s="106"/>
      <c r="R19" s="70">
        <f>M19</f>
        <v>1</v>
      </c>
      <c r="S19" s="111" t="s">
        <v>52</v>
      </c>
      <c r="T19" s="215">
        <v>5</v>
      </c>
      <c r="U19" s="92"/>
      <c r="V19" s="86"/>
      <c r="W19" s="86"/>
      <c r="X19" s="86"/>
      <c r="Y19" s="151"/>
      <c r="Z19" s="87"/>
      <c r="AA19" s="88"/>
      <c r="AB19" s="89"/>
    </row>
    <row r="20" spans="1:28" s="90" customFormat="1" ht="21" customHeight="1">
      <c r="A20" s="75"/>
      <c r="B20" s="107"/>
      <c r="C20" s="65" t="s">
        <v>982</v>
      </c>
      <c r="D20" s="77"/>
      <c r="E20" s="78"/>
      <c r="F20" s="79"/>
      <c r="G20" s="77"/>
      <c r="H20" s="78"/>
      <c r="I20" s="79"/>
      <c r="J20" s="80"/>
      <c r="K20" s="81"/>
      <c r="L20" s="82"/>
      <c r="M20" s="68">
        <v>1</v>
      </c>
      <c r="N20" s="110"/>
      <c r="O20" s="69"/>
      <c r="P20" s="67"/>
      <c r="Q20" s="106"/>
      <c r="R20" s="70">
        <f>M20</f>
        <v>1</v>
      </c>
      <c r="S20" s="111" t="s">
        <v>52</v>
      </c>
      <c r="T20" s="215">
        <v>6</v>
      </c>
      <c r="U20" s="92"/>
      <c r="V20" s="86"/>
      <c r="W20" s="86"/>
      <c r="X20" s="86"/>
      <c r="Y20" s="151"/>
      <c r="Z20" s="87"/>
      <c r="AA20" s="88"/>
      <c r="AB20" s="89"/>
    </row>
    <row r="21" spans="1:28" s="90" customFormat="1" ht="21" customHeight="1">
      <c r="A21" s="75"/>
      <c r="B21" s="107"/>
      <c r="C21" s="65" t="s">
        <v>999</v>
      </c>
      <c r="D21" s="77"/>
      <c r="E21" s="78"/>
      <c r="F21" s="79"/>
      <c r="G21" s="77"/>
      <c r="H21" s="78"/>
      <c r="I21" s="79"/>
      <c r="J21" s="80"/>
      <c r="K21" s="81"/>
      <c r="L21" s="82"/>
      <c r="M21" s="83">
        <v>1</v>
      </c>
      <c r="N21" s="84"/>
      <c r="O21" s="155"/>
      <c r="P21" s="156"/>
      <c r="Q21" s="85"/>
      <c r="R21" s="85">
        <v>1</v>
      </c>
      <c r="S21" s="111" t="s">
        <v>52</v>
      </c>
      <c r="T21" s="215">
        <v>7</v>
      </c>
      <c r="U21" s="92"/>
      <c r="V21" s="86"/>
      <c r="W21" s="86"/>
      <c r="X21" s="86"/>
      <c r="Y21" s="151"/>
      <c r="Z21" s="87"/>
      <c r="AA21" s="88"/>
      <c r="AB21" s="89"/>
    </row>
    <row r="22" spans="1:28" s="90" customFormat="1" ht="21" customHeight="1">
      <c r="A22" s="75"/>
      <c r="B22" s="107"/>
      <c r="C22" s="65" t="s">
        <v>1025</v>
      </c>
      <c r="D22" s="77"/>
      <c r="E22" s="78"/>
      <c r="F22" s="79"/>
      <c r="G22" s="77"/>
      <c r="H22" s="78"/>
      <c r="I22" s="79"/>
      <c r="J22" s="80"/>
      <c r="K22" s="81"/>
      <c r="L22" s="82"/>
      <c r="M22" s="83">
        <v>1</v>
      </c>
      <c r="N22" s="610"/>
      <c r="O22" s="155"/>
      <c r="P22" s="156"/>
      <c r="Q22" s="85"/>
      <c r="R22" s="85">
        <v>1</v>
      </c>
      <c r="S22" s="111" t="s">
        <v>52</v>
      </c>
      <c r="T22" s="215">
        <v>8</v>
      </c>
      <c r="U22" s="92"/>
      <c r="V22" s="86"/>
      <c r="W22" s="86"/>
      <c r="X22" s="86"/>
      <c r="Y22" s="151"/>
      <c r="Z22" s="87"/>
      <c r="AA22" s="88"/>
      <c r="AB22" s="89"/>
    </row>
    <row r="23" spans="1:28" s="73" customFormat="1" ht="21" customHeight="1">
      <c r="A23" s="64"/>
      <c r="B23" s="109"/>
      <c r="C23" s="65" t="s">
        <v>1362</v>
      </c>
      <c r="D23" s="77"/>
      <c r="E23" s="78"/>
      <c r="F23" s="79"/>
      <c r="G23" s="77"/>
      <c r="H23" s="78"/>
      <c r="I23" s="79"/>
      <c r="J23" s="66"/>
      <c r="K23" s="108"/>
      <c r="L23" s="67"/>
      <c r="M23" s="68">
        <v>1</v>
      </c>
      <c r="N23" s="110"/>
      <c r="O23" s="69"/>
      <c r="P23" s="67"/>
      <c r="Q23" s="106"/>
      <c r="R23" s="70">
        <f t="shared" ref="R23" si="1">M23</f>
        <v>1</v>
      </c>
      <c r="S23" s="111" t="s">
        <v>52</v>
      </c>
      <c r="T23" s="215">
        <v>9</v>
      </c>
      <c r="U23" s="94"/>
      <c r="V23" s="71"/>
      <c r="W23" s="71"/>
      <c r="X23" s="152"/>
      <c r="Y23" s="153"/>
      <c r="Z23" s="72"/>
      <c r="AA23" s="71"/>
      <c r="AB23" s="74"/>
    </row>
    <row r="24" spans="1:28" s="73" customFormat="1" ht="21" customHeight="1">
      <c r="A24" s="64"/>
      <c r="B24" s="112"/>
      <c r="C24" s="220" t="s">
        <v>1019</v>
      </c>
      <c r="D24" s="77"/>
      <c r="E24" s="78"/>
      <c r="F24" s="79"/>
      <c r="G24" s="77"/>
      <c r="H24" s="78"/>
      <c r="I24" s="79"/>
      <c r="J24" s="80"/>
      <c r="K24" s="81"/>
      <c r="L24" s="82"/>
      <c r="M24" s="83"/>
      <c r="N24" s="105"/>
      <c r="O24" s="84"/>
      <c r="P24" s="82"/>
      <c r="Q24" s="93"/>
      <c r="R24" s="85"/>
      <c r="S24" s="111"/>
      <c r="T24" s="215"/>
      <c r="U24" s="91"/>
      <c r="V24" s="71"/>
      <c r="W24" s="71"/>
      <c r="X24" s="152"/>
      <c r="Y24" s="153"/>
      <c r="Z24" s="72"/>
    </row>
    <row r="25" spans="1:28" s="90" customFormat="1" ht="21" customHeight="1">
      <c r="A25" s="75"/>
      <c r="B25" s="107"/>
      <c r="C25" s="65" t="s">
        <v>999</v>
      </c>
      <c r="D25" s="77"/>
      <c r="E25" s="78"/>
      <c r="F25" s="79"/>
      <c r="G25" s="77"/>
      <c r="H25" s="78"/>
      <c r="I25" s="79"/>
      <c r="J25" s="80"/>
      <c r="K25" s="81"/>
      <c r="L25" s="82"/>
      <c r="M25" s="83">
        <v>1</v>
      </c>
      <c r="N25" s="84"/>
      <c r="O25" s="155"/>
      <c r="P25" s="156"/>
      <c r="Q25" s="85"/>
      <c r="R25" s="85">
        <v>1</v>
      </c>
      <c r="S25" s="111" t="s">
        <v>52</v>
      </c>
      <c r="T25" s="215">
        <v>7</v>
      </c>
      <c r="U25" s="92"/>
      <c r="V25" s="86"/>
      <c r="W25" s="86"/>
      <c r="X25" s="86"/>
      <c r="Y25" s="151"/>
      <c r="Z25" s="87"/>
      <c r="AA25" s="88"/>
      <c r="AB25" s="89"/>
    </row>
    <row r="26" spans="1:28" s="1" customFormat="1" ht="21" customHeight="1">
      <c r="A26" s="11"/>
      <c r="B26" s="25"/>
      <c r="C26" s="65" t="s">
        <v>1025</v>
      </c>
      <c r="D26" s="26"/>
      <c r="E26" s="159"/>
      <c r="F26" s="27"/>
      <c r="G26" s="26"/>
      <c r="H26" s="159"/>
      <c r="I26" s="27"/>
      <c r="J26" s="28"/>
      <c r="K26" s="49"/>
      <c r="L26" s="40"/>
      <c r="M26" s="83">
        <v>1</v>
      </c>
      <c r="N26" s="160"/>
      <c r="O26" s="160"/>
      <c r="P26" s="40"/>
      <c r="Q26" s="42"/>
      <c r="R26" s="85">
        <v>1</v>
      </c>
      <c r="S26" s="111" t="s">
        <v>52</v>
      </c>
      <c r="T26" s="215">
        <v>8</v>
      </c>
      <c r="U26" s="48"/>
      <c r="V26" s="120"/>
      <c r="W26" s="120"/>
      <c r="X26" s="120"/>
      <c r="Y26" s="142"/>
      <c r="Z26" s="15"/>
      <c r="AA26" s="17"/>
      <c r="AB26" s="44"/>
    </row>
    <row r="27" spans="1:28" ht="21" customHeight="1">
      <c r="B27" s="118"/>
      <c r="C27" s="119"/>
      <c r="D27" s="26"/>
      <c r="E27" s="159"/>
      <c r="F27" s="27"/>
      <c r="G27" s="26"/>
      <c r="H27" s="159"/>
      <c r="I27" s="27"/>
      <c r="J27" s="28"/>
      <c r="K27" s="49"/>
      <c r="L27" s="40"/>
      <c r="M27" s="41"/>
      <c r="N27" s="160"/>
      <c r="O27" s="160"/>
      <c r="P27" s="40"/>
      <c r="Q27" s="42"/>
      <c r="R27" s="60"/>
      <c r="S27" s="43"/>
      <c r="T27" s="216"/>
      <c r="U27" s="117"/>
    </row>
    <row r="28" spans="1:28" ht="39.6" customHeight="1">
      <c r="B28" s="161"/>
      <c r="C28" s="162"/>
      <c r="D28" s="806" t="s">
        <v>11</v>
      </c>
      <c r="E28" s="807"/>
      <c r="F28" s="807"/>
      <c r="G28" s="807"/>
      <c r="H28" s="807"/>
      <c r="I28" s="808"/>
      <c r="J28" s="809">
        <f>DEZ!I37</f>
        <v>12</v>
      </c>
      <c r="K28" s="810"/>
      <c r="L28" s="50" t="str">
        <f>VLOOKUP(A30,DEZ!$A$2:$S$731,4,FALSE)</f>
        <v>ms</v>
      </c>
      <c r="M28" s="803" t="s">
        <v>12</v>
      </c>
      <c r="N28" s="811"/>
      <c r="O28" s="811"/>
      <c r="P28" s="811"/>
      <c r="Q28" s="805"/>
      <c r="R28" s="61">
        <f>SUM(R12:R27)</f>
        <v>12</v>
      </c>
      <c r="S28" s="51" t="str">
        <f>L28</f>
        <v>ms</v>
      </c>
      <c r="T28" s="22"/>
      <c r="U28" s="23"/>
    </row>
    <row r="29" spans="1:28" ht="21" customHeight="1">
      <c r="B29" s="163"/>
      <c r="C29" s="19"/>
      <c r="D29" s="817" t="s">
        <v>13</v>
      </c>
      <c r="E29" s="818"/>
      <c r="F29" s="818"/>
      <c r="G29" s="818"/>
      <c r="H29" s="818"/>
      <c r="I29" s="819"/>
      <c r="J29" s="823">
        <f>R28/J28</f>
        <v>1</v>
      </c>
      <c r="K29" s="824"/>
      <c r="L29" s="827"/>
      <c r="M29" s="803" t="s">
        <v>34</v>
      </c>
      <c r="N29" s="804"/>
      <c r="O29" s="804"/>
      <c r="P29" s="804"/>
      <c r="Q29" s="805"/>
      <c r="R29" s="712">
        <f>SUM(R13:R26)</f>
        <v>12</v>
      </c>
      <c r="S29" s="52" t="str">
        <f>L28</f>
        <v>ms</v>
      </c>
      <c r="T29" s="22"/>
      <c r="U29" s="23"/>
    </row>
    <row r="30" spans="1:28" ht="21" customHeight="1">
      <c r="A30" s="10" t="s">
        <v>77</v>
      </c>
      <c r="B30" s="165"/>
      <c r="C30" s="164"/>
      <c r="D30" s="820"/>
      <c r="E30" s="821"/>
      <c r="F30" s="821"/>
      <c r="G30" s="821"/>
      <c r="H30" s="821"/>
      <c r="I30" s="822"/>
      <c r="J30" s="825"/>
      <c r="K30" s="826"/>
      <c r="L30" s="828"/>
      <c r="M30" s="803" t="s">
        <v>14</v>
      </c>
      <c r="N30" s="804"/>
      <c r="O30" s="804"/>
      <c r="P30" s="804"/>
      <c r="Q30" s="805"/>
      <c r="R30" s="62">
        <f>R28-R29</f>
        <v>0</v>
      </c>
      <c r="S30" s="53" t="str">
        <f>L28</f>
        <v>ms</v>
      </c>
      <c r="T30" s="54"/>
      <c r="U30" s="24"/>
    </row>
    <row r="31" spans="1:28" ht="21" customHeight="1">
      <c r="B31" s="218"/>
      <c r="C31" s="217"/>
      <c r="M31" s="803" t="s">
        <v>53</v>
      </c>
      <c r="N31" s="804"/>
      <c r="O31" s="804"/>
      <c r="P31" s="804"/>
      <c r="Q31" s="805"/>
      <c r="R31" s="62">
        <f>DEZ!E37</f>
        <v>489.95</v>
      </c>
      <c r="S31" s="53"/>
      <c r="T31" s="54"/>
      <c r="U31" s="24"/>
    </row>
    <row r="32" spans="1:28" ht="21" customHeight="1">
      <c r="B32" s="163"/>
      <c r="C32" s="219"/>
      <c r="M32" s="803" t="s">
        <v>54</v>
      </c>
      <c r="N32" s="804"/>
      <c r="O32" s="804"/>
      <c r="P32" s="804"/>
      <c r="Q32" s="805"/>
      <c r="R32" s="62">
        <f>TRUNC(R31*R30,2)</f>
        <v>0</v>
      </c>
      <c r="S32" s="53" t="s">
        <v>55</v>
      </c>
      <c r="T32" s="54"/>
      <c r="U32" s="24"/>
    </row>
  </sheetData>
  <mergeCells count="34">
    <mergeCell ref="M31:Q31"/>
    <mergeCell ref="M32:Q32"/>
    <mergeCell ref="T10:T11"/>
    <mergeCell ref="U10:U11"/>
    <mergeCell ref="D28:I28"/>
    <mergeCell ref="J28:K28"/>
    <mergeCell ref="M28:Q28"/>
    <mergeCell ref="D29:I30"/>
    <mergeCell ref="J29:K30"/>
    <mergeCell ref="L29:L30"/>
    <mergeCell ref="M29:Q29"/>
    <mergeCell ref="M30:Q30"/>
    <mergeCell ref="N10:N11"/>
    <mergeCell ref="O10:O11"/>
    <mergeCell ref="P10:P11"/>
    <mergeCell ref="Q10:Q11"/>
    <mergeCell ref="R10:R11"/>
    <mergeCell ref="S10:S11"/>
    <mergeCell ref="T8:U8"/>
    <mergeCell ref="T9:U9"/>
    <mergeCell ref="B10:B11"/>
    <mergeCell ref="C10:C11"/>
    <mergeCell ref="D10:F11"/>
    <mergeCell ref="G10:I11"/>
    <mergeCell ref="J10:J11"/>
    <mergeCell ref="K10:K11"/>
    <mergeCell ref="L10:L11"/>
    <mergeCell ref="M10:M11"/>
    <mergeCell ref="T7:U7"/>
    <mergeCell ref="B1:U4"/>
    <mergeCell ref="V4:AA4"/>
    <mergeCell ref="B5:I5"/>
    <mergeCell ref="J5:O5"/>
    <mergeCell ref="P5:U5"/>
  </mergeCells>
  <conditionalFormatting sqref="J29:K32">
    <cfRule type="cellIs" dxfId="409" priority="1" operator="greaterThanOrEqual">
      <formula>1</formula>
    </cfRule>
    <cfRule type="cellIs" dxfId="40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F555F-44EE-40AA-A703-85813E3F3921}">
  <sheetPr codeName="Planilha153">
    <tabColor rgb="FF339933"/>
    <pageSetUpPr fitToPage="1"/>
  </sheetPr>
  <dimension ref="A1:AJ31"/>
  <sheetViews>
    <sheetView view="pageBreakPreview" topLeftCell="B10" zoomScale="50" zoomScaleNormal="55" zoomScaleSheetLayoutView="50" workbookViewId="0">
      <selection activeCell="R29" sqref="R2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2.1406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8.8554687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DEZ!A339</f>
        <v>3.4.3.16</v>
      </c>
      <c r="C10" s="845" t="str">
        <f>DEZ!C339</f>
        <v>Estaca raiz perfurada em solo, diâm. 410mm com injeção de arg. incl. fornecimento de todos materiais</v>
      </c>
      <c r="D10" s="816" t="s">
        <v>854</v>
      </c>
      <c r="E10" s="816"/>
      <c r="F10" s="816"/>
      <c r="G10" s="816" t="s">
        <v>62</v>
      </c>
      <c r="H10" s="816"/>
      <c r="I10" s="816"/>
      <c r="J10" s="812" t="s">
        <v>1352</v>
      </c>
      <c r="K10" s="812" t="s">
        <v>855</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1393</v>
      </c>
      <c r="D12" s="967">
        <f t="shared" ref="D12:D20" si="0">16.7-2.6</f>
        <v>14.1</v>
      </c>
      <c r="E12" s="968"/>
      <c r="F12" s="969"/>
      <c r="G12" s="684">
        <v>1</v>
      </c>
      <c r="H12" s="78"/>
      <c r="I12" s="685"/>
      <c r="J12" s="66"/>
      <c r="K12" s="81"/>
      <c r="L12" s="67"/>
      <c r="M12" s="68"/>
      <c r="N12" s="110"/>
      <c r="O12" s="69"/>
      <c r="P12" s="67"/>
      <c r="Q12" s="106"/>
      <c r="R12" s="85">
        <f>D12</f>
        <v>14.1</v>
      </c>
      <c r="S12" s="154" t="s">
        <v>51</v>
      </c>
      <c r="T12" s="215">
        <v>11</v>
      </c>
      <c r="U12" s="94"/>
      <c r="V12" s="71"/>
      <c r="W12" s="71"/>
      <c r="X12" s="152"/>
      <c r="Y12" s="153"/>
      <c r="Z12" s="72"/>
      <c r="AA12" s="71"/>
      <c r="AB12" s="74"/>
    </row>
    <row r="13" spans="1:36" s="73" customFormat="1" ht="21" customHeight="1">
      <c r="A13" s="64"/>
      <c r="B13" s="109"/>
      <c r="C13" s="76" t="s">
        <v>1408</v>
      </c>
      <c r="D13" s="967">
        <f t="shared" si="0"/>
        <v>14.1</v>
      </c>
      <c r="E13" s="968"/>
      <c r="F13" s="969"/>
      <c r="G13" s="684">
        <v>1</v>
      </c>
      <c r="H13" s="78"/>
      <c r="I13" s="685"/>
      <c r="J13" s="66"/>
      <c r="K13" s="81"/>
      <c r="L13" s="67"/>
      <c r="M13" s="68"/>
      <c r="N13" s="110"/>
      <c r="O13" s="69"/>
      <c r="P13" s="67"/>
      <c r="Q13" s="106"/>
      <c r="R13" s="85">
        <f t="shared" ref="R13:R14" si="1">D13</f>
        <v>14.1</v>
      </c>
      <c r="S13" s="154" t="s">
        <v>51</v>
      </c>
      <c r="T13" s="215">
        <v>11</v>
      </c>
      <c r="U13" s="94"/>
      <c r="V13" s="71"/>
      <c r="W13" s="71"/>
      <c r="X13" s="152"/>
      <c r="Y13" s="153"/>
      <c r="Z13" s="72"/>
      <c r="AA13" s="71"/>
      <c r="AB13" s="74"/>
    </row>
    <row r="14" spans="1:36" s="73" customFormat="1" ht="21" customHeight="1">
      <c r="A14" s="64"/>
      <c r="B14" s="109"/>
      <c r="C14" s="76" t="s">
        <v>1409</v>
      </c>
      <c r="D14" s="967">
        <f t="shared" si="0"/>
        <v>14.1</v>
      </c>
      <c r="E14" s="968"/>
      <c r="F14" s="969"/>
      <c r="G14" s="684">
        <v>1</v>
      </c>
      <c r="H14" s="78"/>
      <c r="I14" s="685"/>
      <c r="J14" s="66"/>
      <c r="K14" s="81"/>
      <c r="L14" s="67"/>
      <c r="M14" s="68"/>
      <c r="N14" s="110"/>
      <c r="O14" s="69"/>
      <c r="P14" s="67"/>
      <c r="Q14" s="106"/>
      <c r="R14" s="85">
        <f t="shared" si="1"/>
        <v>14.1</v>
      </c>
      <c r="S14" s="154" t="s">
        <v>51</v>
      </c>
      <c r="T14" s="215">
        <v>11</v>
      </c>
      <c r="U14" s="94"/>
      <c r="V14" s="71"/>
      <c r="W14" s="71"/>
      <c r="X14" s="152"/>
      <c r="Y14" s="153"/>
      <c r="Z14" s="72"/>
      <c r="AA14" s="71"/>
      <c r="AB14" s="74"/>
    </row>
    <row r="15" spans="1:36" s="73" customFormat="1" ht="21" customHeight="1">
      <c r="A15" s="64"/>
      <c r="B15" s="109"/>
      <c r="C15" s="76" t="s">
        <v>1410</v>
      </c>
      <c r="D15" s="967">
        <f t="shared" ref="D15:D17" si="2">17.5-2.6</f>
        <v>14.9</v>
      </c>
      <c r="E15" s="968"/>
      <c r="F15" s="969"/>
      <c r="G15" s="684">
        <v>1</v>
      </c>
      <c r="H15" s="78"/>
      <c r="I15" s="685"/>
      <c r="J15" s="66"/>
      <c r="K15" s="81"/>
      <c r="L15" s="67"/>
      <c r="M15" s="68"/>
      <c r="N15" s="110"/>
      <c r="O15" s="69"/>
      <c r="P15" s="67"/>
      <c r="Q15" s="106"/>
      <c r="R15" s="85">
        <f>D15</f>
        <v>14.9</v>
      </c>
      <c r="S15" s="154" t="s">
        <v>51</v>
      </c>
      <c r="T15" s="215">
        <v>11</v>
      </c>
      <c r="U15" s="94"/>
      <c r="V15" s="71"/>
      <c r="W15" s="71"/>
      <c r="X15" s="152"/>
      <c r="Y15" s="153"/>
      <c r="Z15" s="72"/>
      <c r="AA15" s="71"/>
      <c r="AB15" s="74"/>
    </row>
    <row r="16" spans="1:36" s="73" customFormat="1" ht="21" customHeight="1">
      <c r="A16" s="64"/>
      <c r="B16" s="109"/>
      <c r="C16" s="76" t="s">
        <v>1411</v>
      </c>
      <c r="D16" s="967">
        <f t="shared" si="2"/>
        <v>14.9</v>
      </c>
      <c r="E16" s="968"/>
      <c r="F16" s="969"/>
      <c r="G16" s="684">
        <v>1</v>
      </c>
      <c r="H16" s="78"/>
      <c r="I16" s="685"/>
      <c r="J16" s="66"/>
      <c r="K16" s="81"/>
      <c r="L16" s="67"/>
      <c r="M16" s="68"/>
      <c r="N16" s="110"/>
      <c r="O16" s="69"/>
      <c r="P16" s="67"/>
      <c r="Q16" s="106"/>
      <c r="R16" s="85">
        <f>D16</f>
        <v>14.9</v>
      </c>
      <c r="S16" s="154" t="s">
        <v>51</v>
      </c>
      <c r="T16" s="215">
        <v>11</v>
      </c>
      <c r="U16" s="94"/>
      <c r="V16" s="71"/>
      <c r="W16" s="71"/>
      <c r="X16" s="152"/>
      <c r="Y16" s="153"/>
      <c r="Z16" s="72"/>
      <c r="AA16" s="71"/>
      <c r="AB16" s="74"/>
    </row>
    <row r="17" spans="1:28" s="73" customFormat="1" ht="21" customHeight="1">
      <c r="A17" s="64"/>
      <c r="B17" s="109"/>
      <c r="C17" s="76" t="s">
        <v>1412</v>
      </c>
      <c r="D17" s="967">
        <f t="shared" si="2"/>
        <v>14.9</v>
      </c>
      <c r="E17" s="968"/>
      <c r="F17" s="969"/>
      <c r="G17" s="684">
        <v>1</v>
      </c>
      <c r="H17" s="78"/>
      <c r="I17" s="685"/>
      <c r="J17" s="66"/>
      <c r="K17" s="81"/>
      <c r="L17" s="67"/>
      <c r="M17" s="68"/>
      <c r="N17" s="110"/>
      <c r="O17" s="69"/>
      <c r="P17" s="67"/>
      <c r="Q17" s="106"/>
      <c r="R17" s="85">
        <f>D17</f>
        <v>14.9</v>
      </c>
      <c r="S17" s="154" t="s">
        <v>51</v>
      </c>
      <c r="T17" s="215">
        <v>11</v>
      </c>
      <c r="U17" s="94"/>
      <c r="V17" s="71"/>
      <c r="W17" s="71"/>
      <c r="X17" s="152"/>
      <c r="Y17" s="153"/>
      <c r="Z17" s="72"/>
      <c r="AA17" s="71"/>
      <c r="AB17" s="74"/>
    </row>
    <row r="18" spans="1:28" s="73" customFormat="1" ht="21" customHeight="1">
      <c r="A18" s="64"/>
      <c r="B18" s="109"/>
      <c r="C18" s="76" t="s">
        <v>1413</v>
      </c>
      <c r="D18" s="967">
        <f t="shared" si="0"/>
        <v>14.1</v>
      </c>
      <c r="E18" s="968"/>
      <c r="F18" s="969"/>
      <c r="G18" s="684">
        <v>1</v>
      </c>
      <c r="H18" s="78"/>
      <c r="I18" s="685"/>
      <c r="J18" s="66"/>
      <c r="K18" s="81"/>
      <c r="L18" s="67"/>
      <c r="M18" s="68"/>
      <c r="N18" s="110"/>
      <c r="O18" s="69"/>
      <c r="P18" s="67"/>
      <c r="Q18" s="106"/>
      <c r="R18" s="85">
        <f>D18</f>
        <v>14.1</v>
      </c>
      <c r="S18" s="154" t="s">
        <v>51</v>
      </c>
      <c r="T18" s="215">
        <v>11</v>
      </c>
      <c r="U18" s="94"/>
      <c r="V18" s="71"/>
      <c r="W18" s="71"/>
      <c r="X18" s="152"/>
      <c r="Y18" s="153"/>
      <c r="Z18" s="72"/>
      <c r="AA18" s="71"/>
      <c r="AB18" s="74"/>
    </row>
    <row r="19" spans="1:28" s="73" customFormat="1" ht="21" customHeight="1">
      <c r="A19" s="64"/>
      <c r="B19" s="109"/>
      <c r="C19" s="76" t="s">
        <v>1414</v>
      </c>
      <c r="D19" s="967">
        <f t="shared" si="0"/>
        <v>14.1</v>
      </c>
      <c r="E19" s="968"/>
      <c r="F19" s="969"/>
      <c r="G19" s="684">
        <v>1</v>
      </c>
      <c r="H19" s="78"/>
      <c r="I19" s="685"/>
      <c r="J19" s="66"/>
      <c r="K19" s="81"/>
      <c r="L19" s="67"/>
      <c r="M19" s="68"/>
      <c r="N19" s="110"/>
      <c r="O19" s="69"/>
      <c r="P19" s="67"/>
      <c r="Q19" s="106"/>
      <c r="R19" s="85">
        <f t="shared" ref="R19:R20" si="3">D19</f>
        <v>14.1</v>
      </c>
      <c r="S19" s="154" t="s">
        <v>51</v>
      </c>
      <c r="T19" s="215">
        <v>11</v>
      </c>
      <c r="U19" s="94"/>
      <c r="V19" s="71"/>
      <c r="W19" s="71"/>
      <c r="X19" s="152"/>
      <c r="Y19" s="153"/>
      <c r="Z19" s="72"/>
      <c r="AA19" s="71"/>
      <c r="AB19" s="74"/>
    </row>
    <row r="20" spans="1:28" s="73" customFormat="1" ht="21" customHeight="1">
      <c r="A20" s="64"/>
      <c r="B20" s="109"/>
      <c r="C20" s="76" t="s">
        <v>1418</v>
      </c>
      <c r="D20" s="967">
        <f t="shared" si="0"/>
        <v>14.1</v>
      </c>
      <c r="E20" s="968"/>
      <c r="F20" s="969"/>
      <c r="G20" s="684">
        <v>1</v>
      </c>
      <c r="H20" s="78"/>
      <c r="I20" s="685"/>
      <c r="J20" s="66"/>
      <c r="K20" s="81"/>
      <c r="L20" s="67"/>
      <c r="M20" s="68"/>
      <c r="N20" s="110"/>
      <c r="O20" s="69"/>
      <c r="P20" s="67"/>
      <c r="Q20" s="106"/>
      <c r="R20" s="85">
        <f t="shared" si="3"/>
        <v>14.1</v>
      </c>
      <c r="S20" s="154" t="s">
        <v>51</v>
      </c>
      <c r="T20" s="215">
        <v>11</v>
      </c>
      <c r="U20" s="94"/>
      <c r="V20" s="71"/>
      <c r="W20" s="71"/>
      <c r="X20" s="152"/>
      <c r="Y20" s="153"/>
      <c r="Z20" s="72"/>
      <c r="AA20" s="71"/>
      <c r="AB20" s="74"/>
    </row>
    <row r="21" spans="1:28" s="73" customFormat="1" ht="21" customHeight="1">
      <c r="A21" s="64"/>
      <c r="B21" s="109"/>
      <c r="C21" s="76" t="s">
        <v>1415</v>
      </c>
      <c r="D21" s="967">
        <f t="shared" ref="D21:D23" si="4">17.5-2.6</f>
        <v>14.9</v>
      </c>
      <c r="E21" s="968"/>
      <c r="F21" s="969"/>
      <c r="G21" s="684">
        <v>1</v>
      </c>
      <c r="H21" s="78"/>
      <c r="I21" s="685"/>
      <c r="J21" s="66"/>
      <c r="K21" s="81"/>
      <c r="L21" s="67"/>
      <c r="M21" s="68"/>
      <c r="N21" s="110"/>
      <c r="O21" s="69"/>
      <c r="P21" s="67"/>
      <c r="Q21" s="106"/>
      <c r="R21" s="85">
        <f t="shared" ref="R21:R24" si="5">D21</f>
        <v>14.9</v>
      </c>
      <c r="S21" s="154" t="s">
        <v>51</v>
      </c>
      <c r="T21" s="215">
        <v>11</v>
      </c>
      <c r="U21" s="94"/>
      <c r="V21" s="71"/>
      <c r="W21" s="71"/>
      <c r="X21" s="152"/>
      <c r="Y21" s="153"/>
      <c r="Z21" s="72"/>
      <c r="AA21" s="71"/>
      <c r="AB21" s="74"/>
    </row>
    <row r="22" spans="1:28" s="73" customFormat="1" ht="21" customHeight="1">
      <c r="A22" s="64"/>
      <c r="B22" s="109"/>
      <c r="C22" s="76" t="s">
        <v>1416</v>
      </c>
      <c r="D22" s="967">
        <f t="shared" si="4"/>
        <v>14.9</v>
      </c>
      <c r="E22" s="968"/>
      <c r="F22" s="969"/>
      <c r="G22" s="684">
        <v>1</v>
      </c>
      <c r="H22" s="78"/>
      <c r="I22" s="685"/>
      <c r="J22" s="66"/>
      <c r="K22" s="81"/>
      <c r="L22" s="67"/>
      <c r="M22" s="68"/>
      <c r="N22" s="110"/>
      <c r="O22" s="69"/>
      <c r="P22" s="67"/>
      <c r="Q22" s="106"/>
      <c r="R22" s="85">
        <f t="shared" si="5"/>
        <v>14.9</v>
      </c>
      <c r="S22" s="154" t="s">
        <v>51</v>
      </c>
      <c r="T22" s="215">
        <v>12</v>
      </c>
      <c r="U22" s="94"/>
      <c r="V22" s="71"/>
      <c r="W22" s="71"/>
      <c r="X22" s="152"/>
      <c r="Y22" s="153"/>
      <c r="Z22" s="72"/>
      <c r="AA22" s="71"/>
      <c r="AB22" s="74"/>
    </row>
    <row r="23" spans="1:28" s="73" customFormat="1" ht="21" customHeight="1">
      <c r="A23" s="64"/>
      <c r="B23" s="109"/>
      <c r="C23" s="76" t="s">
        <v>1417</v>
      </c>
      <c r="D23" s="967">
        <f t="shared" si="4"/>
        <v>14.9</v>
      </c>
      <c r="E23" s="968"/>
      <c r="F23" s="969"/>
      <c r="G23" s="684">
        <v>1</v>
      </c>
      <c r="H23" s="78"/>
      <c r="I23" s="685"/>
      <c r="J23" s="66"/>
      <c r="K23" s="81"/>
      <c r="L23" s="67"/>
      <c r="M23" s="68"/>
      <c r="N23" s="110"/>
      <c r="O23" s="69"/>
      <c r="P23" s="67"/>
      <c r="Q23" s="106"/>
      <c r="R23" s="85">
        <f t="shared" si="5"/>
        <v>14.9</v>
      </c>
      <c r="S23" s="154" t="s">
        <v>51</v>
      </c>
      <c r="T23" s="215">
        <v>12</v>
      </c>
      <c r="U23" s="94"/>
      <c r="V23" s="71"/>
      <c r="W23" s="71"/>
      <c r="X23" s="152"/>
      <c r="Y23" s="153"/>
      <c r="Z23" s="72"/>
      <c r="AA23" s="71"/>
      <c r="AB23" s="74"/>
    </row>
    <row r="24" spans="1:28" s="73" customFormat="1" ht="21" customHeight="1">
      <c r="A24" s="64"/>
      <c r="B24" s="109"/>
      <c r="C24" s="76"/>
      <c r="D24" s="728"/>
      <c r="E24" s="729"/>
      <c r="F24" s="730"/>
      <c r="G24" s="684"/>
      <c r="H24" s="78"/>
      <c r="I24" s="685"/>
      <c r="J24" s="66"/>
      <c r="K24" s="81"/>
      <c r="L24" s="67"/>
      <c r="M24" s="68"/>
      <c r="N24" s="110"/>
      <c r="O24" s="69"/>
      <c r="P24" s="67"/>
      <c r="Q24" s="106"/>
      <c r="R24" s="85">
        <f t="shared" si="5"/>
        <v>0</v>
      </c>
      <c r="S24" s="154"/>
      <c r="T24" s="215"/>
      <c r="U24" s="94"/>
      <c r="V24" s="71"/>
      <c r="W24" s="71"/>
      <c r="X24" s="152"/>
      <c r="Y24" s="153"/>
      <c r="Z24" s="72"/>
      <c r="AA24" s="71"/>
      <c r="AB24" s="74"/>
    </row>
    <row r="25" spans="1:28" s="73" customFormat="1" ht="21" customHeight="1">
      <c r="A25" s="64"/>
      <c r="B25" s="109"/>
      <c r="C25" s="76"/>
      <c r="D25" s="728"/>
      <c r="E25" s="729"/>
      <c r="F25" s="730"/>
      <c r="G25" s="684"/>
      <c r="H25" s="78"/>
      <c r="I25" s="685"/>
      <c r="J25" s="66"/>
      <c r="K25" s="81"/>
      <c r="L25" s="67"/>
      <c r="M25" s="68"/>
      <c r="N25" s="110"/>
      <c r="O25" s="69"/>
      <c r="P25" s="67"/>
      <c r="Q25" s="106"/>
      <c r="R25" s="85"/>
      <c r="S25" s="154"/>
      <c r="T25" s="215"/>
      <c r="U25" s="94"/>
      <c r="V25" s="71"/>
      <c r="W25" s="71"/>
      <c r="X25" s="152"/>
      <c r="Y25" s="153"/>
      <c r="Z25" s="72"/>
      <c r="AA25" s="71"/>
      <c r="AB25" s="74"/>
    </row>
    <row r="26" spans="1:28" s="90" customFormat="1" ht="21" customHeight="1">
      <c r="A26" s="75"/>
      <c r="B26" s="107"/>
      <c r="C26" s="104"/>
      <c r="D26" s="77"/>
      <c r="E26" s="78"/>
      <c r="F26" s="79"/>
      <c r="G26" s="77"/>
      <c r="H26" s="78"/>
      <c r="I26" s="79"/>
      <c r="J26" s="80"/>
      <c r="K26" s="81"/>
      <c r="L26" s="82"/>
      <c r="M26" s="83"/>
      <c r="N26" s="84"/>
      <c r="O26" s="155"/>
      <c r="P26" s="156"/>
      <c r="Q26" s="85"/>
      <c r="R26" s="85"/>
      <c r="S26" s="154"/>
      <c r="T26" s="215"/>
      <c r="U26" s="92"/>
      <c r="V26" s="86"/>
      <c r="W26" s="86"/>
      <c r="X26" s="86"/>
      <c r="Y26" s="151"/>
      <c r="Z26" s="87"/>
      <c r="AA26" s="88"/>
      <c r="AB26" s="89"/>
    </row>
    <row r="27" spans="1:28" ht="39.6" customHeight="1">
      <c r="B27" s="161"/>
      <c r="C27" s="162"/>
      <c r="D27" s="806" t="s">
        <v>11</v>
      </c>
      <c r="E27" s="807"/>
      <c r="F27" s="807"/>
      <c r="G27" s="807"/>
      <c r="H27" s="807"/>
      <c r="I27" s="808"/>
      <c r="J27" s="809">
        <f>DEZ!I339</f>
        <v>174</v>
      </c>
      <c r="K27" s="810"/>
      <c r="L27" s="50" t="s">
        <v>51</v>
      </c>
      <c r="M27" s="803" t="s">
        <v>12</v>
      </c>
      <c r="N27" s="811"/>
      <c r="O27" s="811"/>
      <c r="P27" s="811"/>
      <c r="Q27" s="805"/>
      <c r="R27" s="61">
        <f>SUM(R12:R26)</f>
        <v>174</v>
      </c>
      <c r="S27" s="51" t="str">
        <f>L27</f>
        <v>m</v>
      </c>
      <c r="T27" s="22"/>
      <c r="U27" s="23"/>
    </row>
    <row r="28" spans="1:28" ht="21" customHeight="1">
      <c r="B28" s="163"/>
      <c r="C28" s="19"/>
      <c r="D28" s="817" t="s">
        <v>13</v>
      </c>
      <c r="E28" s="818"/>
      <c r="F28" s="818"/>
      <c r="G28" s="818"/>
      <c r="H28" s="818"/>
      <c r="I28" s="819"/>
      <c r="J28" s="823">
        <f>R27/J27</f>
        <v>1</v>
      </c>
      <c r="K28" s="824"/>
      <c r="L28" s="827"/>
      <c r="M28" s="803" t="s">
        <v>34</v>
      </c>
      <c r="N28" s="804"/>
      <c r="O28" s="804"/>
      <c r="P28" s="804"/>
      <c r="Q28" s="805"/>
      <c r="R28" s="61">
        <f>SUM(R12:R24)</f>
        <v>174</v>
      </c>
      <c r="S28" s="52" t="str">
        <f>L27</f>
        <v>m</v>
      </c>
      <c r="T28" s="22"/>
      <c r="U28" s="23"/>
    </row>
    <row r="29" spans="1:28" ht="21" customHeight="1">
      <c r="A29" s="10" t="s">
        <v>465</v>
      </c>
      <c r="B29" s="165"/>
      <c r="C29" s="164"/>
      <c r="D29" s="820"/>
      <c r="E29" s="821"/>
      <c r="F29" s="821"/>
      <c r="G29" s="821"/>
      <c r="H29" s="821"/>
      <c r="I29" s="822"/>
      <c r="J29" s="825"/>
      <c r="K29" s="826"/>
      <c r="L29" s="828"/>
      <c r="M29" s="803" t="s">
        <v>14</v>
      </c>
      <c r="N29" s="804"/>
      <c r="O29" s="804"/>
      <c r="P29" s="804"/>
      <c r="Q29" s="805"/>
      <c r="R29" s="62">
        <f>R27-R28</f>
        <v>0</v>
      </c>
      <c r="S29" s="53" t="str">
        <f>L27</f>
        <v>m</v>
      </c>
      <c r="T29" s="54"/>
      <c r="U29" s="24"/>
    </row>
    <row r="30" spans="1:28" ht="21" customHeight="1">
      <c r="B30" s="218"/>
      <c r="C30" s="217"/>
      <c r="M30" s="803" t="s">
        <v>53</v>
      </c>
      <c r="N30" s="804"/>
      <c r="O30" s="804"/>
      <c r="P30" s="804"/>
      <c r="Q30" s="805"/>
      <c r="R30" s="62">
        <f>DEZ!E339</f>
        <v>578.87</v>
      </c>
      <c r="S30" s="53"/>
      <c r="T30" s="54"/>
      <c r="U30" s="24"/>
    </row>
    <row r="31" spans="1:28" ht="21" customHeight="1">
      <c r="B31" s="163"/>
      <c r="C31" s="219"/>
      <c r="M31" s="803" t="s">
        <v>54</v>
      </c>
      <c r="N31" s="804"/>
      <c r="O31" s="804"/>
      <c r="P31" s="804"/>
      <c r="Q31" s="805"/>
      <c r="R31" s="62">
        <f>TRUNC(R30*R29,2)</f>
        <v>0</v>
      </c>
      <c r="S31" s="53" t="s">
        <v>55</v>
      </c>
      <c r="T31" s="54"/>
      <c r="U31" s="24"/>
    </row>
  </sheetData>
  <mergeCells count="4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U10:U11"/>
    <mergeCell ref="N10:N11"/>
    <mergeCell ref="O10:O11"/>
    <mergeCell ref="P10:P11"/>
    <mergeCell ref="Q10:Q11"/>
    <mergeCell ref="R10:R11"/>
    <mergeCell ref="S10:S11"/>
    <mergeCell ref="D18:F18"/>
    <mergeCell ref="D27:I27"/>
    <mergeCell ref="J27:K27"/>
    <mergeCell ref="D21:F21"/>
    <mergeCell ref="D14:F14"/>
    <mergeCell ref="D22:F22"/>
    <mergeCell ref="D23:F23"/>
    <mergeCell ref="T10:T11"/>
    <mergeCell ref="M30:Q30"/>
    <mergeCell ref="M31:Q31"/>
    <mergeCell ref="D12:F12"/>
    <mergeCell ref="D13:F13"/>
    <mergeCell ref="D19:F19"/>
    <mergeCell ref="D20:F20"/>
    <mergeCell ref="D15:F15"/>
    <mergeCell ref="D16:F16"/>
    <mergeCell ref="D17:F17"/>
    <mergeCell ref="M27:Q27"/>
    <mergeCell ref="D28:I29"/>
    <mergeCell ref="J28:K29"/>
    <mergeCell ref="L28:L29"/>
    <mergeCell ref="M28:Q28"/>
    <mergeCell ref="M29:Q29"/>
  </mergeCells>
  <conditionalFormatting sqref="J28:K31">
    <cfRule type="cellIs" dxfId="203" priority="1" operator="greaterThanOrEqual">
      <formula>1</formula>
    </cfRule>
    <cfRule type="cellIs" dxfId="20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B74E-1C7A-4A44-A2C1-C70C2B74DEDE}">
  <sheetPr codeName="Planilha155">
    <tabColor rgb="FF339933"/>
    <pageSetUpPr fitToPage="1"/>
  </sheetPr>
  <dimension ref="A1:AJ28"/>
  <sheetViews>
    <sheetView view="pageBreakPreview" topLeftCell="B1" zoomScale="50" zoomScaleNormal="55" zoomScaleSheetLayoutView="50" workbookViewId="0">
      <selection activeCell="R26" sqref="R26"/>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2.1406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8.8554687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DEZ!A340</f>
        <v>3.4.3.17</v>
      </c>
      <c r="C10" s="845" t="str">
        <f>DEZ!C340</f>
        <v>Estaca raiz perfurada em rocha, diâm. 310mm com injeção de arg. incl. fornecimento de todos materiais</v>
      </c>
      <c r="D10" s="816" t="s">
        <v>854</v>
      </c>
      <c r="E10" s="816"/>
      <c r="F10" s="816"/>
      <c r="G10" s="816" t="s">
        <v>62</v>
      </c>
      <c r="H10" s="816"/>
      <c r="I10" s="816"/>
      <c r="J10" s="812" t="s">
        <v>1352</v>
      </c>
      <c r="K10" s="812" t="s">
        <v>855</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1393</v>
      </c>
      <c r="D12" s="967">
        <v>2.6</v>
      </c>
      <c r="E12" s="968"/>
      <c r="F12" s="969"/>
      <c r="G12" s="684">
        <v>1</v>
      </c>
      <c r="H12" s="78"/>
      <c r="I12" s="685"/>
      <c r="J12" s="66"/>
      <c r="K12" s="81"/>
      <c r="L12" s="67"/>
      <c r="M12" s="68"/>
      <c r="N12" s="110"/>
      <c r="O12" s="69"/>
      <c r="P12" s="67"/>
      <c r="Q12" s="106"/>
      <c r="R12" s="85">
        <f>D12</f>
        <v>2.6</v>
      </c>
      <c r="S12" s="154" t="s">
        <v>51</v>
      </c>
      <c r="T12" s="215">
        <v>11</v>
      </c>
      <c r="U12" s="94"/>
      <c r="V12" s="71"/>
      <c r="W12" s="71"/>
      <c r="X12" s="152"/>
      <c r="Y12" s="153"/>
      <c r="Z12" s="72"/>
      <c r="AA12" s="71"/>
      <c r="AB12" s="74"/>
    </row>
    <row r="13" spans="1:36" s="73" customFormat="1" ht="21" customHeight="1">
      <c r="A13" s="64"/>
      <c r="B13" s="109"/>
      <c r="C13" s="76" t="s">
        <v>1408</v>
      </c>
      <c r="D13" s="967">
        <v>2.6</v>
      </c>
      <c r="E13" s="968"/>
      <c r="F13" s="969"/>
      <c r="G13" s="684">
        <v>1</v>
      </c>
      <c r="H13" s="78"/>
      <c r="I13" s="685"/>
      <c r="J13" s="66"/>
      <c r="K13" s="81"/>
      <c r="L13" s="67"/>
      <c r="M13" s="68"/>
      <c r="N13" s="110"/>
      <c r="O13" s="69"/>
      <c r="P13" s="67"/>
      <c r="Q13" s="106"/>
      <c r="R13" s="85">
        <f t="shared" ref="R13:R14" si="0">D13</f>
        <v>2.6</v>
      </c>
      <c r="S13" s="154" t="s">
        <v>51</v>
      </c>
      <c r="T13" s="215">
        <v>11</v>
      </c>
      <c r="U13" s="94"/>
      <c r="V13" s="71"/>
      <c r="W13" s="71"/>
      <c r="X13" s="152"/>
      <c r="Y13" s="153"/>
      <c r="Z13" s="72"/>
      <c r="AA13" s="71"/>
      <c r="AB13" s="74"/>
    </row>
    <row r="14" spans="1:36" s="73" customFormat="1" ht="21" customHeight="1">
      <c r="A14" s="64"/>
      <c r="B14" s="109"/>
      <c r="C14" s="76" t="s">
        <v>1409</v>
      </c>
      <c r="D14" s="967">
        <v>2.6</v>
      </c>
      <c r="E14" s="968"/>
      <c r="F14" s="969"/>
      <c r="G14" s="684">
        <v>1</v>
      </c>
      <c r="H14" s="78"/>
      <c r="I14" s="685"/>
      <c r="J14" s="66"/>
      <c r="K14" s="81"/>
      <c r="L14" s="67"/>
      <c r="M14" s="68"/>
      <c r="N14" s="110"/>
      <c r="O14" s="69"/>
      <c r="P14" s="67"/>
      <c r="Q14" s="106"/>
      <c r="R14" s="85">
        <f t="shared" si="0"/>
        <v>2.6</v>
      </c>
      <c r="S14" s="154" t="s">
        <v>51</v>
      </c>
      <c r="T14" s="215">
        <v>11</v>
      </c>
      <c r="U14" s="94"/>
      <c r="V14" s="71"/>
      <c r="W14" s="71"/>
      <c r="X14" s="152"/>
      <c r="Y14" s="153"/>
      <c r="Z14" s="72"/>
      <c r="AA14" s="71"/>
      <c r="AB14" s="74"/>
    </row>
    <row r="15" spans="1:36" s="73" customFormat="1" ht="21" customHeight="1">
      <c r="A15" s="64"/>
      <c r="B15" s="109"/>
      <c r="C15" s="76" t="s">
        <v>1410</v>
      </c>
      <c r="D15" s="967">
        <v>2.6</v>
      </c>
      <c r="E15" s="968"/>
      <c r="F15" s="969"/>
      <c r="G15" s="684">
        <v>1</v>
      </c>
      <c r="H15" s="78"/>
      <c r="I15" s="685"/>
      <c r="J15" s="66"/>
      <c r="K15" s="81"/>
      <c r="L15" s="67"/>
      <c r="M15" s="68"/>
      <c r="N15" s="110"/>
      <c r="O15" s="69"/>
      <c r="P15" s="67"/>
      <c r="Q15" s="106"/>
      <c r="R15" s="85">
        <f>D15</f>
        <v>2.6</v>
      </c>
      <c r="S15" s="154" t="s">
        <v>51</v>
      </c>
      <c r="T15" s="215">
        <v>11</v>
      </c>
      <c r="U15" s="94"/>
      <c r="V15" s="71"/>
      <c r="W15" s="71"/>
      <c r="X15" s="152"/>
      <c r="Y15" s="153"/>
      <c r="Z15" s="72"/>
      <c r="AA15" s="71"/>
      <c r="AB15" s="74"/>
    </row>
    <row r="16" spans="1:36" s="73" customFormat="1" ht="21" customHeight="1">
      <c r="A16" s="64"/>
      <c r="B16" s="109"/>
      <c r="C16" s="76" t="s">
        <v>1411</v>
      </c>
      <c r="D16" s="967">
        <v>2.6</v>
      </c>
      <c r="E16" s="968"/>
      <c r="F16" s="969"/>
      <c r="G16" s="684">
        <v>1</v>
      </c>
      <c r="H16" s="78"/>
      <c r="I16" s="685"/>
      <c r="J16" s="66"/>
      <c r="K16" s="81"/>
      <c r="L16" s="67"/>
      <c r="M16" s="68"/>
      <c r="N16" s="110"/>
      <c r="O16" s="69"/>
      <c r="P16" s="67"/>
      <c r="Q16" s="106"/>
      <c r="R16" s="85">
        <f t="shared" ref="R16:R20" si="1">D16</f>
        <v>2.6</v>
      </c>
      <c r="S16" s="154" t="s">
        <v>51</v>
      </c>
      <c r="T16" s="215">
        <v>11</v>
      </c>
      <c r="U16" s="94"/>
      <c r="V16" s="71"/>
      <c r="W16" s="71"/>
      <c r="X16" s="152"/>
      <c r="Y16" s="153"/>
      <c r="Z16" s="72"/>
      <c r="AA16" s="71"/>
      <c r="AB16" s="74"/>
    </row>
    <row r="17" spans="1:28" s="73" customFormat="1" ht="21" customHeight="1">
      <c r="A17" s="64"/>
      <c r="B17" s="109"/>
      <c r="C17" s="76" t="s">
        <v>1412</v>
      </c>
      <c r="D17" s="967">
        <v>2.6</v>
      </c>
      <c r="E17" s="968"/>
      <c r="F17" s="969"/>
      <c r="G17" s="684">
        <v>1</v>
      </c>
      <c r="H17" s="78"/>
      <c r="I17" s="685"/>
      <c r="J17" s="66"/>
      <c r="K17" s="81"/>
      <c r="L17" s="67"/>
      <c r="M17" s="68"/>
      <c r="N17" s="110"/>
      <c r="O17" s="69"/>
      <c r="P17" s="67"/>
      <c r="Q17" s="106"/>
      <c r="R17" s="85">
        <f t="shared" si="1"/>
        <v>2.6</v>
      </c>
      <c r="S17" s="154" t="s">
        <v>51</v>
      </c>
      <c r="T17" s="215">
        <v>11</v>
      </c>
      <c r="U17" s="94"/>
      <c r="V17" s="71"/>
      <c r="W17" s="71"/>
      <c r="X17" s="152"/>
      <c r="Y17" s="153"/>
      <c r="Z17" s="72"/>
      <c r="AA17" s="71"/>
      <c r="AB17" s="74"/>
    </row>
    <row r="18" spans="1:28" s="73" customFormat="1" ht="21" customHeight="1">
      <c r="A18" s="64"/>
      <c r="B18" s="109"/>
      <c r="C18" s="76" t="s">
        <v>1413</v>
      </c>
      <c r="D18" s="967">
        <v>2.6</v>
      </c>
      <c r="E18" s="968"/>
      <c r="F18" s="969"/>
      <c r="G18" s="684">
        <v>1</v>
      </c>
      <c r="H18" s="78"/>
      <c r="I18" s="685"/>
      <c r="J18" s="66"/>
      <c r="K18" s="81"/>
      <c r="L18" s="67"/>
      <c r="M18" s="68"/>
      <c r="N18" s="110"/>
      <c r="O18" s="69"/>
      <c r="P18" s="67"/>
      <c r="Q18" s="106"/>
      <c r="R18" s="85">
        <f t="shared" si="1"/>
        <v>2.6</v>
      </c>
      <c r="S18" s="154" t="s">
        <v>51</v>
      </c>
      <c r="T18" s="215">
        <v>11</v>
      </c>
      <c r="U18" s="94"/>
      <c r="V18" s="71"/>
      <c r="W18" s="71"/>
      <c r="X18" s="152"/>
      <c r="Y18" s="153"/>
      <c r="Z18" s="72"/>
      <c r="AA18" s="71"/>
      <c r="AB18" s="74"/>
    </row>
    <row r="19" spans="1:28" s="73" customFormat="1" ht="21" customHeight="1">
      <c r="A19" s="64"/>
      <c r="B19" s="109"/>
      <c r="C19" s="76" t="s">
        <v>1414</v>
      </c>
      <c r="D19" s="967">
        <v>2.6</v>
      </c>
      <c r="E19" s="968"/>
      <c r="F19" s="969"/>
      <c r="G19" s="684">
        <v>1</v>
      </c>
      <c r="H19" s="78"/>
      <c r="I19" s="685"/>
      <c r="J19" s="66"/>
      <c r="K19" s="81"/>
      <c r="L19" s="67"/>
      <c r="M19" s="68"/>
      <c r="N19" s="110"/>
      <c r="O19" s="69"/>
      <c r="P19" s="67"/>
      <c r="Q19" s="106"/>
      <c r="R19" s="85">
        <f t="shared" si="1"/>
        <v>2.6</v>
      </c>
      <c r="S19" s="154" t="s">
        <v>51</v>
      </c>
      <c r="T19" s="215">
        <v>11</v>
      </c>
      <c r="U19" s="94"/>
      <c r="V19" s="71"/>
      <c r="W19" s="71"/>
      <c r="X19" s="152"/>
      <c r="Y19" s="153"/>
      <c r="Z19" s="72"/>
      <c r="AA19" s="71"/>
      <c r="AB19" s="74"/>
    </row>
    <row r="20" spans="1:28" s="73" customFormat="1" ht="21" customHeight="1">
      <c r="A20" s="64"/>
      <c r="B20" s="109"/>
      <c r="C20" s="76" t="s">
        <v>1418</v>
      </c>
      <c r="D20" s="967">
        <v>2.6</v>
      </c>
      <c r="E20" s="968"/>
      <c r="F20" s="969"/>
      <c r="G20" s="684">
        <v>1</v>
      </c>
      <c r="H20" s="78"/>
      <c r="I20" s="685"/>
      <c r="J20" s="66"/>
      <c r="K20" s="81"/>
      <c r="L20" s="67"/>
      <c r="M20" s="68"/>
      <c r="N20" s="110"/>
      <c r="O20" s="69"/>
      <c r="P20" s="67"/>
      <c r="Q20" s="106"/>
      <c r="R20" s="85">
        <f t="shared" si="1"/>
        <v>2.6</v>
      </c>
      <c r="S20" s="154" t="s">
        <v>51</v>
      </c>
      <c r="T20" s="215">
        <v>11</v>
      </c>
      <c r="U20" s="94"/>
      <c r="V20" s="71"/>
      <c r="W20" s="71"/>
      <c r="X20" s="152"/>
      <c r="Y20" s="153"/>
      <c r="Z20" s="72"/>
      <c r="AA20" s="71"/>
      <c r="AB20" s="74"/>
    </row>
    <row r="21" spans="1:28" s="73" customFormat="1" ht="21" customHeight="1">
      <c r="A21" s="64"/>
      <c r="B21" s="109"/>
      <c r="C21" s="76" t="s">
        <v>1415</v>
      </c>
      <c r="D21" s="967">
        <v>2.6</v>
      </c>
      <c r="E21" s="968"/>
      <c r="F21" s="969"/>
      <c r="G21" s="684">
        <v>1</v>
      </c>
      <c r="H21" s="78"/>
      <c r="I21" s="685"/>
      <c r="J21" s="66"/>
      <c r="K21" s="81"/>
      <c r="L21" s="67"/>
      <c r="M21" s="68"/>
      <c r="N21" s="110"/>
      <c r="O21" s="69"/>
      <c r="P21" s="67"/>
      <c r="Q21" s="106"/>
      <c r="R21" s="85">
        <f t="shared" ref="R21:R23" si="2">D21</f>
        <v>2.6</v>
      </c>
      <c r="S21" s="154" t="s">
        <v>51</v>
      </c>
      <c r="T21" s="215">
        <v>11</v>
      </c>
      <c r="U21" s="94"/>
      <c r="V21" s="71"/>
      <c r="W21" s="71"/>
      <c r="X21" s="152"/>
      <c r="Y21" s="153"/>
      <c r="Z21" s="72"/>
      <c r="AA21" s="71"/>
      <c r="AB21" s="74"/>
    </row>
    <row r="22" spans="1:28" s="73" customFormat="1" ht="21" customHeight="1">
      <c r="A22" s="64"/>
      <c r="B22" s="109"/>
      <c r="C22" s="76" t="s">
        <v>1416</v>
      </c>
      <c r="D22" s="967">
        <v>2.6</v>
      </c>
      <c r="E22" s="968"/>
      <c r="F22" s="969"/>
      <c r="G22" s="684">
        <v>1</v>
      </c>
      <c r="H22" s="78"/>
      <c r="I22" s="685"/>
      <c r="J22" s="66"/>
      <c r="K22" s="81"/>
      <c r="L22" s="67"/>
      <c r="M22" s="68"/>
      <c r="N22" s="110"/>
      <c r="O22" s="69"/>
      <c r="P22" s="67"/>
      <c r="Q22" s="106"/>
      <c r="R22" s="85">
        <f t="shared" si="2"/>
        <v>2.6</v>
      </c>
      <c r="S22" s="154" t="s">
        <v>51</v>
      </c>
      <c r="T22" s="215">
        <v>12</v>
      </c>
      <c r="U22" s="94"/>
      <c r="V22" s="71"/>
      <c r="W22" s="71"/>
      <c r="X22" s="152"/>
      <c r="Y22" s="153"/>
      <c r="Z22" s="72"/>
      <c r="AA22" s="71"/>
      <c r="AB22" s="74"/>
    </row>
    <row r="23" spans="1:28" s="73" customFormat="1" ht="21" customHeight="1">
      <c r="A23" s="64"/>
      <c r="B23" s="109"/>
      <c r="C23" s="76" t="s">
        <v>1417</v>
      </c>
      <c r="D23" s="967">
        <v>2.6</v>
      </c>
      <c r="E23" s="968"/>
      <c r="F23" s="969"/>
      <c r="G23" s="684">
        <v>1</v>
      </c>
      <c r="H23" s="78"/>
      <c r="I23" s="685"/>
      <c r="J23" s="66"/>
      <c r="K23" s="81"/>
      <c r="L23" s="67"/>
      <c r="M23" s="68"/>
      <c r="N23" s="110"/>
      <c r="O23" s="69"/>
      <c r="P23" s="67"/>
      <c r="Q23" s="106"/>
      <c r="R23" s="85">
        <f t="shared" si="2"/>
        <v>2.6</v>
      </c>
      <c r="S23" s="154" t="s">
        <v>51</v>
      </c>
      <c r="T23" s="215">
        <v>12</v>
      </c>
      <c r="U23" s="94"/>
      <c r="V23" s="71"/>
      <c r="W23" s="71"/>
      <c r="X23" s="152"/>
      <c r="Y23" s="153"/>
      <c r="Z23" s="72"/>
      <c r="AA23" s="71"/>
      <c r="AB23" s="74"/>
    </row>
    <row r="24" spans="1:28" ht="39.6" customHeight="1">
      <c r="B24" s="161"/>
      <c r="C24" s="162"/>
      <c r="D24" s="806" t="s">
        <v>11</v>
      </c>
      <c r="E24" s="807"/>
      <c r="F24" s="807"/>
      <c r="G24" s="807"/>
      <c r="H24" s="807"/>
      <c r="I24" s="808"/>
      <c r="J24" s="809">
        <f>DEZ!I340</f>
        <v>31.2</v>
      </c>
      <c r="K24" s="810"/>
      <c r="L24" s="50" t="s">
        <v>51</v>
      </c>
      <c r="M24" s="803" t="s">
        <v>12</v>
      </c>
      <c r="N24" s="811"/>
      <c r="O24" s="811"/>
      <c r="P24" s="811"/>
      <c r="Q24" s="805"/>
      <c r="R24" s="61">
        <f>SUM(R12:R23)</f>
        <v>31.200000000000006</v>
      </c>
      <c r="S24" s="51" t="str">
        <f>L24</f>
        <v>m</v>
      </c>
      <c r="T24" s="22"/>
      <c r="U24" s="23"/>
    </row>
    <row r="25" spans="1:28" ht="21" customHeight="1">
      <c r="B25" s="163"/>
      <c r="C25" s="19"/>
      <c r="D25" s="817" t="s">
        <v>13</v>
      </c>
      <c r="E25" s="818"/>
      <c r="F25" s="818"/>
      <c r="G25" s="818"/>
      <c r="H25" s="818"/>
      <c r="I25" s="819"/>
      <c r="J25" s="823">
        <f>R24/J24</f>
        <v>1.0000000000000002</v>
      </c>
      <c r="K25" s="824"/>
      <c r="L25" s="827"/>
      <c r="M25" s="803" t="s">
        <v>34</v>
      </c>
      <c r="N25" s="804"/>
      <c r="O25" s="804"/>
      <c r="P25" s="804"/>
      <c r="Q25" s="805"/>
      <c r="R25" s="61">
        <f>SUM(R12:R23)</f>
        <v>31.200000000000006</v>
      </c>
      <c r="S25" s="52" t="str">
        <f>L24</f>
        <v>m</v>
      </c>
      <c r="T25" s="22"/>
      <c r="U25" s="23"/>
    </row>
    <row r="26" spans="1:28" ht="21" customHeight="1">
      <c r="A26" s="10" t="s">
        <v>465</v>
      </c>
      <c r="B26" s="165"/>
      <c r="C26" s="164"/>
      <c r="D26" s="820"/>
      <c r="E26" s="821"/>
      <c r="F26" s="821"/>
      <c r="G26" s="821"/>
      <c r="H26" s="821"/>
      <c r="I26" s="822"/>
      <c r="J26" s="825"/>
      <c r="K26" s="826"/>
      <c r="L26" s="828"/>
      <c r="M26" s="803" t="s">
        <v>14</v>
      </c>
      <c r="N26" s="804"/>
      <c r="O26" s="804"/>
      <c r="P26" s="804"/>
      <c r="Q26" s="805"/>
      <c r="R26" s="62">
        <f>R24-R25</f>
        <v>0</v>
      </c>
      <c r="S26" s="53" t="str">
        <f>L24</f>
        <v>m</v>
      </c>
      <c r="T26" s="54"/>
      <c r="U26" s="24"/>
    </row>
    <row r="27" spans="1:28" ht="21" customHeight="1">
      <c r="B27" s="218"/>
      <c r="C27" s="217"/>
      <c r="M27" s="803" t="s">
        <v>53</v>
      </c>
      <c r="N27" s="804"/>
      <c r="O27" s="804"/>
      <c r="P27" s="804"/>
      <c r="Q27" s="805"/>
      <c r="R27" s="62">
        <f>DEZ!E340</f>
        <v>1018.16</v>
      </c>
      <c r="S27" s="53"/>
      <c r="T27" s="54"/>
      <c r="U27" s="24"/>
    </row>
    <row r="28" spans="1:28" ht="21" customHeight="1">
      <c r="B28" s="163"/>
      <c r="C28" s="219"/>
      <c r="M28" s="803" t="s">
        <v>54</v>
      </c>
      <c r="N28" s="804"/>
      <c r="O28" s="804"/>
      <c r="P28" s="804"/>
      <c r="Q28" s="805"/>
      <c r="R28" s="62">
        <f>TRUNC(R27*R26,2)</f>
        <v>0</v>
      </c>
      <c r="S28" s="53" t="s">
        <v>55</v>
      </c>
      <c r="T28" s="54"/>
      <c r="U28" s="24"/>
    </row>
  </sheetData>
  <mergeCells count="46">
    <mergeCell ref="T7:U7"/>
    <mergeCell ref="B1:U4"/>
    <mergeCell ref="V4:AA4"/>
    <mergeCell ref="B5:I5"/>
    <mergeCell ref="J5:O5"/>
    <mergeCell ref="P5:U5"/>
    <mergeCell ref="B10:B11"/>
    <mergeCell ref="C10:C11"/>
    <mergeCell ref="D10:F11"/>
    <mergeCell ref="G10:I11"/>
    <mergeCell ref="J10:J11"/>
    <mergeCell ref="T8:U8"/>
    <mergeCell ref="T9:U9"/>
    <mergeCell ref="K10:K11"/>
    <mergeCell ref="L10:L11"/>
    <mergeCell ref="M10:M11"/>
    <mergeCell ref="N10:N11"/>
    <mergeCell ref="O10:O11"/>
    <mergeCell ref="P10:P11"/>
    <mergeCell ref="Q10:Q11"/>
    <mergeCell ref="T10:T11"/>
    <mergeCell ref="U10:U11"/>
    <mergeCell ref="D13:F13"/>
    <mergeCell ref="D14:F14"/>
    <mergeCell ref="R10:R11"/>
    <mergeCell ref="S10:S11"/>
    <mergeCell ref="D19:F19"/>
    <mergeCell ref="D16:F16"/>
    <mergeCell ref="D17:F17"/>
    <mergeCell ref="D18:F18"/>
    <mergeCell ref="D15:F15"/>
    <mergeCell ref="D12:F12"/>
    <mergeCell ref="D20:F20"/>
    <mergeCell ref="M27:Q27"/>
    <mergeCell ref="M28:Q28"/>
    <mergeCell ref="D24:I24"/>
    <mergeCell ref="J24:K24"/>
    <mergeCell ref="M24:Q24"/>
    <mergeCell ref="D25:I26"/>
    <mergeCell ref="J25:K26"/>
    <mergeCell ref="L25:L26"/>
    <mergeCell ref="M25:Q25"/>
    <mergeCell ref="M26:Q26"/>
    <mergeCell ref="D21:F21"/>
    <mergeCell ref="D22:F22"/>
    <mergeCell ref="D23:F23"/>
  </mergeCells>
  <conditionalFormatting sqref="J25:K28">
    <cfRule type="cellIs" dxfId="201" priority="1" operator="greaterThanOrEqual">
      <formula>1</formula>
    </cfRule>
    <cfRule type="cellIs" dxfId="20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110F3-FA88-4B07-8C0E-A96662DBCA64}">
  <sheetPr>
    <tabColor rgb="FF339933"/>
    <pageSetUpPr fitToPage="1"/>
  </sheetPr>
  <dimension ref="A1:AJ22"/>
  <sheetViews>
    <sheetView view="pageBreakPreview" topLeftCell="B1" zoomScale="50" zoomScaleNormal="55" zoomScaleSheetLayoutView="50" workbookViewId="0">
      <selection activeCell="T12" sqref="T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2.140625" style="2" customWidth="1"/>
    <col min="11" max="11" width="13.5703125" style="2" customWidth="1"/>
    <col min="12" max="12" width="17" style="2" customWidth="1"/>
    <col min="13" max="14" width="16" style="2" hidden="1" customWidth="1"/>
    <col min="15" max="16" width="16" style="2" customWidth="1"/>
    <col min="17" max="17" width="23.7109375" style="2" customWidth="1"/>
    <col min="18" max="18" width="18.710937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DEZ!A337</f>
        <v>3.4.3.14</v>
      </c>
      <c r="C10" s="845" t="str">
        <f>DEZ!C337</f>
        <v>Pintura de superfície metálica com uma demão de primer Epoxi e duas demãos de tinta à base de Epoxi</v>
      </c>
      <c r="D10" s="816" t="s">
        <v>854</v>
      </c>
      <c r="E10" s="816"/>
      <c r="F10" s="816"/>
      <c r="G10" s="816" t="s">
        <v>62</v>
      </c>
      <c r="H10" s="816"/>
      <c r="I10" s="816"/>
      <c r="J10" s="812" t="s">
        <v>1352</v>
      </c>
      <c r="K10" s="812" t="s">
        <v>855</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1422</v>
      </c>
      <c r="D12" s="681"/>
      <c r="E12" s="682"/>
      <c r="F12" s="683"/>
      <c r="G12" s="851"/>
      <c r="H12" s="852"/>
      <c r="I12" s="853"/>
      <c r="J12" s="715"/>
      <c r="K12" s="81">
        <v>49.17</v>
      </c>
      <c r="L12" s="82"/>
      <c r="M12" s="83"/>
      <c r="N12" s="105"/>
      <c r="O12" s="84"/>
      <c r="P12" s="82"/>
      <c r="Q12" s="93"/>
      <c r="R12" s="85"/>
      <c r="S12" s="154" t="s">
        <v>57</v>
      </c>
      <c r="T12" s="215"/>
      <c r="U12" s="94"/>
      <c r="V12" s="71"/>
      <c r="W12" s="71"/>
      <c r="X12" s="152"/>
      <c r="Y12" s="153"/>
      <c r="Z12" s="72"/>
    </row>
    <row r="13" spans="1:36" s="73" customFormat="1" ht="31.9" customHeight="1">
      <c r="A13" s="64"/>
      <c r="B13" s="109"/>
      <c r="C13" s="76"/>
      <c r="D13" s="681"/>
      <c r="E13" s="682"/>
      <c r="F13" s="683"/>
      <c r="G13" s="851"/>
      <c r="H13" s="852"/>
      <c r="I13" s="853"/>
      <c r="J13" s="715"/>
      <c r="K13" s="81"/>
      <c r="L13" s="82"/>
      <c r="M13" s="83"/>
      <c r="N13" s="105"/>
      <c r="O13" s="84"/>
      <c r="P13" s="82"/>
      <c r="Q13" s="93"/>
      <c r="R13" s="85"/>
      <c r="S13" s="154"/>
      <c r="T13" s="215"/>
      <c r="U13" s="94"/>
      <c r="V13" s="71"/>
      <c r="W13" s="71"/>
      <c r="X13" s="152"/>
      <c r="Y13" s="153"/>
      <c r="Z13" s="72"/>
    </row>
    <row r="14" spans="1:36" s="73" customFormat="1" ht="21" customHeight="1">
      <c r="A14" s="64"/>
      <c r="B14" s="109"/>
      <c r="C14" s="76"/>
      <c r="D14" s="854"/>
      <c r="E14" s="855"/>
      <c r="F14" s="856"/>
      <c r="G14" s="854"/>
      <c r="H14" s="855"/>
      <c r="I14" s="856"/>
      <c r="J14" s="715"/>
      <c r="K14" s="81"/>
      <c r="L14" s="67"/>
      <c r="M14" s="68"/>
      <c r="N14" s="110"/>
      <c r="O14" s="69"/>
      <c r="P14" s="67"/>
      <c r="Q14" s="106"/>
      <c r="R14" s="85"/>
      <c r="S14" s="154"/>
      <c r="T14" s="215"/>
      <c r="U14" s="94"/>
      <c r="V14" s="71"/>
      <c r="W14" s="71"/>
      <c r="X14" s="152"/>
      <c r="Y14" s="153"/>
      <c r="Z14" s="72"/>
      <c r="AA14" s="71"/>
      <c r="AB14" s="74"/>
    </row>
    <row r="15" spans="1:36" s="73" customFormat="1" ht="21" customHeight="1">
      <c r="A15" s="64"/>
      <c r="B15" s="109"/>
      <c r="C15" s="76"/>
      <c r="D15" s="854"/>
      <c r="E15" s="855"/>
      <c r="F15" s="856"/>
      <c r="G15" s="854"/>
      <c r="H15" s="855"/>
      <c r="I15" s="856"/>
      <c r="J15" s="715"/>
      <c r="K15" s="81"/>
      <c r="L15" s="67"/>
      <c r="M15" s="68"/>
      <c r="N15" s="110"/>
      <c r="O15" s="69"/>
      <c r="P15" s="67"/>
      <c r="Q15" s="106"/>
      <c r="R15" s="85"/>
      <c r="S15" s="154"/>
      <c r="T15" s="215"/>
      <c r="U15" s="94"/>
      <c r="V15" s="71"/>
      <c r="W15" s="71"/>
      <c r="X15" s="152"/>
      <c r="Y15" s="153"/>
      <c r="Z15" s="72"/>
      <c r="AA15" s="71"/>
      <c r="AB15" s="74"/>
    </row>
    <row r="16" spans="1:36" s="73" customFormat="1" ht="21" customHeight="1">
      <c r="A16" s="64"/>
      <c r="B16" s="109"/>
      <c r="C16" s="76"/>
      <c r="D16" s="684"/>
      <c r="E16" s="78"/>
      <c r="F16" s="685"/>
      <c r="G16" s="684"/>
      <c r="H16" s="78"/>
      <c r="I16" s="685"/>
      <c r="J16" s="66"/>
      <c r="K16" s="81"/>
      <c r="L16" s="67"/>
      <c r="M16" s="68"/>
      <c r="N16" s="110"/>
      <c r="O16" s="69"/>
      <c r="P16" s="67"/>
      <c r="Q16" s="106"/>
      <c r="R16" s="85"/>
      <c r="S16" s="154"/>
      <c r="T16" s="215"/>
      <c r="U16" s="94"/>
      <c r="V16" s="71"/>
      <c r="W16" s="71"/>
      <c r="X16" s="152"/>
      <c r="Y16" s="153"/>
      <c r="Z16" s="72"/>
      <c r="AA16" s="71"/>
      <c r="AB16" s="74"/>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ht="15.75">
      <c r="B18" s="161"/>
      <c r="C18" s="162"/>
      <c r="D18" s="806" t="s">
        <v>11</v>
      </c>
      <c r="E18" s="807"/>
      <c r="F18" s="807"/>
      <c r="G18" s="807"/>
      <c r="H18" s="807"/>
      <c r="I18" s="808"/>
      <c r="J18" s="809">
        <f>DEZ!I337</f>
        <v>49.17</v>
      </c>
      <c r="K18" s="810"/>
      <c r="L18" s="727" t="str">
        <f>DEZ!D337</f>
        <v>m2</v>
      </c>
      <c r="M18" s="803" t="s">
        <v>12</v>
      </c>
      <c r="N18" s="811"/>
      <c r="O18" s="811"/>
      <c r="P18" s="811"/>
      <c r="Q18" s="805"/>
      <c r="R18" s="61">
        <f>SUM(R12:R17)</f>
        <v>0</v>
      </c>
      <c r="S18" s="51" t="str">
        <f>L18</f>
        <v>m2</v>
      </c>
      <c r="T18" s="22"/>
      <c r="U18" s="23"/>
    </row>
    <row r="19" spans="1:28" ht="21" customHeight="1">
      <c r="B19" s="163"/>
      <c r="C19" s="19"/>
      <c r="D19" s="817" t="s">
        <v>13</v>
      </c>
      <c r="E19" s="818"/>
      <c r="F19" s="818"/>
      <c r="G19" s="818"/>
      <c r="H19" s="818"/>
      <c r="I19" s="819"/>
      <c r="J19" s="823">
        <f>R18/J18</f>
        <v>0</v>
      </c>
      <c r="K19" s="824"/>
      <c r="L19" s="827"/>
      <c r="M19" s="803" t="s">
        <v>34</v>
      </c>
      <c r="N19" s="804"/>
      <c r="O19" s="804"/>
      <c r="P19" s="804"/>
      <c r="Q19" s="805"/>
      <c r="R19" s="61">
        <v>0</v>
      </c>
      <c r="S19" s="52" t="str">
        <f>L18</f>
        <v>m2</v>
      </c>
      <c r="T19" s="22"/>
      <c r="U19" s="23"/>
    </row>
    <row r="20" spans="1:28" ht="21" customHeight="1">
      <c r="A20" s="10" t="s">
        <v>465</v>
      </c>
      <c r="B20" s="165"/>
      <c r="C20" s="164"/>
      <c r="D20" s="820"/>
      <c r="E20" s="821"/>
      <c r="F20" s="821"/>
      <c r="G20" s="821"/>
      <c r="H20" s="821"/>
      <c r="I20" s="822"/>
      <c r="J20" s="825"/>
      <c r="K20" s="826"/>
      <c r="L20" s="828"/>
      <c r="M20" s="803" t="s">
        <v>14</v>
      </c>
      <c r="N20" s="804"/>
      <c r="O20" s="804"/>
      <c r="P20" s="804"/>
      <c r="Q20" s="805"/>
      <c r="R20" s="62">
        <f>R18-R19</f>
        <v>0</v>
      </c>
      <c r="S20" s="53" t="str">
        <f>L18</f>
        <v>m2</v>
      </c>
      <c r="T20" s="54"/>
      <c r="U20" s="24"/>
    </row>
    <row r="21" spans="1:28" ht="21" customHeight="1">
      <c r="B21" s="218"/>
      <c r="C21" s="217"/>
      <c r="M21" s="803" t="s">
        <v>53</v>
      </c>
      <c r="N21" s="804"/>
      <c r="O21" s="804"/>
      <c r="P21" s="804"/>
      <c r="Q21" s="805"/>
      <c r="R21" s="62">
        <f>DEZ!E337</f>
        <v>33.049999999999997</v>
      </c>
      <c r="S21" s="53"/>
      <c r="T21" s="54"/>
      <c r="U21" s="24"/>
    </row>
    <row r="22" spans="1:28" ht="21" customHeight="1">
      <c r="B22" s="163"/>
      <c r="C22" s="219"/>
      <c r="M22" s="803" t="s">
        <v>54</v>
      </c>
      <c r="N22" s="804"/>
      <c r="O22" s="804"/>
      <c r="P22" s="804"/>
      <c r="Q22" s="805"/>
      <c r="R22" s="62">
        <f>TRUNC(R21*R20,2)</f>
        <v>0</v>
      </c>
      <c r="S22" s="53" t="s">
        <v>55</v>
      </c>
      <c r="T22" s="54"/>
      <c r="U22" s="24"/>
    </row>
  </sheetData>
  <mergeCells count="40">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T7:U7"/>
    <mergeCell ref="B1:U4"/>
    <mergeCell ref="V4:AA4"/>
    <mergeCell ref="B5:I5"/>
    <mergeCell ref="J5:O5"/>
    <mergeCell ref="P5:U5"/>
    <mergeCell ref="S10:S11"/>
    <mergeCell ref="N10:N11"/>
    <mergeCell ref="G12:I12"/>
    <mergeCell ref="G13:I13"/>
    <mergeCell ref="D14:F14"/>
    <mergeCell ref="G14:I14"/>
    <mergeCell ref="M21:Q21"/>
    <mergeCell ref="M22:Q22"/>
    <mergeCell ref="D15:F15"/>
    <mergeCell ref="G15:I15"/>
    <mergeCell ref="D18:I18"/>
    <mergeCell ref="J18:K18"/>
    <mergeCell ref="M18:Q18"/>
    <mergeCell ref="D19:I20"/>
    <mergeCell ref="J19:K20"/>
    <mergeCell ref="L19:L20"/>
    <mergeCell ref="M19:Q19"/>
    <mergeCell ref="M20:Q20"/>
  </mergeCells>
  <conditionalFormatting sqref="J19:K22">
    <cfRule type="cellIs" dxfId="199" priority="1" operator="greaterThanOrEqual">
      <formula>1</formula>
    </cfRule>
    <cfRule type="cellIs" dxfId="19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8B04-3BDF-4BD0-A895-19D5FA0AF9F3}">
  <sheetPr>
    <tabColor rgb="FF339933"/>
    <pageSetUpPr fitToPage="1"/>
  </sheetPr>
  <dimension ref="A1:AJ28"/>
  <sheetViews>
    <sheetView view="pageBreakPreview" topLeftCell="B4" zoomScale="50" zoomScaleNormal="55" zoomScaleSheetLayoutView="50" workbookViewId="0">
      <selection activeCell="T12" sqref="T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2.1406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8.8554687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DEZ!A341</f>
        <v>3.4.3.18</v>
      </c>
      <c r="C10" s="845" t="str">
        <f>DEZ!C341</f>
        <v>Tubo de travamento de 12,7 mm D = 300 mm L = 5,10 m - fornecimento e instalação</v>
      </c>
      <c r="D10" s="816" t="s">
        <v>854</v>
      </c>
      <c r="E10" s="816"/>
      <c r="F10" s="816"/>
      <c r="G10" s="816" t="s">
        <v>62</v>
      </c>
      <c r="H10" s="816"/>
      <c r="I10" s="816"/>
      <c r="J10" s="812" t="s">
        <v>1352</v>
      </c>
      <c r="K10" s="812" t="s">
        <v>855</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1421</v>
      </c>
      <c r="D12" s="967"/>
      <c r="E12" s="968"/>
      <c r="F12" s="969"/>
      <c r="G12" s="684">
        <v>2</v>
      </c>
      <c r="H12" s="78"/>
      <c r="I12" s="685"/>
      <c r="J12" s="66"/>
      <c r="K12" s="81"/>
      <c r="L12" s="67"/>
      <c r="M12" s="68"/>
      <c r="N12" s="110"/>
      <c r="O12" s="69"/>
      <c r="P12" s="67"/>
      <c r="Q12" s="106"/>
      <c r="R12" s="85"/>
      <c r="S12" s="154" t="s">
        <v>59</v>
      </c>
      <c r="T12" s="215"/>
      <c r="U12" s="94"/>
      <c r="V12" s="71"/>
      <c r="W12" s="71"/>
      <c r="X12" s="152"/>
      <c r="Y12" s="153"/>
      <c r="Z12" s="72"/>
      <c r="AA12" s="71"/>
      <c r="AB12" s="74"/>
    </row>
    <row r="13" spans="1:36" s="73" customFormat="1" ht="21" customHeight="1">
      <c r="A13" s="64"/>
      <c r="B13" s="109"/>
      <c r="C13" s="76"/>
      <c r="D13" s="967"/>
      <c r="E13" s="968"/>
      <c r="F13" s="969"/>
      <c r="G13" s="684"/>
      <c r="H13" s="78"/>
      <c r="I13" s="685"/>
      <c r="J13" s="66"/>
      <c r="K13" s="81"/>
      <c r="L13" s="67"/>
      <c r="M13" s="68"/>
      <c r="N13" s="110"/>
      <c r="O13" s="69"/>
      <c r="P13" s="67"/>
      <c r="Q13" s="106"/>
      <c r="R13" s="85"/>
      <c r="S13" s="154"/>
      <c r="T13" s="215"/>
      <c r="U13" s="94"/>
      <c r="V13" s="71"/>
      <c r="W13" s="71"/>
      <c r="X13" s="152"/>
      <c r="Y13" s="153"/>
      <c r="Z13" s="72"/>
      <c r="AA13" s="71"/>
      <c r="AB13" s="74"/>
    </row>
    <row r="14" spans="1:36" s="73" customFormat="1" ht="21" customHeight="1">
      <c r="A14" s="64"/>
      <c r="B14" s="109"/>
      <c r="C14" s="76"/>
      <c r="D14" s="967"/>
      <c r="E14" s="968"/>
      <c r="F14" s="969"/>
      <c r="G14" s="684"/>
      <c r="H14" s="78"/>
      <c r="I14" s="685"/>
      <c r="J14" s="66"/>
      <c r="K14" s="81"/>
      <c r="L14" s="67"/>
      <c r="M14" s="68"/>
      <c r="N14" s="110"/>
      <c r="O14" s="69"/>
      <c r="P14" s="67"/>
      <c r="Q14" s="106"/>
      <c r="R14" s="85"/>
      <c r="S14" s="154"/>
      <c r="T14" s="215"/>
      <c r="U14" s="94"/>
      <c r="V14" s="71"/>
      <c r="W14" s="71"/>
      <c r="X14" s="152"/>
      <c r="Y14" s="153"/>
      <c r="Z14" s="72"/>
      <c r="AA14" s="71"/>
      <c r="AB14" s="74"/>
    </row>
    <row r="15" spans="1:36" s="73" customFormat="1" ht="21" customHeight="1">
      <c r="A15" s="64"/>
      <c r="B15" s="109"/>
      <c r="C15" s="76"/>
      <c r="D15" s="967"/>
      <c r="E15" s="968"/>
      <c r="F15" s="969"/>
      <c r="G15" s="684"/>
      <c r="H15" s="78"/>
      <c r="I15" s="685"/>
      <c r="J15" s="66"/>
      <c r="K15" s="81"/>
      <c r="L15" s="67"/>
      <c r="M15" s="68"/>
      <c r="N15" s="110"/>
      <c r="O15" s="69"/>
      <c r="P15" s="67"/>
      <c r="Q15" s="106"/>
      <c r="R15" s="85"/>
      <c r="S15" s="154"/>
      <c r="T15" s="215"/>
      <c r="U15" s="94"/>
      <c r="V15" s="71"/>
      <c r="W15" s="71"/>
      <c r="X15" s="152"/>
      <c r="Y15" s="153"/>
      <c r="Z15" s="72"/>
      <c r="AA15" s="71"/>
      <c r="AB15" s="74"/>
    </row>
    <row r="16" spans="1:36" s="73" customFormat="1" ht="21" customHeight="1">
      <c r="A16" s="64"/>
      <c r="B16" s="109"/>
      <c r="C16" s="76"/>
      <c r="D16" s="967"/>
      <c r="E16" s="968"/>
      <c r="F16" s="969"/>
      <c r="G16" s="684"/>
      <c r="H16" s="78"/>
      <c r="I16" s="685"/>
      <c r="J16" s="66"/>
      <c r="K16" s="81"/>
      <c r="L16" s="67"/>
      <c r="M16" s="68"/>
      <c r="N16" s="110"/>
      <c r="O16" s="69"/>
      <c r="P16" s="67"/>
      <c r="Q16" s="106"/>
      <c r="R16" s="85"/>
      <c r="S16" s="154"/>
      <c r="T16" s="215"/>
      <c r="U16" s="94"/>
      <c r="V16" s="71"/>
      <c r="W16" s="71"/>
      <c r="X16" s="152"/>
      <c r="Y16" s="153"/>
      <c r="Z16" s="72"/>
      <c r="AA16" s="71"/>
      <c r="AB16" s="74"/>
    </row>
    <row r="17" spans="1:28" s="73" customFormat="1" ht="21" customHeight="1">
      <c r="A17" s="64"/>
      <c r="B17" s="109"/>
      <c r="C17" s="76"/>
      <c r="D17" s="967"/>
      <c r="E17" s="968"/>
      <c r="F17" s="969"/>
      <c r="G17" s="684"/>
      <c r="H17" s="78"/>
      <c r="I17" s="685"/>
      <c r="J17" s="66"/>
      <c r="K17" s="81"/>
      <c r="L17" s="67"/>
      <c r="M17" s="68"/>
      <c r="N17" s="110"/>
      <c r="O17" s="69"/>
      <c r="P17" s="67"/>
      <c r="Q17" s="106"/>
      <c r="R17" s="85"/>
      <c r="S17" s="154"/>
      <c r="T17" s="215"/>
      <c r="U17" s="94"/>
      <c r="V17" s="71"/>
      <c r="W17" s="71"/>
      <c r="X17" s="152"/>
      <c r="Y17" s="153"/>
      <c r="Z17" s="72"/>
      <c r="AA17" s="71"/>
      <c r="AB17" s="74"/>
    </row>
    <row r="18" spans="1:28" s="73" customFormat="1" ht="21" customHeight="1">
      <c r="A18" s="64"/>
      <c r="B18" s="109"/>
      <c r="C18" s="76"/>
      <c r="D18" s="967"/>
      <c r="E18" s="968"/>
      <c r="F18" s="969"/>
      <c r="G18" s="684"/>
      <c r="H18" s="78"/>
      <c r="I18" s="685"/>
      <c r="J18" s="66"/>
      <c r="K18" s="81"/>
      <c r="L18" s="67"/>
      <c r="M18" s="68"/>
      <c r="N18" s="110"/>
      <c r="O18" s="69"/>
      <c r="P18" s="67"/>
      <c r="Q18" s="106"/>
      <c r="R18" s="85"/>
      <c r="S18" s="154"/>
      <c r="T18" s="215"/>
      <c r="U18" s="94"/>
      <c r="V18" s="71"/>
      <c r="W18" s="71"/>
      <c r="X18" s="152"/>
      <c r="Y18" s="153"/>
      <c r="Z18" s="72"/>
      <c r="AA18" s="71"/>
      <c r="AB18" s="74"/>
    </row>
    <row r="19" spans="1:28" s="73" customFormat="1" ht="21" customHeight="1">
      <c r="A19" s="64"/>
      <c r="B19" s="109"/>
      <c r="C19" s="76"/>
      <c r="D19" s="967"/>
      <c r="E19" s="968"/>
      <c r="F19" s="969"/>
      <c r="G19" s="684"/>
      <c r="H19" s="78"/>
      <c r="I19" s="685"/>
      <c r="J19" s="66"/>
      <c r="K19" s="81"/>
      <c r="L19" s="67"/>
      <c r="M19" s="68"/>
      <c r="N19" s="110"/>
      <c r="O19" s="69"/>
      <c r="P19" s="67"/>
      <c r="Q19" s="106"/>
      <c r="R19" s="85"/>
      <c r="S19" s="154"/>
      <c r="T19" s="215"/>
      <c r="U19" s="94"/>
      <c r="V19" s="71"/>
      <c r="W19" s="71"/>
      <c r="X19" s="152"/>
      <c r="Y19" s="153"/>
      <c r="Z19" s="72"/>
      <c r="AA19" s="71"/>
      <c r="AB19" s="74"/>
    </row>
    <row r="20" spans="1:28" s="73" customFormat="1" ht="21" customHeight="1">
      <c r="A20" s="64"/>
      <c r="B20" s="109"/>
      <c r="C20" s="76"/>
      <c r="D20" s="967"/>
      <c r="E20" s="968"/>
      <c r="F20" s="969"/>
      <c r="G20" s="684"/>
      <c r="H20" s="78"/>
      <c r="I20" s="685"/>
      <c r="J20" s="66"/>
      <c r="K20" s="81"/>
      <c r="L20" s="67"/>
      <c r="M20" s="68"/>
      <c r="N20" s="110"/>
      <c r="O20" s="69"/>
      <c r="P20" s="67"/>
      <c r="Q20" s="106"/>
      <c r="R20" s="85"/>
      <c r="S20" s="154"/>
      <c r="T20" s="215"/>
      <c r="U20" s="94"/>
      <c r="V20" s="71"/>
      <c r="W20" s="71"/>
      <c r="X20" s="152"/>
      <c r="Y20" s="153"/>
      <c r="Z20" s="72"/>
      <c r="AA20" s="71"/>
      <c r="AB20" s="74"/>
    </row>
    <row r="21" spans="1:28" s="73" customFormat="1" ht="21" customHeight="1">
      <c r="A21" s="64"/>
      <c r="B21" s="109"/>
      <c r="C21" s="76"/>
      <c r="D21" s="967"/>
      <c r="E21" s="968"/>
      <c r="F21" s="969"/>
      <c r="G21" s="684"/>
      <c r="H21" s="78"/>
      <c r="I21" s="685"/>
      <c r="J21" s="66"/>
      <c r="K21" s="81"/>
      <c r="L21" s="67"/>
      <c r="M21" s="68"/>
      <c r="N21" s="110"/>
      <c r="O21" s="69"/>
      <c r="P21" s="67"/>
      <c r="Q21" s="106"/>
      <c r="R21" s="85"/>
      <c r="S21" s="154"/>
      <c r="T21" s="215"/>
      <c r="U21" s="94"/>
      <c r="V21" s="71"/>
      <c r="W21" s="71"/>
      <c r="X21" s="152"/>
      <c r="Y21" s="153"/>
      <c r="Z21" s="72"/>
      <c r="AA21" s="71"/>
      <c r="AB21" s="74"/>
    </row>
    <row r="22" spans="1:28" s="73" customFormat="1" ht="21" customHeight="1">
      <c r="A22" s="64"/>
      <c r="B22" s="109"/>
      <c r="C22" s="76"/>
      <c r="D22" s="967"/>
      <c r="E22" s="968"/>
      <c r="F22" s="969"/>
      <c r="G22" s="684"/>
      <c r="H22" s="78"/>
      <c r="I22" s="685"/>
      <c r="J22" s="66"/>
      <c r="K22" s="81"/>
      <c r="L22" s="67"/>
      <c r="M22" s="68"/>
      <c r="N22" s="110"/>
      <c r="O22" s="69"/>
      <c r="P22" s="67"/>
      <c r="Q22" s="106"/>
      <c r="R22" s="85"/>
      <c r="S22" s="154"/>
      <c r="T22" s="215"/>
      <c r="U22" s="94"/>
      <c r="V22" s="71"/>
      <c r="W22" s="71"/>
      <c r="X22" s="152"/>
      <c r="Y22" s="153"/>
      <c r="Z22" s="72"/>
      <c r="AA22" s="71"/>
      <c r="AB22" s="74"/>
    </row>
    <row r="23" spans="1:28" s="73" customFormat="1" ht="21" customHeight="1">
      <c r="A23" s="64"/>
      <c r="B23" s="109"/>
      <c r="C23" s="76"/>
      <c r="D23" s="967"/>
      <c r="E23" s="968"/>
      <c r="F23" s="969"/>
      <c r="G23" s="684"/>
      <c r="H23" s="78"/>
      <c r="I23" s="685"/>
      <c r="J23" s="66"/>
      <c r="K23" s="81"/>
      <c r="L23" s="67"/>
      <c r="M23" s="68"/>
      <c r="N23" s="110"/>
      <c r="O23" s="69"/>
      <c r="P23" s="67"/>
      <c r="Q23" s="106"/>
      <c r="R23" s="85"/>
      <c r="S23" s="154"/>
      <c r="T23" s="215"/>
      <c r="U23" s="94"/>
      <c r="V23" s="71"/>
      <c r="W23" s="71"/>
      <c r="X23" s="152"/>
      <c r="Y23" s="153"/>
      <c r="Z23" s="72"/>
      <c r="AA23" s="71"/>
      <c r="AB23" s="74"/>
    </row>
    <row r="24" spans="1:28" ht="39.6" customHeight="1">
      <c r="B24" s="161"/>
      <c r="C24" s="162"/>
      <c r="D24" s="806" t="s">
        <v>11</v>
      </c>
      <c r="E24" s="807"/>
      <c r="F24" s="807"/>
      <c r="G24" s="807"/>
      <c r="H24" s="807"/>
      <c r="I24" s="808"/>
      <c r="J24" s="809">
        <f>DEZ!I341</f>
        <v>2</v>
      </c>
      <c r="K24" s="810"/>
      <c r="L24" s="50" t="str">
        <f>DEZ!D341</f>
        <v>un</v>
      </c>
      <c r="M24" s="803" t="s">
        <v>12</v>
      </c>
      <c r="N24" s="811"/>
      <c r="O24" s="811"/>
      <c r="P24" s="811"/>
      <c r="Q24" s="805"/>
      <c r="R24" s="61">
        <f>SUM(R12:R23)</f>
        <v>0</v>
      </c>
      <c r="S24" s="51" t="str">
        <f>L24</f>
        <v>un</v>
      </c>
      <c r="T24" s="22"/>
      <c r="U24" s="23"/>
    </row>
    <row r="25" spans="1:28" ht="21" customHeight="1">
      <c r="B25" s="163"/>
      <c r="C25" s="19"/>
      <c r="D25" s="817" t="s">
        <v>13</v>
      </c>
      <c r="E25" s="818"/>
      <c r="F25" s="818"/>
      <c r="G25" s="818"/>
      <c r="H25" s="818"/>
      <c r="I25" s="819"/>
      <c r="J25" s="823">
        <f>R24/J24</f>
        <v>0</v>
      </c>
      <c r="K25" s="824"/>
      <c r="L25" s="827"/>
      <c r="M25" s="803" t="s">
        <v>34</v>
      </c>
      <c r="N25" s="804"/>
      <c r="O25" s="804"/>
      <c r="P25" s="804"/>
      <c r="Q25" s="805"/>
      <c r="R25" s="61">
        <v>0</v>
      </c>
      <c r="S25" s="52" t="str">
        <f>L24</f>
        <v>un</v>
      </c>
      <c r="T25" s="22"/>
      <c r="U25" s="23"/>
    </row>
    <row r="26" spans="1:28" ht="21" customHeight="1">
      <c r="A26" s="10" t="s">
        <v>465</v>
      </c>
      <c r="B26" s="165"/>
      <c r="C26" s="164"/>
      <c r="D26" s="820"/>
      <c r="E26" s="821"/>
      <c r="F26" s="821"/>
      <c r="G26" s="821"/>
      <c r="H26" s="821"/>
      <c r="I26" s="822"/>
      <c r="J26" s="825"/>
      <c r="K26" s="826"/>
      <c r="L26" s="828"/>
      <c r="M26" s="803" t="s">
        <v>14</v>
      </c>
      <c r="N26" s="804"/>
      <c r="O26" s="804"/>
      <c r="P26" s="804"/>
      <c r="Q26" s="805"/>
      <c r="R26" s="62">
        <f>R24-R25</f>
        <v>0</v>
      </c>
      <c r="S26" s="53" t="str">
        <f>L24</f>
        <v>un</v>
      </c>
      <c r="T26" s="54"/>
      <c r="U26" s="24"/>
    </row>
    <row r="27" spans="1:28" ht="21" customHeight="1">
      <c r="B27" s="218"/>
      <c r="C27" s="217"/>
      <c r="M27" s="803" t="s">
        <v>53</v>
      </c>
      <c r="N27" s="804"/>
      <c r="O27" s="804"/>
      <c r="P27" s="804"/>
      <c r="Q27" s="805"/>
      <c r="R27" s="62">
        <f>DEZ!E340</f>
        <v>1018.16</v>
      </c>
      <c r="S27" s="53"/>
      <c r="T27" s="54"/>
      <c r="U27" s="24"/>
    </row>
    <row r="28" spans="1:28" ht="21" customHeight="1">
      <c r="B28" s="163"/>
      <c r="C28" s="219"/>
      <c r="M28" s="803" t="s">
        <v>54</v>
      </c>
      <c r="N28" s="804"/>
      <c r="O28" s="804"/>
      <c r="P28" s="804"/>
      <c r="Q28" s="805"/>
      <c r="R28" s="62">
        <f>TRUNC(R27*R26,2)</f>
        <v>0</v>
      </c>
      <c r="S28" s="53" t="s">
        <v>55</v>
      </c>
      <c r="T28" s="54"/>
      <c r="U28" s="24"/>
    </row>
  </sheetData>
  <mergeCells count="46">
    <mergeCell ref="T7:U7"/>
    <mergeCell ref="B1:U4"/>
    <mergeCell ref="V4:AA4"/>
    <mergeCell ref="B5:I5"/>
    <mergeCell ref="J5:O5"/>
    <mergeCell ref="P5:U5"/>
    <mergeCell ref="B10:B11"/>
    <mergeCell ref="C10:C11"/>
    <mergeCell ref="D10:F11"/>
    <mergeCell ref="G10:I11"/>
    <mergeCell ref="J10:J11"/>
    <mergeCell ref="T8:U8"/>
    <mergeCell ref="T9:U9"/>
    <mergeCell ref="K10:K11"/>
    <mergeCell ref="L10:L11"/>
    <mergeCell ref="M10:M11"/>
    <mergeCell ref="N10:N11"/>
    <mergeCell ref="O10:O11"/>
    <mergeCell ref="P10:P11"/>
    <mergeCell ref="Q10:Q11"/>
    <mergeCell ref="T10:T11"/>
    <mergeCell ref="U10:U11"/>
    <mergeCell ref="D13:F13"/>
    <mergeCell ref="D14:F14"/>
    <mergeCell ref="R10:R11"/>
    <mergeCell ref="S10:S11"/>
    <mergeCell ref="D19:F19"/>
    <mergeCell ref="D16:F16"/>
    <mergeCell ref="D17:F17"/>
    <mergeCell ref="D18:F18"/>
    <mergeCell ref="D15:F15"/>
    <mergeCell ref="D12:F12"/>
    <mergeCell ref="D20:F20"/>
    <mergeCell ref="M27:Q27"/>
    <mergeCell ref="M28:Q28"/>
    <mergeCell ref="D22:F22"/>
    <mergeCell ref="D23:F23"/>
    <mergeCell ref="D24:I24"/>
    <mergeCell ref="J24:K24"/>
    <mergeCell ref="M24:Q24"/>
    <mergeCell ref="D25:I26"/>
    <mergeCell ref="J25:K26"/>
    <mergeCell ref="L25:L26"/>
    <mergeCell ref="M25:Q25"/>
    <mergeCell ref="M26:Q26"/>
    <mergeCell ref="D21:F21"/>
  </mergeCells>
  <conditionalFormatting sqref="J25:K28">
    <cfRule type="cellIs" dxfId="197" priority="1" operator="greaterThanOrEqual">
      <formula>1</formula>
    </cfRule>
    <cfRule type="cellIs" dxfId="19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B9746-8A9B-4519-8AB6-3BFE42593D6A}">
  <sheetPr codeName="Planilha149">
    <tabColor rgb="FF339933"/>
    <pageSetUpPr fitToPage="1"/>
  </sheetPr>
  <dimension ref="A1:AJ21"/>
  <sheetViews>
    <sheetView view="pageBreakPreview" topLeftCell="B2" zoomScale="50" zoomScaleNormal="55" zoomScaleSheetLayoutView="50" workbookViewId="0">
      <selection activeCell="R12" sqref="R12:R1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1" width="13.285156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8.570312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DEZ!A175</f>
        <v>2.5.1.1</v>
      </c>
      <c r="C10" s="845" t="str">
        <f>DEZ!C175</f>
        <v>Passarela metálica conforme especificações de projeto - fornecimento e instalação</v>
      </c>
      <c r="D10" s="970" t="s">
        <v>62</v>
      </c>
      <c r="E10" s="971"/>
      <c r="F10" s="972"/>
      <c r="G10" s="816" t="s">
        <v>33</v>
      </c>
      <c r="H10" s="816"/>
      <c r="I10" s="816"/>
      <c r="J10" s="812" t="s">
        <v>853</v>
      </c>
      <c r="K10" s="812" t="s">
        <v>1376</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c r="A11" s="14"/>
      <c r="B11" s="844"/>
      <c r="C11" s="846"/>
      <c r="D11" s="973"/>
      <c r="E11" s="974"/>
      <c r="F11" s="975"/>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65" t="s">
        <v>1374</v>
      </c>
      <c r="D12" s="854">
        <v>1</v>
      </c>
      <c r="E12" s="855"/>
      <c r="F12" s="856">
        <v>1</v>
      </c>
      <c r="G12" s="77"/>
      <c r="H12" s="78"/>
      <c r="I12" s="79"/>
      <c r="J12" s="66"/>
      <c r="K12" s="717">
        <v>0.5</v>
      </c>
      <c r="L12" s="67"/>
      <c r="M12" s="68"/>
      <c r="N12" s="110"/>
      <c r="O12" s="69"/>
      <c r="P12" s="67"/>
      <c r="Q12" s="106"/>
      <c r="R12" s="85">
        <f>K12*F12</f>
        <v>0.5</v>
      </c>
      <c r="S12" s="111" t="str">
        <f>L17</f>
        <v>und</v>
      </c>
      <c r="T12" s="215">
        <v>10</v>
      </c>
      <c r="U12" s="94"/>
      <c r="V12" s="71"/>
      <c r="W12" s="71"/>
      <c r="X12" s="152"/>
      <c r="Y12" s="153"/>
      <c r="Z12" s="72"/>
      <c r="AA12" s="71"/>
      <c r="AB12" s="74"/>
    </row>
    <row r="13" spans="1:36" s="73" customFormat="1" ht="21" customHeight="1">
      <c r="A13" s="64"/>
      <c r="B13" s="109"/>
      <c r="C13" s="65" t="s">
        <v>1374</v>
      </c>
      <c r="D13" s="854">
        <v>1</v>
      </c>
      <c r="E13" s="855"/>
      <c r="F13" s="856">
        <v>1</v>
      </c>
      <c r="G13" s="77"/>
      <c r="H13" s="78"/>
      <c r="I13" s="79"/>
      <c r="J13" s="66"/>
      <c r="K13" s="717">
        <v>0.1</v>
      </c>
      <c r="L13" s="67"/>
      <c r="M13" s="68"/>
      <c r="N13" s="110"/>
      <c r="O13" s="69"/>
      <c r="P13" s="67"/>
      <c r="Q13" s="106"/>
      <c r="R13" s="85">
        <f>K13*F13</f>
        <v>0.1</v>
      </c>
      <c r="S13" s="111" t="s">
        <v>59</v>
      </c>
      <c r="T13" s="215">
        <v>12</v>
      </c>
      <c r="U13" s="94"/>
      <c r="V13" s="71"/>
      <c r="W13" s="71"/>
      <c r="X13" s="152"/>
      <c r="Y13" s="153"/>
      <c r="Z13" s="72"/>
      <c r="AA13" s="71"/>
      <c r="AB13" s="74"/>
    </row>
    <row r="14" spans="1:36" s="73" customFormat="1" ht="21" customHeight="1">
      <c r="A14" s="64"/>
      <c r="B14" s="109"/>
      <c r="C14" s="65" t="s">
        <v>1374</v>
      </c>
      <c r="D14" s="854">
        <v>1</v>
      </c>
      <c r="E14" s="855"/>
      <c r="F14" s="856">
        <v>1</v>
      </c>
      <c r="G14" s="77"/>
      <c r="H14" s="78"/>
      <c r="I14" s="79"/>
      <c r="J14" s="66"/>
      <c r="K14" s="717">
        <v>0.3</v>
      </c>
      <c r="L14" s="67"/>
      <c r="M14" s="68"/>
      <c r="N14" s="110"/>
      <c r="O14" s="69"/>
      <c r="P14" s="67"/>
      <c r="Q14" s="106"/>
      <c r="R14" s="85">
        <f>K14*F14</f>
        <v>0.3</v>
      </c>
      <c r="S14" s="111" t="s">
        <v>59</v>
      </c>
      <c r="T14" s="215">
        <v>13</v>
      </c>
      <c r="U14" s="94"/>
      <c r="V14" s="71"/>
      <c r="W14" s="71"/>
      <c r="X14" s="152"/>
      <c r="Y14" s="153"/>
      <c r="Z14" s="72"/>
      <c r="AA14" s="71"/>
      <c r="AB14" s="74"/>
    </row>
    <row r="15" spans="1:36" s="73" customFormat="1" ht="21" customHeight="1">
      <c r="A15" s="64"/>
      <c r="B15" s="109"/>
      <c r="C15" s="65" t="s">
        <v>1374</v>
      </c>
      <c r="D15" s="854">
        <v>1</v>
      </c>
      <c r="E15" s="855"/>
      <c r="F15" s="856">
        <v>1</v>
      </c>
      <c r="G15" s="77"/>
      <c r="H15" s="78"/>
      <c r="I15" s="79"/>
      <c r="J15" s="66"/>
      <c r="K15" s="717">
        <v>3.0000000000000001E-3</v>
      </c>
      <c r="L15" s="67"/>
      <c r="M15" s="68"/>
      <c r="N15" s="110"/>
      <c r="O15" s="69"/>
      <c r="P15" s="67"/>
      <c r="Q15" s="106"/>
      <c r="R15" s="736"/>
      <c r="S15" s="111" t="s">
        <v>59</v>
      </c>
      <c r="T15" s="215">
        <v>14</v>
      </c>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1" ht="39.6" customHeight="1">
      <c r="B17" s="161"/>
      <c r="C17" s="162"/>
      <c r="D17" s="806" t="s">
        <v>11</v>
      </c>
      <c r="E17" s="807"/>
      <c r="F17" s="807"/>
      <c r="G17" s="807"/>
      <c r="H17" s="807"/>
      <c r="I17" s="808"/>
      <c r="J17" s="809">
        <f>DEZ!I175</f>
        <v>1</v>
      </c>
      <c r="K17" s="810"/>
      <c r="L17" s="50" t="str">
        <f>DEZ!D175</f>
        <v>und</v>
      </c>
      <c r="M17" s="803" t="s">
        <v>12</v>
      </c>
      <c r="N17" s="811"/>
      <c r="O17" s="811"/>
      <c r="P17" s="811"/>
      <c r="Q17" s="805"/>
      <c r="R17" s="61">
        <f>SUM(R12:R16)</f>
        <v>0.89999999999999991</v>
      </c>
      <c r="S17" s="51" t="str">
        <f>L17</f>
        <v>und</v>
      </c>
      <c r="T17" s="22"/>
      <c r="U17" s="23"/>
    </row>
    <row r="18" spans="1:21" ht="21" customHeight="1">
      <c r="B18" s="163"/>
      <c r="C18" s="19"/>
      <c r="D18" s="817" t="s">
        <v>13</v>
      </c>
      <c r="E18" s="818"/>
      <c r="F18" s="818"/>
      <c r="G18" s="818"/>
      <c r="H18" s="818"/>
      <c r="I18" s="819"/>
      <c r="J18" s="823">
        <f>R17/J17</f>
        <v>0.89999999999999991</v>
      </c>
      <c r="K18" s="824"/>
      <c r="L18" s="827"/>
      <c r="M18" s="803" t="s">
        <v>34</v>
      </c>
      <c r="N18" s="804"/>
      <c r="O18" s="804"/>
      <c r="P18" s="804"/>
      <c r="Q18" s="805"/>
      <c r="R18" s="61">
        <f>SUM(R12:R14)</f>
        <v>0.89999999999999991</v>
      </c>
      <c r="S18" s="52" t="str">
        <f>L17</f>
        <v>und</v>
      </c>
      <c r="T18" s="22"/>
      <c r="U18" s="23"/>
    </row>
    <row r="19" spans="1:21" ht="21" customHeight="1">
      <c r="A19" s="10" t="s">
        <v>77</v>
      </c>
      <c r="B19" s="165"/>
      <c r="C19" s="164"/>
      <c r="D19" s="820"/>
      <c r="E19" s="821"/>
      <c r="F19" s="821"/>
      <c r="G19" s="821"/>
      <c r="H19" s="821"/>
      <c r="I19" s="822"/>
      <c r="J19" s="825"/>
      <c r="K19" s="826"/>
      <c r="L19" s="828"/>
      <c r="M19" s="803" t="s">
        <v>14</v>
      </c>
      <c r="N19" s="804"/>
      <c r="O19" s="804"/>
      <c r="P19" s="804"/>
      <c r="Q19" s="805"/>
      <c r="R19" s="62">
        <f>R17-R18</f>
        <v>0</v>
      </c>
      <c r="S19" s="53" t="str">
        <f>L17</f>
        <v>und</v>
      </c>
      <c r="T19" s="54"/>
      <c r="U19" s="24"/>
    </row>
    <row r="20" spans="1:21" ht="21" customHeight="1">
      <c r="B20" s="218"/>
      <c r="C20" s="217"/>
      <c r="M20" s="803" t="s">
        <v>53</v>
      </c>
      <c r="N20" s="804"/>
      <c r="O20" s="804"/>
      <c r="P20" s="804"/>
      <c r="Q20" s="805"/>
      <c r="R20" s="62">
        <f>DEZ!E175</f>
        <v>409453.83</v>
      </c>
      <c r="S20" s="53"/>
      <c r="T20" s="54"/>
      <c r="U20" s="24"/>
    </row>
    <row r="21" spans="1:21" ht="21" customHeight="1">
      <c r="B21" s="163"/>
      <c r="C21" s="219"/>
      <c r="M21" s="803" t="s">
        <v>54</v>
      </c>
      <c r="N21" s="804"/>
      <c r="O21" s="804"/>
      <c r="P21" s="804"/>
      <c r="Q21" s="805"/>
      <c r="R21" s="62">
        <f>TRUNC(R20*R19,2)</f>
        <v>0</v>
      </c>
      <c r="S21" s="53" t="s">
        <v>55</v>
      </c>
      <c r="T21" s="54"/>
      <c r="U21" s="24"/>
    </row>
  </sheetData>
  <mergeCells count="38">
    <mergeCell ref="D14:F14"/>
    <mergeCell ref="M20:Q20"/>
    <mergeCell ref="M21:Q21"/>
    <mergeCell ref="M10:M11"/>
    <mergeCell ref="D13:F13"/>
    <mergeCell ref="D12:F12"/>
    <mergeCell ref="D18:I19"/>
    <mergeCell ref="J18:K19"/>
    <mergeCell ref="L18:L19"/>
    <mergeCell ref="M18:Q18"/>
    <mergeCell ref="M19:Q19"/>
    <mergeCell ref="D17:I17"/>
    <mergeCell ref="J17:K17"/>
    <mergeCell ref="M17:Q17"/>
    <mergeCell ref="N10:N11"/>
    <mergeCell ref="O10:O11"/>
    <mergeCell ref="K10:K11"/>
    <mergeCell ref="L10:L11"/>
    <mergeCell ref="T10:T11"/>
    <mergeCell ref="U10:U11"/>
    <mergeCell ref="R10:R11"/>
    <mergeCell ref="S10:S11"/>
    <mergeCell ref="D15:F15"/>
    <mergeCell ref="T7:U7"/>
    <mergeCell ref="B1:U4"/>
    <mergeCell ref="V4:AA4"/>
    <mergeCell ref="B5:I5"/>
    <mergeCell ref="J5:O5"/>
    <mergeCell ref="P5:U5"/>
    <mergeCell ref="P10:P11"/>
    <mergeCell ref="Q10:Q11"/>
    <mergeCell ref="T8:U8"/>
    <mergeCell ref="T9:U9"/>
    <mergeCell ref="B10:B11"/>
    <mergeCell ref="C10:C11"/>
    <mergeCell ref="D10:F11"/>
    <mergeCell ref="G10:I11"/>
    <mergeCell ref="J10:J11"/>
  </mergeCells>
  <conditionalFormatting sqref="J18:K21">
    <cfRule type="cellIs" dxfId="195" priority="1" operator="greaterThanOrEqual">
      <formula>1</formula>
    </cfRule>
    <cfRule type="cellIs" dxfId="19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1012D-7FA7-487F-AC4F-F6FAC997FBAA}">
  <sheetPr>
    <tabColor rgb="FF339933"/>
    <pageSetUpPr fitToPage="1"/>
  </sheetPr>
  <dimension ref="A1:AF21"/>
  <sheetViews>
    <sheetView view="pageBreakPreview" topLeftCell="B1" zoomScale="50" zoomScaleNormal="55" zoomScaleSheetLayoutView="50" workbookViewId="0">
      <selection activeCell="R12" sqref="R12:R1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8" width="6.7109375" style="2" customWidth="1"/>
    <col min="9" max="9" width="10.85546875" style="2" customWidth="1"/>
    <col min="10" max="10" width="15.42578125" style="2" customWidth="1"/>
    <col min="11" max="12" width="13.5703125" style="2" customWidth="1"/>
    <col min="13" max="13" width="33.140625" style="2" customWidth="1"/>
    <col min="14" max="14" width="19.7109375" style="63" customWidth="1"/>
    <col min="15" max="15" width="7.140625" style="2" customWidth="1"/>
    <col min="16" max="16" width="15.28515625" style="2" customWidth="1"/>
    <col min="17" max="17" width="38.140625" style="2" bestFit="1" customWidth="1"/>
    <col min="18" max="20" width="9.140625" style="2"/>
    <col min="21" max="21" width="9.140625" style="140"/>
    <col min="22" max="23" width="9.140625" style="2"/>
    <col min="24" max="24" width="12.7109375" style="13" customWidth="1"/>
    <col min="25" max="16384" width="9.140625" style="2"/>
  </cols>
  <sheetData>
    <row r="1" spans="1:32" ht="18.75" customHeight="1">
      <c r="B1" s="831" t="s">
        <v>851</v>
      </c>
      <c r="C1" s="832"/>
      <c r="D1" s="832"/>
      <c r="E1" s="832"/>
      <c r="F1" s="832"/>
      <c r="G1" s="832"/>
      <c r="H1" s="832"/>
      <c r="I1" s="832"/>
      <c r="J1" s="832"/>
      <c r="K1" s="832"/>
      <c r="L1" s="832"/>
      <c r="M1" s="832"/>
      <c r="N1" s="832"/>
      <c r="O1" s="832"/>
      <c r="P1" s="832"/>
      <c r="Q1" s="832"/>
    </row>
    <row r="2" spans="1:32" ht="18.75" customHeight="1">
      <c r="B2" s="832"/>
      <c r="C2" s="832"/>
      <c r="D2" s="832"/>
      <c r="E2" s="832"/>
      <c r="F2" s="832"/>
      <c r="G2" s="832"/>
      <c r="H2" s="832"/>
      <c r="I2" s="832"/>
      <c r="J2" s="832"/>
      <c r="K2" s="832"/>
      <c r="L2" s="832"/>
      <c r="M2" s="832"/>
      <c r="N2" s="832"/>
      <c r="O2" s="832"/>
      <c r="P2" s="832"/>
      <c r="Q2" s="832"/>
    </row>
    <row r="3" spans="1:32" ht="18.75" customHeight="1">
      <c r="B3" s="832"/>
      <c r="C3" s="832"/>
      <c r="D3" s="832"/>
      <c r="E3" s="832"/>
      <c r="F3" s="832"/>
      <c r="G3" s="832"/>
      <c r="H3" s="832"/>
      <c r="I3" s="832"/>
      <c r="J3" s="832"/>
      <c r="K3" s="832"/>
      <c r="L3" s="832"/>
      <c r="M3" s="832"/>
      <c r="N3" s="832"/>
      <c r="O3" s="832"/>
      <c r="P3" s="832"/>
      <c r="Q3" s="832"/>
    </row>
    <row r="4" spans="1:32" ht="18.75" customHeight="1">
      <c r="B4" s="832"/>
      <c r="C4" s="832"/>
      <c r="D4" s="832"/>
      <c r="E4" s="832"/>
      <c r="F4" s="832"/>
      <c r="G4" s="832"/>
      <c r="H4" s="832"/>
      <c r="I4" s="832"/>
      <c r="J4" s="832"/>
      <c r="K4" s="832"/>
      <c r="L4" s="832"/>
      <c r="M4" s="832"/>
      <c r="N4" s="832"/>
      <c r="O4" s="832"/>
      <c r="P4" s="832"/>
      <c r="Q4" s="832"/>
      <c r="R4" s="833"/>
      <c r="S4" s="833"/>
      <c r="T4" s="833"/>
      <c r="U4" s="833"/>
      <c r="V4" s="833"/>
      <c r="W4" s="833"/>
    </row>
    <row r="5" spans="1:32" s="21" customFormat="1" ht="15.75" customHeight="1">
      <c r="A5" s="29"/>
      <c r="B5" s="834" t="s">
        <v>5</v>
      </c>
      <c r="C5" s="835"/>
      <c r="D5" s="835"/>
      <c r="E5" s="835"/>
      <c r="F5" s="835"/>
      <c r="G5" s="835"/>
      <c r="H5" s="835"/>
      <c r="I5" s="836"/>
      <c r="J5" s="837" t="s">
        <v>6</v>
      </c>
      <c r="K5" s="838"/>
      <c r="L5" s="838"/>
      <c r="M5" s="838"/>
      <c r="N5" s="841"/>
      <c r="O5" s="841"/>
      <c r="P5" s="841"/>
      <c r="Q5" s="842"/>
      <c r="R5" s="158"/>
      <c r="S5" s="158"/>
      <c r="T5" s="158"/>
      <c r="U5" s="158"/>
      <c r="V5" s="158"/>
      <c r="W5" s="158"/>
      <c r="X5" s="30"/>
    </row>
    <row r="6" spans="1:32"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Q6" s="34"/>
      <c r="U6" s="141"/>
      <c r="X6" s="36"/>
    </row>
    <row r="7" spans="1:32" s="35" customFormat="1" ht="15.75">
      <c r="A7" s="31"/>
      <c r="B7" s="98"/>
      <c r="C7" s="145"/>
      <c r="D7" s="37"/>
      <c r="E7" s="38"/>
      <c r="F7" s="38"/>
      <c r="G7" s="37"/>
      <c r="H7" s="38"/>
      <c r="I7" s="56"/>
      <c r="J7" s="136" t="str">
        <f>DEZ!D8</f>
        <v xml:space="preserve">CONTRATO N°: </v>
      </c>
      <c r="K7" s="37"/>
      <c r="L7" s="115" t="str">
        <f>DEZ!F8</f>
        <v>06/2021</v>
      </c>
      <c r="M7" s="37"/>
      <c r="N7" s="58"/>
      <c r="O7" s="37"/>
      <c r="P7" s="829"/>
      <c r="Q7" s="830"/>
      <c r="U7" s="141"/>
      <c r="X7" s="36"/>
    </row>
    <row r="8" spans="1:32"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59"/>
      <c r="O8" s="38"/>
      <c r="P8" s="829"/>
      <c r="Q8" s="830"/>
      <c r="U8" s="141"/>
      <c r="W8" s="39"/>
      <c r="X8" s="39"/>
      <c r="Y8" s="39"/>
      <c r="Z8" s="39"/>
      <c r="AA8" s="39"/>
      <c r="AB8" s="39"/>
      <c r="AC8" s="39"/>
      <c r="AD8" s="39"/>
      <c r="AE8" s="39"/>
      <c r="AF8" s="39"/>
    </row>
    <row r="9" spans="1:32"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59"/>
      <c r="O9" s="38"/>
      <c r="P9" s="829"/>
      <c r="Q9" s="830"/>
      <c r="U9" s="141"/>
      <c r="W9" s="39"/>
      <c r="X9" s="39"/>
      <c r="Y9" s="39"/>
      <c r="Z9" s="39"/>
      <c r="AA9" s="39"/>
      <c r="AB9" s="39"/>
      <c r="AC9" s="39"/>
      <c r="AD9" s="39"/>
      <c r="AE9" s="39"/>
      <c r="AF9" s="39"/>
    </row>
    <row r="10" spans="1:32" s="16" customFormat="1" ht="24.95" customHeight="1">
      <c r="A10" s="14"/>
      <c r="B10" s="843" t="str">
        <f>DEZ!A148</f>
        <v>2.4.1.10</v>
      </c>
      <c r="C10" s="845" t="str">
        <f>DEZ!C148</f>
        <v>Defensa barra tipo "D" 150 mm L=150 cm - fornecimento e instalação</v>
      </c>
      <c r="D10" s="816" t="s">
        <v>62</v>
      </c>
      <c r="E10" s="816"/>
      <c r="F10" s="816"/>
      <c r="G10" s="816" t="s">
        <v>1436</v>
      </c>
      <c r="H10" s="816"/>
      <c r="I10" s="816"/>
      <c r="J10" s="812" t="s">
        <v>853</v>
      </c>
      <c r="K10" s="812" t="s">
        <v>855</v>
      </c>
      <c r="L10" s="812" t="s">
        <v>856</v>
      </c>
      <c r="M10" s="812"/>
      <c r="N10" s="849" t="s">
        <v>857</v>
      </c>
      <c r="O10" s="812" t="s">
        <v>10</v>
      </c>
      <c r="P10" s="812" t="s">
        <v>858</v>
      </c>
      <c r="Q10" s="847" t="s">
        <v>35</v>
      </c>
      <c r="R10" s="120"/>
      <c r="S10" s="120"/>
      <c r="T10" s="143"/>
      <c r="U10" s="144"/>
      <c r="V10" s="15"/>
      <c r="W10" s="12"/>
      <c r="X10" s="12"/>
      <c r="Y10" s="12"/>
      <c r="Z10" s="12"/>
      <c r="AA10" s="12"/>
      <c r="AB10" s="12"/>
      <c r="AC10" s="12"/>
      <c r="AD10" s="12"/>
      <c r="AE10" s="12"/>
      <c r="AF10" s="12"/>
    </row>
    <row r="11" spans="1:32" s="16" customFormat="1" ht="39.6" customHeight="1">
      <c r="A11" s="14"/>
      <c r="B11" s="844"/>
      <c r="C11" s="846"/>
      <c r="D11" s="816"/>
      <c r="E11" s="816"/>
      <c r="F11" s="816"/>
      <c r="G11" s="816"/>
      <c r="H11" s="816"/>
      <c r="I11" s="816"/>
      <c r="J11" s="813"/>
      <c r="K11" s="813"/>
      <c r="L11" s="813"/>
      <c r="M11" s="813"/>
      <c r="N11" s="850"/>
      <c r="O11" s="813"/>
      <c r="P11" s="813"/>
      <c r="Q11" s="848"/>
      <c r="R11" s="120"/>
      <c r="S11" s="120"/>
      <c r="T11" s="143"/>
      <c r="U11" s="144"/>
      <c r="V11" s="15"/>
      <c r="W11" s="12"/>
      <c r="X11" s="12"/>
      <c r="Y11" s="12"/>
      <c r="Z11" s="12"/>
      <c r="AA11" s="12"/>
      <c r="AB11" s="12"/>
      <c r="AC11" s="12"/>
      <c r="AD11" s="12"/>
      <c r="AE11" s="12"/>
      <c r="AF11" s="12"/>
    </row>
    <row r="12" spans="1:32" s="73" customFormat="1" ht="21" customHeight="1">
      <c r="A12" s="64"/>
      <c r="B12" s="109"/>
      <c r="C12" s="65" t="s">
        <v>1437</v>
      </c>
      <c r="D12" s="77"/>
      <c r="E12" s="78"/>
      <c r="F12" s="79">
        <v>15</v>
      </c>
      <c r="G12" s="860">
        <v>0.6</v>
      </c>
      <c r="H12" s="861"/>
      <c r="I12" s="862"/>
      <c r="J12" s="66"/>
      <c r="K12" s="108"/>
      <c r="L12" s="67"/>
      <c r="M12" s="68"/>
      <c r="N12" s="93">
        <f>F12*G12</f>
        <v>9</v>
      </c>
      <c r="O12" s="111" t="str">
        <f>L17</f>
        <v>un</v>
      </c>
      <c r="P12" s="215">
        <v>13</v>
      </c>
      <c r="Q12" s="94"/>
      <c r="R12" s="71"/>
      <c r="S12" s="71"/>
      <c r="T12" s="152"/>
      <c r="U12" s="153"/>
      <c r="V12" s="72"/>
      <c r="W12" s="71"/>
      <c r="X12" s="74"/>
    </row>
    <row r="13" spans="1:32" s="73" customFormat="1" ht="21" customHeight="1">
      <c r="A13" s="64"/>
      <c r="B13" s="109"/>
      <c r="C13" s="65"/>
      <c r="D13" s="77"/>
      <c r="E13" s="78"/>
      <c r="F13" s="79"/>
      <c r="G13" s="77"/>
      <c r="H13" s="78"/>
      <c r="I13" s="79"/>
      <c r="J13" s="66"/>
      <c r="K13" s="108"/>
      <c r="L13" s="67"/>
      <c r="M13" s="68"/>
      <c r="N13" s="70"/>
      <c r="O13" s="111"/>
      <c r="P13" s="215"/>
      <c r="Q13" s="94"/>
      <c r="R13" s="71"/>
      <c r="S13" s="71"/>
      <c r="T13" s="152"/>
      <c r="U13" s="153"/>
      <c r="V13" s="72"/>
      <c r="W13" s="71"/>
      <c r="X13" s="74"/>
    </row>
    <row r="14" spans="1:32" s="73" customFormat="1" ht="21" customHeight="1">
      <c r="A14" s="64"/>
      <c r="B14" s="109"/>
      <c r="C14" s="65"/>
      <c r="D14" s="77"/>
      <c r="E14" s="78"/>
      <c r="F14" s="79"/>
      <c r="G14" s="77"/>
      <c r="H14" s="78"/>
      <c r="I14" s="79"/>
      <c r="J14" s="66"/>
      <c r="K14" s="108"/>
      <c r="L14" s="67"/>
      <c r="M14" s="68"/>
      <c r="N14" s="70"/>
      <c r="O14" s="111"/>
      <c r="P14" s="215"/>
      <c r="Q14" s="94"/>
      <c r="R14" s="71"/>
      <c r="S14" s="71"/>
      <c r="T14" s="152"/>
      <c r="U14" s="153"/>
      <c r="V14" s="72"/>
      <c r="W14" s="71"/>
      <c r="X14" s="74"/>
    </row>
    <row r="15" spans="1:32" s="73" customFormat="1" ht="21" customHeight="1">
      <c r="A15" s="64"/>
      <c r="B15" s="109"/>
      <c r="C15" s="65"/>
      <c r="D15" s="77"/>
      <c r="E15" s="78"/>
      <c r="F15" s="79"/>
      <c r="G15" s="77"/>
      <c r="H15" s="78"/>
      <c r="I15" s="79"/>
      <c r="J15" s="66"/>
      <c r="K15" s="108"/>
      <c r="L15" s="67"/>
      <c r="M15" s="68"/>
      <c r="N15" s="70"/>
      <c r="O15" s="111"/>
      <c r="P15" s="215"/>
      <c r="Q15" s="94"/>
      <c r="R15" s="71"/>
      <c r="S15" s="71"/>
      <c r="T15" s="152"/>
      <c r="U15" s="153"/>
      <c r="V15" s="72"/>
      <c r="W15" s="71"/>
      <c r="X15" s="74"/>
    </row>
    <row r="16" spans="1:32" s="73" customFormat="1" ht="21" customHeight="1">
      <c r="A16" s="64"/>
      <c r="B16" s="109"/>
      <c r="C16" s="65"/>
      <c r="D16" s="77"/>
      <c r="E16" s="78"/>
      <c r="F16" s="79"/>
      <c r="G16" s="77"/>
      <c r="H16" s="78"/>
      <c r="I16" s="79"/>
      <c r="J16" s="66"/>
      <c r="K16" s="108"/>
      <c r="L16" s="67"/>
      <c r="M16" s="68"/>
      <c r="N16" s="70"/>
      <c r="O16" s="111"/>
      <c r="P16" s="215"/>
      <c r="Q16" s="94"/>
      <c r="R16" s="71"/>
      <c r="S16" s="71"/>
      <c r="T16" s="152"/>
      <c r="U16" s="153"/>
      <c r="V16" s="72"/>
      <c r="W16" s="71"/>
      <c r="X16" s="74"/>
    </row>
    <row r="17" spans="1:17" ht="39.6" customHeight="1">
      <c r="B17" s="161"/>
      <c r="C17" s="162"/>
      <c r="D17" s="806" t="s">
        <v>11</v>
      </c>
      <c r="E17" s="807"/>
      <c r="F17" s="807"/>
      <c r="G17" s="807"/>
      <c r="H17" s="807"/>
      <c r="I17" s="808"/>
      <c r="J17" s="809">
        <f>DEZ!I148</f>
        <v>15</v>
      </c>
      <c r="K17" s="810"/>
      <c r="L17" s="50" t="str">
        <f>DEZ!D148</f>
        <v>un</v>
      </c>
      <c r="M17" s="732" t="s">
        <v>12</v>
      </c>
      <c r="N17" s="61">
        <f>SUM(N12:N16)</f>
        <v>9</v>
      </c>
      <c r="O17" s="51" t="str">
        <f>L17</f>
        <v>un</v>
      </c>
      <c r="P17" s="22"/>
      <c r="Q17" s="23"/>
    </row>
    <row r="18" spans="1:17" ht="21" customHeight="1">
      <c r="B18" s="163"/>
      <c r="C18" s="19"/>
      <c r="D18" s="817" t="s">
        <v>13</v>
      </c>
      <c r="E18" s="818"/>
      <c r="F18" s="818"/>
      <c r="G18" s="818"/>
      <c r="H18" s="818"/>
      <c r="I18" s="819"/>
      <c r="J18" s="823">
        <f>N17/J17</f>
        <v>0.6</v>
      </c>
      <c r="K18" s="824"/>
      <c r="L18" s="827"/>
      <c r="M18" s="732" t="s">
        <v>34</v>
      </c>
      <c r="N18" s="734">
        <v>0</v>
      </c>
      <c r="O18" s="52" t="str">
        <f>L17</f>
        <v>un</v>
      </c>
      <c r="P18" s="22"/>
      <c r="Q18" s="23"/>
    </row>
    <row r="19" spans="1:17" ht="21" customHeight="1">
      <c r="A19" s="10" t="s">
        <v>77</v>
      </c>
      <c r="B19" s="165"/>
      <c r="C19" s="164"/>
      <c r="D19" s="820"/>
      <c r="E19" s="821"/>
      <c r="F19" s="821"/>
      <c r="G19" s="821"/>
      <c r="H19" s="821"/>
      <c r="I19" s="822"/>
      <c r="J19" s="825"/>
      <c r="K19" s="826"/>
      <c r="L19" s="828"/>
      <c r="M19" s="732" t="s">
        <v>14</v>
      </c>
      <c r="N19" s="720">
        <f>N17-N18</f>
        <v>9</v>
      </c>
      <c r="O19" s="53" t="str">
        <f>L17</f>
        <v>un</v>
      </c>
      <c r="P19" s="54"/>
      <c r="Q19" s="24"/>
    </row>
    <row r="20" spans="1:17" ht="21" customHeight="1">
      <c r="B20" s="218"/>
      <c r="C20" s="217"/>
      <c r="M20" s="732" t="s">
        <v>53</v>
      </c>
      <c r="N20" s="62">
        <f>DEZ!E148</f>
        <v>2011.04</v>
      </c>
      <c r="O20" s="53"/>
      <c r="P20" s="54"/>
      <c r="Q20" s="24"/>
    </row>
    <row r="21" spans="1:17" ht="21" customHeight="1">
      <c r="B21" s="163"/>
      <c r="C21" s="219"/>
      <c r="M21" s="732" t="s">
        <v>54</v>
      </c>
      <c r="N21" s="62">
        <f>TRUNC(N20*N19,2)</f>
        <v>18099.36</v>
      </c>
      <c r="O21" s="53" t="s">
        <v>55</v>
      </c>
      <c r="P21" s="54"/>
      <c r="Q21" s="24"/>
    </row>
  </sheetData>
  <mergeCells count="26">
    <mergeCell ref="D18:I19"/>
    <mergeCell ref="J18:K19"/>
    <mergeCell ref="L18:L19"/>
    <mergeCell ref="N10:N11"/>
    <mergeCell ref="O10:O11"/>
    <mergeCell ref="G12:I12"/>
    <mergeCell ref="D17:I17"/>
    <mergeCell ref="J17:K17"/>
    <mergeCell ref="P8:Q8"/>
    <mergeCell ref="P9:Q9"/>
    <mergeCell ref="B10:B11"/>
    <mergeCell ref="C10:C11"/>
    <mergeCell ref="D10:F11"/>
    <mergeCell ref="G10:I11"/>
    <mergeCell ref="J10:J11"/>
    <mergeCell ref="K10:K11"/>
    <mergeCell ref="L10:L11"/>
    <mergeCell ref="M10:M11"/>
    <mergeCell ref="P10:P11"/>
    <mergeCell ref="Q10:Q11"/>
    <mergeCell ref="P7:Q7"/>
    <mergeCell ref="B1:Q4"/>
    <mergeCell ref="R4:W4"/>
    <mergeCell ref="B5:I5"/>
    <mergeCell ref="J5:M5"/>
    <mergeCell ref="N5:Q5"/>
  </mergeCells>
  <conditionalFormatting sqref="J18:K21">
    <cfRule type="cellIs" dxfId="193" priority="1" operator="greaterThanOrEqual">
      <formula>1</formula>
    </cfRule>
    <cfRule type="cellIs" dxfId="192" priority="2" operator="greaterThan">
      <formula>100%</formula>
    </cfRule>
  </conditionalFormatting>
  <pageMargins left="0.51181102362204722" right="0.51181102362204722" top="0.78740157480314965" bottom="0.78740157480314965" header="0.31496062992125984" footer="0.31496062992125984"/>
  <pageSetup paperSize="9" scale="31" fitToHeight="0" orientation="landscape" r:id="rId1"/>
  <headerFooter>
    <oddFooter>Página &amp;P de &amp;N</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7F156-D5F4-47D9-9C3A-16771D08513C}">
  <sheetPr>
    <tabColor rgb="FF339933"/>
    <pageSetUpPr fitToPage="1"/>
  </sheetPr>
  <dimension ref="A1:AF21"/>
  <sheetViews>
    <sheetView view="pageBreakPreview" topLeftCell="B1" zoomScale="50" zoomScaleNormal="55" zoomScaleSheetLayoutView="50" workbookViewId="0">
      <selection activeCell="R12" sqref="R12:R1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8" width="6.7109375" style="2" customWidth="1"/>
    <col min="9" max="9" width="10.85546875" style="2" customWidth="1"/>
    <col min="10" max="10" width="15.42578125" style="2" customWidth="1"/>
    <col min="11" max="12" width="13.5703125" style="2" customWidth="1"/>
    <col min="13" max="13" width="33.140625" style="2" customWidth="1"/>
    <col min="14" max="14" width="19.7109375" style="63" customWidth="1"/>
    <col min="15" max="15" width="7.140625" style="2" customWidth="1"/>
    <col min="16" max="16" width="15.28515625" style="2" customWidth="1"/>
    <col min="17" max="17" width="38.140625" style="2" bestFit="1" customWidth="1"/>
    <col min="18" max="20" width="9.140625" style="2"/>
    <col min="21" max="21" width="9.140625" style="140"/>
    <col min="22" max="23" width="9.140625" style="2"/>
    <col min="24" max="24" width="12.7109375" style="13" customWidth="1"/>
    <col min="25" max="16384" width="9.140625" style="2"/>
  </cols>
  <sheetData>
    <row r="1" spans="1:32" ht="18.75" customHeight="1">
      <c r="B1" s="831" t="s">
        <v>851</v>
      </c>
      <c r="C1" s="832"/>
      <c r="D1" s="832"/>
      <c r="E1" s="832"/>
      <c r="F1" s="832"/>
      <c r="G1" s="832"/>
      <c r="H1" s="832"/>
      <c r="I1" s="832"/>
      <c r="J1" s="832"/>
      <c r="K1" s="832"/>
      <c r="L1" s="832"/>
      <c r="M1" s="832"/>
      <c r="N1" s="832"/>
      <c r="O1" s="832"/>
      <c r="P1" s="832"/>
      <c r="Q1" s="832"/>
    </row>
    <row r="2" spans="1:32" ht="18.75" customHeight="1">
      <c r="B2" s="832"/>
      <c r="C2" s="832"/>
      <c r="D2" s="832"/>
      <c r="E2" s="832"/>
      <c r="F2" s="832"/>
      <c r="G2" s="832"/>
      <c r="H2" s="832"/>
      <c r="I2" s="832"/>
      <c r="J2" s="832"/>
      <c r="K2" s="832"/>
      <c r="L2" s="832"/>
      <c r="M2" s="832"/>
      <c r="N2" s="832"/>
      <c r="O2" s="832"/>
      <c r="P2" s="832"/>
      <c r="Q2" s="832"/>
    </row>
    <row r="3" spans="1:32" ht="18.75" customHeight="1">
      <c r="B3" s="832"/>
      <c r="C3" s="832"/>
      <c r="D3" s="832"/>
      <c r="E3" s="832"/>
      <c r="F3" s="832"/>
      <c r="G3" s="832"/>
      <c r="H3" s="832"/>
      <c r="I3" s="832"/>
      <c r="J3" s="832"/>
      <c r="K3" s="832"/>
      <c r="L3" s="832"/>
      <c r="M3" s="832"/>
      <c r="N3" s="832"/>
      <c r="O3" s="832"/>
      <c r="P3" s="832"/>
      <c r="Q3" s="832"/>
    </row>
    <row r="4" spans="1:32" ht="18.75" customHeight="1">
      <c r="B4" s="832"/>
      <c r="C4" s="832"/>
      <c r="D4" s="832"/>
      <c r="E4" s="832"/>
      <c r="F4" s="832"/>
      <c r="G4" s="832"/>
      <c r="H4" s="832"/>
      <c r="I4" s="832"/>
      <c r="J4" s="832"/>
      <c r="K4" s="832"/>
      <c r="L4" s="832"/>
      <c r="M4" s="832"/>
      <c r="N4" s="832"/>
      <c r="O4" s="832"/>
      <c r="P4" s="832"/>
      <c r="Q4" s="832"/>
      <c r="R4" s="833"/>
      <c r="S4" s="833"/>
      <c r="T4" s="833"/>
      <c r="U4" s="833"/>
      <c r="V4" s="833"/>
      <c r="W4" s="833"/>
    </row>
    <row r="5" spans="1:32" s="21" customFormat="1" ht="15.75" customHeight="1">
      <c r="A5" s="29"/>
      <c r="B5" s="834" t="s">
        <v>5</v>
      </c>
      <c r="C5" s="835"/>
      <c r="D5" s="835"/>
      <c r="E5" s="835"/>
      <c r="F5" s="835"/>
      <c r="G5" s="835"/>
      <c r="H5" s="835"/>
      <c r="I5" s="836"/>
      <c r="J5" s="837" t="s">
        <v>6</v>
      </c>
      <c r="K5" s="838"/>
      <c r="L5" s="838"/>
      <c r="M5" s="838"/>
      <c r="N5" s="841"/>
      <c r="O5" s="841"/>
      <c r="P5" s="841"/>
      <c r="Q5" s="842"/>
      <c r="R5" s="158"/>
      <c r="S5" s="158"/>
      <c r="T5" s="158"/>
      <c r="U5" s="158"/>
      <c r="V5" s="158"/>
      <c r="W5" s="158"/>
      <c r="X5" s="30"/>
    </row>
    <row r="6" spans="1:32"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Q6" s="34"/>
      <c r="U6" s="141"/>
      <c r="X6" s="36"/>
    </row>
    <row r="7" spans="1:32" s="35" customFormat="1" ht="15.75">
      <c r="A7" s="31"/>
      <c r="B7" s="98"/>
      <c r="C7" s="145"/>
      <c r="D7" s="37"/>
      <c r="E7" s="38"/>
      <c r="F7" s="38"/>
      <c r="G7" s="37"/>
      <c r="H7" s="38"/>
      <c r="I7" s="56"/>
      <c r="J7" s="136" t="str">
        <f>DEZ!D8</f>
        <v xml:space="preserve">CONTRATO N°: </v>
      </c>
      <c r="K7" s="37"/>
      <c r="L7" s="115" t="str">
        <f>DEZ!F8</f>
        <v>06/2021</v>
      </c>
      <c r="M7" s="37"/>
      <c r="N7" s="58"/>
      <c r="O7" s="37"/>
      <c r="P7" s="829"/>
      <c r="Q7" s="830"/>
      <c r="U7" s="141"/>
      <c r="X7" s="36"/>
    </row>
    <row r="8" spans="1:32"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59"/>
      <c r="O8" s="38"/>
      <c r="P8" s="829"/>
      <c r="Q8" s="830"/>
      <c r="U8" s="141"/>
      <c r="W8" s="39"/>
      <c r="X8" s="39"/>
      <c r="Y8" s="39"/>
      <c r="Z8" s="39"/>
      <c r="AA8" s="39"/>
      <c r="AB8" s="39"/>
      <c r="AC8" s="39"/>
      <c r="AD8" s="39"/>
      <c r="AE8" s="39"/>
      <c r="AF8" s="39"/>
    </row>
    <row r="9" spans="1:32"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59"/>
      <c r="O9" s="38"/>
      <c r="P9" s="829"/>
      <c r="Q9" s="830"/>
      <c r="U9" s="141"/>
      <c r="W9" s="39"/>
      <c r="X9" s="39"/>
      <c r="Y9" s="39"/>
      <c r="Z9" s="39"/>
      <c r="AA9" s="39"/>
      <c r="AB9" s="39"/>
      <c r="AC9" s="39"/>
      <c r="AD9" s="39"/>
      <c r="AE9" s="39"/>
      <c r="AF9" s="39"/>
    </row>
    <row r="10" spans="1:32" s="16" customFormat="1" ht="24.95" customHeight="1">
      <c r="A10" s="14"/>
      <c r="B10" s="843" t="str">
        <f>DEZ!A315</f>
        <v>3.4.1.10</v>
      </c>
      <c r="C10" s="845" t="str">
        <f>DEZ!C148</f>
        <v>Defensa barra tipo "D" 150 mm L=150 cm - fornecimento e instalação</v>
      </c>
      <c r="D10" s="816" t="s">
        <v>62</v>
      </c>
      <c r="E10" s="816"/>
      <c r="F10" s="816"/>
      <c r="G10" s="816" t="s">
        <v>1436</v>
      </c>
      <c r="H10" s="816"/>
      <c r="I10" s="816"/>
      <c r="J10" s="812" t="s">
        <v>853</v>
      </c>
      <c r="K10" s="812" t="s">
        <v>855</v>
      </c>
      <c r="L10" s="812" t="s">
        <v>856</v>
      </c>
      <c r="M10" s="812"/>
      <c r="N10" s="849" t="s">
        <v>857</v>
      </c>
      <c r="O10" s="812" t="s">
        <v>10</v>
      </c>
      <c r="P10" s="812" t="s">
        <v>858</v>
      </c>
      <c r="Q10" s="847" t="s">
        <v>35</v>
      </c>
      <c r="R10" s="120"/>
      <c r="S10" s="120"/>
      <c r="T10" s="143"/>
      <c r="U10" s="144"/>
      <c r="V10" s="15"/>
      <c r="W10" s="12"/>
      <c r="X10" s="12"/>
      <c r="Y10" s="12"/>
      <c r="Z10" s="12"/>
      <c r="AA10" s="12"/>
      <c r="AB10" s="12"/>
      <c r="AC10" s="12"/>
      <c r="AD10" s="12"/>
      <c r="AE10" s="12"/>
      <c r="AF10" s="12"/>
    </row>
    <row r="11" spans="1:32" s="16" customFormat="1" ht="39.6" customHeight="1">
      <c r="A11" s="14"/>
      <c r="B11" s="844"/>
      <c r="C11" s="846"/>
      <c r="D11" s="816"/>
      <c r="E11" s="816"/>
      <c r="F11" s="816"/>
      <c r="G11" s="816"/>
      <c r="H11" s="816"/>
      <c r="I11" s="816"/>
      <c r="J11" s="813"/>
      <c r="K11" s="813"/>
      <c r="L11" s="813"/>
      <c r="M11" s="813"/>
      <c r="N11" s="850"/>
      <c r="O11" s="813"/>
      <c r="P11" s="813"/>
      <c r="Q11" s="848"/>
      <c r="R11" s="120"/>
      <c r="S11" s="120"/>
      <c r="T11" s="143"/>
      <c r="U11" s="144"/>
      <c r="V11" s="15"/>
      <c r="W11" s="12"/>
      <c r="X11" s="12"/>
      <c r="Y11" s="12"/>
      <c r="Z11" s="12"/>
      <c r="AA11" s="12"/>
      <c r="AB11" s="12"/>
      <c r="AC11" s="12"/>
      <c r="AD11" s="12"/>
      <c r="AE11" s="12"/>
      <c r="AF11" s="12"/>
    </row>
    <row r="12" spans="1:32" s="73" customFormat="1" ht="21" customHeight="1">
      <c r="A12" s="64"/>
      <c r="B12" s="109"/>
      <c r="C12" s="65" t="s">
        <v>1437</v>
      </c>
      <c r="D12" s="77"/>
      <c r="E12" s="78"/>
      <c r="F12" s="79">
        <v>15</v>
      </c>
      <c r="G12" s="860">
        <v>0.6</v>
      </c>
      <c r="H12" s="861"/>
      <c r="I12" s="862"/>
      <c r="J12" s="66"/>
      <c r="K12" s="108"/>
      <c r="L12" s="67"/>
      <c r="M12" s="68"/>
      <c r="N12" s="93">
        <f>F12*G12</f>
        <v>9</v>
      </c>
      <c r="O12" s="111" t="str">
        <f>L17</f>
        <v>un</v>
      </c>
      <c r="P12" s="215">
        <v>13</v>
      </c>
      <c r="Q12" s="94"/>
      <c r="R12" s="71"/>
      <c r="S12" s="71"/>
      <c r="T12" s="152"/>
      <c r="U12" s="153"/>
      <c r="V12" s="72"/>
      <c r="W12" s="71"/>
      <c r="X12" s="74"/>
    </row>
    <row r="13" spans="1:32" s="73" customFormat="1" ht="21" customHeight="1">
      <c r="A13" s="64"/>
      <c r="B13" s="109"/>
      <c r="C13" s="65"/>
      <c r="D13" s="77"/>
      <c r="E13" s="78"/>
      <c r="F13" s="79"/>
      <c r="G13" s="77"/>
      <c r="H13" s="78"/>
      <c r="I13" s="79"/>
      <c r="J13" s="66"/>
      <c r="K13" s="108"/>
      <c r="L13" s="67"/>
      <c r="M13" s="68"/>
      <c r="N13" s="70"/>
      <c r="O13" s="111"/>
      <c r="P13" s="215"/>
      <c r="Q13" s="94"/>
      <c r="R13" s="71"/>
      <c r="S13" s="71"/>
      <c r="T13" s="152"/>
      <c r="U13" s="153"/>
      <c r="V13" s="72"/>
      <c r="W13" s="71"/>
      <c r="X13" s="74"/>
    </row>
    <row r="14" spans="1:32" s="73" customFormat="1" ht="21" customHeight="1">
      <c r="A14" s="64"/>
      <c r="B14" s="109"/>
      <c r="C14" s="65"/>
      <c r="D14" s="77"/>
      <c r="E14" s="78"/>
      <c r="F14" s="79"/>
      <c r="G14" s="77"/>
      <c r="H14" s="78"/>
      <c r="I14" s="79"/>
      <c r="J14" s="66"/>
      <c r="K14" s="108"/>
      <c r="L14" s="67"/>
      <c r="M14" s="68"/>
      <c r="N14" s="70"/>
      <c r="O14" s="111"/>
      <c r="P14" s="215"/>
      <c r="Q14" s="94"/>
      <c r="R14" s="71"/>
      <c r="S14" s="71"/>
      <c r="T14" s="152"/>
      <c r="U14" s="153"/>
      <c r="V14" s="72"/>
      <c r="W14" s="71"/>
      <c r="X14" s="74"/>
    </row>
    <row r="15" spans="1:32" s="73" customFormat="1" ht="21" customHeight="1">
      <c r="A15" s="64"/>
      <c r="B15" s="109"/>
      <c r="C15" s="65"/>
      <c r="D15" s="77"/>
      <c r="E15" s="78"/>
      <c r="F15" s="79"/>
      <c r="G15" s="77"/>
      <c r="H15" s="78"/>
      <c r="I15" s="79"/>
      <c r="J15" s="66"/>
      <c r="K15" s="108"/>
      <c r="L15" s="67"/>
      <c r="M15" s="68"/>
      <c r="N15" s="70"/>
      <c r="O15" s="111"/>
      <c r="P15" s="215"/>
      <c r="Q15" s="94"/>
      <c r="R15" s="71"/>
      <c r="S15" s="71"/>
      <c r="T15" s="152"/>
      <c r="U15" s="153"/>
      <c r="V15" s="72"/>
      <c r="W15" s="71"/>
      <c r="X15" s="74"/>
    </row>
    <row r="16" spans="1:32" s="73" customFormat="1" ht="21" customHeight="1">
      <c r="A16" s="64"/>
      <c r="B16" s="109"/>
      <c r="C16" s="65"/>
      <c r="D16" s="77"/>
      <c r="E16" s="78"/>
      <c r="F16" s="79"/>
      <c r="G16" s="77"/>
      <c r="H16" s="78"/>
      <c r="I16" s="79"/>
      <c r="J16" s="66"/>
      <c r="K16" s="108"/>
      <c r="L16" s="67"/>
      <c r="M16" s="68"/>
      <c r="N16" s="70"/>
      <c r="O16" s="111"/>
      <c r="P16" s="215"/>
      <c r="Q16" s="94"/>
      <c r="R16" s="71"/>
      <c r="S16" s="71"/>
      <c r="T16" s="152"/>
      <c r="U16" s="153"/>
      <c r="V16" s="72"/>
      <c r="W16" s="71"/>
      <c r="X16" s="74"/>
    </row>
    <row r="17" spans="1:17" ht="39.6" customHeight="1">
      <c r="B17" s="161"/>
      <c r="C17" s="162"/>
      <c r="D17" s="806" t="s">
        <v>11</v>
      </c>
      <c r="E17" s="807"/>
      <c r="F17" s="807"/>
      <c r="G17" s="807"/>
      <c r="H17" s="807"/>
      <c r="I17" s="808"/>
      <c r="J17" s="809">
        <f>DEZ!I148</f>
        <v>15</v>
      </c>
      <c r="K17" s="810"/>
      <c r="L17" s="50" t="str">
        <f>DEZ!D148</f>
        <v>un</v>
      </c>
      <c r="M17" s="732" t="s">
        <v>12</v>
      </c>
      <c r="N17" s="61">
        <f>SUM(N12:N16)</f>
        <v>9</v>
      </c>
      <c r="O17" s="51" t="str">
        <f>L17</f>
        <v>un</v>
      </c>
      <c r="P17" s="22"/>
      <c r="Q17" s="23"/>
    </row>
    <row r="18" spans="1:17" ht="21" customHeight="1">
      <c r="B18" s="163"/>
      <c r="C18" s="19"/>
      <c r="D18" s="817" t="s">
        <v>13</v>
      </c>
      <c r="E18" s="818"/>
      <c r="F18" s="818"/>
      <c r="G18" s="818"/>
      <c r="H18" s="818"/>
      <c r="I18" s="819"/>
      <c r="J18" s="823">
        <f>N17/J17</f>
        <v>0.6</v>
      </c>
      <c r="K18" s="824"/>
      <c r="L18" s="827"/>
      <c r="M18" s="732" t="s">
        <v>34</v>
      </c>
      <c r="N18" s="734">
        <f>N12</f>
        <v>9</v>
      </c>
      <c r="O18" s="52" t="str">
        <f>L17</f>
        <v>un</v>
      </c>
      <c r="P18" s="22"/>
      <c r="Q18" s="23"/>
    </row>
    <row r="19" spans="1:17" ht="21" customHeight="1">
      <c r="A19" s="10" t="s">
        <v>77</v>
      </c>
      <c r="B19" s="165"/>
      <c r="C19" s="164"/>
      <c r="D19" s="820"/>
      <c r="E19" s="821"/>
      <c r="F19" s="821"/>
      <c r="G19" s="821"/>
      <c r="H19" s="821"/>
      <c r="I19" s="822"/>
      <c r="J19" s="825"/>
      <c r="K19" s="826"/>
      <c r="L19" s="828"/>
      <c r="M19" s="732" t="s">
        <v>14</v>
      </c>
      <c r="N19" s="720">
        <f>N17-N18</f>
        <v>0</v>
      </c>
      <c r="O19" s="53" t="str">
        <f>L17</f>
        <v>un</v>
      </c>
      <c r="P19" s="54"/>
      <c r="Q19" s="24"/>
    </row>
    <row r="20" spans="1:17" ht="21" customHeight="1">
      <c r="B20" s="218"/>
      <c r="C20" s="217"/>
      <c r="M20" s="732" t="s">
        <v>53</v>
      </c>
      <c r="N20" s="62">
        <f>DEZ!E148</f>
        <v>2011.04</v>
      </c>
      <c r="O20" s="53"/>
      <c r="P20" s="54"/>
      <c r="Q20" s="24"/>
    </row>
    <row r="21" spans="1:17" ht="21" customHeight="1">
      <c r="B21" s="163"/>
      <c r="C21" s="219"/>
      <c r="M21" s="732" t="s">
        <v>54</v>
      </c>
      <c r="N21" s="62">
        <f>TRUNC(N20*N19,2)</f>
        <v>0</v>
      </c>
      <c r="O21" s="53" t="s">
        <v>55</v>
      </c>
      <c r="P21" s="54"/>
      <c r="Q21" s="24"/>
    </row>
  </sheetData>
  <mergeCells count="26">
    <mergeCell ref="L18:L19"/>
    <mergeCell ref="N10:N11"/>
    <mergeCell ref="O10:O11"/>
    <mergeCell ref="G12:I12"/>
    <mergeCell ref="D17:I17"/>
    <mergeCell ref="J17:K17"/>
    <mergeCell ref="D18:I19"/>
    <mergeCell ref="J18:K19"/>
    <mergeCell ref="P8:Q8"/>
    <mergeCell ref="P9:Q9"/>
    <mergeCell ref="B10:B11"/>
    <mergeCell ref="C10:C11"/>
    <mergeCell ref="D10:F11"/>
    <mergeCell ref="G10:I11"/>
    <mergeCell ref="J10:J11"/>
    <mergeCell ref="K10:K11"/>
    <mergeCell ref="L10:L11"/>
    <mergeCell ref="M10:M11"/>
    <mergeCell ref="P10:P11"/>
    <mergeCell ref="Q10:Q11"/>
    <mergeCell ref="P7:Q7"/>
    <mergeCell ref="B1:Q4"/>
    <mergeCell ref="R4:W4"/>
    <mergeCell ref="B5:I5"/>
    <mergeCell ref="J5:M5"/>
    <mergeCell ref="N5:Q5"/>
  </mergeCells>
  <conditionalFormatting sqref="J18:K21">
    <cfRule type="cellIs" dxfId="191" priority="1" operator="greaterThanOrEqual">
      <formula>1</formula>
    </cfRule>
    <cfRule type="cellIs" dxfId="190" priority="2" operator="greaterThan">
      <formula>100%</formula>
    </cfRule>
  </conditionalFormatting>
  <pageMargins left="0.51181102362204722" right="0.51181102362204722" top="0.78740157480314965" bottom="0.78740157480314965" header="0.31496062992125984" footer="0.31496062992125984"/>
  <pageSetup paperSize="9" scale="31" fitToHeight="0" orientation="landscape" r:id="rId1"/>
  <headerFooter>
    <oddFooter>Página &amp;P de &amp;N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ilha91">
    <tabColor rgb="FF339933"/>
    <pageSetUpPr fitToPage="1"/>
  </sheetPr>
  <dimension ref="A1:AJ23"/>
  <sheetViews>
    <sheetView view="pageBreakPreview" topLeftCell="G1" zoomScale="50" zoomScaleNormal="55" zoomScaleSheetLayoutView="50"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2" width="13.5703125" style="2" customWidth="1"/>
    <col min="13" max="13" width="12.28515625" style="2" customWidth="1"/>
    <col min="14" max="14" width="13.5703125" style="2" hidden="1" customWidth="1"/>
    <col min="15"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A21</f>
        <v>3.5.1.1</v>
      </c>
      <c r="C10" s="845" t="str">
        <f>CONCATENATE(VLOOKUP(A21,DEZ!$A$2:$S$731,2,FALSE)," - ",VLOOKUP(A21,DEZ!$A$2:$S$731,3,FALSE))</f>
        <v>COMP22 - Passarela metálica conforme especificações de projeto - fornecimento e instalação</v>
      </c>
      <c r="D10" s="816" t="s">
        <v>901</v>
      </c>
      <c r="E10" s="816"/>
      <c r="F10" s="816"/>
      <c r="G10" s="816" t="s">
        <v>33</v>
      </c>
      <c r="H10" s="816"/>
      <c r="I10" s="816"/>
      <c r="J10" s="812" t="s">
        <v>1373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1377</v>
      </c>
      <c r="D12" s="860"/>
      <c r="E12" s="861"/>
      <c r="F12" s="862"/>
      <c r="G12" s="77"/>
      <c r="H12" s="78"/>
      <c r="I12" s="79"/>
      <c r="J12" s="715">
        <v>0.5</v>
      </c>
      <c r="K12" s="81"/>
      <c r="L12" s="82"/>
      <c r="M12" s="83">
        <v>1</v>
      </c>
      <c r="N12" s="105"/>
      <c r="O12" s="84"/>
      <c r="P12" s="82"/>
      <c r="Q12" s="93"/>
      <c r="R12" s="85">
        <f>M12*J12</f>
        <v>0.5</v>
      </c>
      <c r="S12" s="111" t="s">
        <v>59</v>
      </c>
      <c r="T12" s="215">
        <v>10</v>
      </c>
      <c r="U12" s="91"/>
      <c r="V12" s="71"/>
      <c r="W12" s="71"/>
      <c r="X12" s="152"/>
      <c r="Y12" s="153"/>
      <c r="Z12" s="72"/>
    </row>
    <row r="13" spans="1:36" s="73" customFormat="1" ht="21" customHeight="1">
      <c r="A13" s="64"/>
      <c r="B13" s="109"/>
      <c r="C13" s="76" t="s">
        <v>1377</v>
      </c>
      <c r="D13" s="185"/>
      <c r="E13" s="187"/>
      <c r="F13" s="186"/>
      <c r="G13" s="185"/>
      <c r="H13" s="187"/>
      <c r="I13" s="186"/>
      <c r="J13" s="715">
        <v>0.2</v>
      </c>
      <c r="K13" s="177"/>
      <c r="L13" s="178"/>
      <c r="M13" s="83">
        <v>1</v>
      </c>
      <c r="N13" s="180"/>
      <c r="O13" s="181"/>
      <c r="P13" s="178"/>
      <c r="Q13" s="182"/>
      <c r="R13" s="85">
        <f>M13*J13</f>
        <v>0.2</v>
      </c>
      <c r="S13" s="111" t="s">
        <v>59</v>
      </c>
      <c r="T13" s="215">
        <v>11</v>
      </c>
      <c r="U13" s="94"/>
      <c r="V13" s="71"/>
      <c r="W13" s="71"/>
      <c r="X13" s="152"/>
      <c r="Y13" s="153"/>
      <c r="Z13" s="72"/>
    </row>
    <row r="14" spans="1:36" s="73" customFormat="1" ht="21" customHeight="1">
      <c r="A14" s="64"/>
      <c r="B14" s="109"/>
      <c r="C14" s="76" t="s">
        <v>1423</v>
      </c>
      <c r="D14" s="77"/>
      <c r="E14" s="78"/>
      <c r="F14" s="79"/>
      <c r="G14" s="77"/>
      <c r="H14" s="78"/>
      <c r="I14" s="79"/>
      <c r="J14" s="715">
        <v>0.2</v>
      </c>
      <c r="K14" s="81"/>
      <c r="L14" s="82"/>
      <c r="M14" s="83">
        <v>1</v>
      </c>
      <c r="N14" s="105"/>
      <c r="O14" s="84"/>
      <c r="P14" s="82"/>
      <c r="Q14" s="93"/>
      <c r="R14" s="85">
        <f>M14*J14</f>
        <v>0.2</v>
      </c>
      <c r="S14" s="111" t="s">
        <v>59</v>
      </c>
      <c r="T14" s="215">
        <v>12</v>
      </c>
      <c r="U14" s="94"/>
      <c r="V14" s="71"/>
      <c r="W14" s="71"/>
      <c r="X14" s="152"/>
      <c r="Y14" s="153"/>
      <c r="Z14" s="72"/>
    </row>
    <row r="15" spans="1:36" s="73" customFormat="1" ht="21" customHeight="1">
      <c r="A15" s="64"/>
      <c r="B15" s="109"/>
      <c r="C15" s="65" t="s">
        <v>1433</v>
      </c>
      <c r="D15" s="77"/>
      <c r="E15" s="78"/>
      <c r="F15" s="79"/>
      <c r="G15" s="77"/>
      <c r="H15" s="78"/>
      <c r="I15" s="79"/>
      <c r="J15" s="715">
        <v>0.1</v>
      </c>
      <c r="K15" s="108"/>
      <c r="L15" s="67"/>
      <c r="M15" s="83">
        <v>1</v>
      </c>
      <c r="N15" s="110"/>
      <c r="O15" s="69"/>
      <c r="P15" s="67"/>
      <c r="Q15" s="106"/>
      <c r="R15" s="85">
        <f>M15*J15</f>
        <v>0.1</v>
      </c>
      <c r="S15" s="111" t="s">
        <v>59</v>
      </c>
      <c r="T15" s="215">
        <v>13</v>
      </c>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ht="39.6" customHeight="1">
      <c r="B19" s="161"/>
      <c r="C19" s="162"/>
      <c r="D19" s="806" t="s">
        <v>11</v>
      </c>
      <c r="E19" s="807"/>
      <c r="F19" s="807"/>
      <c r="G19" s="807"/>
      <c r="H19" s="807"/>
      <c r="I19" s="808"/>
      <c r="J19" s="809">
        <f>VLOOKUP(A21,DEZ!$A$2:$S$731,6,FALSE)</f>
        <v>1</v>
      </c>
      <c r="K19" s="810"/>
      <c r="L19" s="50" t="str">
        <f>VLOOKUP(A21,DEZ!$A$2:$S$731,4,FALSE)</f>
        <v>und</v>
      </c>
      <c r="M19" s="803" t="s">
        <v>12</v>
      </c>
      <c r="N19" s="811"/>
      <c r="O19" s="811"/>
      <c r="P19" s="811"/>
      <c r="Q19" s="805"/>
      <c r="R19" s="61">
        <f>SUM(R12:R18)</f>
        <v>0.99999999999999989</v>
      </c>
      <c r="S19" s="51" t="str">
        <f>L19</f>
        <v>und</v>
      </c>
      <c r="T19" s="22"/>
      <c r="U19" s="23"/>
    </row>
    <row r="20" spans="1:28" ht="21" customHeight="1">
      <c r="B20" s="163"/>
      <c r="C20" s="19"/>
      <c r="D20" s="817" t="s">
        <v>13</v>
      </c>
      <c r="E20" s="818"/>
      <c r="F20" s="818"/>
      <c r="G20" s="818"/>
      <c r="H20" s="818"/>
      <c r="I20" s="819"/>
      <c r="J20" s="823">
        <f>R19/J19</f>
        <v>0.99999999999999989</v>
      </c>
      <c r="K20" s="824"/>
      <c r="L20" s="827"/>
      <c r="M20" s="803" t="s">
        <v>34</v>
      </c>
      <c r="N20" s="804"/>
      <c r="O20" s="804"/>
      <c r="P20" s="804"/>
      <c r="Q20" s="805"/>
      <c r="R20" s="61">
        <f>SUM(R12:R15)</f>
        <v>0.99999999999999989</v>
      </c>
      <c r="S20" s="52" t="str">
        <f>L19</f>
        <v>und</v>
      </c>
      <c r="T20" s="22"/>
      <c r="U20" s="23"/>
    </row>
    <row r="21" spans="1:28" ht="21" customHeight="1">
      <c r="A21" s="10" t="s">
        <v>506</v>
      </c>
      <c r="B21" s="165"/>
      <c r="C21" s="164"/>
      <c r="D21" s="820"/>
      <c r="E21" s="821"/>
      <c r="F21" s="821"/>
      <c r="G21" s="821"/>
      <c r="H21" s="821"/>
      <c r="I21" s="822"/>
      <c r="J21" s="825"/>
      <c r="K21" s="826"/>
      <c r="L21" s="828"/>
      <c r="M21" s="803" t="s">
        <v>14</v>
      </c>
      <c r="N21" s="804"/>
      <c r="O21" s="804"/>
      <c r="P21" s="804"/>
      <c r="Q21" s="805"/>
      <c r="R21" s="62">
        <f>R19-R20</f>
        <v>0</v>
      </c>
      <c r="S21" s="53" t="str">
        <f>L19</f>
        <v>und</v>
      </c>
      <c r="T21" s="54"/>
      <c r="U21" s="24"/>
    </row>
    <row r="22" spans="1:28" ht="21" customHeight="1">
      <c r="B22" s="218"/>
      <c r="C22" s="217"/>
      <c r="M22" s="803" t="s">
        <v>53</v>
      </c>
      <c r="N22" s="804"/>
      <c r="O22" s="804"/>
      <c r="P22" s="804"/>
      <c r="Q22" s="805"/>
      <c r="R22" s="62">
        <f>DEZ!E348</f>
        <v>409453.83</v>
      </c>
      <c r="S22" s="53"/>
      <c r="T22" s="54"/>
      <c r="U22" s="24"/>
    </row>
    <row r="23" spans="1:28" ht="21" customHeight="1">
      <c r="B23" s="163"/>
      <c r="C23" s="219"/>
      <c r="M23" s="803" t="s">
        <v>54</v>
      </c>
      <c r="N23" s="804"/>
      <c r="O23" s="804"/>
      <c r="P23" s="804"/>
      <c r="Q23" s="805"/>
      <c r="R23" s="62">
        <f>TRUNC(R22*R21,2)</f>
        <v>0</v>
      </c>
      <c r="S23" s="53" t="s">
        <v>55</v>
      </c>
      <c r="T23" s="54"/>
      <c r="U23" s="24"/>
    </row>
  </sheetData>
  <mergeCells count="35">
    <mergeCell ref="V4:AA4"/>
    <mergeCell ref="B5:I5"/>
    <mergeCell ref="J5:O5"/>
    <mergeCell ref="P5:U5"/>
    <mergeCell ref="K10:K11"/>
    <mergeCell ref="L10:L11"/>
    <mergeCell ref="M10:M11"/>
    <mergeCell ref="T7:U7"/>
    <mergeCell ref="B1:U4"/>
    <mergeCell ref="B10:B11"/>
    <mergeCell ref="C10:C11"/>
    <mergeCell ref="D10:F11"/>
    <mergeCell ref="J10:J11"/>
    <mergeCell ref="R10:R11"/>
    <mergeCell ref="T8:U8"/>
    <mergeCell ref="T9:U9"/>
    <mergeCell ref="M23:Q23"/>
    <mergeCell ref="T10:T11"/>
    <mergeCell ref="U10:U11"/>
    <mergeCell ref="N10:N11"/>
    <mergeCell ref="O10:O11"/>
    <mergeCell ref="P10:P11"/>
    <mergeCell ref="S10:S11"/>
    <mergeCell ref="M22:Q22"/>
    <mergeCell ref="G10:I11"/>
    <mergeCell ref="D19:I19"/>
    <mergeCell ref="J19:K19"/>
    <mergeCell ref="M19:Q19"/>
    <mergeCell ref="D20:I21"/>
    <mergeCell ref="J20:K21"/>
    <mergeCell ref="L20:L21"/>
    <mergeCell ref="M20:Q20"/>
    <mergeCell ref="M21:Q21"/>
    <mergeCell ref="Q10:Q11"/>
    <mergeCell ref="D12:F12"/>
  </mergeCells>
  <conditionalFormatting sqref="J20:K23">
    <cfRule type="cellIs" dxfId="189" priority="1" operator="greaterThanOrEqual">
      <formula>1</formula>
    </cfRule>
    <cfRule type="cellIs" dxfId="188"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F354F-734C-4F7A-B85B-FB4401A756BA}">
  <sheetPr>
    <tabColor rgb="FF339933"/>
    <pageSetUpPr fitToPage="1"/>
  </sheetPr>
  <dimension ref="A1:AJ23"/>
  <sheetViews>
    <sheetView view="pageBreakPreview" topLeftCell="K1" zoomScale="50" zoomScaleNormal="55" zoomScaleSheetLayoutView="50"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2" width="13.5703125" style="2" customWidth="1"/>
    <col min="13" max="13" width="12.28515625" style="2" customWidth="1"/>
    <col min="14" max="14" width="13.5703125" style="2" hidden="1" customWidth="1"/>
    <col min="15"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DEZ!A349</f>
        <v>3.5.1.2</v>
      </c>
      <c r="C10" s="845" t="str">
        <f>DEZ!C349</f>
        <v>Içamento de passarela metálica para flutuante de apoio</v>
      </c>
      <c r="D10" s="816" t="s">
        <v>901</v>
      </c>
      <c r="E10" s="816"/>
      <c r="F10" s="816"/>
      <c r="G10" s="816" t="s">
        <v>33</v>
      </c>
      <c r="H10" s="816"/>
      <c r="I10" s="816"/>
      <c r="J10" s="812" t="s">
        <v>1373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1424</v>
      </c>
      <c r="D12" s="860"/>
      <c r="E12" s="861"/>
      <c r="F12" s="862"/>
      <c r="G12" s="77"/>
      <c r="H12" s="78"/>
      <c r="I12" s="79"/>
      <c r="J12" s="715"/>
      <c r="K12" s="81"/>
      <c r="L12" s="82"/>
      <c r="M12" s="83">
        <v>1</v>
      </c>
      <c r="N12" s="105"/>
      <c r="O12" s="84"/>
      <c r="P12" s="82"/>
      <c r="Q12" s="93"/>
      <c r="R12" s="85">
        <f>M12</f>
        <v>1</v>
      </c>
      <c r="S12" s="111" t="s">
        <v>59</v>
      </c>
      <c r="T12" s="215">
        <v>13</v>
      </c>
      <c r="U12" s="91"/>
      <c r="V12" s="71"/>
      <c r="W12" s="71"/>
      <c r="X12" s="152"/>
      <c r="Y12" s="153"/>
      <c r="Z12" s="72"/>
    </row>
    <row r="13" spans="1:36" s="73" customFormat="1" ht="21" customHeight="1">
      <c r="A13" s="64"/>
      <c r="B13" s="109"/>
      <c r="C13" s="76"/>
      <c r="D13" s="185"/>
      <c r="E13" s="187"/>
      <c r="F13" s="186"/>
      <c r="G13" s="185"/>
      <c r="H13" s="187"/>
      <c r="I13" s="186"/>
      <c r="J13" s="715"/>
      <c r="K13" s="177"/>
      <c r="L13" s="178"/>
      <c r="M13" s="83"/>
      <c r="N13" s="180"/>
      <c r="O13" s="181"/>
      <c r="P13" s="178"/>
      <c r="Q13" s="182"/>
      <c r="R13" s="85"/>
      <c r="S13" s="111"/>
      <c r="T13" s="215"/>
      <c r="U13" s="94"/>
      <c r="V13" s="71"/>
      <c r="W13" s="71"/>
      <c r="X13" s="152"/>
      <c r="Y13" s="153"/>
      <c r="Z13" s="72"/>
    </row>
    <row r="14" spans="1:36" s="73" customFormat="1" ht="21" customHeight="1">
      <c r="A14" s="64"/>
      <c r="B14" s="109"/>
      <c r="C14" s="76"/>
      <c r="D14" s="77"/>
      <c r="E14" s="78"/>
      <c r="F14" s="79"/>
      <c r="G14" s="77"/>
      <c r="H14" s="78"/>
      <c r="I14" s="79"/>
      <c r="J14" s="715"/>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ht="39.6" customHeight="1">
      <c r="B19" s="161"/>
      <c r="C19" s="162"/>
      <c r="D19" s="806" t="s">
        <v>11</v>
      </c>
      <c r="E19" s="807"/>
      <c r="F19" s="807"/>
      <c r="G19" s="807"/>
      <c r="H19" s="807"/>
      <c r="I19" s="808"/>
      <c r="J19" s="809">
        <f>DEZ!I349</f>
        <v>1</v>
      </c>
      <c r="K19" s="810"/>
      <c r="L19" s="50" t="str">
        <f>VLOOKUP(A21,DEZ!$A$2:$S$731,4,FALSE)</f>
        <v>und</v>
      </c>
      <c r="M19" s="803" t="s">
        <v>12</v>
      </c>
      <c r="N19" s="811"/>
      <c r="O19" s="811"/>
      <c r="P19" s="811"/>
      <c r="Q19" s="805"/>
      <c r="R19" s="61">
        <f>SUM(R12:R18)</f>
        <v>1</v>
      </c>
      <c r="S19" s="51" t="str">
        <f>L19</f>
        <v>und</v>
      </c>
      <c r="T19" s="22"/>
      <c r="U19" s="23"/>
    </row>
    <row r="20" spans="1:28" ht="21" customHeight="1">
      <c r="B20" s="163"/>
      <c r="C20" s="19"/>
      <c r="D20" s="817" t="s">
        <v>13</v>
      </c>
      <c r="E20" s="818"/>
      <c r="F20" s="818"/>
      <c r="G20" s="818"/>
      <c r="H20" s="818"/>
      <c r="I20" s="819"/>
      <c r="J20" s="823">
        <f>R19/J19</f>
        <v>1</v>
      </c>
      <c r="K20" s="824"/>
      <c r="L20" s="827"/>
      <c r="M20" s="803" t="s">
        <v>34</v>
      </c>
      <c r="N20" s="804"/>
      <c r="O20" s="804"/>
      <c r="P20" s="804"/>
      <c r="Q20" s="805"/>
      <c r="R20" s="61">
        <f>R12</f>
        <v>1</v>
      </c>
      <c r="S20" s="52" t="str">
        <f>L19</f>
        <v>und</v>
      </c>
      <c r="T20" s="22"/>
      <c r="U20" s="23"/>
    </row>
    <row r="21" spans="1:28" ht="21" customHeight="1">
      <c r="A21" s="10" t="s">
        <v>506</v>
      </c>
      <c r="B21" s="165"/>
      <c r="C21" s="164"/>
      <c r="D21" s="820"/>
      <c r="E21" s="821"/>
      <c r="F21" s="821"/>
      <c r="G21" s="821"/>
      <c r="H21" s="821"/>
      <c r="I21" s="822"/>
      <c r="J21" s="825"/>
      <c r="K21" s="826"/>
      <c r="L21" s="828"/>
      <c r="M21" s="803" t="s">
        <v>14</v>
      </c>
      <c r="N21" s="804"/>
      <c r="O21" s="804"/>
      <c r="P21" s="804"/>
      <c r="Q21" s="805"/>
      <c r="R21" s="62">
        <f>R19-R20</f>
        <v>0</v>
      </c>
      <c r="S21" s="53" t="str">
        <f>L19</f>
        <v>und</v>
      </c>
      <c r="T21" s="54"/>
      <c r="U21" s="24"/>
    </row>
    <row r="22" spans="1:28" ht="21" customHeight="1">
      <c r="B22" s="218"/>
      <c r="C22" s="217"/>
      <c r="M22" s="803" t="s">
        <v>53</v>
      </c>
      <c r="N22" s="804"/>
      <c r="O22" s="804"/>
      <c r="P22" s="804"/>
      <c r="Q22" s="805"/>
      <c r="R22" s="62">
        <f>DEZ!E349</f>
        <v>3812.11</v>
      </c>
      <c r="S22" s="53"/>
      <c r="T22" s="54"/>
      <c r="U22" s="24"/>
    </row>
    <row r="23" spans="1:28" ht="21" customHeight="1">
      <c r="B23" s="163"/>
      <c r="C23" s="219"/>
      <c r="M23" s="803" t="s">
        <v>54</v>
      </c>
      <c r="N23" s="804"/>
      <c r="O23" s="804"/>
      <c r="P23" s="804"/>
      <c r="Q23" s="805"/>
      <c r="R23" s="62">
        <f>TRUNC(R22*R21,2)</f>
        <v>0</v>
      </c>
      <c r="S23" s="53" t="s">
        <v>55</v>
      </c>
      <c r="T23" s="54"/>
      <c r="U23"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19:I19"/>
    <mergeCell ref="J19:K19"/>
    <mergeCell ref="M19:Q19"/>
    <mergeCell ref="N10:N11"/>
    <mergeCell ref="O10:O11"/>
    <mergeCell ref="P10:P11"/>
    <mergeCell ref="Q10:Q11"/>
    <mergeCell ref="M23:Q23"/>
    <mergeCell ref="D20:I21"/>
    <mergeCell ref="J20:K21"/>
    <mergeCell ref="L20:L21"/>
    <mergeCell ref="M20:Q20"/>
    <mergeCell ref="M21:Q21"/>
    <mergeCell ref="M22:Q22"/>
  </mergeCells>
  <conditionalFormatting sqref="J20:K23">
    <cfRule type="cellIs" dxfId="187" priority="1" operator="greaterThanOrEqual">
      <formula>1</formula>
    </cfRule>
    <cfRule type="cellIs" dxfId="186"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DF0BE-9143-490D-8424-721F57FFF3A7}">
  <sheetPr>
    <tabColor rgb="FF339933"/>
    <pageSetUpPr fitToPage="1"/>
  </sheetPr>
  <dimension ref="A1:AJ23"/>
  <sheetViews>
    <sheetView view="pageBreakPreview" topLeftCell="B1" zoomScale="50" zoomScaleNormal="55" zoomScaleSheetLayoutView="50" workbookViewId="0">
      <selection activeCell="M19" sqref="M19:R1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2" width="13.5703125" style="2" customWidth="1"/>
    <col min="13" max="13" width="12.28515625" style="2" customWidth="1"/>
    <col min="14" max="14" width="13.5703125" style="2" hidden="1" customWidth="1"/>
    <col min="15"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DEZ!A350</f>
        <v>3.5.1.3</v>
      </c>
      <c r="C10" s="845" t="str">
        <f>DEZ!C350</f>
        <v>Transporte de passarela via água, efetuado com flutuante e rebocador (Trajeto Praça do Papa - Porto de Santana/Cariacica)</v>
      </c>
      <c r="D10" s="816" t="s">
        <v>901</v>
      </c>
      <c r="E10" s="816"/>
      <c r="F10" s="816"/>
      <c r="G10" s="816" t="s">
        <v>33</v>
      </c>
      <c r="H10" s="816"/>
      <c r="I10" s="816"/>
      <c r="J10" s="812" t="s">
        <v>1373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1425</v>
      </c>
      <c r="D12" s="860"/>
      <c r="E12" s="861"/>
      <c r="F12" s="862"/>
      <c r="G12" s="77"/>
      <c r="H12" s="78"/>
      <c r="I12" s="79"/>
      <c r="J12" s="715"/>
      <c r="K12" s="81"/>
      <c r="L12" s="82"/>
      <c r="M12" s="83">
        <v>1</v>
      </c>
      <c r="N12" s="105"/>
      <c r="O12" s="84"/>
      <c r="P12" s="82"/>
      <c r="Q12" s="93"/>
      <c r="R12" s="85">
        <f>M12</f>
        <v>1</v>
      </c>
      <c r="S12" s="111" t="s">
        <v>59</v>
      </c>
      <c r="T12" s="215">
        <v>13</v>
      </c>
      <c r="U12" s="91"/>
      <c r="V12" s="71"/>
      <c r="W12" s="71"/>
      <c r="X12" s="152"/>
      <c r="Y12" s="153"/>
      <c r="Z12" s="72"/>
    </row>
    <row r="13" spans="1:36" s="73" customFormat="1" ht="21" customHeight="1">
      <c r="A13" s="64"/>
      <c r="B13" s="109"/>
      <c r="C13" s="76"/>
      <c r="D13" s="185"/>
      <c r="E13" s="187"/>
      <c r="F13" s="186"/>
      <c r="G13" s="185"/>
      <c r="H13" s="187"/>
      <c r="I13" s="186"/>
      <c r="J13" s="715"/>
      <c r="K13" s="177"/>
      <c r="L13" s="178"/>
      <c r="M13" s="83"/>
      <c r="N13" s="180"/>
      <c r="O13" s="181"/>
      <c r="P13" s="178"/>
      <c r="Q13" s="182"/>
      <c r="R13" s="85"/>
      <c r="S13" s="111"/>
      <c r="T13" s="215"/>
      <c r="U13" s="94"/>
      <c r="V13" s="71"/>
      <c r="W13" s="71"/>
      <c r="X13" s="152"/>
      <c r="Y13" s="153"/>
      <c r="Z13" s="72"/>
    </row>
    <row r="14" spans="1:36" s="73" customFormat="1" ht="21" customHeight="1">
      <c r="A14" s="64"/>
      <c r="B14" s="109"/>
      <c r="C14" s="76"/>
      <c r="D14" s="77"/>
      <c r="E14" s="78"/>
      <c r="F14" s="79"/>
      <c r="G14" s="77"/>
      <c r="H14" s="78"/>
      <c r="I14" s="79"/>
      <c r="J14" s="715"/>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ht="39.6" customHeight="1">
      <c r="B19" s="161"/>
      <c r="C19" s="162"/>
      <c r="D19" s="806" t="s">
        <v>11</v>
      </c>
      <c r="E19" s="807"/>
      <c r="F19" s="807"/>
      <c r="G19" s="807"/>
      <c r="H19" s="807"/>
      <c r="I19" s="808"/>
      <c r="J19" s="809">
        <f>DEZ!I349</f>
        <v>1</v>
      </c>
      <c r="K19" s="810"/>
      <c r="L19" s="50" t="str">
        <f>VLOOKUP(A21,DEZ!$A$2:$S$731,4,FALSE)</f>
        <v>und</v>
      </c>
      <c r="M19" s="803" t="s">
        <v>12</v>
      </c>
      <c r="N19" s="811"/>
      <c r="O19" s="811"/>
      <c r="P19" s="811"/>
      <c r="Q19" s="805"/>
      <c r="R19" s="61">
        <f>SUM(R12:R18)</f>
        <v>1</v>
      </c>
      <c r="S19" s="51" t="str">
        <f>L19</f>
        <v>und</v>
      </c>
      <c r="T19" s="22"/>
      <c r="U19" s="23"/>
    </row>
    <row r="20" spans="1:28" ht="21" customHeight="1">
      <c r="B20" s="163"/>
      <c r="C20" s="19"/>
      <c r="D20" s="817" t="s">
        <v>13</v>
      </c>
      <c r="E20" s="818"/>
      <c r="F20" s="818"/>
      <c r="G20" s="818"/>
      <c r="H20" s="818"/>
      <c r="I20" s="819"/>
      <c r="J20" s="823">
        <f>R19/J19</f>
        <v>1</v>
      </c>
      <c r="K20" s="824"/>
      <c r="L20" s="827"/>
      <c r="M20" s="803" t="s">
        <v>34</v>
      </c>
      <c r="N20" s="804"/>
      <c r="O20" s="804"/>
      <c r="P20" s="804"/>
      <c r="Q20" s="805"/>
      <c r="R20" s="61">
        <f>R12</f>
        <v>1</v>
      </c>
      <c r="S20" s="52" t="str">
        <f>L19</f>
        <v>und</v>
      </c>
      <c r="T20" s="22"/>
      <c r="U20" s="23"/>
    </row>
    <row r="21" spans="1:28" ht="21" customHeight="1">
      <c r="A21" s="10" t="s">
        <v>506</v>
      </c>
      <c r="B21" s="165"/>
      <c r="C21" s="164"/>
      <c r="D21" s="820"/>
      <c r="E21" s="821"/>
      <c r="F21" s="821"/>
      <c r="G21" s="821"/>
      <c r="H21" s="821"/>
      <c r="I21" s="822"/>
      <c r="J21" s="825"/>
      <c r="K21" s="826"/>
      <c r="L21" s="828"/>
      <c r="M21" s="803" t="s">
        <v>14</v>
      </c>
      <c r="N21" s="804"/>
      <c r="O21" s="804"/>
      <c r="P21" s="804"/>
      <c r="Q21" s="805"/>
      <c r="R21" s="62">
        <f>R19-R20</f>
        <v>0</v>
      </c>
      <c r="S21" s="53" t="str">
        <f>L19</f>
        <v>und</v>
      </c>
      <c r="T21" s="54"/>
      <c r="U21" s="24"/>
    </row>
    <row r="22" spans="1:28" ht="21" customHeight="1">
      <c r="B22" s="218"/>
      <c r="C22" s="217"/>
      <c r="M22" s="803" t="s">
        <v>53</v>
      </c>
      <c r="N22" s="804"/>
      <c r="O22" s="804"/>
      <c r="P22" s="804"/>
      <c r="Q22" s="805"/>
      <c r="R22" s="62">
        <f>DEZ!E350</f>
        <v>1735.29</v>
      </c>
      <c r="S22" s="53"/>
      <c r="T22" s="54"/>
      <c r="U22" s="24"/>
    </row>
    <row r="23" spans="1:28" ht="21" customHeight="1">
      <c r="B23" s="163"/>
      <c r="C23" s="219"/>
      <c r="M23" s="803" t="s">
        <v>54</v>
      </c>
      <c r="N23" s="804"/>
      <c r="O23" s="804"/>
      <c r="P23" s="804"/>
      <c r="Q23" s="805"/>
      <c r="R23" s="62">
        <f>TRUNC(R22*R21,2)</f>
        <v>0</v>
      </c>
      <c r="S23" s="53" t="s">
        <v>55</v>
      </c>
      <c r="T23" s="54"/>
      <c r="U23"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19:I19"/>
    <mergeCell ref="J19:K19"/>
    <mergeCell ref="M19:Q19"/>
    <mergeCell ref="N10:N11"/>
    <mergeCell ref="O10:O11"/>
    <mergeCell ref="P10:P11"/>
    <mergeCell ref="Q10:Q11"/>
    <mergeCell ref="M23:Q23"/>
    <mergeCell ref="D20:I21"/>
    <mergeCell ref="J20:K21"/>
    <mergeCell ref="L20:L21"/>
    <mergeCell ref="M20:Q20"/>
    <mergeCell ref="M21:Q21"/>
    <mergeCell ref="M22:Q22"/>
  </mergeCells>
  <conditionalFormatting sqref="J20:K23">
    <cfRule type="cellIs" dxfId="185" priority="1" operator="greaterThanOrEqual">
      <formula>1</formula>
    </cfRule>
    <cfRule type="cellIs" dxfId="184"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5">
    <tabColor rgb="FF339933"/>
    <pageSetUpPr fitToPage="1"/>
  </sheetPr>
  <dimension ref="A1:AJ31"/>
  <sheetViews>
    <sheetView view="pageBreakPreview" topLeftCell="B10" zoomScale="50" zoomScaleNormal="55" zoomScaleSheetLayoutView="50" workbookViewId="0">
      <selection activeCell="R29" sqref="R2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DEZ!A38</f>
        <v>1.1.3.3</v>
      </c>
      <c r="C10" s="845" t="str">
        <f>DEZ!C38</f>
        <v>Aluguel mensal container para refeitorio, incl. porta, 2 janelas, abert p/ ar cond., 2 pt iluminação, 2 tomadas elét. e 1 tomada telef. Isolamento térmico (paredes e teto), piso em comp. Naval pintado, cert. NR18, incl. laudo descontaminação.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952</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t="s">
        <v>943</v>
      </c>
      <c r="D13" s="77"/>
      <c r="E13" s="78"/>
      <c r="F13" s="79"/>
      <c r="G13" s="77"/>
      <c r="H13" s="78"/>
      <c r="I13" s="79"/>
      <c r="J13" s="66"/>
      <c r="K13" s="108"/>
      <c r="L13" s="67"/>
      <c r="M13" s="68">
        <v>1</v>
      </c>
      <c r="N13" s="110"/>
      <c r="O13" s="69"/>
      <c r="P13" s="67"/>
      <c r="Q13" s="106"/>
      <c r="R13" s="85">
        <f>M13</f>
        <v>1</v>
      </c>
      <c r="S13" s="111" t="s">
        <v>52</v>
      </c>
      <c r="T13" s="215">
        <v>6</v>
      </c>
      <c r="U13" s="94"/>
      <c r="V13" s="71"/>
      <c r="W13" s="71"/>
      <c r="X13" s="152"/>
      <c r="Y13" s="153"/>
      <c r="Z13" s="72"/>
      <c r="AA13" s="71"/>
      <c r="AB13" s="74"/>
    </row>
    <row r="14" spans="1:36" s="73" customFormat="1" ht="21" customHeight="1">
      <c r="A14" s="64"/>
      <c r="B14" s="109"/>
      <c r="C14" s="65" t="s">
        <v>962</v>
      </c>
      <c r="D14" s="77"/>
      <c r="E14" s="78"/>
      <c r="F14" s="79"/>
      <c r="G14" s="77"/>
      <c r="H14" s="78"/>
      <c r="I14" s="79"/>
      <c r="J14" s="66"/>
      <c r="K14" s="108"/>
      <c r="L14" s="67"/>
      <c r="M14" s="68">
        <v>1</v>
      </c>
      <c r="N14" s="110"/>
      <c r="O14" s="69"/>
      <c r="P14" s="67"/>
      <c r="Q14" s="106"/>
      <c r="R14" s="70">
        <f>M14</f>
        <v>1</v>
      </c>
      <c r="S14" s="111" t="s">
        <v>52</v>
      </c>
      <c r="T14" s="215">
        <v>6</v>
      </c>
      <c r="U14" s="94"/>
      <c r="V14" s="71"/>
      <c r="W14" s="71"/>
      <c r="X14" s="152"/>
      <c r="Y14" s="153"/>
      <c r="Z14" s="72"/>
      <c r="AA14" s="71"/>
      <c r="AB14" s="74"/>
    </row>
    <row r="15" spans="1:36" s="73" customFormat="1" ht="21" customHeight="1">
      <c r="A15" s="64"/>
      <c r="B15" s="109"/>
      <c r="C15" s="65" t="s">
        <v>982</v>
      </c>
      <c r="D15" s="77"/>
      <c r="E15" s="78"/>
      <c r="F15" s="79"/>
      <c r="G15" s="77"/>
      <c r="H15" s="78"/>
      <c r="I15" s="79"/>
      <c r="J15" s="66"/>
      <c r="K15" s="108"/>
      <c r="L15" s="67"/>
      <c r="M15" s="68">
        <v>1</v>
      </c>
      <c r="N15" s="110"/>
      <c r="O15" s="69"/>
      <c r="P15" s="67"/>
      <c r="Q15" s="106"/>
      <c r="R15" s="70">
        <f>M15</f>
        <v>1</v>
      </c>
      <c r="S15" s="111" t="s">
        <v>52</v>
      </c>
      <c r="T15" s="215">
        <v>6</v>
      </c>
      <c r="U15" s="94"/>
      <c r="V15" s="71"/>
      <c r="W15" s="71"/>
      <c r="X15" s="152"/>
      <c r="Y15" s="153"/>
      <c r="Z15" s="72"/>
      <c r="AA15" s="71"/>
      <c r="AB15" s="74"/>
    </row>
    <row r="16" spans="1:36" s="73" customFormat="1" ht="21" customHeight="1">
      <c r="A16" s="64"/>
      <c r="B16" s="109"/>
      <c r="C16" s="65" t="s">
        <v>999</v>
      </c>
      <c r="D16" s="77"/>
      <c r="E16" s="78"/>
      <c r="F16" s="79"/>
      <c r="G16" s="77"/>
      <c r="H16" s="78"/>
      <c r="I16" s="79"/>
      <c r="J16" s="66"/>
      <c r="K16" s="108"/>
      <c r="L16" s="67"/>
      <c r="M16" s="68">
        <v>1</v>
      </c>
      <c r="N16" s="110"/>
      <c r="O16" s="69"/>
      <c r="P16" s="67"/>
      <c r="Q16" s="106"/>
      <c r="R16" s="70">
        <v>1</v>
      </c>
      <c r="S16" s="111" t="s">
        <v>52</v>
      </c>
      <c r="T16" s="215">
        <v>7</v>
      </c>
      <c r="U16" s="94"/>
      <c r="V16" s="71"/>
      <c r="W16" s="71"/>
      <c r="X16" s="152"/>
      <c r="Y16" s="153"/>
      <c r="Z16" s="72"/>
      <c r="AA16" s="71"/>
      <c r="AB16" s="74"/>
    </row>
    <row r="17" spans="1:28" s="73" customFormat="1" ht="21" customHeight="1">
      <c r="A17" s="64"/>
      <c r="B17" s="109"/>
      <c r="C17" s="65" t="s">
        <v>1025</v>
      </c>
      <c r="D17" s="77"/>
      <c r="E17" s="78"/>
      <c r="F17" s="79"/>
      <c r="G17" s="77"/>
      <c r="H17" s="78"/>
      <c r="I17" s="79"/>
      <c r="J17" s="66"/>
      <c r="K17" s="108"/>
      <c r="L17" s="67"/>
      <c r="M17" s="68">
        <v>1</v>
      </c>
      <c r="N17" s="110"/>
      <c r="O17" s="69"/>
      <c r="P17" s="67"/>
      <c r="Q17" s="106"/>
      <c r="R17" s="70">
        <v>1</v>
      </c>
      <c r="S17" s="111" t="s">
        <v>52</v>
      </c>
      <c r="T17" s="215">
        <v>8</v>
      </c>
      <c r="U17" s="94"/>
      <c r="V17" s="71"/>
      <c r="W17" s="71"/>
      <c r="X17" s="152"/>
      <c r="Y17" s="153"/>
      <c r="Z17" s="72"/>
      <c r="AA17" s="71"/>
      <c r="AB17" s="74"/>
    </row>
    <row r="18" spans="1:28" s="73" customFormat="1" ht="21" customHeight="1">
      <c r="A18" s="64"/>
      <c r="B18" s="109"/>
      <c r="C18" s="65" t="s">
        <v>1362</v>
      </c>
      <c r="D18" s="77"/>
      <c r="E18" s="78"/>
      <c r="F18" s="79"/>
      <c r="G18" s="77"/>
      <c r="H18" s="78"/>
      <c r="I18" s="79"/>
      <c r="J18" s="66"/>
      <c r="K18" s="108"/>
      <c r="L18" s="67"/>
      <c r="M18" s="68">
        <v>1</v>
      </c>
      <c r="N18" s="110"/>
      <c r="O18" s="69"/>
      <c r="P18" s="67"/>
      <c r="Q18" s="106"/>
      <c r="R18" s="70">
        <f t="shared" ref="R18" si="0">M18</f>
        <v>1</v>
      </c>
      <c r="S18" s="111" t="s">
        <v>52</v>
      </c>
      <c r="T18" s="215">
        <v>9</v>
      </c>
      <c r="U18" s="94"/>
      <c r="V18" s="71"/>
      <c r="W18" s="71"/>
      <c r="X18" s="152"/>
      <c r="Y18" s="153"/>
      <c r="Z18" s="72"/>
      <c r="AA18" s="71"/>
      <c r="AB18" s="74"/>
    </row>
    <row r="19" spans="1:28" s="73" customFormat="1" ht="21" customHeight="1">
      <c r="A19" s="64"/>
      <c r="B19" s="109"/>
      <c r="C19" s="65" t="s">
        <v>1387</v>
      </c>
      <c r="D19" s="77"/>
      <c r="E19" s="78"/>
      <c r="F19" s="79"/>
      <c r="G19" s="77"/>
      <c r="H19" s="78"/>
      <c r="I19" s="79"/>
      <c r="J19" s="66"/>
      <c r="K19" s="108"/>
      <c r="L19" s="67"/>
      <c r="M19" s="68">
        <v>1</v>
      </c>
      <c r="N19" s="110"/>
      <c r="O19" s="69"/>
      <c r="P19" s="67"/>
      <c r="Q19" s="106"/>
      <c r="R19" s="70">
        <f t="shared" ref="R19" si="1">M19</f>
        <v>1</v>
      </c>
      <c r="S19" s="111" t="s">
        <v>52</v>
      </c>
      <c r="T19" s="215">
        <v>10</v>
      </c>
      <c r="U19" s="94"/>
      <c r="V19" s="71"/>
      <c r="W19" s="71"/>
      <c r="X19" s="152"/>
      <c r="Y19" s="153"/>
      <c r="Z19" s="72"/>
      <c r="AA19" s="71"/>
      <c r="AB19" s="74"/>
    </row>
    <row r="20" spans="1:28" s="73" customFormat="1" ht="21" customHeight="1">
      <c r="A20" s="64"/>
      <c r="B20" s="109"/>
      <c r="C20" s="65"/>
      <c r="D20" s="77"/>
      <c r="E20" s="78"/>
      <c r="F20" s="79"/>
      <c r="G20" s="77"/>
      <c r="H20" s="78"/>
      <c r="I20" s="79"/>
      <c r="J20" s="66"/>
      <c r="K20" s="108"/>
      <c r="L20" s="67"/>
      <c r="M20" s="68"/>
      <c r="N20" s="110"/>
      <c r="O20" s="69"/>
      <c r="P20" s="67"/>
      <c r="Q20" s="106"/>
      <c r="R20" s="70"/>
      <c r="S20" s="111"/>
      <c r="T20" s="215"/>
      <c r="U20" s="94"/>
      <c r="V20" s="71"/>
      <c r="W20" s="71"/>
      <c r="X20" s="152"/>
      <c r="Y20" s="153"/>
      <c r="Z20" s="72"/>
      <c r="AA20" s="71"/>
      <c r="AB20" s="74"/>
    </row>
    <row r="21" spans="1:28" s="90" customFormat="1" ht="21" customHeight="1">
      <c r="A21" s="75"/>
      <c r="B21" s="107"/>
      <c r="C21" s="220" t="s">
        <v>964</v>
      </c>
      <c r="D21" s="77"/>
      <c r="E21" s="78"/>
      <c r="F21" s="79"/>
      <c r="G21" s="77"/>
      <c r="H21" s="78"/>
      <c r="I21" s="79"/>
      <c r="J21" s="80"/>
      <c r="K21" s="81"/>
      <c r="L21" s="82"/>
      <c r="M21" s="83"/>
      <c r="N21" s="105"/>
      <c r="O21" s="84"/>
      <c r="P21" s="82"/>
      <c r="Q21" s="93"/>
      <c r="R21" s="85"/>
      <c r="S21" s="111"/>
      <c r="T21" s="215"/>
      <c r="U21" s="92"/>
      <c r="V21" s="86"/>
      <c r="W21" s="86"/>
      <c r="X21" s="86"/>
      <c r="Y21" s="151"/>
      <c r="Z21" s="87"/>
      <c r="AA21" s="88"/>
      <c r="AB21" s="89"/>
    </row>
    <row r="22" spans="1:28" s="90" customFormat="1" ht="21" customHeight="1">
      <c r="A22" s="75"/>
      <c r="B22" s="157"/>
      <c r="C22" s="65" t="s">
        <v>982</v>
      </c>
      <c r="D22" s="77"/>
      <c r="E22" s="78"/>
      <c r="F22" s="79"/>
      <c r="G22" s="77"/>
      <c r="H22" s="78"/>
      <c r="I22" s="79"/>
      <c r="J22" s="66"/>
      <c r="K22" s="108"/>
      <c r="L22" s="67"/>
      <c r="M22" s="68">
        <v>1</v>
      </c>
      <c r="N22" s="110"/>
      <c r="O22" s="69"/>
      <c r="P22" s="67"/>
      <c r="Q22" s="106"/>
      <c r="R22" s="70">
        <f>M22</f>
        <v>1</v>
      </c>
      <c r="S22" s="111" t="s">
        <v>52</v>
      </c>
      <c r="T22" s="215">
        <v>6</v>
      </c>
      <c r="U22" s="92"/>
      <c r="V22" s="86"/>
      <c r="W22" s="86"/>
      <c r="X22" s="86"/>
      <c r="Y22" s="151"/>
      <c r="Z22" s="87"/>
      <c r="AA22" s="88"/>
      <c r="AB22" s="89"/>
    </row>
    <row r="23" spans="1:28" s="90" customFormat="1" ht="21" customHeight="1">
      <c r="A23" s="75"/>
      <c r="B23" s="157"/>
      <c r="C23" s="65" t="s">
        <v>999</v>
      </c>
      <c r="D23" s="77"/>
      <c r="E23" s="78"/>
      <c r="F23" s="79"/>
      <c r="G23" s="77"/>
      <c r="H23" s="78"/>
      <c r="I23" s="79"/>
      <c r="J23" s="80"/>
      <c r="K23" s="81"/>
      <c r="L23" s="82"/>
      <c r="M23" s="83">
        <v>1</v>
      </c>
      <c r="N23" s="84"/>
      <c r="O23" s="155"/>
      <c r="P23" s="156"/>
      <c r="Q23" s="85"/>
      <c r="R23" s="85">
        <v>1</v>
      </c>
      <c r="S23" s="111" t="s">
        <v>52</v>
      </c>
      <c r="T23" s="215">
        <v>7</v>
      </c>
      <c r="U23" s="92"/>
      <c r="V23" s="86"/>
      <c r="W23" s="86"/>
      <c r="X23" s="86"/>
      <c r="Y23" s="151"/>
      <c r="Z23" s="87"/>
      <c r="AA23" s="88"/>
      <c r="AB23" s="89"/>
    </row>
    <row r="24" spans="1:28" s="73" customFormat="1" ht="22.5" customHeight="1">
      <c r="A24" s="64"/>
      <c r="B24" s="109"/>
      <c r="C24" s="65" t="s">
        <v>1362</v>
      </c>
      <c r="D24" s="77"/>
      <c r="E24" s="78"/>
      <c r="F24" s="79"/>
      <c r="G24" s="77"/>
      <c r="H24" s="78"/>
      <c r="I24" s="79"/>
      <c r="J24" s="66"/>
      <c r="K24" s="108"/>
      <c r="L24" s="67"/>
      <c r="M24" s="68">
        <v>1</v>
      </c>
      <c r="N24" s="110"/>
      <c r="O24" s="69"/>
      <c r="P24" s="67"/>
      <c r="Q24" s="106"/>
      <c r="R24" s="70">
        <f t="shared" ref="R24:R25" si="2">M24</f>
        <v>1</v>
      </c>
      <c r="S24" s="111" t="s">
        <v>52</v>
      </c>
      <c r="T24" s="215">
        <v>9</v>
      </c>
      <c r="U24" s="94"/>
      <c r="V24" s="71"/>
      <c r="W24" s="71"/>
      <c r="X24" s="152"/>
      <c r="Y24" s="153"/>
      <c r="Z24" s="72"/>
      <c r="AA24" s="71"/>
      <c r="AB24" s="74"/>
    </row>
    <row r="25" spans="1:28" s="73" customFormat="1" ht="21" customHeight="1">
      <c r="A25" s="64"/>
      <c r="B25" s="109"/>
      <c r="C25" s="65" t="s">
        <v>1387</v>
      </c>
      <c r="D25" s="77"/>
      <c r="E25" s="78"/>
      <c r="F25" s="79"/>
      <c r="G25" s="77"/>
      <c r="H25" s="78"/>
      <c r="I25" s="79"/>
      <c r="J25" s="66"/>
      <c r="K25" s="108"/>
      <c r="L25" s="67"/>
      <c r="M25" s="68">
        <v>1</v>
      </c>
      <c r="N25" s="110"/>
      <c r="O25" s="69"/>
      <c r="P25" s="67"/>
      <c r="Q25" s="106"/>
      <c r="R25" s="70">
        <f t="shared" si="2"/>
        <v>1</v>
      </c>
      <c r="S25" s="111" t="s">
        <v>52</v>
      </c>
      <c r="T25" s="215">
        <v>10</v>
      </c>
      <c r="U25" s="94"/>
      <c r="V25" s="71"/>
      <c r="W25" s="71"/>
      <c r="X25" s="152"/>
      <c r="Y25" s="153"/>
      <c r="Z25" s="72"/>
      <c r="AA25" s="71"/>
      <c r="AB25" s="74"/>
    </row>
    <row r="26" spans="1:28" ht="21" customHeight="1">
      <c r="B26" s="118"/>
      <c r="C26" s="65" t="s">
        <v>1388</v>
      </c>
      <c r="D26" s="26"/>
      <c r="E26" s="159"/>
      <c r="F26" s="27"/>
      <c r="G26" s="26"/>
      <c r="H26" s="159"/>
      <c r="I26" s="27"/>
      <c r="J26" s="28"/>
      <c r="K26" s="49"/>
      <c r="L26" s="40"/>
      <c r="M26" s="68">
        <v>1</v>
      </c>
      <c r="N26" s="110"/>
      <c r="O26" s="69"/>
      <c r="P26" s="67"/>
      <c r="Q26" s="106"/>
      <c r="R26" s="70">
        <f t="shared" ref="R26" si="3">M26</f>
        <v>1</v>
      </c>
      <c r="S26" s="111" t="s">
        <v>52</v>
      </c>
      <c r="T26" s="215">
        <v>10</v>
      </c>
      <c r="U26" s="117"/>
    </row>
    <row r="27" spans="1:28" ht="39.6" customHeight="1">
      <c r="B27" s="161"/>
      <c r="C27" s="162"/>
      <c r="D27" s="806" t="s">
        <v>11</v>
      </c>
      <c r="E27" s="807"/>
      <c r="F27" s="807"/>
      <c r="G27" s="807"/>
      <c r="H27" s="807"/>
      <c r="I27" s="808"/>
      <c r="J27" s="809">
        <v>12</v>
      </c>
      <c r="K27" s="810"/>
      <c r="L27" s="50" t="str">
        <f>VLOOKUP(A29,DEZ!$A$2:$S$731,4,FALSE)</f>
        <v>ms</v>
      </c>
      <c r="M27" s="803" t="s">
        <v>12</v>
      </c>
      <c r="N27" s="811"/>
      <c r="O27" s="811"/>
      <c r="P27" s="811"/>
      <c r="Q27" s="805"/>
      <c r="R27" s="61">
        <f>SUM(R12:R26)</f>
        <v>12</v>
      </c>
      <c r="S27" s="51" t="str">
        <f>L27</f>
        <v>ms</v>
      </c>
      <c r="T27" s="22"/>
      <c r="U27" s="23"/>
    </row>
    <row r="28" spans="1:28" ht="21" customHeight="1">
      <c r="B28" s="163"/>
      <c r="C28" s="19"/>
      <c r="D28" s="817" t="s">
        <v>13</v>
      </c>
      <c r="E28" s="818"/>
      <c r="F28" s="818"/>
      <c r="G28" s="818"/>
      <c r="H28" s="818"/>
      <c r="I28" s="819"/>
      <c r="J28" s="823">
        <f>R27/J27</f>
        <v>1</v>
      </c>
      <c r="K28" s="824"/>
      <c r="L28" s="827"/>
      <c r="M28" s="803" t="s">
        <v>34</v>
      </c>
      <c r="N28" s="804"/>
      <c r="O28" s="804"/>
      <c r="P28" s="804"/>
      <c r="Q28" s="805"/>
      <c r="R28" s="61">
        <f>SUM(R13:R19) + SUM(R22:R26)</f>
        <v>12</v>
      </c>
      <c r="S28" s="52" t="str">
        <f>L27</f>
        <v>ms</v>
      </c>
      <c r="T28" s="22"/>
      <c r="U28" s="23"/>
    </row>
    <row r="29" spans="1:28" ht="21" customHeight="1">
      <c r="A29" s="10" t="s">
        <v>77</v>
      </c>
      <c r="B29" s="165"/>
      <c r="C29" s="164"/>
      <c r="D29" s="820"/>
      <c r="E29" s="821"/>
      <c r="F29" s="821"/>
      <c r="G29" s="821"/>
      <c r="H29" s="821"/>
      <c r="I29" s="822"/>
      <c r="J29" s="825"/>
      <c r="K29" s="826"/>
      <c r="L29" s="828"/>
      <c r="M29" s="803" t="s">
        <v>14</v>
      </c>
      <c r="N29" s="804"/>
      <c r="O29" s="804"/>
      <c r="P29" s="804"/>
      <c r="Q29" s="805"/>
      <c r="R29" s="62">
        <f>R27-R28</f>
        <v>0</v>
      </c>
      <c r="S29" s="53" t="str">
        <f>L27</f>
        <v>ms</v>
      </c>
      <c r="T29" s="54"/>
      <c r="U29" s="24"/>
    </row>
    <row r="30" spans="1:28" ht="21" customHeight="1">
      <c r="B30" s="218"/>
      <c r="C30" s="217"/>
      <c r="M30" s="803" t="s">
        <v>53</v>
      </c>
      <c r="N30" s="804"/>
      <c r="O30" s="804"/>
      <c r="P30" s="804"/>
      <c r="Q30" s="805"/>
      <c r="R30" s="62">
        <f>DEZ!E38</f>
        <v>823.11</v>
      </c>
      <c r="S30" s="53"/>
      <c r="T30" s="54"/>
      <c r="U30" s="24"/>
    </row>
    <row r="31" spans="1:28" ht="21" customHeight="1">
      <c r="B31" s="163"/>
      <c r="C31" s="219"/>
      <c r="M31" s="803" t="s">
        <v>54</v>
      </c>
      <c r="N31" s="804"/>
      <c r="O31" s="804"/>
      <c r="P31" s="804"/>
      <c r="Q31" s="805"/>
      <c r="R31" s="62">
        <f>TRUNC(R30*R29,2)</f>
        <v>0</v>
      </c>
      <c r="S31" s="53" t="s">
        <v>55</v>
      </c>
      <c r="T31" s="54"/>
      <c r="U31" s="24"/>
    </row>
  </sheetData>
  <mergeCells count="34">
    <mergeCell ref="M30:Q30"/>
    <mergeCell ref="M31:Q31"/>
    <mergeCell ref="T10:T11"/>
    <mergeCell ref="U10:U11"/>
    <mergeCell ref="D27:I27"/>
    <mergeCell ref="J27:K27"/>
    <mergeCell ref="M27:Q27"/>
    <mergeCell ref="D28:I29"/>
    <mergeCell ref="J28:K29"/>
    <mergeCell ref="L28:L29"/>
    <mergeCell ref="M28:Q28"/>
    <mergeCell ref="M29:Q29"/>
    <mergeCell ref="N10:N11"/>
    <mergeCell ref="O10:O11"/>
    <mergeCell ref="P10:P11"/>
    <mergeCell ref="Q10:Q11"/>
    <mergeCell ref="R10:R11"/>
    <mergeCell ref="S10:S11"/>
    <mergeCell ref="T8:U8"/>
    <mergeCell ref="T9:U9"/>
    <mergeCell ref="B10:B11"/>
    <mergeCell ref="C10:C11"/>
    <mergeCell ref="D10:F11"/>
    <mergeCell ref="G10:I11"/>
    <mergeCell ref="J10:J11"/>
    <mergeCell ref="K10:K11"/>
    <mergeCell ref="L10:L11"/>
    <mergeCell ref="M10:M11"/>
    <mergeCell ref="T7:U7"/>
    <mergeCell ref="B1:U4"/>
    <mergeCell ref="V4:AA4"/>
    <mergeCell ref="B5:I5"/>
    <mergeCell ref="J5:O5"/>
    <mergeCell ref="P5:U5"/>
  </mergeCells>
  <conditionalFormatting sqref="J28:K31">
    <cfRule type="cellIs" dxfId="407" priority="1" operator="greaterThanOrEqual">
      <formula>1</formula>
    </cfRule>
    <cfRule type="cellIs" dxfId="40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B1908-5167-459A-82EC-755E7241978A}">
  <sheetPr codeName="Planilha157">
    <tabColor rgb="FF339933"/>
    <pageSetUpPr fitToPage="1"/>
  </sheetPr>
  <dimension ref="A1:AJ22"/>
  <sheetViews>
    <sheetView view="pageBreakPreview" zoomScale="50" zoomScaleNormal="55" zoomScaleSheetLayoutView="50" workbookViewId="0">
      <selection activeCell="R12" sqref="R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2.1406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DEZ!A373</f>
        <v>3.6.1.19</v>
      </c>
      <c r="C10" s="845" t="str">
        <f>DEZ!C373</f>
        <v>SISTEMA ON-GRID COM 8x PAINEL SOLAR 325 WP (2 m x 1m) OU EQUIVALENTE - FORNECIMENTO E INSTALAÇÃO</v>
      </c>
      <c r="D10" s="816" t="s">
        <v>854</v>
      </c>
      <c r="E10" s="816"/>
      <c r="F10" s="816"/>
      <c r="G10" s="816" t="s">
        <v>62</v>
      </c>
      <c r="H10" s="816"/>
      <c r="I10" s="816"/>
      <c r="J10" s="812" t="s">
        <v>1372</v>
      </c>
      <c r="K10" s="812" t="s">
        <v>855</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366</v>
      </c>
      <c r="D12" s="854"/>
      <c r="E12" s="855"/>
      <c r="F12" s="856"/>
      <c r="G12" s="851"/>
      <c r="H12" s="852"/>
      <c r="I12" s="853"/>
      <c r="J12" s="716">
        <v>1</v>
      </c>
      <c r="K12" s="81"/>
      <c r="L12" s="82"/>
      <c r="M12" s="83"/>
      <c r="N12" s="105"/>
      <c r="O12" s="84"/>
      <c r="P12" s="82"/>
      <c r="Q12" s="93"/>
      <c r="R12" s="85"/>
      <c r="S12" s="154" t="s">
        <v>59</v>
      </c>
      <c r="T12" s="215"/>
      <c r="U12" s="94"/>
      <c r="V12" s="71"/>
      <c r="W12" s="71"/>
      <c r="X12" s="152"/>
      <c r="Y12" s="153"/>
      <c r="Z12" s="72"/>
    </row>
    <row r="13" spans="1:36" s="73" customFormat="1" ht="31.9" customHeight="1">
      <c r="A13" s="64"/>
      <c r="B13" s="109"/>
      <c r="C13" s="76"/>
      <c r="D13" s="854"/>
      <c r="E13" s="855"/>
      <c r="F13" s="856"/>
      <c r="G13" s="854"/>
      <c r="H13" s="855"/>
      <c r="I13" s="856"/>
      <c r="J13" s="715"/>
      <c r="K13" s="81"/>
      <c r="L13" s="82"/>
      <c r="M13" s="83"/>
      <c r="N13" s="105"/>
      <c r="O13" s="84"/>
      <c r="P13" s="82"/>
      <c r="Q13" s="93"/>
      <c r="R13" s="85"/>
      <c r="S13" s="154"/>
      <c r="T13" s="215"/>
      <c r="U13" s="94"/>
      <c r="V13" s="71"/>
      <c r="W13" s="71"/>
      <c r="X13" s="152"/>
      <c r="Y13" s="153"/>
      <c r="Z13" s="72"/>
    </row>
    <row r="14" spans="1:36" s="73" customFormat="1" ht="21" customHeight="1">
      <c r="A14" s="64"/>
      <c r="B14" s="109"/>
      <c r="C14" s="76"/>
      <c r="D14" s="863"/>
      <c r="E14" s="864"/>
      <c r="F14" s="865"/>
      <c r="G14" s="863"/>
      <c r="H14" s="864"/>
      <c r="I14" s="865"/>
      <c r="J14" s="711"/>
      <c r="K14" s="81"/>
      <c r="L14" s="67"/>
      <c r="M14" s="68"/>
      <c r="N14" s="110"/>
      <c r="O14" s="69"/>
      <c r="P14" s="67"/>
      <c r="Q14" s="106"/>
      <c r="R14" s="85"/>
      <c r="S14" s="154"/>
      <c r="T14" s="215"/>
      <c r="U14" s="94"/>
      <c r="V14" s="71"/>
      <c r="W14" s="71"/>
      <c r="X14" s="152"/>
      <c r="Y14" s="153"/>
      <c r="Z14" s="72"/>
      <c r="AA14" s="71"/>
      <c r="AB14" s="74"/>
    </row>
    <row r="15" spans="1:36" s="73" customFormat="1" ht="21" customHeight="1">
      <c r="A15" s="64"/>
      <c r="B15" s="109"/>
      <c r="C15" s="76"/>
      <c r="D15" s="684"/>
      <c r="E15" s="78"/>
      <c r="F15" s="685"/>
      <c r="G15" s="684"/>
      <c r="H15" s="78"/>
      <c r="I15" s="685"/>
      <c r="J15" s="66"/>
      <c r="K15" s="81"/>
      <c r="L15" s="67"/>
      <c r="M15" s="68"/>
      <c r="N15" s="110"/>
      <c r="O15" s="69"/>
      <c r="P15" s="67"/>
      <c r="Q15" s="106"/>
      <c r="R15" s="85"/>
      <c r="S15" s="154"/>
      <c r="T15" s="215"/>
      <c r="U15" s="94"/>
      <c r="V15" s="71"/>
      <c r="W15" s="71"/>
      <c r="X15" s="152"/>
      <c r="Y15" s="153"/>
      <c r="Z15" s="72"/>
      <c r="AA15" s="71"/>
      <c r="AB15" s="74"/>
    </row>
    <row r="16" spans="1:36" s="73" customFormat="1" ht="21" customHeight="1">
      <c r="A16" s="64"/>
      <c r="B16" s="109"/>
      <c r="C16" s="76"/>
      <c r="D16" s="684"/>
      <c r="E16" s="78"/>
      <c r="F16" s="685"/>
      <c r="G16" s="684"/>
      <c r="H16" s="78"/>
      <c r="I16" s="685"/>
      <c r="J16" s="66"/>
      <c r="K16" s="81"/>
      <c r="L16" s="67"/>
      <c r="M16" s="68"/>
      <c r="N16" s="110"/>
      <c r="O16" s="69"/>
      <c r="P16" s="67"/>
      <c r="Q16" s="106"/>
      <c r="R16" s="85"/>
      <c r="S16" s="154"/>
      <c r="T16" s="215"/>
      <c r="U16" s="94"/>
      <c r="V16" s="71"/>
      <c r="W16" s="71"/>
      <c r="X16" s="152"/>
      <c r="Y16" s="153"/>
      <c r="Z16" s="72"/>
      <c r="AA16" s="71"/>
      <c r="AB16" s="74"/>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ht="39.6" customHeight="1">
      <c r="B18" s="161"/>
      <c r="C18" s="162"/>
      <c r="D18" s="806" t="s">
        <v>11</v>
      </c>
      <c r="E18" s="807"/>
      <c r="F18" s="807"/>
      <c r="G18" s="807"/>
      <c r="H18" s="807"/>
      <c r="I18" s="808"/>
      <c r="J18" s="809">
        <f>DEZ!I373</f>
        <v>1</v>
      </c>
      <c r="K18" s="810"/>
      <c r="L18" s="50" t="s">
        <v>72</v>
      </c>
      <c r="M18" s="803" t="s">
        <v>12</v>
      </c>
      <c r="N18" s="811"/>
      <c r="O18" s="811"/>
      <c r="P18" s="811"/>
      <c r="Q18" s="805"/>
      <c r="R18" s="61">
        <f>SUM(R12:R17)</f>
        <v>0</v>
      </c>
      <c r="S18" s="51" t="str">
        <f>L18</f>
        <v>un</v>
      </c>
      <c r="T18" s="22"/>
      <c r="U18" s="23"/>
    </row>
    <row r="19" spans="1:28" ht="21" customHeight="1">
      <c r="B19" s="163"/>
      <c r="C19" s="19"/>
      <c r="D19" s="817" t="s">
        <v>13</v>
      </c>
      <c r="E19" s="818"/>
      <c r="F19" s="818"/>
      <c r="G19" s="818"/>
      <c r="H19" s="818"/>
      <c r="I19" s="819"/>
      <c r="J19" s="823">
        <f>R18/J18</f>
        <v>0</v>
      </c>
      <c r="K19" s="824"/>
      <c r="L19" s="827"/>
      <c r="M19" s="803" t="s">
        <v>34</v>
      </c>
      <c r="N19" s="804"/>
      <c r="O19" s="804"/>
      <c r="P19" s="804"/>
      <c r="Q19" s="805"/>
      <c r="R19" s="61">
        <v>0</v>
      </c>
      <c r="S19" s="52" t="str">
        <f>L18</f>
        <v>un</v>
      </c>
      <c r="T19" s="22"/>
      <c r="U19" s="23"/>
    </row>
    <row r="20" spans="1:28" ht="21" customHeight="1">
      <c r="A20" s="10" t="s">
        <v>465</v>
      </c>
      <c r="B20" s="165"/>
      <c r="C20" s="164"/>
      <c r="D20" s="820"/>
      <c r="E20" s="821"/>
      <c r="F20" s="821"/>
      <c r="G20" s="821"/>
      <c r="H20" s="821"/>
      <c r="I20" s="822"/>
      <c r="J20" s="825"/>
      <c r="K20" s="826"/>
      <c r="L20" s="828"/>
      <c r="M20" s="803" t="s">
        <v>14</v>
      </c>
      <c r="N20" s="804"/>
      <c r="O20" s="804"/>
      <c r="P20" s="804"/>
      <c r="Q20" s="805"/>
      <c r="R20" s="62">
        <f>R18-R19</f>
        <v>0</v>
      </c>
      <c r="S20" s="53" t="str">
        <f>L18</f>
        <v>un</v>
      </c>
      <c r="T20" s="54"/>
      <c r="U20" s="24"/>
    </row>
    <row r="21" spans="1:28" ht="21" customHeight="1">
      <c r="B21" s="218"/>
      <c r="C21" s="217"/>
      <c r="M21" s="803" t="s">
        <v>53</v>
      </c>
      <c r="N21" s="804"/>
      <c r="O21" s="804"/>
      <c r="P21" s="804"/>
      <c r="Q21" s="805"/>
      <c r="R21" s="62">
        <f>DEZ!E373</f>
        <v>12903.37</v>
      </c>
      <c r="S21" s="53"/>
      <c r="T21" s="54"/>
      <c r="U21" s="24"/>
    </row>
    <row r="22" spans="1:28" ht="21" customHeight="1">
      <c r="B22" s="163"/>
      <c r="C22" s="219"/>
      <c r="M22" s="803" t="s">
        <v>54</v>
      </c>
      <c r="N22" s="804"/>
      <c r="O22" s="804"/>
      <c r="P22" s="804"/>
      <c r="Q22" s="805"/>
      <c r="R22" s="62">
        <f>TRUNC(R21*R20,2)</f>
        <v>0</v>
      </c>
      <c r="S22" s="53" t="s">
        <v>55</v>
      </c>
      <c r="T22" s="54"/>
      <c r="U22" s="24"/>
    </row>
  </sheetData>
  <mergeCells count="40">
    <mergeCell ref="M21:Q21"/>
    <mergeCell ref="M22:Q22"/>
    <mergeCell ref="D14:F14"/>
    <mergeCell ref="G14:I14"/>
    <mergeCell ref="D18:I18"/>
    <mergeCell ref="J18:K18"/>
    <mergeCell ref="M18:Q18"/>
    <mergeCell ref="D19:I20"/>
    <mergeCell ref="J19:K20"/>
    <mergeCell ref="L19:L20"/>
    <mergeCell ref="M19:Q19"/>
    <mergeCell ref="M20:Q20"/>
    <mergeCell ref="S10:S11"/>
    <mergeCell ref="N10:N11"/>
    <mergeCell ref="D12:F12"/>
    <mergeCell ref="G12:I12"/>
    <mergeCell ref="D13:F13"/>
    <mergeCell ref="G13:I13"/>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s>
  <conditionalFormatting sqref="J19:K22">
    <cfRule type="cellIs" dxfId="183" priority="1" operator="greaterThanOrEqual">
      <formula>1</formula>
    </cfRule>
    <cfRule type="cellIs" dxfId="182"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1C27D-B6A9-4CBE-8F2B-3AF981D8E7F5}">
  <sheetPr codeName="Planilha158">
    <tabColor rgb="FF339933"/>
    <pageSetUpPr fitToPage="1"/>
  </sheetPr>
  <dimension ref="A1:AJ32"/>
  <sheetViews>
    <sheetView view="pageBreakPreview" topLeftCell="J10" zoomScale="50" zoomScaleNormal="55" zoomScaleSheetLayoutView="50" workbookViewId="0">
      <selection activeCell="S12" sqref="S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A30</f>
        <v>3.5.1.1</v>
      </c>
      <c r="C10" s="845" t="str">
        <f>CONCATENATE(VLOOKUP(A30,DEZ!$A$2:$S$731,2,FALSE)," - ",VLOOKUP(A30,DEZ!$A$2:$S$731,3,FALSE))</f>
        <v>COMP22 - Passarela metálica conforme especificações de projeto - fornecimento e instalação</v>
      </c>
      <c r="D10" s="816" t="s">
        <v>901</v>
      </c>
      <c r="E10" s="816"/>
      <c r="F10" s="816"/>
      <c r="G10" s="816" t="s">
        <v>33</v>
      </c>
      <c r="H10" s="816"/>
      <c r="I10" s="816"/>
      <c r="J10" s="812" t="s">
        <v>1373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1377</v>
      </c>
      <c r="D12" s="860"/>
      <c r="E12" s="861"/>
      <c r="F12" s="862"/>
      <c r="G12" s="77"/>
      <c r="H12" s="78"/>
      <c r="I12" s="79"/>
      <c r="J12" s="715">
        <v>0.5</v>
      </c>
      <c r="K12" s="81"/>
      <c r="L12" s="82"/>
      <c r="M12" s="83">
        <v>1</v>
      </c>
      <c r="N12" s="105"/>
      <c r="O12" s="84"/>
      <c r="P12" s="82"/>
      <c r="Q12" s="93"/>
      <c r="R12" s="85"/>
      <c r="S12" s="111"/>
      <c r="T12" s="215"/>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07"/>
      <c r="C20" s="104"/>
      <c r="D20" s="77"/>
      <c r="E20" s="78"/>
      <c r="F20" s="79"/>
      <c r="G20" s="77"/>
      <c r="H20" s="78"/>
      <c r="I20" s="79"/>
      <c r="J20" s="80"/>
      <c r="K20" s="81"/>
      <c r="L20" s="82"/>
      <c r="M20" s="83"/>
      <c r="N20" s="84"/>
      <c r="O20" s="155"/>
      <c r="P20" s="156"/>
      <c r="Q20" s="85"/>
      <c r="R20" s="85"/>
      <c r="S20" s="154"/>
      <c r="T20" s="215"/>
      <c r="U20" s="92"/>
      <c r="V20" s="86"/>
      <c r="W20" s="86"/>
      <c r="X20" s="86"/>
      <c r="Y20" s="151"/>
      <c r="Z20" s="87"/>
      <c r="AA20" s="88"/>
      <c r="AB20" s="89"/>
    </row>
    <row r="21" spans="1:28" s="90" customFormat="1" ht="21" customHeight="1">
      <c r="A21" s="75"/>
      <c r="B21" s="107"/>
      <c r="C21" s="104"/>
      <c r="D21" s="77"/>
      <c r="E21" s="78"/>
      <c r="F21" s="79"/>
      <c r="G21" s="77"/>
      <c r="H21" s="78"/>
      <c r="I21" s="79"/>
      <c r="J21" s="80"/>
      <c r="K21" s="81"/>
      <c r="L21" s="82"/>
      <c r="M21" s="83"/>
      <c r="N21" s="84"/>
      <c r="O21" s="155"/>
      <c r="P21" s="156"/>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90" customFormat="1" ht="21" customHeight="1">
      <c r="A25" s="75"/>
      <c r="B25" s="157"/>
      <c r="C25" s="76"/>
      <c r="D25" s="77"/>
      <c r="E25" s="78"/>
      <c r="F25" s="79"/>
      <c r="G25" s="77"/>
      <c r="H25" s="78"/>
      <c r="I25" s="79"/>
      <c r="J25" s="80"/>
      <c r="K25" s="81"/>
      <c r="L25" s="82"/>
      <c r="M25" s="83"/>
      <c r="N25" s="84"/>
      <c r="O25" s="84"/>
      <c r="P25" s="82"/>
      <c r="Q25" s="85"/>
      <c r="R25" s="85"/>
      <c r="S25" s="154"/>
      <c r="T25" s="215"/>
      <c r="U25" s="92"/>
      <c r="V25" s="86"/>
      <c r="W25" s="86"/>
      <c r="X25" s="86"/>
      <c r="Y25" s="151"/>
      <c r="Z25" s="87"/>
      <c r="AA25" s="88"/>
      <c r="AB25" s="89"/>
    </row>
    <row r="26" spans="1:28" s="1" customFormat="1" ht="21" customHeight="1">
      <c r="A26" s="11"/>
      <c r="B26" s="25"/>
      <c r="C26" s="20"/>
      <c r="D26" s="26"/>
      <c r="E26" s="159"/>
      <c r="F26" s="27"/>
      <c r="G26" s="26"/>
      <c r="H26" s="159"/>
      <c r="I26" s="27"/>
      <c r="J26" s="28"/>
      <c r="K26" s="49"/>
      <c r="L26" s="40"/>
      <c r="M26" s="41"/>
      <c r="N26" s="160"/>
      <c r="O26" s="160"/>
      <c r="P26" s="40"/>
      <c r="Q26" s="42"/>
      <c r="R26" s="60"/>
      <c r="S26" s="43"/>
      <c r="T26" s="215"/>
      <c r="U26" s="48"/>
      <c r="V26" s="120"/>
      <c r="W26" s="120"/>
      <c r="X26" s="120"/>
      <c r="Y26" s="142"/>
      <c r="Z26" s="15"/>
      <c r="AA26" s="17"/>
      <c r="AB26" s="44"/>
    </row>
    <row r="27" spans="1:28" ht="21" customHeight="1">
      <c r="B27" s="118"/>
      <c r="C27" s="119"/>
      <c r="D27" s="26"/>
      <c r="E27" s="159"/>
      <c r="F27" s="27"/>
      <c r="G27" s="26"/>
      <c r="H27" s="159"/>
      <c r="I27" s="27"/>
      <c r="J27" s="28"/>
      <c r="K27" s="49"/>
      <c r="L27" s="40"/>
      <c r="M27" s="41"/>
      <c r="N27" s="160"/>
      <c r="O27" s="160"/>
      <c r="P27" s="40"/>
      <c r="Q27" s="42"/>
      <c r="R27" s="60"/>
      <c r="S27" s="43"/>
      <c r="T27" s="216"/>
      <c r="U27" s="117"/>
    </row>
    <row r="28" spans="1:28" ht="39.6" customHeight="1">
      <c r="B28" s="161"/>
      <c r="C28" s="162"/>
      <c r="D28" s="806" t="s">
        <v>11</v>
      </c>
      <c r="E28" s="807"/>
      <c r="F28" s="807"/>
      <c r="G28" s="807"/>
      <c r="H28" s="807"/>
      <c r="I28" s="808"/>
      <c r="J28" s="809">
        <f>VLOOKUP(A30,DEZ!$A$2:$S$731,6,FALSE)</f>
        <v>1</v>
      </c>
      <c r="K28" s="810"/>
      <c r="L28" s="50" t="str">
        <f>VLOOKUP(A30,DEZ!$A$2:$S$731,4,FALSE)</f>
        <v>und</v>
      </c>
      <c r="M28" s="803" t="s">
        <v>12</v>
      </c>
      <c r="N28" s="811"/>
      <c r="O28" s="811"/>
      <c r="P28" s="811"/>
      <c r="Q28" s="805"/>
      <c r="R28" s="61">
        <f>SUM(R12:R27)</f>
        <v>0</v>
      </c>
      <c r="S28" s="51" t="str">
        <f>L28</f>
        <v>und</v>
      </c>
      <c r="T28" s="22"/>
      <c r="U28" s="23"/>
    </row>
    <row r="29" spans="1:28" ht="21" customHeight="1">
      <c r="B29" s="163"/>
      <c r="C29" s="19"/>
      <c r="D29" s="817" t="s">
        <v>13</v>
      </c>
      <c r="E29" s="818"/>
      <c r="F29" s="818"/>
      <c r="G29" s="818"/>
      <c r="H29" s="818"/>
      <c r="I29" s="819"/>
      <c r="J29" s="823">
        <f>R28/J28</f>
        <v>0</v>
      </c>
      <c r="K29" s="824"/>
      <c r="L29" s="827"/>
      <c r="M29" s="803" t="s">
        <v>34</v>
      </c>
      <c r="N29" s="804"/>
      <c r="O29" s="804"/>
      <c r="P29" s="804"/>
      <c r="Q29" s="805"/>
      <c r="R29" s="61">
        <f>VLOOKUP(A30,DEZ!$A$2:$S$731,8,FALSE)</f>
        <v>0</v>
      </c>
      <c r="S29" s="52" t="str">
        <f>L28</f>
        <v>und</v>
      </c>
      <c r="T29" s="22"/>
      <c r="U29" s="23"/>
    </row>
    <row r="30" spans="1:28" ht="21" customHeight="1">
      <c r="A30" s="10" t="s">
        <v>506</v>
      </c>
      <c r="B30" s="165"/>
      <c r="C30" s="164"/>
      <c r="D30" s="820"/>
      <c r="E30" s="821"/>
      <c r="F30" s="821"/>
      <c r="G30" s="821"/>
      <c r="H30" s="821"/>
      <c r="I30" s="822"/>
      <c r="J30" s="825"/>
      <c r="K30" s="826"/>
      <c r="L30" s="828"/>
      <c r="M30" s="803" t="s">
        <v>14</v>
      </c>
      <c r="N30" s="804"/>
      <c r="O30" s="804"/>
      <c r="P30" s="804"/>
      <c r="Q30" s="805"/>
      <c r="R30" s="62">
        <f>R28-R29</f>
        <v>0</v>
      </c>
      <c r="S30" s="53" t="str">
        <f>L28</f>
        <v>und</v>
      </c>
      <c r="T30" s="54"/>
      <c r="U30" s="24"/>
    </row>
    <row r="31" spans="1:28" ht="21" customHeight="1">
      <c r="B31" s="218"/>
      <c r="C31" s="217"/>
      <c r="M31" s="803" t="s">
        <v>53</v>
      </c>
      <c r="N31" s="804"/>
      <c r="O31" s="804"/>
      <c r="P31" s="804"/>
      <c r="Q31" s="805"/>
      <c r="R31" s="62">
        <f>DEZ!E348</f>
        <v>409453.83</v>
      </c>
      <c r="S31" s="53"/>
      <c r="T31" s="54"/>
      <c r="U31" s="24"/>
    </row>
    <row r="32" spans="1:28" ht="21" customHeight="1">
      <c r="B32" s="163"/>
      <c r="C32" s="219"/>
      <c r="M32" s="803" t="s">
        <v>54</v>
      </c>
      <c r="N32" s="804"/>
      <c r="O32" s="804"/>
      <c r="P32" s="804"/>
      <c r="Q32" s="805"/>
      <c r="R32" s="62">
        <f>TRUNC(R31*R30,2)</f>
        <v>0</v>
      </c>
      <c r="S32" s="53" t="s">
        <v>55</v>
      </c>
      <c r="T32" s="54"/>
      <c r="U32" s="24"/>
    </row>
  </sheetData>
  <mergeCells count="35">
    <mergeCell ref="M32:Q32"/>
    <mergeCell ref="D29:I30"/>
    <mergeCell ref="J29:K30"/>
    <mergeCell ref="L29:L30"/>
    <mergeCell ref="M29:Q29"/>
    <mergeCell ref="M30:Q30"/>
    <mergeCell ref="M31:Q31"/>
    <mergeCell ref="D12:F12"/>
    <mergeCell ref="D28:I28"/>
    <mergeCell ref="J28:K28"/>
    <mergeCell ref="M28:Q28"/>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9:K32">
    <cfRule type="cellIs" dxfId="181" priority="1" operator="greaterThanOrEqual">
      <formula>1</formula>
    </cfRule>
    <cfRule type="cellIs" dxfId="180"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5E51E-4F64-4E54-891B-960782236202}">
  <sheetPr codeName="Planilha154">
    <tabColor rgb="FF339933"/>
    <pageSetUpPr fitToPage="1"/>
  </sheetPr>
  <dimension ref="A1:AJ22"/>
  <sheetViews>
    <sheetView view="pageBreakPreview" topLeftCell="G3" zoomScale="50" zoomScaleNormal="55" zoomScaleSheetLayoutView="50" workbookViewId="0">
      <selection activeCell="R20" sqref="R2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2" width="13.5703125" style="2" customWidth="1"/>
    <col min="13" max="13" width="12.28515625" style="2" customWidth="1"/>
    <col min="14" max="14" width="13.5703125" style="2" hidden="1" customWidth="1"/>
    <col min="15"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DEZ!A351</f>
        <v>3.5.1.4</v>
      </c>
      <c r="C10" s="845" t="str">
        <f>DEZ!C351</f>
        <v>Telha trapezoidal calandrada galvalume - inclusive fornecimento, instalação e pintura</v>
      </c>
      <c r="D10" s="816" t="s">
        <v>901</v>
      </c>
      <c r="E10" s="816"/>
      <c r="F10" s="816"/>
      <c r="G10" s="816" t="s">
        <v>33</v>
      </c>
      <c r="H10" s="816"/>
      <c r="I10" s="816"/>
      <c r="J10" s="812" t="s">
        <v>1373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1377</v>
      </c>
      <c r="D12" s="860"/>
      <c r="E12" s="861"/>
      <c r="F12" s="862"/>
      <c r="G12" s="77"/>
      <c r="H12" s="78"/>
      <c r="I12" s="79"/>
      <c r="J12" s="715">
        <v>0.5</v>
      </c>
      <c r="K12" s="81">
        <v>120.68</v>
      </c>
      <c r="L12" s="82"/>
      <c r="M12" s="83"/>
      <c r="N12" s="105"/>
      <c r="O12" s="84"/>
      <c r="P12" s="82"/>
      <c r="Q12" s="93"/>
      <c r="R12" s="85">
        <f>K12*J12</f>
        <v>60.34</v>
      </c>
      <c r="S12" s="111" t="s">
        <v>57</v>
      </c>
      <c r="T12" s="215">
        <v>11</v>
      </c>
      <c r="U12" s="91"/>
      <c r="V12" s="71"/>
      <c r="W12" s="71"/>
      <c r="X12" s="152"/>
      <c r="Y12" s="153"/>
      <c r="Z12" s="72"/>
    </row>
    <row r="13" spans="1:36" s="73" customFormat="1" ht="21" customHeight="1">
      <c r="A13" s="64"/>
      <c r="B13" s="109"/>
      <c r="C13" s="76" t="s">
        <v>1426</v>
      </c>
      <c r="D13" s="77"/>
      <c r="E13" s="78"/>
      <c r="F13" s="79"/>
      <c r="G13" s="77"/>
      <c r="H13" s="78"/>
      <c r="I13" s="79"/>
      <c r="J13" s="715">
        <v>0.5</v>
      </c>
      <c r="K13" s="81">
        <v>120.68</v>
      </c>
      <c r="L13" s="82"/>
      <c r="M13" s="83"/>
      <c r="N13" s="105"/>
      <c r="O13" s="84"/>
      <c r="P13" s="82"/>
      <c r="Q13" s="93"/>
      <c r="R13" s="85">
        <f>K13*J13</f>
        <v>60.34</v>
      </c>
      <c r="S13" s="111" t="s">
        <v>57</v>
      </c>
      <c r="T13" s="215">
        <v>13</v>
      </c>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ht="39.6" customHeight="1">
      <c r="B18" s="161"/>
      <c r="C18" s="162"/>
      <c r="D18" s="806" t="s">
        <v>11</v>
      </c>
      <c r="E18" s="807"/>
      <c r="F18" s="807"/>
      <c r="G18" s="807"/>
      <c r="H18" s="807"/>
      <c r="I18" s="808"/>
      <c r="J18" s="809">
        <f>DEZ!I351</f>
        <v>120.68</v>
      </c>
      <c r="K18" s="810"/>
      <c r="L18" s="50" t="str">
        <f>DEZ!D351</f>
        <v>m²</v>
      </c>
      <c r="M18" s="803" t="s">
        <v>12</v>
      </c>
      <c r="N18" s="811"/>
      <c r="O18" s="811"/>
      <c r="P18" s="811"/>
      <c r="Q18" s="805"/>
      <c r="R18" s="61">
        <f>SUM(R12:R17)</f>
        <v>120.68</v>
      </c>
      <c r="S18" s="51" t="str">
        <f>L18</f>
        <v>m²</v>
      </c>
      <c r="T18" s="22"/>
      <c r="U18" s="23"/>
    </row>
    <row r="19" spans="1:28" ht="21" customHeight="1">
      <c r="B19" s="163"/>
      <c r="C19" s="19"/>
      <c r="D19" s="817" t="s">
        <v>13</v>
      </c>
      <c r="E19" s="818"/>
      <c r="F19" s="818"/>
      <c r="G19" s="818"/>
      <c r="H19" s="818"/>
      <c r="I19" s="819"/>
      <c r="J19" s="823">
        <f>R18/J18</f>
        <v>1</v>
      </c>
      <c r="K19" s="824"/>
      <c r="L19" s="827"/>
      <c r="M19" s="803" t="s">
        <v>34</v>
      </c>
      <c r="N19" s="804"/>
      <c r="O19" s="804"/>
      <c r="P19" s="804"/>
      <c r="Q19" s="805"/>
      <c r="R19" s="61">
        <f>SUM(R12:R13)</f>
        <v>120.68</v>
      </c>
      <c r="S19" s="52" t="str">
        <f>L18</f>
        <v>m²</v>
      </c>
      <c r="T19" s="22"/>
      <c r="U19" s="23"/>
    </row>
    <row r="20" spans="1:28" ht="21" customHeight="1">
      <c r="A20" s="10" t="s">
        <v>506</v>
      </c>
      <c r="B20" s="165"/>
      <c r="C20" s="164"/>
      <c r="D20" s="820"/>
      <c r="E20" s="821"/>
      <c r="F20" s="821"/>
      <c r="G20" s="821"/>
      <c r="H20" s="821"/>
      <c r="I20" s="822"/>
      <c r="J20" s="825"/>
      <c r="K20" s="826"/>
      <c r="L20" s="828"/>
      <c r="M20" s="803" t="s">
        <v>14</v>
      </c>
      <c r="N20" s="804"/>
      <c r="O20" s="804"/>
      <c r="P20" s="804"/>
      <c r="Q20" s="805"/>
      <c r="R20" s="62">
        <f>R18-R19</f>
        <v>0</v>
      </c>
      <c r="S20" s="53" t="str">
        <f>L18</f>
        <v>m²</v>
      </c>
      <c r="T20" s="54"/>
      <c r="U20" s="24"/>
    </row>
    <row r="21" spans="1:28" ht="21" customHeight="1">
      <c r="B21" s="218"/>
      <c r="C21" s="217"/>
      <c r="M21" s="803" t="s">
        <v>53</v>
      </c>
      <c r="N21" s="804"/>
      <c r="O21" s="804"/>
      <c r="P21" s="804"/>
      <c r="Q21" s="805"/>
      <c r="R21" s="62">
        <f>DEZ!E351</f>
        <v>115.83</v>
      </c>
      <c r="S21" s="53"/>
      <c r="T21" s="54"/>
      <c r="U21" s="24"/>
    </row>
    <row r="22" spans="1:28" ht="21" customHeight="1">
      <c r="B22" s="163"/>
      <c r="C22" s="219"/>
      <c r="M22" s="803" t="s">
        <v>54</v>
      </c>
      <c r="N22" s="804"/>
      <c r="O22" s="804"/>
      <c r="P22" s="804"/>
      <c r="Q22" s="805"/>
      <c r="R22" s="62">
        <f>TRUNC(R21*R20,2)</f>
        <v>0</v>
      </c>
      <c r="S22" s="53" t="s">
        <v>55</v>
      </c>
      <c r="T22" s="54"/>
      <c r="U22" s="24"/>
    </row>
  </sheetData>
  <mergeCells count="35">
    <mergeCell ref="M22:Q22"/>
    <mergeCell ref="D19:I20"/>
    <mergeCell ref="J19:K20"/>
    <mergeCell ref="L19:L20"/>
    <mergeCell ref="M19:Q19"/>
    <mergeCell ref="M20:Q20"/>
    <mergeCell ref="M21:Q21"/>
    <mergeCell ref="D12:F12"/>
    <mergeCell ref="D18:I18"/>
    <mergeCell ref="J18:K18"/>
    <mergeCell ref="M18:Q18"/>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19:K22">
    <cfRule type="cellIs" dxfId="179" priority="1" operator="greaterThanOrEqual">
      <formula>1</formula>
    </cfRule>
    <cfRule type="cellIs" dxfId="178"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860D-B69B-4A9A-B68C-B212667DB0D3}">
  <sheetPr codeName="Planilha159">
    <tabColor rgb="FF339933"/>
    <pageSetUpPr fitToPage="1"/>
  </sheetPr>
  <dimension ref="A1:AJ24"/>
  <sheetViews>
    <sheetView view="pageBreakPreview" topLeftCell="A3" zoomScale="50" zoomScaleNormal="55" zoomScaleSheetLayoutView="50"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2" width="13.5703125" style="2" customWidth="1"/>
    <col min="13" max="13" width="12.28515625" style="2" hidden="1"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DEZ!A614</f>
        <v>5.3.7.1</v>
      </c>
      <c r="C10" s="845" t="str">
        <f>DEZ!C614</f>
        <v>Forma de chapas madeira compensada resinada, esp. 12mm, levando-se em conta a utilização 3 vezes, reforçadas com sarrafos de madeira de 2.5 x 10.0cm (incl material, corte, montagem, escoras em eucalipto e desforma)</v>
      </c>
      <c r="D10" s="816" t="s">
        <v>901</v>
      </c>
      <c r="E10" s="816"/>
      <c r="F10" s="816"/>
      <c r="G10" s="816" t="s">
        <v>33</v>
      </c>
      <c r="H10" s="816"/>
      <c r="I10" s="816"/>
      <c r="J10" s="812" t="s">
        <v>1373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1394</v>
      </c>
      <c r="D12" s="860"/>
      <c r="E12" s="861"/>
      <c r="F12" s="862"/>
      <c r="G12" s="77"/>
      <c r="H12" s="78"/>
      <c r="I12" s="79"/>
      <c r="J12" s="715"/>
      <c r="K12" s="81">
        <v>34.1</v>
      </c>
      <c r="L12" s="82"/>
      <c r="M12" s="83"/>
      <c r="N12" s="105"/>
      <c r="O12" s="84"/>
      <c r="P12" s="82"/>
      <c r="Q12" s="93"/>
      <c r="R12" s="85">
        <f>K12</f>
        <v>34.1</v>
      </c>
      <c r="S12" s="111" t="s">
        <v>57</v>
      </c>
      <c r="T12" s="215">
        <v>11</v>
      </c>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DEZ!I614</f>
        <v>34.1</v>
      </c>
      <c r="K20" s="810"/>
      <c r="L20" s="50" t="str">
        <f>DEZ!D614</f>
        <v>m2</v>
      </c>
      <c r="M20" s="803" t="s">
        <v>12</v>
      </c>
      <c r="N20" s="811"/>
      <c r="O20" s="811"/>
      <c r="P20" s="811"/>
      <c r="Q20" s="805"/>
      <c r="R20" s="61">
        <f>SUM(R12:R19)</f>
        <v>34.1</v>
      </c>
      <c r="S20" s="51" t="str">
        <f>L20</f>
        <v>m2</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34.1</v>
      </c>
      <c r="S21" s="52" t="str">
        <f>L20</f>
        <v>m2</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m2</v>
      </c>
      <c r="T22" s="54"/>
      <c r="U22" s="24"/>
    </row>
    <row r="23" spans="1:28" ht="21" customHeight="1">
      <c r="B23" s="218"/>
      <c r="C23" s="217"/>
      <c r="M23" s="803" t="s">
        <v>53</v>
      </c>
      <c r="N23" s="804"/>
      <c r="O23" s="804"/>
      <c r="P23" s="804"/>
      <c r="Q23" s="805"/>
      <c r="R23" s="62">
        <f>DEZ!E614</f>
        <v>91.04</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77" priority="1" operator="greaterThanOrEqual">
      <formula>1</formula>
    </cfRule>
    <cfRule type="cellIs" dxfId="176"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E18CE-7F71-45A0-8EF8-1BCBF58B2A74}">
  <sheetPr codeName="Planilha160">
    <tabColor rgb="FF339933"/>
    <pageSetUpPr fitToPage="1"/>
  </sheetPr>
  <dimension ref="A1:AJ24"/>
  <sheetViews>
    <sheetView view="pageBreakPreview" topLeftCell="B3" zoomScale="50" zoomScaleNormal="55" zoomScaleSheetLayoutView="50"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1" width="20.1406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DEZ!A615</f>
        <v>5.3.7.2</v>
      </c>
      <c r="C10" s="845" t="str">
        <f>DEZ!C615</f>
        <v>Fornecimento, dobragem e colocação em fôrma, de armadura CA-50 A média, diâmetro de 6.3 a 10.0 mm</v>
      </c>
      <c r="D10" s="816" t="s">
        <v>901</v>
      </c>
      <c r="E10" s="816"/>
      <c r="F10" s="816"/>
      <c r="G10" s="816" t="s">
        <v>33</v>
      </c>
      <c r="H10" s="816"/>
      <c r="I10" s="816"/>
      <c r="J10" s="812" t="s">
        <v>1373</v>
      </c>
      <c r="K10" s="812" t="s">
        <v>1396</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1395</v>
      </c>
      <c r="D12" s="860"/>
      <c r="E12" s="861"/>
      <c r="F12" s="862"/>
      <c r="G12" s="77"/>
      <c r="H12" s="78"/>
      <c r="I12" s="79"/>
      <c r="J12" s="715"/>
      <c r="K12" s="81">
        <v>370.3</v>
      </c>
      <c r="L12" s="82"/>
      <c r="M12" s="83"/>
      <c r="N12" s="105"/>
      <c r="O12" s="84"/>
      <c r="P12" s="82"/>
      <c r="Q12" s="93"/>
      <c r="R12" s="85">
        <f>K12</f>
        <v>370.3</v>
      </c>
      <c r="S12" s="111" t="s">
        <v>29</v>
      </c>
      <c r="T12" s="215">
        <v>11</v>
      </c>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DEZ!I615</f>
        <v>370.3</v>
      </c>
      <c r="K20" s="810"/>
      <c r="L20" s="50" t="str">
        <f>DEZ!D615</f>
        <v>kg</v>
      </c>
      <c r="M20" s="803" t="s">
        <v>12</v>
      </c>
      <c r="N20" s="811"/>
      <c r="O20" s="811"/>
      <c r="P20" s="811"/>
      <c r="Q20" s="805"/>
      <c r="R20" s="61">
        <f>SUM(R12:R19)</f>
        <v>370.3</v>
      </c>
      <c r="S20" s="51" t="str">
        <f>L20</f>
        <v>kg</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370.3</v>
      </c>
      <c r="S21" s="52" t="str">
        <f>L20</f>
        <v>kg</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kg</v>
      </c>
      <c r="T22" s="54"/>
      <c r="U22" s="24"/>
    </row>
    <row r="23" spans="1:28" ht="21" customHeight="1">
      <c r="B23" s="218"/>
      <c r="C23" s="217"/>
      <c r="M23" s="803" t="s">
        <v>53</v>
      </c>
      <c r="N23" s="804"/>
      <c r="O23" s="804"/>
      <c r="P23" s="804"/>
      <c r="Q23" s="805"/>
      <c r="R23" s="62">
        <f>DEZ!E615</f>
        <v>7.98</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75" priority="1" operator="greaterThanOrEqual">
      <formula>1</formula>
    </cfRule>
    <cfRule type="cellIs" dxfId="174"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9A844-61E6-434D-B764-8A91764AD2BC}">
  <sheetPr codeName="Planilha161">
    <tabColor rgb="FF339933"/>
    <pageSetUpPr fitToPage="1"/>
  </sheetPr>
  <dimension ref="A1:AJ24"/>
  <sheetViews>
    <sheetView view="pageBreakPreview" topLeftCell="B3" zoomScale="50" zoomScaleNormal="55" zoomScaleSheetLayoutView="50"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1" width="20.1406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DEZ!A616</f>
        <v>5.3.7.3</v>
      </c>
      <c r="C10" s="845" t="str">
        <f>DEZ!C616</f>
        <v>FORNECIMENTO E APLICAÇÃO DE CONCRETO USINADO FCK=40 MPA - CONSIDERANDO BOMBEAMENTO (5% DE PERDAS JÁ INCLUÍDO NO CUSTO) (6% DE TAXA P/CONCR.
BOMBEAVEL)</v>
      </c>
      <c r="D10" s="816" t="s">
        <v>901</v>
      </c>
      <c r="E10" s="816"/>
      <c r="F10" s="816"/>
      <c r="G10" s="816" t="s">
        <v>33</v>
      </c>
      <c r="H10" s="816"/>
      <c r="I10" s="816"/>
      <c r="J10" s="812" t="s">
        <v>1373</v>
      </c>
      <c r="K10" s="812" t="s">
        <v>1396</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1397</v>
      </c>
      <c r="D12" s="860"/>
      <c r="E12" s="861"/>
      <c r="F12" s="862"/>
      <c r="G12" s="77"/>
      <c r="H12" s="78"/>
      <c r="I12" s="79"/>
      <c r="J12" s="715"/>
      <c r="K12" s="81"/>
      <c r="L12" s="82">
        <v>6.54</v>
      </c>
      <c r="M12" s="83"/>
      <c r="N12" s="105"/>
      <c r="O12" s="84"/>
      <c r="P12" s="82"/>
      <c r="Q12" s="93"/>
      <c r="R12" s="85">
        <f>L12</f>
        <v>6.54</v>
      </c>
      <c r="S12" s="111" t="s">
        <v>58</v>
      </c>
      <c r="T12" s="215">
        <v>11</v>
      </c>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DEZ!I616</f>
        <v>6.54</v>
      </c>
      <c r="K20" s="810"/>
      <c r="L20" s="50" t="s">
        <v>58</v>
      </c>
      <c r="M20" s="803" t="s">
        <v>12</v>
      </c>
      <c r="N20" s="811"/>
      <c r="O20" s="811"/>
      <c r="P20" s="811"/>
      <c r="Q20" s="805"/>
      <c r="R20" s="61">
        <f>SUM(R12:R19)</f>
        <v>6.54</v>
      </c>
      <c r="S20" s="51" t="str">
        <f>L20</f>
        <v>m3</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6.54</v>
      </c>
      <c r="S21" s="52" t="str">
        <f>L20</f>
        <v>m3</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m3</v>
      </c>
      <c r="T22" s="54"/>
      <c r="U22" s="24"/>
    </row>
    <row r="23" spans="1:28" ht="21" customHeight="1">
      <c r="B23" s="218"/>
      <c r="C23" s="217"/>
      <c r="M23" s="803" t="s">
        <v>53</v>
      </c>
      <c r="N23" s="804"/>
      <c r="O23" s="804"/>
      <c r="P23" s="804"/>
      <c r="Q23" s="805"/>
      <c r="R23" s="62">
        <f>DEZ!E616</f>
        <v>486.08</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73" priority="1" operator="greaterThanOrEqual">
      <formula>1</formula>
    </cfRule>
    <cfRule type="cellIs" dxfId="172"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527C4-5918-463C-9780-B4AC80954050}">
  <sheetPr codeName="Planilha162">
    <tabColor rgb="FF339933"/>
    <pageSetUpPr fitToPage="1"/>
  </sheetPr>
  <dimension ref="A1:AJ24"/>
  <sheetViews>
    <sheetView view="pageBreakPreview" topLeftCell="B1" zoomScale="50" zoomScaleNormal="55" zoomScaleSheetLayoutView="50" workbookViewId="0">
      <selection activeCell="N6" sqref="N1:N1048576"/>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1" width="20.140625" style="2" customWidth="1"/>
    <col min="12" max="12" width="13.5703125" style="2" customWidth="1"/>
    <col min="13" max="13" width="12.28515625" style="2" customWidth="1"/>
    <col min="14" max="14" width="13.5703125" style="2" hidden="1" customWidth="1"/>
    <col min="15"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DEZ!A622</f>
        <v>5.3.8.3</v>
      </c>
      <c r="C10" s="845" t="str">
        <f>DEZ!C622</f>
        <v>Forma de chapas madeira compensada resinada, esp. 12mm, levando-se em conta a utilização 3 vezes, reforçadas com sarrafos de madeira de 2.5 x 10.0cm (incl material, corte, montagem,
escoras em eucalipto e desforma) (Platibanda)</v>
      </c>
      <c r="D10" s="816" t="s">
        <v>901</v>
      </c>
      <c r="E10" s="816"/>
      <c r="F10" s="816"/>
      <c r="G10" s="816" t="s">
        <v>33</v>
      </c>
      <c r="H10" s="816"/>
      <c r="I10" s="816"/>
      <c r="J10" s="812" t="s">
        <v>1373</v>
      </c>
      <c r="K10" s="812" t="s">
        <v>1396</v>
      </c>
      <c r="L10" s="812" t="s">
        <v>855</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1406</v>
      </c>
      <c r="D12" s="860"/>
      <c r="E12" s="861"/>
      <c r="F12" s="862"/>
      <c r="G12" s="77"/>
      <c r="H12" s="78"/>
      <c r="I12" s="79"/>
      <c r="J12" s="715"/>
      <c r="K12" s="81"/>
      <c r="L12" s="82">
        <v>25.2</v>
      </c>
      <c r="M12" s="83"/>
      <c r="N12" s="105"/>
      <c r="O12" s="84"/>
      <c r="P12" s="82"/>
      <c r="Q12" s="93"/>
      <c r="R12" s="85">
        <f>L12</f>
        <v>25.2</v>
      </c>
      <c r="S12" s="111" t="s">
        <v>57</v>
      </c>
      <c r="T12" s="215">
        <v>11</v>
      </c>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DEZ!I622</f>
        <v>25.2</v>
      </c>
      <c r="K20" s="810"/>
      <c r="L20" s="50" t="str">
        <f>DEZ!D622</f>
        <v>m2</v>
      </c>
      <c r="M20" s="803" t="s">
        <v>12</v>
      </c>
      <c r="N20" s="811"/>
      <c r="O20" s="811"/>
      <c r="P20" s="811"/>
      <c r="Q20" s="805"/>
      <c r="R20" s="61">
        <f>SUM(R12:R19)</f>
        <v>25.2</v>
      </c>
      <c r="S20" s="51" t="str">
        <f>L20</f>
        <v>m2</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25.2</v>
      </c>
      <c r="S21" s="52" t="str">
        <f>L20</f>
        <v>m2</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m2</v>
      </c>
      <c r="T22" s="54"/>
      <c r="U22" s="24"/>
    </row>
    <row r="23" spans="1:28" ht="21" customHeight="1">
      <c r="B23" s="218"/>
      <c r="C23" s="217"/>
      <c r="M23" s="803" t="s">
        <v>53</v>
      </c>
      <c r="N23" s="804"/>
      <c r="O23" s="804"/>
      <c r="P23" s="804"/>
      <c r="Q23" s="805"/>
      <c r="R23" s="62">
        <f>DEZ!E622</f>
        <v>91.04</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M24:Q24"/>
    <mergeCell ref="D21:I22"/>
    <mergeCell ref="J21:K22"/>
    <mergeCell ref="L21:L22"/>
    <mergeCell ref="M21:Q21"/>
    <mergeCell ref="M22:Q22"/>
    <mergeCell ref="M23:Q23"/>
    <mergeCell ref="D12:F12"/>
    <mergeCell ref="D20:I20"/>
    <mergeCell ref="J20:K20"/>
    <mergeCell ref="M20:Q20"/>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1:K24">
    <cfRule type="cellIs" dxfId="171" priority="1" operator="greaterThanOrEqual">
      <formula>1</formula>
    </cfRule>
    <cfRule type="cellIs" dxfId="170"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8628C-20C2-4939-8418-83206246FF90}">
  <sheetPr codeName="Planilha163">
    <tabColor rgb="FF339933"/>
    <pageSetUpPr fitToPage="1"/>
  </sheetPr>
  <dimension ref="A1:AJ24"/>
  <sheetViews>
    <sheetView view="pageBreakPreview" topLeftCell="C1" zoomScale="50" zoomScaleNormal="55" zoomScaleSheetLayoutView="50" workbookViewId="0">
      <selection activeCell="N6" sqref="N1:N1048576"/>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1" width="20.140625" style="2" customWidth="1"/>
    <col min="12" max="12" width="13.5703125" style="2" customWidth="1"/>
    <col min="13" max="13" width="12.28515625" style="2" customWidth="1"/>
    <col min="14" max="14" width="13.5703125" style="2" hidden="1" customWidth="1"/>
    <col min="15"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DEZ!A623</f>
        <v>5.3.8.4</v>
      </c>
      <c r="C10" s="845" t="str">
        <f>DEZ!C623</f>
        <v>Fornecimento, dobragem e colocação em fôrma, de armadura CA-50 A média, diâmetro de 6.3 a 10.0 mm (Platibanda)</v>
      </c>
      <c r="D10" s="816" t="s">
        <v>901</v>
      </c>
      <c r="E10" s="816"/>
      <c r="F10" s="816"/>
      <c r="G10" s="816" t="s">
        <v>33</v>
      </c>
      <c r="H10" s="816"/>
      <c r="I10" s="816"/>
      <c r="J10" s="812" t="s">
        <v>1373</v>
      </c>
      <c r="K10" s="812" t="s">
        <v>1396</v>
      </c>
      <c r="L10" s="812" t="s">
        <v>855</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1407</v>
      </c>
      <c r="D12" s="860"/>
      <c r="E12" s="861"/>
      <c r="F12" s="862"/>
      <c r="G12" s="77"/>
      <c r="H12" s="78"/>
      <c r="I12" s="79"/>
      <c r="J12" s="715"/>
      <c r="K12" s="81">
        <v>122</v>
      </c>
      <c r="L12" s="82"/>
      <c r="M12" s="83"/>
      <c r="N12" s="105"/>
      <c r="O12" s="84"/>
      <c r="P12" s="82"/>
      <c r="Q12" s="93"/>
      <c r="R12" s="85">
        <f>K12</f>
        <v>122</v>
      </c>
      <c r="S12" s="111" t="s">
        <v>29</v>
      </c>
      <c r="T12" s="215">
        <v>11</v>
      </c>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DEZ!I623</f>
        <v>122</v>
      </c>
      <c r="K20" s="810"/>
      <c r="L20" s="50" t="str">
        <f>DEZ!D623</f>
        <v>kg</v>
      </c>
      <c r="M20" s="803" t="s">
        <v>12</v>
      </c>
      <c r="N20" s="811"/>
      <c r="O20" s="811"/>
      <c r="P20" s="811"/>
      <c r="Q20" s="805"/>
      <c r="R20" s="61">
        <f>SUM(R12:R19)</f>
        <v>122</v>
      </c>
      <c r="S20" s="51" t="str">
        <f>L20</f>
        <v>kg</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122</v>
      </c>
      <c r="S21" s="52" t="str">
        <f>L20</f>
        <v>kg</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kg</v>
      </c>
      <c r="T22" s="54"/>
      <c r="U22" s="24"/>
    </row>
    <row r="23" spans="1:28" ht="21" customHeight="1">
      <c r="B23" s="218"/>
      <c r="C23" s="217"/>
      <c r="M23" s="803" t="s">
        <v>53</v>
      </c>
      <c r="N23" s="804"/>
      <c r="O23" s="804"/>
      <c r="P23" s="804"/>
      <c r="Q23" s="805"/>
      <c r="R23" s="62">
        <f>DEZ!E623</f>
        <v>7.98</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M24:Q24"/>
    <mergeCell ref="D21:I22"/>
    <mergeCell ref="J21:K22"/>
    <mergeCell ref="L21:L22"/>
    <mergeCell ref="M21:Q21"/>
    <mergeCell ref="M22:Q22"/>
    <mergeCell ref="M23:Q23"/>
    <mergeCell ref="D12:F12"/>
    <mergeCell ref="D20:I20"/>
    <mergeCell ref="J20:K20"/>
    <mergeCell ref="M20:Q20"/>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1:K24">
    <cfRule type="cellIs" dxfId="169" priority="1" operator="greaterThanOrEqual">
      <formula>1</formula>
    </cfRule>
    <cfRule type="cellIs" dxfId="168"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3F65F-809C-42FF-8CF5-F839BA2FB4F0}">
  <sheetPr codeName="Planilha164">
    <tabColor rgb="FF339933"/>
    <pageSetUpPr fitToPage="1"/>
  </sheetPr>
  <dimension ref="A1:AJ24"/>
  <sheetViews>
    <sheetView view="pageBreakPreview" topLeftCell="B1" zoomScale="50" zoomScaleNormal="55" zoomScaleSheetLayoutView="50"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1" width="20.1406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DEZ!A624</f>
        <v>5.3.8.5</v>
      </c>
      <c r="C10" s="845" t="str">
        <f>DEZ!C624</f>
        <v>FORNECIMENTO E APLICAÇÃO DE CONCRETO USINADO FCK=40 MPA - CONSIDERANDO BOMBEAMENTO (5% DE PERDAS JÁ INCLUÍDO NO CUSTO) (6% DE TAXA P/CONCR. BOMBEAVEL) (Platibanda)</v>
      </c>
      <c r="D10" s="816" t="s">
        <v>901</v>
      </c>
      <c r="E10" s="816"/>
      <c r="F10" s="816"/>
      <c r="G10" s="816" t="s">
        <v>33</v>
      </c>
      <c r="H10" s="816"/>
      <c r="I10" s="816"/>
      <c r="J10" s="812" t="s">
        <v>1373</v>
      </c>
      <c r="K10" s="812" t="s">
        <v>1396</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1397</v>
      </c>
      <c r="D12" s="860"/>
      <c r="E12" s="861"/>
      <c r="F12" s="862"/>
      <c r="G12" s="77"/>
      <c r="H12" s="78"/>
      <c r="I12" s="79"/>
      <c r="J12" s="715"/>
      <c r="K12" s="81"/>
      <c r="L12" s="82">
        <v>1.3</v>
      </c>
      <c r="M12" s="83"/>
      <c r="N12" s="105"/>
      <c r="O12" s="84"/>
      <c r="P12" s="82"/>
      <c r="Q12" s="93"/>
      <c r="R12" s="85">
        <f>L12</f>
        <v>1.3</v>
      </c>
      <c r="S12" s="111" t="s">
        <v>58</v>
      </c>
      <c r="T12" s="215">
        <v>11</v>
      </c>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DEZ!I624</f>
        <v>1.3</v>
      </c>
      <c r="K20" s="810"/>
      <c r="L20" s="50" t="s">
        <v>58</v>
      </c>
      <c r="M20" s="803" t="s">
        <v>12</v>
      </c>
      <c r="N20" s="811"/>
      <c r="O20" s="811"/>
      <c r="P20" s="811"/>
      <c r="Q20" s="805"/>
      <c r="R20" s="61">
        <f>SUM(R12:R19)</f>
        <v>1.3</v>
      </c>
      <c r="S20" s="51" t="str">
        <f>L20</f>
        <v>m3</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1.3</v>
      </c>
      <c r="S21" s="52" t="str">
        <f>L20</f>
        <v>m3</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m3</v>
      </c>
      <c r="T22" s="54"/>
      <c r="U22" s="24"/>
    </row>
    <row r="23" spans="1:28" ht="21" customHeight="1">
      <c r="B23" s="218"/>
      <c r="C23" s="217"/>
      <c r="M23" s="803" t="s">
        <v>53</v>
      </c>
      <c r="N23" s="804"/>
      <c r="O23" s="804"/>
      <c r="P23" s="804"/>
      <c r="Q23" s="805"/>
      <c r="R23" s="62">
        <f>DEZ!E624</f>
        <v>486.08</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67" priority="1" operator="greaterThanOrEqual">
      <formula>1</formula>
    </cfRule>
    <cfRule type="cellIs" dxfId="166"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A390C-7152-41A4-A946-1D69AFD65B26}">
  <sheetPr codeName="Planilha165">
    <tabColor rgb="FF339933"/>
    <pageSetUpPr fitToPage="1"/>
  </sheetPr>
  <dimension ref="A1:AJ24"/>
  <sheetViews>
    <sheetView view="pageBreakPreview" topLeftCell="B1" zoomScale="50" zoomScaleNormal="55" zoomScaleSheetLayoutView="50"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1" width="20.1406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DEZ!A625</f>
        <v>5.3.8.6</v>
      </c>
      <c r="C10" s="845" t="str">
        <f>DEZ!C625</f>
        <v>Alvenaria de blocos de concreto 14x19x39cm, c/ resist. mínimo a compres. 2.5 MPa, assent. c/ arg. de cimento, cal hidratada CH1 e areia no traço 1:0.5:8 esp. das juntas 10mm e esp. das
paredes, s/ rev. 14cm (Platibanda)</v>
      </c>
      <c r="D10" s="816" t="s">
        <v>901</v>
      </c>
      <c r="E10" s="816"/>
      <c r="F10" s="816"/>
      <c r="G10" s="816" t="s">
        <v>33</v>
      </c>
      <c r="H10" s="816"/>
      <c r="I10" s="816"/>
      <c r="J10" s="812" t="s">
        <v>1373</v>
      </c>
      <c r="K10" s="812" t="s">
        <v>1396</v>
      </c>
      <c r="L10" s="812" t="s">
        <v>855</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1398</v>
      </c>
      <c r="D12" s="860"/>
      <c r="E12" s="861"/>
      <c r="F12" s="862"/>
      <c r="G12" s="77"/>
      <c r="H12" s="78"/>
      <c r="I12" s="79"/>
      <c r="J12" s="715"/>
      <c r="K12" s="81"/>
      <c r="L12" s="82">
        <v>61.24</v>
      </c>
      <c r="M12" s="83"/>
      <c r="N12" s="105"/>
      <c r="O12" s="84"/>
      <c r="P12" s="82"/>
      <c r="Q12" s="93"/>
      <c r="R12" s="85">
        <f>L12</f>
        <v>61.24</v>
      </c>
      <c r="S12" s="111" t="s">
        <v>57</v>
      </c>
      <c r="T12" s="215">
        <v>11</v>
      </c>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DEZ!I625</f>
        <v>61.24</v>
      </c>
      <c r="K20" s="810"/>
      <c r="L20" s="50" t="str">
        <f>DEZ!D625</f>
        <v>m2</v>
      </c>
      <c r="M20" s="803" t="s">
        <v>12</v>
      </c>
      <c r="N20" s="811"/>
      <c r="O20" s="811"/>
      <c r="P20" s="811"/>
      <c r="Q20" s="805"/>
      <c r="R20" s="61">
        <f>SUM(R12:R19)</f>
        <v>61.24</v>
      </c>
      <c r="S20" s="51" t="str">
        <f>L20</f>
        <v>m2</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61.24</v>
      </c>
      <c r="S21" s="52" t="str">
        <f>L20</f>
        <v>m2</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m2</v>
      </c>
      <c r="T22" s="54"/>
      <c r="U22" s="24"/>
    </row>
    <row r="23" spans="1:28" ht="21" customHeight="1">
      <c r="B23" s="218"/>
      <c r="C23" s="217"/>
      <c r="M23" s="803" t="s">
        <v>53</v>
      </c>
      <c r="N23" s="804"/>
      <c r="O23" s="804"/>
      <c r="P23" s="804"/>
      <c r="Q23" s="805"/>
      <c r="R23" s="62">
        <f>DEZ!E625</f>
        <v>62.2</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65" priority="1" operator="greaterThanOrEqual">
      <formula>1</formula>
    </cfRule>
    <cfRule type="cellIs" dxfId="164"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6">
    <tabColor rgb="FF339933"/>
    <pageSetUpPr fitToPage="1"/>
  </sheetPr>
  <dimension ref="A1:AJ33"/>
  <sheetViews>
    <sheetView view="pageBreakPreview" topLeftCell="B8" zoomScale="50" zoomScaleNormal="55" zoomScaleSheetLayoutView="50" workbookViewId="0">
      <selection activeCell="R31" sqref="R3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DEZ!A39</f>
        <v>1.1.3.4</v>
      </c>
      <c r="C10" s="845" t="str">
        <f>DEZ!C39</f>
        <v>Aluguel mensal container para vestiário, incl. porta, venezianas de circulação, 1 pt iluminação, Isolamento térmico (teto), piso em comp. Naval pintado, cert. NR18, incl. Laudo descontaminação.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952</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t="s">
        <v>943</v>
      </c>
      <c r="D13" s="77"/>
      <c r="E13" s="78"/>
      <c r="F13" s="79"/>
      <c r="G13" s="77"/>
      <c r="H13" s="78"/>
      <c r="I13" s="79"/>
      <c r="J13" s="66"/>
      <c r="K13" s="108"/>
      <c r="L13" s="67"/>
      <c r="M13" s="68">
        <v>1</v>
      </c>
      <c r="N13" s="110"/>
      <c r="O13" s="69"/>
      <c r="P13" s="67"/>
      <c r="Q13" s="106"/>
      <c r="R13" s="85">
        <f>M13</f>
        <v>1</v>
      </c>
      <c r="S13" s="111" t="s">
        <v>52</v>
      </c>
      <c r="T13" s="215">
        <v>4</v>
      </c>
      <c r="U13" s="94"/>
      <c r="V13" s="71"/>
      <c r="W13" s="71"/>
      <c r="X13" s="152"/>
      <c r="Y13" s="153"/>
      <c r="Z13" s="72"/>
      <c r="AA13" s="71"/>
      <c r="AB13" s="74"/>
    </row>
    <row r="14" spans="1:36" s="73" customFormat="1" ht="21" customHeight="1">
      <c r="A14" s="64"/>
      <c r="B14" s="109"/>
      <c r="C14" s="65" t="s">
        <v>962</v>
      </c>
      <c r="D14" s="77"/>
      <c r="E14" s="78"/>
      <c r="F14" s="79"/>
      <c r="G14" s="77"/>
      <c r="H14" s="78"/>
      <c r="I14" s="79"/>
      <c r="J14" s="66"/>
      <c r="K14" s="108"/>
      <c r="L14" s="67"/>
      <c r="M14" s="68">
        <v>1</v>
      </c>
      <c r="N14" s="110"/>
      <c r="O14" s="69"/>
      <c r="P14" s="67"/>
      <c r="Q14" s="106"/>
      <c r="R14" s="70">
        <f>M14</f>
        <v>1</v>
      </c>
      <c r="S14" s="111" t="s">
        <v>52</v>
      </c>
      <c r="T14" s="215">
        <v>5</v>
      </c>
      <c r="U14" s="94"/>
      <c r="V14" s="71"/>
      <c r="W14" s="71"/>
      <c r="X14" s="152"/>
      <c r="Y14" s="153"/>
      <c r="Z14" s="72"/>
      <c r="AA14" s="71"/>
      <c r="AB14" s="74"/>
    </row>
    <row r="15" spans="1:36" s="73" customFormat="1" ht="21" customHeight="1">
      <c r="A15" s="64"/>
      <c r="B15" s="109"/>
      <c r="C15" s="65" t="s">
        <v>982</v>
      </c>
      <c r="D15" s="77"/>
      <c r="E15" s="78"/>
      <c r="F15" s="79"/>
      <c r="G15" s="77"/>
      <c r="H15" s="78"/>
      <c r="I15" s="79"/>
      <c r="J15" s="66"/>
      <c r="K15" s="108"/>
      <c r="L15" s="67"/>
      <c r="M15" s="68">
        <v>1</v>
      </c>
      <c r="N15" s="110"/>
      <c r="O15" s="69"/>
      <c r="P15" s="67"/>
      <c r="Q15" s="106"/>
      <c r="R15" s="70">
        <f>M15</f>
        <v>1</v>
      </c>
      <c r="S15" s="111" t="s">
        <v>52</v>
      </c>
      <c r="T15" s="215">
        <v>6</v>
      </c>
      <c r="U15" s="94"/>
      <c r="V15" s="71"/>
      <c r="W15" s="71"/>
      <c r="X15" s="152"/>
      <c r="Y15" s="153"/>
      <c r="Z15" s="72"/>
      <c r="AA15" s="71"/>
      <c r="AB15" s="74"/>
    </row>
    <row r="16" spans="1:36" s="73" customFormat="1" ht="21" customHeight="1">
      <c r="A16" s="64"/>
      <c r="B16" s="109"/>
      <c r="C16" s="65" t="s">
        <v>999</v>
      </c>
      <c r="D16" s="77"/>
      <c r="E16" s="78"/>
      <c r="F16" s="79"/>
      <c r="G16" s="77"/>
      <c r="H16" s="78"/>
      <c r="I16" s="79"/>
      <c r="J16" s="66"/>
      <c r="K16" s="108"/>
      <c r="L16" s="67"/>
      <c r="M16" s="68">
        <v>1</v>
      </c>
      <c r="N16" s="110"/>
      <c r="O16" s="69"/>
      <c r="P16" s="67"/>
      <c r="Q16" s="106"/>
      <c r="R16" s="70">
        <v>1</v>
      </c>
      <c r="S16" s="111" t="s">
        <v>52</v>
      </c>
      <c r="T16" s="215">
        <v>7</v>
      </c>
      <c r="U16" s="94"/>
      <c r="V16" s="71"/>
      <c r="W16" s="71"/>
      <c r="X16" s="152"/>
      <c r="Y16" s="153"/>
      <c r="Z16" s="72"/>
      <c r="AA16" s="71"/>
      <c r="AB16" s="74"/>
    </row>
    <row r="17" spans="1:28" s="73" customFormat="1" ht="21" customHeight="1">
      <c r="A17" s="64"/>
      <c r="B17" s="109"/>
      <c r="C17" s="65" t="s">
        <v>1025</v>
      </c>
      <c r="D17" s="77"/>
      <c r="E17" s="78"/>
      <c r="F17" s="79"/>
      <c r="G17" s="77"/>
      <c r="H17" s="78"/>
      <c r="I17" s="79"/>
      <c r="J17" s="66"/>
      <c r="K17" s="108"/>
      <c r="L17" s="67"/>
      <c r="M17" s="68">
        <v>1</v>
      </c>
      <c r="N17" s="110"/>
      <c r="O17" s="69"/>
      <c r="P17" s="67"/>
      <c r="Q17" s="106"/>
      <c r="R17" s="70">
        <v>1</v>
      </c>
      <c r="S17" s="111" t="s">
        <v>52</v>
      </c>
      <c r="T17" s="215">
        <v>8</v>
      </c>
      <c r="U17" s="94"/>
      <c r="V17" s="71"/>
      <c r="W17" s="71"/>
      <c r="X17" s="152"/>
      <c r="Y17" s="153"/>
      <c r="Z17" s="72"/>
      <c r="AA17" s="71"/>
      <c r="AB17" s="74"/>
    </row>
    <row r="18" spans="1:28" s="73" customFormat="1" ht="22.5" customHeight="1">
      <c r="A18" s="64"/>
      <c r="B18" s="109"/>
      <c r="C18" s="65" t="s">
        <v>1362</v>
      </c>
      <c r="D18" s="77"/>
      <c r="E18" s="78"/>
      <c r="F18" s="79"/>
      <c r="G18" s="77"/>
      <c r="H18" s="78"/>
      <c r="I18" s="79"/>
      <c r="J18" s="66"/>
      <c r="K18" s="108"/>
      <c r="L18" s="67"/>
      <c r="M18" s="68">
        <v>1</v>
      </c>
      <c r="N18" s="110"/>
      <c r="O18" s="69"/>
      <c r="P18" s="67"/>
      <c r="Q18" s="106"/>
      <c r="R18" s="70">
        <f t="shared" ref="R18" si="0">M18</f>
        <v>1</v>
      </c>
      <c r="S18" s="111" t="s">
        <v>52</v>
      </c>
      <c r="T18" s="215">
        <v>9</v>
      </c>
      <c r="U18" s="94"/>
      <c r="V18" s="71"/>
      <c r="W18" s="71"/>
      <c r="X18" s="152"/>
      <c r="Y18" s="153"/>
      <c r="Z18" s="72"/>
      <c r="AA18" s="71"/>
      <c r="AB18" s="74"/>
    </row>
    <row r="19" spans="1:28" s="73" customFormat="1" ht="21" customHeight="1">
      <c r="A19" s="64"/>
      <c r="B19" s="109"/>
      <c r="C19" s="220" t="s">
        <v>964</v>
      </c>
      <c r="D19" s="77"/>
      <c r="E19" s="78"/>
      <c r="F19" s="79"/>
      <c r="G19" s="77"/>
      <c r="H19" s="78"/>
      <c r="I19" s="79"/>
      <c r="J19" s="80"/>
      <c r="K19" s="81"/>
      <c r="L19" s="82"/>
      <c r="M19" s="83"/>
      <c r="N19" s="105"/>
      <c r="O19" s="84"/>
      <c r="P19" s="82"/>
      <c r="Q19" s="93"/>
      <c r="R19" s="85"/>
      <c r="S19" s="111"/>
      <c r="T19" s="215"/>
      <c r="U19" s="94"/>
      <c r="V19" s="71"/>
      <c r="W19" s="71"/>
      <c r="X19" s="152"/>
      <c r="Y19" s="153"/>
      <c r="Z19" s="72"/>
      <c r="AA19" s="71"/>
      <c r="AB19" s="74"/>
    </row>
    <row r="20" spans="1:28" s="90" customFormat="1" ht="21" customHeight="1">
      <c r="A20" s="75"/>
      <c r="B20" s="107"/>
      <c r="C20" s="65" t="s">
        <v>962</v>
      </c>
      <c r="D20" s="77"/>
      <c r="E20" s="78"/>
      <c r="F20" s="79"/>
      <c r="G20" s="77"/>
      <c r="H20" s="78"/>
      <c r="I20" s="79"/>
      <c r="J20" s="80"/>
      <c r="K20" s="81"/>
      <c r="L20" s="82"/>
      <c r="M20" s="68">
        <v>1</v>
      </c>
      <c r="N20" s="110"/>
      <c r="O20" s="69"/>
      <c r="P20" s="67"/>
      <c r="Q20" s="106"/>
      <c r="R20" s="70">
        <f>M20</f>
        <v>1</v>
      </c>
      <c r="S20" s="111" t="s">
        <v>52</v>
      </c>
      <c r="T20" s="215">
        <v>5</v>
      </c>
      <c r="U20" s="92"/>
      <c r="V20" s="86"/>
      <c r="W20" s="86"/>
      <c r="X20" s="86"/>
      <c r="Y20" s="151"/>
      <c r="Z20" s="87"/>
      <c r="AA20" s="88"/>
      <c r="AB20" s="89"/>
    </row>
    <row r="21" spans="1:28" s="90" customFormat="1" ht="21" customHeight="1">
      <c r="A21" s="75"/>
      <c r="B21" s="107"/>
      <c r="C21" s="65" t="s">
        <v>982</v>
      </c>
      <c r="D21" s="77"/>
      <c r="E21" s="78"/>
      <c r="F21" s="79"/>
      <c r="G21" s="77"/>
      <c r="H21" s="78"/>
      <c r="I21" s="79"/>
      <c r="J21" s="66"/>
      <c r="K21" s="108"/>
      <c r="L21" s="67"/>
      <c r="M21" s="68">
        <v>1</v>
      </c>
      <c r="N21" s="110"/>
      <c r="O21" s="69"/>
      <c r="P21" s="67"/>
      <c r="Q21" s="106"/>
      <c r="R21" s="70">
        <f>M21</f>
        <v>1</v>
      </c>
      <c r="S21" s="111" t="s">
        <v>52</v>
      </c>
      <c r="T21" s="215">
        <v>6</v>
      </c>
      <c r="U21" s="92"/>
      <c r="V21" s="86"/>
      <c r="W21" s="86"/>
      <c r="X21" s="86"/>
      <c r="Y21" s="151"/>
      <c r="Z21" s="87"/>
      <c r="AA21" s="88"/>
      <c r="AB21" s="89"/>
    </row>
    <row r="22" spans="1:28" s="90" customFormat="1" ht="21" customHeight="1">
      <c r="A22" s="75"/>
      <c r="B22" s="107"/>
      <c r="C22" s="65" t="s">
        <v>999</v>
      </c>
      <c r="D22" s="77"/>
      <c r="E22" s="78"/>
      <c r="F22" s="79"/>
      <c r="G22" s="77"/>
      <c r="H22" s="78"/>
      <c r="I22" s="79"/>
      <c r="J22" s="80"/>
      <c r="K22" s="81"/>
      <c r="L22" s="82"/>
      <c r="M22" s="83">
        <v>1</v>
      </c>
      <c r="N22" s="84"/>
      <c r="O22" s="155"/>
      <c r="P22" s="156"/>
      <c r="Q22" s="85"/>
      <c r="R22" s="85">
        <v>1</v>
      </c>
      <c r="S22" s="111" t="s">
        <v>52</v>
      </c>
      <c r="T22" s="215">
        <v>7</v>
      </c>
      <c r="U22" s="92"/>
      <c r="V22" s="86"/>
      <c r="W22" s="86"/>
      <c r="X22" s="86"/>
      <c r="Y22" s="151"/>
      <c r="Z22" s="87"/>
      <c r="AA22" s="88"/>
      <c r="AB22" s="89"/>
    </row>
    <row r="23" spans="1:28" s="73" customFormat="1" ht="21" customHeight="1">
      <c r="A23" s="64"/>
      <c r="B23" s="109"/>
      <c r="C23" s="65" t="s">
        <v>1025</v>
      </c>
      <c r="D23" s="77"/>
      <c r="E23" s="78"/>
      <c r="F23" s="79"/>
      <c r="G23" s="77"/>
      <c r="H23" s="78"/>
      <c r="I23" s="79"/>
      <c r="J23" s="66"/>
      <c r="K23" s="108"/>
      <c r="L23" s="67"/>
      <c r="M23" s="68">
        <v>1</v>
      </c>
      <c r="N23" s="110"/>
      <c r="O23" s="69"/>
      <c r="P23" s="67"/>
      <c r="Q23" s="106"/>
      <c r="R23" s="70">
        <v>1</v>
      </c>
      <c r="S23" s="111" t="s">
        <v>52</v>
      </c>
      <c r="T23" s="215">
        <v>8</v>
      </c>
      <c r="U23" s="94"/>
      <c r="V23" s="71"/>
      <c r="W23" s="71"/>
      <c r="X23" s="152"/>
      <c r="Y23" s="153"/>
      <c r="Z23" s="72"/>
      <c r="AA23" s="71"/>
      <c r="AB23" s="74"/>
    </row>
    <row r="24" spans="1:28" s="73" customFormat="1" ht="22.5" customHeight="1">
      <c r="A24" s="64"/>
      <c r="B24" s="109"/>
      <c r="C24" s="65" t="s">
        <v>1362</v>
      </c>
      <c r="D24" s="77"/>
      <c r="E24" s="78"/>
      <c r="F24" s="79"/>
      <c r="G24" s="77"/>
      <c r="H24" s="78"/>
      <c r="I24" s="79"/>
      <c r="J24" s="66"/>
      <c r="K24" s="108"/>
      <c r="L24" s="67"/>
      <c r="M24" s="68">
        <v>1</v>
      </c>
      <c r="N24" s="110"/>
      <c r="O24" s="69"/>
      <c r="P24" s="67"/>
      <c r="Q24" s="106"/>
      <c r="R24" s="70">
        <f t="shared" ref="R24" si="1">M24</f>
        <v>1</v>
      </c>
      <c r="S24" s="111" t="s">
        <v>52</v>
      </c>
      <c r="T24" s="215">
        <v>9</v>
      </c>
      <c r="U24" s="94"/>
      <c r="V24" s="71"/>
      <c r="W24" s="71"/>
      <c r="X24" s="152"/>
      <c r="Y24" s="153"/>
      <c r="Z24" s="72"/>
      <c r="AA24" s="71"/>
      <c r="AB24" s="74"/>
    </row>
    <row r="25" spans="1:28" s="73" customFormat="1" ht="21" customHeight="1">
      <c r="A25" s="64"/>
      <c r="B25" s="109"/>
      <c r="C25" s="220" t="s">
        <v>1019</v>
      </c>
      <c r="D25" s="77"/>
      <c r="E25" s="78"/>
      <c r="F25" s="79"/>
      <c r="G25" s="77"/>
      <c r="H25" s="78"/>
      <c r="I25" s="79"/>
      <c r="J25" s="80"/>
      <c r="K25" s="81"/>
      <c r="L25" s="82"/>
      <c r="M25" s="83"/>
      <c r="N25" s="105"/>
      <c r="O25" s="84"/>
      <c r="P25" s="82"/>
      <c r="Q25" s="93"/>
      <c r="R25" s="85"/>
      <c r="S25" s="111"/>
      <c r="T25" s="215"/>
      <c r="U25" s="94"/>
      <c r="V25" s="71"/>
      <c r="W25" s="71"/>
      <c r="X25" s="152"/>
      <c r="Y25" s="153"/>
      <c r="Z25" s="72"/>
      <c r="AA25" s="71"/>
      <c r="AB25" s="74"/>
    </row>
    <row r="26" spans="1:28" s="73" customFormat="1" ht="22.5" customHeight="1">
      <c r="A26" s="64"/>
      <c r="B26" s="109"/>
      <c r="C26" s="65" t="s">
        <v>1362</v>
      </c>
      <c r="D26" s="77"/>
      <c r="E26" s="78"/>
      <c r="F26" s="79"/>
      <c r="G26" s="77"/>
      <c r="H26" s="78"/>
      <c r="I26" s="79"/>
      <c r="J26" s="66"/>
      <c r="K26" s="108"/>
      <c r="L26" s="67"/>
      <c r="M26" s="68">
        <v>1</v>
      </c>
      <c r="N26" s="110"/>
      <c r="O26" s="69"/>
      <c r="P26" s="67"/>
      <c r="Q26" s="106"/>
      <c r="R26" s="70">
        <f t="shared" ref="R26" si="2">M26</f>
        <v>1</v>
      </c>
      <c r="S26" s="111" t="s">
        <v>52</v>
      </c>
      <c r="T26" s="215">
        <v>9</v>
      </c>
      <c r="U26" s="94"/>
      <c r="V26" s="71"/>
      <c r="W26" s="71"/>
      <c r="X26" s="152"/>
      <c r="Y26" s="153"/>
      <c r="Z26" s="72"/>
      <c r="AA26" s="71"/>
      <c r="AB26" s="74"/>
    </row>
    <row r="27" spans="1:28" s="73" customFormat="1" ht="22.5" customHeight="1">
      <c r="A27" s="64"/>
      <c r="B27" s="109"/>
      <c r="C27" s="65"/>
      <c r="D27" s="77"/>
      <c r="E27" s="78"/>
      <c r="F27" s="79"/>
      <c r="G27" s="77"/>
      <c r="H27" s="78"/>
      <c r="I27" s="79"/>
      <c r="J27" s="66"/>
      <c r="K27" s="108"/>
      <c r="L27" s="67"/>
      <c r="M27" s="68"/>
      <c r="N27" s="110"/>
      <c r="O27" s="69"/>
      <c r="P27" s="67"/>
      <c r="Q27" s="106"/>
      <c r="R27" s="70"/>
      <c r="S27" s="111"/>
      <c r="T27" s="215"/>
      <c r="U27" s="94"/>
      <c r="V27" s="71"/>
      <c r="W27" s="71"/>
      <c r="X27" s="152"/>
      <c r="Y27" s="153"/>
      <c r="Z27" s="72"/>
      <c r="AA27" s="71"/>
      <c r="AB27" s="74"/>
    </row>
    <row r="28" spans="1:28" ht="21" customHeight="1">
      <c r="B28" s="118"/>
      <c r="C28" s="119"/>
      <c r="D28" s="26"/>
      <c r="E28" s="159"/>
      <c r="F28" s="27"/>
      <c r="G28" s="26"/>
      <c r="H28" s="159"/>
      <c r="I28" s="27"/>
      <c r="J28" s="28"/>
      <c r="K28" s="49"/>
      <c r="L28" s="40"/>
      <c r="M28" s="41"/>
      <c r="N28" s="160"/>
      <c r="O28" s="160"/>
      <c r="P28" s="40"/>
      <c r="Q28" s="42"/>
      <c r="R28" s="60"/>
      <c r="S28" s="43"/>
      <c r="T28" s="216"/>
      <c r="U28" s="117"/>
    </row>
    <row r="29" spans="1:28" ht="39.6" customHeight="1">
      <c r="B29" s="161"/>
      <c r="C29" s="162"/>
      <c r="D29" s="806" t="s">
        <v>11</v>
      </c>
      <c r="E29" s="807"/>
      <c r="F29" s="807"/>
      <c r="G29" s="807"/>
      <c r="H29" s="807"/>
      <c r="I29" s="808"/>
      <c r="J29" s="809">
        <v>12</v>
      </c>
      <c r="K29" s="810"/>
      <c r="L29" s="50" t="str">
        <f>VLOOKUP(A31,DEZ!$A$2:$S$731,4,FALSE)</f>
        <v>ms</v>
      </c>
      <c r="M29" s="803" t="s">
        <v>12</v>
      </c>
      <c r="N29" s="811"/>
      <c r="O29" s="811"/>
      <c r="P29" s="811"/>
      <c r="Q29" s="805"/>
      <c r="R29" s="61">
        <f>SUM(R12:R28)</f>
        <v>12</v>
      </c>
      <c r="S29" s="51" t="str">
        <f>L29</f>
        <v>ms</v>
      </c>
      <c r="T29" s="22"/>
      <c r="U29" s="23"/>
    </row>
    <row r="30" spans="1:28" ht="21" customHeight="1">
      <c r="B30" s="163"/>
      <c r="C30" s="19"/>
      <c r="D30" s="817" t="s">
        <v>13</v>
      </c>
      <c r="E30" s="818"/>
      <c r="F30" s="818"/>
      <c r="G30" s="818"/>
      <c r="H30" s="818"/>
      <c r="I30" s="819"/>
      <c r="J30" s="823">
        <f>R29/J29</f>
        <v>1</v>
      </c>
      <c r="K30" s="824"/>
      <c r="L30" s="827"/>
      <c r="M30" s="803" t="s">
        <v>34</v>
      </c>
      <c r="N30" s="804"/>
      <c r="O30" s="804"/>
      <c r="P30" s="804"/>
      <c r="Q30" s="805"/>
      <c r="R30" s="61">
        <f>SUM(R13:R18)+(SUM(R20:R24))+R26</f>
        <v>12</v>
      </c>
      <c r="S30" s="52" t="str">
        <f>L29</f>
        <v>ms</v>
      </c>
      <c r="T30" s="22"/>
      <c r="U30" s="23"/>
    </row>
    <row r="31" spans="1:28" ht="21" customHeight="1">
      <c r="A31" s="10" t="s">
        <v>77</v>
      </c>
      <c r="B31" s="165"/>
      <c r="C31" s="164"/>
      <c r="D31" s="820"/>
      <c r="E31" s="821"/>
      <c r="F31" s="821"/>
      <c r="G31" s="821"/>
      <c r="H31" s="821"/>
      <c r="I31" s="822"/>
      <c r="J31" s="825"/>
      <c r="K31" s="826"/>
      <c r="L31" s="828"/>
      <c r="M31" s="803" t="s">
        <v>14</v>
      </c>
      <c r="N31" s="804"/>
      <c r="O31" s="804"/>
      <c r="P31" s="804"/>
      <c r="Q31" s="805"/>
      <c r="R31" s="62">
        <f>R29-R30</f>
        <v>0</v>
      </c>
      <c r="S31" s="53" t="str">
        <f>L29</f>
        <v>ms</v>
      </c>
      <c r="T31" s="54"/>
      <c r="U31" s="24"/>
    </row>
    <row r="32" spans="1:28" ht="21" customHeight="1">
      <c r="B32" s="218"/>
      <c r="C32" s="217"/>
      <c r="M32" s="803" t="s">
        <v>53</v>
      </c>
      <c r="N32" s="804"/>
      <c r="O32" s="804"/>
      <c r="P32" s="804"/>
      <c r="Q32" s="805"/>
      <c r="R32" s="62">
        <f>DEZ!E39</f>
        <v>479.75</v>
      </c>
      <c r="S32" s="53"/>
      <c r="T32" s="54"/>
      <c r="U32" s="24"/>
    </row>
    <row r="33" spans="2:21" ht="21" customHeight="1">
      <c r="B33" s="163"/>
      <c r="C33" s="219"/>
      <c r="M33" s="803" t="s">
        <v>54</v>
      </c>
      <c r="N33" s="804"/>
      <c r="O33" s="804"/>
      <c r="P33" s="804"/>
      <c r="Q33" s="805"/>
      <c r="R33" s="62">
        <f>TRUNC(R32*R31,2)</f>
        <v>0</v>
      </c>
      <c r="S33" s="53" t="s">
        <v>55</v>
      </c>
      <c r="T33" s="54"/>
      <c r="U33" s="24"/>
    </row>
  </sheetData>
  <mergeCells count="34">
    <mergeCell ref="M32:Q32"/>
    <mergeCell ref="M33:Q33"/>
    <mergeCell ref="T10:T11"/>
    <mergeCell ref="U10:U11"/>
    <mergeCell ref="D29:I29"/>
    <mergeCell ref="J29:K29"/>
    <mergeCell ref="M29:Q29"/>
    <mergeCell ref="D30:I31"/>
    <mergeCell ref="J30:K31"/>
    <mergeCell ref="L30:L31"/>
    <mergeCell ref="M30:Q30"/>
    <mergeCell ref="M31:Q31"/>
    <mergeCell ref="N10:N11"/>
    <mergeCell ref="O10:O11"/>
    <mergeCell ref="P10:P11"/>
    <mergeCell ref="Q10:Q11"/>
    <mergeCell ref="R10:R11"/>
    <mergeCell ref="S10:S11"/>
    <mergeCell ref="T8:U8"/>
    <mergeCell ref="T9:U9"/>
    <mergeCell ref="B10:B11"/>
    <mergeCell ref="C10:C11"/>
    <mergeCell ref="D10:F11"/>
    <mergeCell ref="G10:I11"/>
    <mergeCell ref="J10:J11"/>
    <mergeCell ref="K10:K11"/>
    <mergeCell ref="L10:L11"/>
    <mergeCell ref="M10:M11"/>
    <mergeCell ref="T7:U7"/>
    <mergeCell ref="B1:U4"/>
    <mergeCell ref="V4:AA4"/>
    <mergeCell ref="B5:I5"/>
    <mergeCell ref="J5:O5"/>
    <mergeCell ref="P5:U5"/>
  </mergeCells>
  <conditionalFormatting sqref="J30:K33">
    <cfRule type="cellIs" dxfId="405" priority="1" operator="greaterThanOrEqual">
      <formula>1</formula>
    </cfRule>
    <cfRule type="cellIs" dxfId="40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D60CF-0C9E-4ADA-BDCE-F73F43E96661}">
  <sheetPr codeName="Planilha166">
    <tabColor rgb="FF339933"/>
    <pageSetUpPr fitToPage="1"/>
  </sheetPr>
  <dimension ref="A1:AJ24"/>
  <sheetViews>
    <sheetView view="pageBreakPreview" topLeftCell="D1" zoomScale="50" zoomScaleNormal="55" zoomScaleSheetLayoutView="50" workbookViewId="0">
      <selection activeCell="R12" sqref="R12:T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8.28515625" style="2" customWidth="1"/>
    <col min="10" max="10" width="23.140625" style="2" customWidth="1"/>
    <col min="11" max="11" width="20.1406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DEZ!A628</f>
        <v>5.3.9.1</v>
      </c>
      <c r="C10" s="845" t="str">
        <f>DEZ!C628</f>
        <v>CALHA PLATIBANDA DE CHAPA DE AÇO GALVANIZADA NUM 26, CORTE 45 CM, FORNECIMENTO E INSTALAÇÃO</v>
      </c>
      <c r="D10" s="816" t="s">
        <v>901</v>
      </c>
      <c r="E10" s="816"/>
      <c r="F10" s="816"/>
      <c r="G10" s="816" t="s">
        <v>33</v>
      </c>
      <c r="H10" s="816"/>
      <c r="I10" s="816"/>
      <c r="J10" s="812" t="s">
        <v>1373</v>
      </c>
      <c r="K10" s="812" t="s">
        <v>1396</v>
      </c>
      <c r="L10" s="812" t="s">
        <v>855</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1398</v>
      </c>
      <c r="D12" s="860"/>
      <c r="E12" s="861"/>
      <c r="F12" s="862"/>
      <c r="G12" s="77"/>
      <c r="H12" s="78"/>
      <c r="I12" s="79">
        <v>44.2</v>
      </c>
      <c r="J12" s="715"/>
      <c r="K12" s="81"/>
      <c r="L12" s="82"/>
      <c r="M12" s="83"/>
      <c r="N12" s="105"/>
      <c r="O12" s="84"/>
      <c r="P12" s="82"/>
      <c r="Q12" s="93"/>
      <c r="R12" s="85"/>
      <c r="S12" s="111"/>
      <c r="T12" s="215"/>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DEZ!I628</f>
        <v>44.2</v>
      </c>
      <c r="K20" s="810"/>
      <c r="L20" s="50" t="s">
        <v>51</v>
      </c>
      <c r="M20" s="803" t="s">
        <v>12</v>
      </c>
      <c r="N20" s="811"/>
      <c r="O20" s="811"/>
      <c r="P20" s="811"/>
      <c r="Q20" s="805"/>
      <c r="R20" s="61">
        <f>SUM(R12:R19)</f>
        <v>0</v>
      </c>
      <c r="S20" s="51" t="str">
        <f>L20</f>
        <v>m</v>
      </c>
      <c r="T20" s="22"/>
      <c r="U20" s="23"/>
    </row>
    <row r="21" spans="1:28" ht="21" customHeight="1">
      <c r="B21" s="163"/>
      <c r="C21" s="19"/>
      <c r="D21" s="817" t="s">
        <v>13</v>
      </c>
      <c r="E21" s="818"/>
      <c r="F21" s="818"/>
      <c r="G21" s="818"/>
      <c r="H21" s="818"/>
      <c r="I21" s="819"/>
      <c r="J21" s="823">
        <f>R20/J20</f>
        <v>0</v>
      </c>
      <c r="K21" s="824"/>
      <c r="L21" s="827"/>
      <c r="M21" s="803" t="s">
        <v>34</v>
      </c>
      <c r="N21" s="804"/>
      <c r="O21" s="804"/>
      <c r="P21" s="804"/>
      <c r="Q21" s="805"/>
      <c r="R21" s="61">
        <v>0</v>
      </c>
      <c r="S21" s="52" t="str">
        <f>L20</f>
        <v>m</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v>
      </c>
      <c r="T22" s="54"/>
      <c r="U22" s="24"/>
    </row>
    <row r="23" spans="1:28" ht="21" customHeight="1">
      <c r="B23" s="218"/>
      <c r="C23" s="217"/>
      <c r="M23" s="803" t="s">
        <v>53</v>
      </c>
      <c r="N23" s="804"/>
      <c r="O23" s="804"/>
      <c r="P23" s="804"/>
      <c r="Q23" s="805"/>
      <c r="R23" s="62">
        <f>DEZ!E628</f>
        <v>72.83</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63" priority="1" operator="greaterThanOrEqual">
      <formula>1</formula>
    </cfRule>
    <cfRule type="cellIs" dxfId="162"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0E8B-823C-4E88-8221-8657A4002FA8}">
  <sheetPr codeName="Planilha167">
    <tabColor rgb="FF339933"/>
    <pageSetUpPr fitToPage="1"/>
  </sheetPr>
  <dimension ref="A1:AJ24"/>
  <sheetViews>
    <sheetView view="pageBreakPreview" topLeftCell="D1" zoomScale="50" zoomScaleNormal="55" zoomScaleSheetLayoutView="50" workbookViewId="0">
      <selection activeCell="R12" sqref="R12:T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8.28515625" style="2" customWidth="1"/>
    <col min="10" max="10" width="23.140625" style="2" customWidth="1"/>
    <col min="11" max="11" width="20.140625" style="2" customWidth="1"/>
    <col min="12" max="12" width="18.1406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DEZ!A629</f>
        <v>5.3.9.2</v>
      </c>
      <c r="C10" s="845" t="str">
        <f>DEZ!C629</f>
        <v>Rufo de chapa metálica nº 26 com largura de 30 cm</v>
      </c>
      <c r="D10" s="816" t="s">
        <v>901</v>
      </c>
      <c r="E10" s="816"/>
      <c r="F10" s="816"/>
      <c r="G10" s="816" t="s">
        <v>33</v>
      </c>
      <c r="H10" s="816"/>
      <c r="I10" s="816"/>
      <c r="J10" s="812" t="s">
        <v>1373</v>
      </c>
      <c r="K10" s="812" t="s">
        <v>1396</v>
      </c>
      <c r="L10" s="812" t="s">
        <v>855</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1400</v>
      </c>
      <c r="D12" s="860"/>
      <c r="E12" s="861"/>
      <c r="F12" s="862"/>
      <c r="G12" s="77"/>
      <c r="H12" s="78"/>
      <c r="I12" s="79">
        <v>64.14</v>
      </c>
      <c r="J12" s="715"/>
      <c r="K12" s="81"/>
      <c r="L12" s="82"/>
      <c r="M12" s="83"/>
      <c r="N12" s="105"/>
      <c r="O12" s="84"/>
      <c r="P12" s="82"/>
      <c r="Q12" s="93"/>
      <c r="R12" s="85"/>
      <c r="S12" s="111"/>
      <c r="T12" s="215"/>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DEZ!I629</f>
        <v>64.14</v>
      </c>
      <c r="K20" s="810"/>
      <c r="L20" s="50" t="s">
        <v>51</v>
      </c>
      <c r="M20" s="803" t="s">
        <v>12</v>
      </c>
      <c r="N20" s="811"/>
      <c r="O20" s="811"/>
      <c r="P20" s="811"/>
      <c r="Q20" s="805"/>
      <c r="R20" s="61">
        <f>SUM(R12:R19)</f>
        <v>0</v>
      </c>
      <c r="S20" s="51" t="str">
        <f>L20</f>
        <v>m</v>
      </c>
      <c r="T20" s="22"/>
      <c r="U20" s="23"/>
    </row>
    <row r="21" spans="1:28" ht="21" customHeight="1">
      <c r="B21" s="163"/>
      <c r="C21" s="19"/>
      <c r="D21" s="817" t="s">
        <v>13</v>
      </c>
      <c r="E21" s="818"/>
      <c r="F21" s="818"/>
      <c r="G21" s="818"/>
      <c r="H21" s="818"/>
      <c r="I21" s="819"/>
      <c r="J21" s="823">
        <f>R20/J20</f>
        <v>0</v>
      </c>
      <c r="K21" s="824"/>
      <c r="L21" s="827"/>
      <c r="M21" s="803" t="s">
        <v>34</v>
      </c>
      <c r="N21" s="804"/>
      <c r="O21" s="804"/>
      <c r="P21" s="804"/>
      <c r="Q21" s="805"/>
      <c r="R21" s="61">
        <v>0</v>
      </c>
      <c r="S21" s="52" t="str">
        <f>L20</f>
        <v>m</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v>
      </c>
      <c r="T22" s="54"/>
      <c r="U22" s="24"/>
    </row>
    <row r="23" spans="1:28" ht="21" customHeight="1">
      <c r="B23" s="218"/>
      <c r="C23" s="217"/>
      <c r="M23" s="803" t="s">
        <v>53</v>
      </c>
      <c r="N23" s="804"/>
      <c r="O23" s="804"/>
      <c r="P23" s="804"/>
      <c r="Q23" s="805"/>
      <c r="R23" s="62">
        <f>DEZ!E629</f>
        <v>31.38</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61" priority="1" operator="greaterThanOrEqual">
      <formula>1</formula>
    </cfRule>
    <cfRule type="cellIs" dxfId="160" priority="2" operator="greaterThan">
      <formula>100%</formula>
    </cfRule>
  </conditionalFormatting>
  <pageMargins left="0.51181102362204722" right="0.51181102362204722" top="0.78740157480314965" bottom="0.78740157480314965" header="0.31496062992125984" footer="0.31496062992125984"/>
  <pageSetup paperSize="9" scale="39" fitToHeight="0" orientation="landscape" r:id="rId1"/>
  <headerFooter>
    <oddFooter>Página &amp;P de &amp;N</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AD797-7408-4B37-88B9-1B20C598BC6B}">
  <sheetPr codeName="Planilha168">
    <tabColor rgb="FF339933"/>
    <pageSetUpPr fitToPage="1"/>
  </sheetPr>
  <dimension ref="A1:AJ24"/>
  <sheetViews>
    <sheetView view="pageBreakPreview" topLeftCell="L1" zoomScale="50" zoomScaleNormal="55" zoomScaleSheetLayoutView="50" workbookViewId="0">
      <selection activeCell="R12" sqref="R12:T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8.28515625" style="2" customWidth="1"/>
    <col min="10" max="10" width="23.140625" style="2" customWidth="1"/>
    <col min="11" max="11" width="20.140625" style="2" customWidth="1"/>
    <col min="12" max="12" width="18.1406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DEZ!A630</f>
        <v>5.3.9.3</v>
      </c>
      <c r="C10" s="845" t="str">
        <f>DEZ!C630</f>
        <v>Tubo de PVC rígido soldável branco, para esgoto, diâmetro 100mm (4"), inclusive conexões</v>
      </c>
      <c r="D10" s="816" t="s">
        <v>901</v>
      </c>
      <c r="E10" s="816"/>
      <c r="F10" s="816"/>
      <c r="G10" s="816" t="s">
        <v>33</v>
      </c>
      <c r="H10" s="816"/>
      <c r="I10" s="816"/>
      <c r="J10" s="812" t="s">
        <v>1373</v>
      </c>
      <c r="K10" s="812" t="s">
        <v>1396</v>
      </c>
      <c r="L10" s="812" t="s">
        <v>855</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1400</v>
      </c>
      <c r="D12" s="860"/>
      <c r="E12" s="861"/>
      <c r="F12" s="862"/>
      <c r="G12" s="77"/>
      <c r="H12" s="78"/>
      <c r="I12" s="79">
        <v>9.27</v>
      </c>
      <c r="J12" s="715"/>
      <c r="K12" s="81"/>
      <c r="L12" s="82"/>
      <c r="M12" s="83"/>
      <c r="N12" s="105"/>
      <c r="O12" s="84"/>
      <c r="P12" s="82"/>
      <c r="Q12" s="93"/>
      <c r="R12" s="85"/>
      <c r="S12" s="111"/>
      <c r="T12" s="215"/>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DEZ!I630</f>
        <v>9.27</v>
      </c>
      <c r="K20" s="810"/>
      <c r="L20" s="50" t="s">
        <v>51</v>
      </c>
      <c r="M20" s="803" t="s">
        <v>12</v>
      </c>
      <c r="N20" s="811"/>
      <c r="O20" s="811"/>
      <c r="P20" s="811"/>
      <c r="Q20" s="805"/>
      <c r="R20" s="61">
        <f>SUM(R12:R19)</f>
        <v>0</v>
      </c>
      <c r="S20" s="51" t="str">
        <f>L20</f>
        <v>m</v>
      </c>
      <c r="T20" s="22"/>
      <c r="U20" s="23"/>
    </row>
    <row r="21" spans="1:28" ht="21" customHeight="1">
      <c r="B21" s="163"/>
      <c r="C21" s="19"/>
      <c r="D21" s="817" t="s">
        <v>13</v>
      </c>
      <c r="E21" s="818"/>
      <c r="F21" s="818"/>
      <c r="G21" s="818"/>
      <c r="H21" s="818"/>
      <c r="I21" s="819"/>
      <c r="J21" s="823">
        <f>R20/J20</f>
        <v>0</v>
      </c>
      <c r="K21" s="824"/>
      <c r="L21" s="827"/>
      <c r="M21" s="803" t="s">
        <v>34</v>
      </c>
      <c r="N21" s="804"/>
      <c r="O21" s="804"/>
      <c r="P21" s="804"/>
      <c r="Q21" s="805"/>
      <c r="R21" s="61">
        <v>0</v>
      </c>
      <c r="S21" s="52" t="str">
        <f>L20</f>
        <v>m</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v>
      </c>
      <c r="T22" s="54"/>
      <c r="U22" s="24"/>
    </row>
    <row r="23" spans="1:28" ht="21" customHeight="1">
      <c r="B23" s="218"/>
      <c r="C23" s="217"/>
      <c r="M23" s="803" t="s">
        <v>53</v>
      </c>
      <c r="N23" s="804"/>
      <c r="O23" s="804"/>
      <c r="P23" s="804"/>
      <c r="Q23" s="805"/>
      <c r="R23" s="62">
        <f>DEZ!E630</f>
        <v>61.57</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59" priority="1" operator="greaterThanOrEqual">
      <formula>1</formula>
    </cfRule>
    <cfRule type="cellIs" dxfId="158" priority="2" operator="greaterThan">
      <formula>100%</formula>
    </cfRule>
  </conditionalFormatting>
  <pageMargins left="0.51181102362204722" right="0.51181102362204722" top="0.78740157480314965" bottom="0.78740157480314965" header="0.31496062992125984" footer="0.31496062992125984"/>
  <pageSetup paperSize="9" scale="39" fitToHeight="0" orientation="landscape" r:id="rId1"/>
  <headerFooter>
    <oddFooter>Página &amp;P de &amp;N</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7BD21-3BA3-4BF8-87BB-590181173E35}">
  <sheetPr codeName="Planilha169">
    <tabColor rgb="FF339933"/>
    <pageSetUpPr fitToPage="1"/>
  </sheetPr>
  <dimension ref="A1:AJ24"/>
  <sheetViews>
    <sheetView view="pageBreakPreview" topLeftCell="L1" zoomScale="50" zoomScaleNormal="55" zoomScaleSheetLayoutView="50" workbookViewId="0">
      <selection activeCell="R12" sqref="R12:T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8.28515625" style="2" customWidth="1"/>
    <col min="10" max="10" width="23.140625" style="2" customWidth="1"/>
    <col min="11" max="11" width="20.140625" style="2" customWidth="1"/>
    <col min="12" max="12" width="18.1406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DEZ!A631</f>
        <v>5.3.9.4</v>
      </c>
      <c r="C10" s="845" t="str">
        <f>DEZ!C631</f>
        <v>Tubo PVC rígido para esgoto no diâmetro de 100mm incluindo escavação e aterro com areia</v>
      </c>
      <c r="D10" s="816" t="s">
        <v>901</v>
      </c>
      <c r="E10" s="816"/>
      <c r="F10" s="816"/>
      <c r="G10" s="816" t="s">
        <v>33</v>
      </c>
      <c r="H10" s="816"/>
      <c r="I10" s="816"/>
      <c r="J10" s="812" t="s">
        <v>1373</v>
      </c>
      <c r="K10" s="812" t="s">
        <v>1396</v>
      </c>
      <c r="L10" s="812" t="s">
        <v>855</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1400</v>
      </c>
      <c r="D12" s="860"/>
      <c r="E12" s="861"/>
      <c r="F12" s="862"/>
      <c r="G12" s="77"/>
      <c r="H12" s="78"/>
      <c r="I12" s="79">
        <v>10.73</v>
      </c>
      <c r="J12" s="715"/>
      <c r="K12" s="81"/>
      <c r="L12" s="82"/>
      <c r="M12" s="83"/>
      <c r="N12" s="105"/>
      <c r="O12" s="84"/>
      <c r="P12" s="82"/>
      <c r="Q12" s="93"/>
      <c r="R12" s="85"/>
      <c r="S12" s="111"/>
      <c r="T12" s="215"/>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DEZ!I631</f>
        <v>10.73</v>
      </c>
      <c r="K20" s="810"/>
      <c r="L20" s="50" t="s">
        <v>51</v>
      </c>
      <c r="M20" s="803" t="s">
        <v>12</v>
      </c>
      <c r="N20" s="811"/>
      <c r="O20" s="811"/>
      <c r="P20" s="811"/>
      <c r="Q20" s="805"/>
      <c r="R20" s="61">
        <f>SUM(R12:R19)</f>
        <v>0</v>
      </c>
      <c r="S20" s="51" t="str">
        <f>L20</f>
        <v>m</v>
      </c>
      <c r="T20" s="22"/>
      <c r="U20" s="23"/>
    </row>
    <row r="21" spans="1:28" ht="21" customHeight="1">
      <c r="B21" s="163"/>
      <c r="C21" s="19"/>
      <c r="D21" s="817" t="s">
        <v>13</v>
      </c>
      <c r="E21" s="818"/>
      <c r="F21" s="818"/>
      <c r="G21" s="818"/>
      <c r="H21" s="818"/>
      <c r="I21" s="819"/>
      <c r="J21" s="823">
        <f>R20/J20</f>
        <v>0</v>
      </c>
      <c r="K21" s="824"/>
      <c r="L21" s="827"/>
      <c r="M21" s="803" t="s">
        <v>34</v>
      </c>
      <c r="N21" s="804"/>
      <c r="O21" s="804"/>
      <c r="P21" s="804"/>
      <c r="Q21" s="805"/>
      <c r="R21" s="61">
        <v>0</v>
      </c>
      <c r="S21" s="52" t="str">
        <f>L20</f>
        <v>m</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v>
      </c>
      <c r="T22" s="54"/>
      <c r="U22" s="24"/>
    </row>
    <row r="23" spans="1:28" ht="21" customHeight="1">
      <c r="B23" s="218"/>
      <c r="C23" s="217"/>
      <c r="M23" s="803" t="s">
        <v>53</v>
      </c>
      <c r="N23" s="804"/>
      <c r="O23" s="804"/>
      <c r="P23" s="804"/>
      <c r="Q23" s="805"/>
      <c r="R23" s="62">
        <f>DEZ!E631</f>
        <v>48.46</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57" priority="1" operator="greaterThanOrEqual">
      <formula>1</formula>
    </cfRule>
    <cfRule type="cellIs" dxfId="156" priority="2" operator="greaterThan">
      <formula>100%</formula>
    </cfRule>
  </conditionalFormatting>
  <pageMargins left="0.51181102362204722" right="0.51181102362204722" top="0.78740157480314965" bottom="0.78740157480314965" header="0.31496062992125984" footer="0.31496062992125984"/>
  <pageSetup paperSize="9" scale="39" fitToHeight="0" orientation="landscape" r:id="rId1"/>
  <headerFooter>
    <oddFooter>Página &amp;P de &amp;N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D7BBA-7335-4DA5-9419-CB087EDD76A5}">
  <sheetPr codeName="Planilha170">
    <tabColor rgb="FF339933"/>
    <pageSetUpPr fitToPage="1"/>
  </sheetPr>
  <dimension ref="A1:AJ24"/>
  <sheetViews>
    <sheetView view="pageBreakPreview" zoomScale="50" zoomScaleNormal="55" zoomScaleSheetLayoutView="50"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1" width="20.140625" style="2" customWidth="1"/>
    <col min="12" max="12" width="13.5703125" style="2" customWidth="1"/>
    <col min="13" max="13" width="12.28515625" style="2" customWidth="1"/>
    <col min="14" max="14" width="13.5703125" style="2" hidden="1" customWidth="1"/>
    <col min="15"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DEZ!A639</f>
        <v>5.3.10.6</v>
      </c>
      <c r="C10" s="845" t="str">
        <f>DEZ!C639</f>
        <v>Alvenaria de blocos cerâmicos 10 furos 10x20x20cm, assentados c/argamassa de cimento, cal hidratada CH1 e areia traço 1:0,5:8, juntas 12mm e espessura das paredes, s/revestimento,
20cm (bloco comprado fábrica,posto obra)</v>
      </c>
      <c r="D10" s="816" t="s">
        <v>901</v>
      </c>
      <c r="E10" s="816"/>
      <c r="F10" s="816"/>
      <c r="G10" s="816" t="s">
        <v>33</v>
      </c>
      <c r="H10" s="816"/>
      <c r="I10" s="816"/>
      <c r="J10" s="812" t="s">
        <v>1373</v>
      </c>
      <c r="K10" s="812" t="s">
        <v>1396</v>
      </c>
      <c r="L10" s="812" t="s">
        <v>855</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1398</v>
      </c>
      <c r="D12" s="860"/>
      <c r="E12" s="861"/>
      <c r="F12" s="862"/>
      <c r="G12" s="77"/>
      <c r="H12" s="78"/>
      <c r="I12" s="79"/>
      <c r="J12" s="715"/>
      <c r="K12" s="81"/>
      <c r="L12" s="82">
        <v>8.32</v>
      </c>
      <c r="M12" s="83"/>
      <c r="N12" s="105"/>
      <c r="O12" s="84"/>
      <c r="P12" s="82"/>
      <c r="Q12" s="93"/>
      <c r="R12" s="85">
        <f>L12</f>
        <v>8.32</v>
      </c>
      <c r="S12" s="111" t="s">
        <v>57</v>
      </c>
      <c r="T12" s="215">
        <v>11</v>
      </c>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DEZ!I639</f>
        <v>8.32</v>
      </c>
      <c r="K20" s="810"/>
      <c r="L20" s="50" t="str">
        <f>DEZ!D625</f>
        <v>m2</v>
      </c>
      <c r="M20" s="803" t="s">
        <v>12</v>
      </c>
      <c r="N20" s="811"/>
      <c r="O20" s="811"/>
      <c r="P20" s="811"/>
      <c r="Q20" s="805"/>
      <c r="R20" s="61">
        <f>SUM(R12:R19)</f>
        <v>8.32</v>
      </c>
      <c r="S20" s="51" t="str">
        <f>L20</f>
        <v>m2</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8.32</v>
      </c>
      <c r="S21" s="52" t="str">
        <f>L20</f>
        <v>m2</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m2</v>
      </c>
      <c r="T22" s="54"/>
      <c r="U22" s="24"/>
    </row>
    <row r="23" spans="1:28" ht="21" customHeight="1">
      <c r="B23" s="218"/>
      <c r="C23" s="217"/>
      <c r="M23" s="803" t="s">
        <v>53</v>
      </c>
      <c r="N23" s="804"/>
      <c r="O23" s="804"/>
      <c r="P23" s="804"/>
      <c r="Q23" s="805"/>
      <c r="R23" s="62">
        <f>DEZ!E639</f>
        <v>88.68</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55" priority="1" operator="greaterThanOrEqual">
      <formula>1</formula>
    </cfRule>
    <cfRule type="cellIs" dxfId="154"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72027-C811-44E1-B811-833F99AA08FF}">
  <sheetPr codeName="Planilha171">
    <tabColor rgb="FF339933"/>
    <pageSetUpPr fitToPage="1"/>
  </sheetPr>
  <dimension ref="A1:AJ24"/>
  <sheetViews>
    <sheetView view="pageBreakPreview" topLeftCell="B1" zoomScale="50" zoomScaleNormal="55" zoomScaleSheetLayoutView="50"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1" width="20.1406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DEZ!A640</f>
        <v>5.3.10.7</v>
      </c>
      <c r="C10" s="845" t="str">
        <f>DEZ!C640</f>
        <v>Chapisco de argamassa de cimento e areia média ou grossa lavada, no traço 1:3, espessura 5 mm</v>
      </c>
      <c r="D10" s="816" t="s">
        <v>901</v>
      </c>
      <c r="E10" s="816"/>
      <c r="F10" s="816"/>
      <c r="G10" s="816" t="s">
        <v>33</v>
      </c>
      <c r="H10" s="816"/>
      <c r="I10" s="816"/>
      <c r="J10" s="812" t="s">
        <v>1373</v>
      </c>
      <c r="K10" s="812" t="s">
        <v>1396</v>
      </c>
      <c r="L10" s="812" t="s">
        <v>855</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1398</v>
      </c>
      <c r="D12" s="860"/>
      <c r="E12" s="861"/>
      <c r="F12" s="862"/>
      <c r="G12" s="77"/>
      <c r="H12" s="78"/>
      <c r="I12" s="79"/>
      <c r="J12" s="715"/>
      <c r="K12" s="81"/>
      <c r="L12" s="82">
        <v>531.42999999999995</v>
      </c>
      <c r="M12" s="83"/>
      <c r="N12" s="105"/>
      <c r="O12" s="84"/>
      <c r="P12" s="82"/>
      <c r="Q12" s="93"/>
      <c r="R12" s="85">
        <f>L12</f>
        <v>531.42999999999995</v>
      </c>
      <c r="S12" s="111" t="s">
        <v>57</v>
      </c>
      <c r="T12" s="215">
        <v>11</v>
      </c>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DEZ!I640</f>
        <v>531.42999999999995</v>
      </c>
      <c r="K20" s="810"/>
      <c r="L20" s="50" t="str">
        <f>DEZ!D625</f>
        <v>m2</v>
      </c>
      <c r="M20" s="803" t="s">
        <v>12</v>
      </c>
      <c r="N20" s="811"/>
      <c r="O20" s="811"/>
      <c r="P20" s="811"/>
      <c r="Q20" s="805"/>
      <c r="R20" s="61">
        <f>SUM(R12:R19)</f>
        <v>531.42999999999995</v>
      </c>
      <c r="S20" s="51" t="str">
        <f>L20</f>
        <v>m2</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531.42999999999995</v>
      </c>
      <c r="S21" s="52" t="str">
        <f>L20</f>
        <v>m2</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m2</v>
      </c>
      <c r="T22" s="54"/>
      <c r="U22" s="24"/>
    </row>
    <row r="23" spans="1:28" ht="21" customHeight="1">
      <c r="B23" s="218"/>
      <c r="C23" s="217"/>
      <c r="M23" s="803" t="s">
        <v>53</v>
      </c>
      <c r="N23" s="804"/>
      <c r="O23" s="804"/>
      <c r="P23" s="804"/>
      <c r="Q23" s="805"/>
      <c r="R23" s="62">
        <f>DEZ!E640</f>
        <v>5.64</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53" priority="1" operator="greaterThanOrEqual">
      <formula>1</formula>
    </cfRule>
    <cfRule type="cellIs" dxfId="152"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B20D6-9D88-4DE3-85D1-C7AC5116FAAE}">
  <sheetPr codeName="Planilha172">
    <tabColor rgb="FF339933"/>
    <pageSetUpPr fitToPage="1"/>
  </sheetPr>
  <dimension ref="A1:AJ24"/>
  <sheetViews>
    <sheetView view="pageBreakPreview" topLeftCell="B1" zoomScale="50" zoomScaleNormal="55" zoomScaleSheetLayoutView="50"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1" width="20.1406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DEZ!A641</f>
        <v>5.3.10.8</v>
      </c>
      <c r="C10" s="845" t="str">
        <f>DEZ!C641</f>
        <v>Reboco tipo paulista de argamassa de cimento, cal hidratada CH1 e areia média ou grossa lavada no traço 1:0.5:6, espessura 25 mm</v>
      </c>
      <c r="D10" s="816" t="s">
        <v>901</v>
      </c>
      <c r="E10" s="816"/>
      <c r="F10" s="816"/>
      <c r="G10" s="816" t="s">
        <v>33</v>
      </c>
      <c r="H10" s="816"/>
      <c r="I10" s="816"/>
      <c r="J10" s="812" t="s">
        <v>1373</v>
      </c>
      <c r="K10" s="812" t="s">
        <v>1396</v>
      </c>
      <c r="L10" s="812" t="s">
        <v>855</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1398</v>
      </c>
      <c r="D12" s="860"/>
      <c r="E12" s="861"/>
      <c r="F12" s="862"/>
      <c r="G12" s="77"/>
      <c r="H12" s="78"/>
      <c r="I12" s="79"/>
      <c r="J12" s="715"/>
      <c r="K12" s="81"/>
      <c r="L12" s="82">
        <v>531.42999999999995</v>
      </c>
      <c r="M12" s="83"/>
      <c r="N12" s="105"/>
      <c r="O12" s="84"/>
      <c r="P12" s="82"/>
      <c r="Q12" s="93"/>
      <c r="R12" s="85">
        <f>L12</f>
        <v>531.42999999999995</v>
      </c>
      <c r="S12" s="111" t="s">
        <v>57</v>
      </c>
      <c r="T12" s="215">
        <v>11</v>
      </c>
      <c r="U12" s="91"/>
      <c r="V12" s="71"/>
      <c r="W12" s="71"/>
      <c r="X12" s="152"/>
      <c r="Y12" s="153"/>
      <c r="Z12" s="72"/>
    </row>
    <row r="13" spans="1:36" s="73" customFormat="1" ht="21" customHeight="1">
      <c r="A13" s="64"/>
      <c r="B13" s="109"/>
      <c r="C13" s="189"/>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DEZ!I641</f>
        <v>531.42999999999995</v>
      </c>
      <c r="K20" s="810"/>
      <c r="L20" s="50" t="str">
        <f>DEZ!D625</f>
        <v>m2</v>
      </c>
      <c r="M20" s="803" t="s">
        <v>12</v>
      </c>
      <c r="N20" s="811"/>
      <c r="O20" s="811"/>
      <c r="P20" s="811"/>
      <c r="Q20" s="805"/>
      <c r="R20" s="61">
        <f>SUM(R12:R19)</f>
        <v>531.42999999999995</v>
      </c>
      <c r="S20" s="51" t="str">
        <f>L20</f>
        <v>m2</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531.42999999999995</v>
      </c>
      <c r="S21" s="52" t="str">
        <f>L20</f>
        <v>m2</v>
      </c>
      <c r="T21" s="22"/>
      <c r="U21" s="23"/>
    </row>
    <row r="22" spans="1:28" ht="21" customHeight="1">
      <c r="A22" s="10" t="s">
        <v>506</v>
      </c>
      <c r="B22" s="165"/>
      <c r="C22" s="164"/>
      <c r="D22" s="820"/>
      <c r="E22" s="821"/>
      <c r="F22" s="821"/>
      <c r="G22" s="821"/>
      <c r="H22" s="821"/>
      <c r="I22" s="822"/>
      <c r="J22" s="825"/>
      <c r="K22" s="826"/>
      <c r="L22" s="828"/>
      <c r="M22" s="803" t="s">
        <v>14</v>
      </c>
      <c r="N22" s="804"/>
      <c r="O22" s="804"/>
      <c r="P22" s="804"/>
      <c r="Q22" s="805"/>
      <c r="R22" s="62">
        <f>R20-R21</f>
        <v>0</v>
      </c>
      <c r="S22" s="53" t="str">
        <f>L20</f>
        <v>m2</v>
      </c>
      <c r="T22" s="54"/>
      <c r="U22" s="24"/>
    </row>
    <row r="23" spans="1:28" ht="21" customHeight="1">
      <c r="B23" s="218"/>
      <c r="C23" s="217"/>
      <c r="M23" s="803" t="s">
        <v>53</v>
      </c>
      <c r="N23" s="804"/>
      <c r="O23" s="804"/>
      <c r="P23" s="804"/>
      <c r="Q23" s="805"/>
      <c r="R23" s="62">
        <f>DEZ!E641</f>
        <v>49.24</v>
      </c>
      <c r="S23" s="53"/>
      <c r="T23" s="54"/>
      <c r="U23" s="24"/>
    </row>
    <row r="24" spans="1:28" ht="21" customHeight="1">
      <c r="B24" s="163"/>
      <c r="C24" s="219"/>
      <c r="M24" s="803" t="s">
        <v>54</v>
      </c>
      <c r="N24" s="804"/>
      <c r="O24" s="804"/>
      <c r="P24" s="804"/>
      <c r="Q24" s="805"/>
      <c r="R24" s="62">
        <f>TRUNC(R23*R22,2)</f>
        <v>0</v>
      </c>
      <c r="S24" s="53" t="s">
        <v>55</v>
      </c>
      <c r="T24" s="54"/>
      <c r="U24"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0:I20"/>
    <mergeCell ref="J20:K20"/>
    <mergeCell ref="M20:Q20"/>
    <mergeCell ref="N10:N11"/>
    <mergeCell ref="O10:O11"/>
    <mergeCell ref="P10:P11"/>
    <mergeCell ref="Q10:Q11"/>
    <mergeCell ref="M24:Q24"/>
    <mergeCell ref="D21:I22"/>
    <mergeCell ref="J21:K22"/>
    <mergeCell ref="L21:L22"/>
    <mergeCell ref="M21:Q21"/>
    <mergeCell ref="M22:Q22"/>
    <mergeCell ref="M23:Q23"/>
  </mergeCells>
  <conditionalFormatting sqref="J21:K24">
    <cfRule type="cellIs" dxfId="151" priority="1" operator="greaterThanOrEqual">
      <formula>1</formula>
    </cfRule>
    <cfRule type="cellIs" dxfId="150"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A158D-DBC7-4AEA-8686-C9CC875849B0}">
  <sheetPr codeName="Planilha173">
    <tabColor rgb="FF339933"/>
    <pageSetUpPr fitToPage="1"/>
  </sheetPr>
  <dimension ref="A1:AJ24"/>
  <sheetViews>
    <sheetView view="pageBreakPreview" zoomScale="50" zoomScaleNormal="55" zoomScaleSheetLayoutView="50"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DEZ!A600</f>
        <v>5.3.5.1</v>
      </c>
      <c r="C10" s="845" t="str">
        <f>DEZ!C258</f>
        <v>Forma de chapas madeira compensada resinada, esp. 12mm, levando-se em conta a utilização 3 vezes, reforçadas com sarrafos de madeira de 2.5 x 10.0cm (incl material, corte, montagem, escoras em eucalipto e desforma)</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1384</v>
      </c>
      <c r="D12" s="77"/>
      <c r="E12" s="78"/>
      <c r="F12" s="79"/>
      <c r="G12" s="77"/>
      <c r="H12" s="78"/>
      <c r="I12" s="79"/>
      <c r="J12" s="80"/>
      <c r="K12" s="81">
        <v>52.4</v>
      </c>
      <c r="L12" s="82"/>
      <c r="M12" s="83"/>
      <c r="N12" s="105"/>
      <c r="O12" s="84"/>
      <c r="P12" s="82"/>
      <c r="Q12" s="93"/>
      <c r="R12" s="85">
        <f>K12</f>
        <v>52.4</v>
      </c>
      <c r="S12" s="111" t="s">
        <v>57</v>
      </c>
      <c r="T12" s="215">
        <v>10</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DEZ!I600</f>
        <v>52.4</v>
      </c>
      <c r="K20" s="810"/>
      <c r="L20" s="50" t="str">
        <f>DEZ!D245</f>
        <v>m2</v>
      </c>
      <c r="M20" s="803" t="s">
        <v>12</v>
      </c>
      <c r="N20" s="811"/>
      <c r="O20" s="811"/>
      <c r="P20" s="811"/>
      <c r="Q20" s="805"/>
      <c r="R20" s="61">
        <f>R12</f>
        <v>52.4</v>
      </c>
      <c r="S20" s="51" t="str">
        <f>L20</f>
        <v>m2</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52.4</v>
      </c>
      <c r="S21" s="52" t="str">
        <f>L20</f>
        <v>m2</v>
      </c>
      <c r="T21" s="22"/>
      <c r="U21" s="23"/>
    </row>
    <row r="22" spans="1:28" ht="21" customHeight="1">
      <c r="A22" s="10" t="s">
        <v>396</v>
      </c>
      <c r="B22" s="165"/>
      <c r="C22" s="164"/>
      <c r="D22" s="820"/>
      <c r="E22" s="821"/>
      <c r="F22" s="821"/>
      <c r="G22" s="821"/>
      <c r="H22" s="821"/>
      <c r="I22" s="822"/>
      <c r="J22" s="825"/>
      <c r="K22" s="826"/>
      <c r="L22" s="828"/>
      <c r="M22" s="803" t="s">
        <v>14</v>
      </c>
      <c r="N22" s="804"/>
      <c r="O22" s="804"/>
      <c r="P22" s="804"/>
      <c r="Q22" s="805"/>
      <c r="R22" s="62">
        <f>R20-R21</f>
        <v>0</v>
      </c>
      <c r="S22" s="53" t="str">
        <f>L20</f>
        <v>m2</v>
      </c>
      <c r="T22" s="54"/>
      <c r="U22" s="24"/>
    </row>
    <row r="23" spans="1:28" ht="21" customHeight="1">
      <c r="B23" s="218"/>
      <c r="C23" s="217"/>
      <c r="M23" s="803" t="s">
        <v>53</v>
      </c>
      <c r="N23" s="804"/>
      <c r="O23" s="804"/>
      <c r="P23" s="804"/>
      <c r="Q23" s="805"/>
      <c r="R23" s="62">
        <f>DEZ!E258</f>
        <v>91.04</v>
      </c>
      <c r="S23" s="53"/>
      <c r="T23" s="54"/>
      <c r="U23" s="24"/>
    </row>
    <row r="24" spans="1:28" ht="21" customHeight="1">
      <c r="B24" s="163"/>
      <c r="C24" s="219"/>
      <c r="M24" s="803" t="s">
        <v>54</v>
      </c>
      <c r="N24" s="804"/>
      <c r="O24" s="804"/>
      <c r="P24" s="804"/>
      <c r="Q24" s="805"/>
      <c r="R24" s="62">
        <f>TRUNC(R23*R22,2)</f>
        <v>0</v>
      </c>
      <c r="S24" s="53" t="s">
        <v>55</v>
      </c>
      <c r="T24" s="54"/>
      <c r="U24" s="24"/>
    </row>
  </sheetData>
  <mergeCells count="36">
    <mergeCell ref="R10:R11"/>
    <mergeCell ref="S10:S11"/>
    <mergeCell ref="M24:Q24"/>
    <mergeCell ref="D21:I22"/>
    <mergeCell ref="J21:K22"/>
    <mergeCell ref="L21:L22"/>
    <mergeCell ref="M21:Q21"/>
    <mergeCell ref="M22:Q22"/>
    <mergeCell ref="M23:Q23"/>
    <mergeCell ref="D13:F13"/>
    <mergeCell ref="D14:F14"/>
    <mergeCell ref="D20:I20"/>
    <mergeCell ref="J20:K20"/>
    <mergeCell ref="M20:Q20"/>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1:K24">
    <cfRule type="cellIs" dxfId="149" priority="1" operator="greaterThanOrEqual">
      <formula>1</formula>
    </cfRule>
    <cfRule type="cellIs" dxfId="14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288F6-7EC3-4700-9229-54EA30840BFD}">
  <sheetPr codeName="Planilha174">
    <tabColor rgb="FF339933"/>
    <pageSetUpPr fitToPage="1"/>
  </sheetPr>
  <dimension ref="A1:AJ29"/>
  <sheetViews>
    <sheetView view="pageBreakPreview" topLeftCell="A4" zoomScale="51" zoomScaleNormal="55" zoomScaleSheetLayoutView="51"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DEZ!A601</f>
        <v>5.3.5.2</v>
      </c>
      <c r="C10" s="845" t="str">
        <f>DEZ!C259</f>
        <v>Fornecimento, dobragem e colocação em fôrma, de armadura CA-50 A média, diâmetro de 6.3 a 10.0 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1383</v>
      </c>
      <c r="D12" s="77"/>
      <c r="E12" s="78"/>
      <c r="F12" s="79"/>
      <c r="G12" s="77"/>
      <c r="H12" s="78"/>
      <c r="I12" s="79"/>
      <c r="J12" s="80"/>
      <c r="K12" s="81">
        <v>210</v>
      </c>
      <c r="L12" s="82"/>
      <c r="M12" s="83"/>
      <c r="N12" s="105"/>
      <c r="O12" s="84"/>
      <c r="P12" s="82"/>
      <c r="Q12" s="93"/>
      <c r="R12" s="85">
        <f>K12</f>
        <v>210</v>
      </c>
      <c r="S12" s="111" t="s">
        <v>57</v>
      </c>
      <c r="T12" s="215">
        <v>10</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DEZ!I601</f>
        <v>210</v>
      </c>
      <c r="K25" s="810"/>
      <c r="L25" s="50" t="str">
        <f>DEZ!D259</f>
        <v>kg</v>
      </c>
      <c r="M25" s="803" t="s">
        <v>12</v>
      </c>
      <c r="N25" s="811"/>
      <c r="O25" s="811"/>
      <c r="P25" s="811"/>
      <c r="Q25" s="805"/>
      <c r="R25" s="61">
        <f>R12</f>
        <v>210</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210</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kg</v>
      </c>
      <c r="T27" s="54"/>
      <c r="U27" s="24"/>
    </row>
    <row r="28" spans="1:28" ht="21" customHeight="1">
      <c r="B28" s="218"/>
      <c r="C28" s="217"/>
      <c r="M28" s="803" t="s">
        <v>53</v>
      </c>
      <c r="N28" s="804"/>
      <c r="O28" s="804"/>
      <c r="P28" s="804"/>
      <c r="Q28" s="805"/>
      <c r="R28" s="62">
        <f>DEZ!E259</f>
        <v>7.98</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147" priority="1" operator="greaterThanOrEqual">
      <formula>1</formula>
    </cfRule>
    <cfRule type="cellIs" dxfId="14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6C84A-B03D-48B8-B72D-BC2F6176D583}">
  <sheetPr codeName="Planilha175">
    <tabColor rgb="FF339933"/>
    <pageSetUpPr fitToPage="1"/>
  </sheetPr>
  <dimension ref="A1:AJ29"/>
  <sheetViews>
    <sheetView view="pageBreakPreview" topLeftCell="A4" zoomScale="51" zoomScaleNormal="55" zoomScaleSheetLayoutView="51"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DEZ!A602</f>
        <v>5.3.5.3</v>
      </c>
      <c r="C10" s="845" t="str">
        <f>DEZ!C602</f>
        <v>Fornecimento, dobragem e colocação em fôrma, de armadura CA-50 A grossa diâmetro de 12.5 a 25.0 mm (1/2 a 1")</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1383</v>
      </c>
      <c r="D12" s="77"/>
      <c r="E12" s="78"/>
      <c r="F12" s="79"/>
      <c r="G12" s="77"/>
      <c r="H12" s="78"/>
      <c r="I12" s="79"/>
      <c r="J12" s="80"/>
      <c r="K12" s="81">
        <v>55</v>
      </c>
      <c r="L12" s="82"/>
      <c r="M12" s="83"/>
      <c r="N12" s="105"/>
      <c r="O12" s="84"/>
      <c r="P12" s="82"/>
      <c r="Q12" s="93"/>
      <c r="R12" s="85">
        <f>K12</f>
        <v>55</v>
      </c>
      <c r="S12" s="111" t="s">
        <v>57</v>
      </c>
      <c r="T12" s="215">
        <v>10</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DEZ!I602</f>
        <v>55</v>
      </c>
      <c r="K25" s="810"/>
      <c r="L25" s="50" t="str">
        <f>DEZ!D259</f>
        <v>kg</v>
      </c>
      <c r="M25" s="803" t="s">
        <v>12</v>
      </c>
      <c r="N25" s="811"/>
      <c r="O25" s="811"/>
      <c r="P25" s="811"/>
      <c r="Q25" s="805"/>
      <c r="R25" s="61">
        <f>R12</f>
        <v>55</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55</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kg</v>
      </c>
      <c r="T27" s="54"/>
      <c r="U27" s="24"/>
    </row>
    <row r="28" spans="1:28" ht="21" customHeight="1">
      <c r="B28" s="218"/>
      <c r="C28" s="217"/>
      <c r="M28" s="803" t="s">
        <v>53</v>
      </c>
      <c r="N28" s="804"/>
      <c r="O28" s="804"/>
      <c r="P28" s="804"/>
      <c r="Q28" s="805"/>
      <c r="R28" s="62">
        <f>DEZ!E602</f>
        <v>8.41</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145" priority="1" operator="greaterThanOrEqual">
      <formula>1</formula>
    </cfRule>
    <cfRule type="cellIs" dxfId="14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17">
    <tabColor rgb="FF339933"/>
    <pageSetUpPr fitToPage="1"/>
  </sheetPr>
  <dimension ref="A1:AJ35"/>
  <sheetViews>
    <sheetView view="pageBreakPreview" topLeftCell="B11" zoomScale="50" zoomScaleNormal="55" zoomScaleSheetLayoutView="50" workbookViewId="0">
      <selection activeCell="R33" sqref="R3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DEZ!A40</f>
        <v>1.1.3.5</v>
      </c>
      <c r="C10" s="845" t="str">
        <f>DEZ!C40</f>
        <v>Aluguel mensal container sanitário, incl porta, básc, 2 ptos luz, 1 pto aterram., 3vasos, 3lavatórios, calha mictório, 6 chuveiros (1 eletrico), torn.,registros, piso comp. Naval pintado, cert NR18 e laudo descontaminação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952</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t="s">
        <v>943</v>
      </c>
      <c r="D13" s="77"/>
      <c r="E13" s="78"/>
      <c r="F13" s="79"/>
      <c r="G13" s="77"/>
      <c r="H13" s="78"/>
      <c r="I13" s="79"/>
      <c r="J13" s="66"/>
      <c r="K13" s="108"/>
      <c r="L13" s="67"/>
      <c r="M13" s="68">
        <v>1</v>
      </c>
      <c r="N13" s="110"/>
      <c r="O13" s="69"/>
      <c r="P13" s="67"/>
      <c r="Q13" s="106"/>
      <c r="R13" s="85">
        <f>M13</f>
        <v>1</v>
      </c>
      <c r="S13" s="111" t="s">
        <v>52</v>
      </c>
      <c r="T13" s="215">
        <v>4</v>
      </c>
      <c r="U13" s="94"/>
      <c r="V13" s="71"/>
      <c r="W13" s="71"/>
      <c r="X13" s="152"/>
      <c r="Y13" s="153"/>
      <c r="Z13" s="72"/>
      <c r="AA13" s="71"/>
      <c r="AB13" s="74"/>
    </row>
    <row r="14" spans="1:36" s="73" customFormat="1" ht="21" customHeight="1">
      <c r="A14" s="64"/>
      <c r="B14" s="109"/>
      <c r="C14" s="65" t="s">
        <v>962</v>
      </c>
      <c r="D14" s="77"/>
      <c r="E14" s="78"/>
      <c r="F14" s="79"/>
      <c r="G14" s="77"/>
      <c r="H14" s="78"/>
      <c r="I14" s="79"/>
      <c r="J14" s="66"/>
      <c r="K14" s="108"/>
      <c r="L14" s="67"/>
      <c r="M14" s="68">
        <v>1</v>
      </c>
      <c r="N14" s="110"/>
      <c r="O14" s="69"/>
      <c r="P14" s="67"/>
      <c r="Q14" s="106"/>
      <c r="R14" s="70">
        <f>M14</f>
        <v>1</v>
      </c>
      <c r="S14" s="111" t="s">
        <v>52</v>
      </c>
      <c r="T14" s="215">
        <v>5</v>
      </c>
      <c r="U14" s="94"/>
      <c r="V14" s="71"/>
      <c r="W14" s="71"/>
      <c r="X14" s="152"/>
      <c r="Y14" s="153"/>
      <c r="Z14" s="72"/>
      <c r="AA14" s="71"/>
      <c r="AB14" s="74"/>
    </row>
    <row r="15" spans="1:36" s="73" customFormat="1" ht="21" customHeight="1">
      <c r="A15" s="64"/>
      <c r="B15" s="109"/>
      <c r="C15" s="65" t="s">
        <v>982</v>
      </c>
      <c r="D15" s="77"/>
      <c r="E15" s="78"/>
      <c r="F15" s="79"/>
      <c r="G15" s="77"/>
      <c r="H15" s="78"/>
      <c r="I15" s="79"/>
      <c r="J15" s="66"/>
      <c r="K15" s="108"/>
      <c r="L15" s="67"/>
      <c r="M15" s="68">
        <v>1</v>
      </c>
      <c r="N15" s="110"/>
      <c r="O15" s="69"/>
      <c r="P15" s="67"/>
      <c r="Q15" s="106"/>
      <c r="R15" s="70">
        <f>M15</f>
        <v>1</v>
      </c>
      <c r="S15" s="111" t="s">
        <v>52</v>
      </c>
      <c r="T15" s="215">
        <v>6</v>
      </c>
      <c r="U15" s="94"/>
      <c r="V15" s="71"/>
      <c r="W15" s="71"/>
      <c r="X15" s="152"/>
      <c r="Y15" s="153"/>
      <c r="Z15" s="72"/>
      <c r="AA15" s="71"/>
      <c r="AB15" s="74"/>
    </row>
    <row r="16" spans="1:36" s="73" customFormat="1" ht="21" customHeight="1">
      <c r="A16" s="64"/>
      <c r="B16" s="109"/>
      <c r="C16" s="65" t="s">
        <v>999</v>
      </c>
      <c r="D16" s="77"/>
      <c r="E16" s="78"/>
      <c r="F16" s="79"/>
      <c r="G16" s="77"/>
      <c r="H16" s="78"/>
      <c r="I16" s="79"/>
      <c r="J16" s="66"/>
      <c r="K16" s="108"/>
      <c r="L16" s="67"/>
      <c r="M16" s="68">
        <v>1</v>
      </c>
      <c r="N16" s="110"/>
      <c r="O16" s="69"/>
      <c r="P16" s="67"/>
      <c r="Q16" s="106"/>
      <c r="R16" s="70">
        <v>1</v>
      </c>
      <c r="S16" s="111" t="s">
        <v>52</v>
      </c>
      <c r="T16" s="215">
        <v>7</v>
      </c>
      <c r="U16" s="94"/>
      <c r="V16" s="71"/>
      <c r="W16" s="71"/>
      <c r="X16" s="152"/>
      <c r="Y16" s="153"/>
      <c r="Z16" s="72"/>
      <c r="AA16" s="71"/>
      <c r="AB16" s="74"/>
    </row>
    <row r="17" spans="1:28" s="73" customFormat="1" ht="21" customHeight="1">
      <c r="A17" s="64"/>
      <c r="B17" s="109"/>
      <c r="C17" s="65" t="s">
        <v>1025</v>
      </c>
      <c r="D17" s="77"/>
      <c r="E17" s="78"/>
      <c r="F17" s="79"/>
      <c r="G17" s="77"/>
      <c r="H17" s="78"/>
      <c r="I17" s="79"/>
      <c r="J17" s="66"/>
      <c r="K17" s="108"/>
      <c r="L17" s="67"/>
      <c r="M17" s="68">
        <v>1</v>
      </c>
      <c r="N17" s="110"/>
      <c r="O17" s="69"/>
      <c r="P17" s="67"/>
      <c r="Q17" s="106"/>
      <c r="R17" s="70">
        <v>1</v>
      </c>
      <c r="S17" s="111" t="s">
        <v>52</v>
      </c>
      <c r="T17" s="215">
        <v>8</v>
      </c>
      <c r="U17" s="94"/>
      <c r="V17" s="71"/>
      <c r="W17" s="71"/>
      <c r="X17" s="152"/>
      <c r="Y17" s="153"/>
      <c r="Z17" s="72"/>
      <c r="AA17" s="71"/>
      <c r="AB17" s="74"/>
    </row>
    <row r="18" spans="1:28" s="73" customFormat="1" ht="22.5"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73" customFormat="1" ht="21" customHeight="1">
      <c r="A19" s="64"/>
      <c r="B19" s="109"/>
      <c r="C19" s="220" t="s">
        <v>964</v>
      </c>
      <c r="D19" s="77"/>
      <c r="E19" s="78"/>
      <c r="F19" s="79"/>
      <c r="G19" s="77"/>
      <c r="H19" s="78"/>
      <c r="I19" s="79"/>
      <c r="J19" s="80"/>
      <c r="K19" s="81"/>
      <c r="L19" s="82"/>
      <c r="M19" s="83"/>
      <c r="N19" s="105"/>
      <c r="O19" s="84"/>
      <c r="P19" s="82"/>
      <c r="Q19" s="93"/>
      <c r="R19" s="85"/>
      <c r="S19" s="111"/>
      <c r="T19" s="215"/>
      <c r="U19" s="94"/>
      <c r="V19" s="71"/>
      <c r="W19" s="71"/>
      <c r="X19" s="152"/>
      <c r="Y19" s="153"/>
      <c r="Z19" s="72"/>
      <c r="AA19" s="71"/>
      <c r="AB19" s="74"/>
    </row>
    <row r="20" spans="1:28" s="90" customFormat="1" ht="21" customHeight="1">
      <c r="A20" s="75"/>
      <c r="B20" s="107"/>
      <c r="C20" s="65" t="s">
        <v>962</v>
      </c>
      <c r="D20" s="77"/>
      <c r="E20" s="78"/>
      <c r="F20" s="79"/>
      <c r="G20" s="77"/>
      <c r="H20" s="78"/>
      <c r="I20" s="79"/>
      <c r="J20" s="80"/>
      <c r="K20" s="81"/>
      <c r="L20" s="82"/>
      <c r="M20" s="68">
        <v>1</v>
      </c>
      <c r="N20" s="110"/>
      <c r="O20" s="69"/>
      <c r="P20" s="67"/>
      <c r="Q20" s="106"/>
      <c r="R20" s="70">
        <f>M20</f>
        <v>1</v>
      </c>
      <c r="S20" s="111" t="s">
        <v>52</v>
      </c>
      <c r="T20" s="215">
        <v>5</v>
      </c>
      <c r="U20" s="92"/>
      <c r="V20" s="86"/>
      <c r="W20" s="86"/>
      <c r="X20" s="86"/>
      <c r="Y20" s="151"/>
      <c r="Z20" s="87"/>
      <c r="AA20" s="88"/>
      <c r="AB20" s="89"/>
    </row>
    <row r="21" spans="1:28" s="90" customFormat="1" ht="21" customHeight="1">
      <c r="A21" s="75"/>
      <c r="B21" s="107"/>
      <c r="C21" s="65" t="s">
        <v>982</v>
      </c>
      <c r="D21" s="77"/>
      <c r="E21" s="78"/>
      <c r="F21" s="79"/>
      <c r="G21" s="77"/>
      <c r="H21" s="78"/>
      <c r="I21" s="79"/>
      <c r="J21" s="66"/>
      <c r="K21" s="108"/>
      <c r="L21" s="67"/>
      <c r="M21" s="68">
        <v>1</v>
      </c>
      <c r="N21" s="110"/>
      <c r="O21" s="69"/>
      <c r="P21" s="67"/>
      <c r="Q21" s="106"/>
      <c r="R21" s="70">
        <f>M21</f>
        <v>1</v>
      </c>
      <c r="S21" s="111" t="s">
        <v>52</v>
      </c>
      <c r="T21" s="215">
        <v>6</v>
      </c>
      <c r="U21" s="92"/>
      <c r="V21" s="86"/>
      <c r="W21" s="86"/>
      <c r="X21" s="86"/>
      <c r="Y21" s="151"/>
      <c r="Z21" s="87"/>
      <c r="AA21" s="88"/>
      <c r="AB21" s="89"/>
    </row>
    <row r="22" spans="1:28" s="90" customFormat="1" ht="21" customHeight="1">
      <c r="A22" s="75"/>
      <c r="B22" s="107"/>
      <c r="C22" s="65" t="s">
        <v>999</v>
      </c>
      <c r="D22" s="77"/>
      <c r="E22" s="78"/>
      <c r="F22" s="79"/>
      <c r="G22" s="77"/>
      <c r="H22" s="78"/>
      <c r="I22" s="79"/>
      <c r="J22" s="80"/>
      <c r="K22" s="81"/>
      <c r="L22" s="82"/>
      <c r="M22" s="83">
        <v>1</v>
      </c>
      <c r="N22" s="84"/>
      <c r="O22" s="155"/>
      <c r="P22" s="156"/>
      <c r="Q22" s="85"/>
      <c r="R22" s="85">
        <v>1</v>
      </c>
      <c r="S22" s="111" t="s">
        <v>52</v>
      </c>
      <c r="T22" s="215">
        <v>7</v>
      </c>
      <c r="U22" s="92"/>
      <c r="V22" s="86"/>
      <c r="W22" s="86"/>
      <c r="X22" s="86"/>
      <c r="Y22" s="151"/>
      <c r="Z22" s="87"/>
      <c r="AA22" s="88"/>
      <c r="AB22" s="89"/>
    </row>
    <row r="23" spans="1:28" s="73" customFormat="1" ht="21" customHeight="1">
      <c r="A23" s="64"/>
      <c r="B23" s="109"/>
      <c r="C23" s="65" t="s">
        <v>1025</v>
      </c>
      <c r="D23" s="77"/>
      <c r="E23" s="78"/>
      <c r="F23" s="79"/>
      <c r="G23" s="77"/>
      <c r="H23" s="78"/>
      <c r="I23" s="79"/>
      <c r="J23" s="66"/>
      <c r="K23" s="108"/>
      <c r="L23" s="67"/>
      <c r="M23" s="68">
        <v>1</v>
      </c>
      <c r="N23" s="110"/>
      <c r="O23" s="69"/>
      <c r="P23" s="67"/>
      <c r="Q23" s="106"/>
      <c r="R23" s="70">
        <v>1</v>
      </c>
      <c r="S23" s="111" t="s">
        <v>52</v>
      </c>
      <c r="T23" s="215">
        <v>8</v>
      </c>
      <c r="U23" s="94"/>
      <c r="V23" s="71"/>
      <c r="W23" s="71"/>
      <c r="X23" s="152"/>
      <c r="Y23" s="153"/>
      <c r="Z23" s="72"/>
      <c r="AA23" s="71"/>
      <c r="AB23" s="74"/>
    </row>
    <row r="24" spans="1:28" s="73" customFormat="1" ht="22.5" customHeight="1">
      <c r="A24" s="64"/>
      <c r="B24" s="109"/>
      <c r="C24" s="65" t="s">
        <v>1362</v>
      </c>
      <c r="D24" s="77"/>
      <c r="E24" s="78"/>
      <c r="F24" s="79"/>
      <c r="G24" s="77"/>
      <c r="H24" s="78"/>
      <c r="I24" s="79"/>
      <c r="J24" s="66"/>
      <c r="K24" s="108"/>
      <c r="L24" s="67"/>
      <c r="M24" s="68">
        <v>1</v>
      </c>
      <c r="N24" s="110"/>
      <c r="O24" s="69"/>
      <c r="P24" s="67"/>
      <c r="Q24" s="106"/>
      <c r="R24" s="70">
        <f t="shared" ref="R24" si="0">M24</f>
        <v>1</v>
      </c>
      <c r="S24" s="111" t="s">
        <v>52</v>
      </c>
      <c r="T24" s="215">
        <v>9</v>
      </c>
      <c r="U24" s="94"/>
      <c r="V24" s="71"/>
      <c r="W24" s="71"/>
      <c r="X24" s="152"/>
      <c r="Y24" s="153"/>
      <c r="Z24" s="72"/>
      <c r="AA24" s="71"/>
      <c r="AB24" s="74"/>
    </row>
    <row r="25" spans="1:28" s="73" customFormat="1" ht="22.5" customHeight="1">
      <c r="A25" s="64"/>
      <c r="B25" s="109"/>
      <c r="C25" s="65"/>
      <c r="D25" s="77"/>
      <c r="E25" s="78"/>
      <c r="F25" s="79"/>
      <c r="G25" s="77"/>
      <c r="H25" s="78"/>
      <c r="I25" s="79"/>
      <c r="J25" s="66"/>
      <c r="K25" s="108"/>
      <c r="L25" s="67"/>
      <c r="M25" s="68"/>
      <c r="N25" s="110"/>
      <c r="O25" s="69"/>
      <c r="P25" s="67"/>
      <c r="Q25" s="106"/>
      <c r="R25" s="70"/>
      <c r="S25" s="111"/>
      <c r="T25" s="215"/>
      <c r="U25" s="94"/>
      <c r="V25" s="71"/>
      <c r="W25" s="71"/>
      <c r="X25" s="152"/>
      <c r="Y25" s="153"/>
      <c r="Z25" s="72"/>
      <c r="AA25" s="71"/>
      <c r="AB25" s="74"/>
    </row>
    <row r="26" spans="1:28" s="73" customFormat="1" ht="21" customHeight="1">
      <c r="A26" s="64"/>
      <c r="B26" s="109"/>
      <c r="C26" s="220" t="s">
        <v>1019</v>
      </c>
      <c r="D26" s="77"/>
      <c r="E26" s="78"/>
      <c r="F26" s="79"/>
      <c r="G26" s="77"/>
      <c r="H26" s="78"/>
      <c r="I26" s="79"/>
      <c r="J26" s="80"/>
      <c r="K26" s="81"/>
      <c r="L26" s="82"/>
      <c r="M26" s="83"/>
      <c r="N26" s="105"/>
      <c r="O26" s="84"/>
      <c r="P26" s="82"/>
      <c r="Q26" s="93"/>
      <c r="R26" s="85"/>
      <c r="S26" s="111"/>
      <c r="T26" s="215"/>
      <c r="U26" s="94"/>
      <c r="V26" s="71"/>
      <c r="W26" s="71"/>
      <c r="X26" s="152"/>
      <c r="Y26" s="153"/>
      <c r="Z26" s="72"/>
      <c r="AA26" s="71"/>
      <c r="AB26" s="74"/>
    </row>
    <row r="27" spans="1:28" s="90" customFormat="1" ht="21" customHeight="1">
      <c r="A27" s="75"/>
      <c r="B27" s="107"/>
      <c r="C27" s="65" t="s">
        <v>999</v>
      </c>
      <c r="D27" s="77"/>
      <c r="E27" s="78"/>
      <c r="F27" s="79"/>
      <c r="G27" s="77"/>
      <c r="H27" s="78"/>
      <c r="I27" s="79"/>
      <c r="J27" s="80"/>
      <c r="K27" s="81"/>
      <c r="L27" s="82"/>
      <c r="M27" s="83">
        <v>1</v>
      </c>
      <c r="N27" s="84"/>
      <c r="O27" s="155"/>
      <c r="P27" s="156"/>
      <c r="Q27" s="85"/>
      <c r="R27" s="85">
        <v>1</v>
      </c>
      <c r="S27" s="111" t="s">
        <v>52</v>
      </c>
      <c r="T27" s="215">
        <v>7</v>
      </c>
      <c r="U27" s="92"/>
      <c r="V27" s="86"/>
      <c r="W27" s="86"/>
      <c r="X27" s="86"/>
      <c r="Y27" s="151"/>
      <c r="Z27" s="87"/>
      <c r="AA27" s="88"/>
      <c r="AB27" s="89"/>
    </row>
    <row r="28" spans="1:28" s="73" customFormat="1" ht="22.5" customHeight="1">
      <c r="A28" s="64"/>
      <c r="B28" s="109"/>
      <c r="C28" s="65" t="s">
        <v>1362</v>
      </c>
      <c r="D28" s="77"/>
      <c r="E28" s="78"/>
      <c r="F28" s="79"/>
      <c r="G28" s="77"/>
      <c r="H28" s="78"/>
      <c r="I28" s="79"/>
      <c r="J28" s="66"/>
      <c r="K28" s="108"/>
      <c r="L28" s="67"/>
      <c r="M28" s="68">
        <v>1</v>
      </c>
      <c r="N28" s="110"/>
      <c r="O28" s="69"/>
      <c r="P28" s="67"/>
      <c r="Q28" s="106"/>
      <c r="R28" s="70">
        <f t="shared" ref="R28" si="1">M28</f>
        <v>1</v>
      </c>
      <c r="S28" s="111" t="s">
        <v>52</v>
      </c>
      <c r="T28" s="215">
        <v>9</v>
      </c>
      <c r="U28" s="94"/>
      <c r="V28" s="71"/>
      <c r="W28" s="71"/>
      <c r="X28" s="152"/>
      <c r="Y28" s="153"/>
      <c r="Z28" s="72"/>
      <c r="AA28" s="71"/>
      <c r="AB28" s="74"/>
    </row>
    <row r="29" spans="1:28" s="73" customFormat="1" ht="22.5" customHeight="1">
      <c r="A29" s="64"/>
      <c r="B29" s="109"/>
      <c r="C29" s="65"/>
      <c r="D29" s="77"/>
      <c r="E29" s="78"/>
      <c r="F29" s="79"/>
      <c r="G29" s="77"/>
      <c r="H29" s="78"/>
      <c r="I29" s="79"/>
      <c r="J29" s="66"/>
      <c r="K29" s="108"/>
      <c r="L29" s="67"/>
      <c r="M29" s="68"/>
      <c r="N29" s="110"/>
      <c r="O29" s="69"/>
      <c r="P29" s="67"/>
      <c r="Q29" s="106"/>
      <c r="R29" s="70"/>
      <c r="S29" s="111"/>
      <c r="T29" s="215"/>
      <c r="U29" s="94"/>
      <c r="V29" s="71"/>
      <c r="W29" s="71"/>
      <c r="X29" s="152"/>
      <c r="Y29" s="153"/>
      <c r="Z29" s="72"/>
      <c r="AA29" s="71"/>
      <c r="AB29" s="74"/>
    </row>
    <row r="30" spans="1:28" ht="21" customHeight="1">
      <c r="B30" s="118"/>
      <c r="C30" s="119"/>
      <c r="D30" s="26"/>
      <c r="E30" s="159"/>
      <c r="F30" s="27"/>
      <c r="G30" s="26"/>
      <c r="H30" s="159"/>
      <c r="I30" s="27"/>
      <c r="J30" s="28"/>
      <c r="K30" s="49"/>
      <c r="L30" s="40"/>
      <c r="M30" s="41"/>
      <c r="N30" s="160"/>
      <c r="O30" s="160"/>
      <c r="P30" s="40"/>
      <c r="Q30" s="42"/>
      <c r="R30" s="60"/>
      <c r="S30" s="43"/>
      <c r="T30" s="216"/>
      <c r="U30" s="117"/>
    </row>
    <row r="31" spans="1:28" ht="39.6" customHeight="1">
      <c r="B31" s="161"/>
      <c r="C31" s="162"/>
      <c r="D31" s="806" t="s">
        <v>11</v>
      </c>
      <c r="E31" s="807"/>
      <c r="F31" s="807"/>
      <c r="G31" s="807"/>
      <c r="H31" s="807"/>
      <c r="I31" s="808"/>
      <c r="J31" s="809">
        <v>12</v>
      </c>
      <c r="K31" s="810"/>
      <c r="L31" s="50" t="str">
        <f>VLOOKUP(A33,DEZ!$A$2:$S$731,4,FALSE)</f>
        <v>ms</v>
      </c>
      <c r="M31" s="803" t="s">
        <v>12</v>
      </c>
      <c r="N31" s="811"/>
      <c r="O31" s="811"/>
      <c r="P31" s="811"/>
      <c r="Q31" s="805"/>
      <c r="R31" s="61">
        <f>SUM(R12:R30)</f>
        <v>12</v>
      </c>
      <c r="S31" s="51" t="str">
        <f>L31</f>
        <v>ms</v>
      </c>
      <c r="T31" s="22"/>
      <c r="U31" s="23"/>
    </row>
    <row r="32" spans="1:28" ht="21" customHeight="1">
      <c r="B32" s="163"/>
      <c r="C32" s="19"/>
      <c r="D32" s="817" t="s">
        <v>13</v>
      </c>
      <c r="E32" s="818"/>
      <c r="F32" s="818"/>
      <c r="G32" s="818"/>
      <c r="H32" s="818"/>
      <c r="I32" s="819"/>
      <c r="J32" s="823">
        <f>R31/J31</f>
        <v>1</v>
      </c>
      <c r="K32" s="824"/>
      <c r="L32" s="827"/>
      <c r="M32" s="803" t="s">
        <v>34</v>
      </c>
      <c r="N32" s="804"/>
      <c r="O32" s="804"/>
      <c r="P32" s="804"/>
      <c r="Q32" s="805"/>
      <c r="R32" s="719">
        <f>SUM(R13:R28)</f>
        <v>12</v>
      </c>
      <c r="S32" s="52" t="str">
        <f>L31</f>
        <v>ms</v>
      </c>
      <c r="T32" s="22"/>
      <c r="U32" s="23"/>
    </row>
    <row r="33" spans="1:21" ht="21" customHeight="1">
      <c r="A33" s="10" t="s">
        <v>77</v>
      </c>
      <c r="B33" s="165"/>
      <c r="C33" s="164"/>
      <c r="D33" s="820"/>
      <c r="E33" s="821"/>
      <c r="F33" s="821"/>
      <c r="G33" s="821"/>
      <c r="H33" s="821"/>
      <c r="I33" s="822"/>
      <c r="J33" s="825"/>
      <c r="K33" s="826"/>
      <c r="L33" s="828"/>
      <c r="M33" s="803" t="s">
        <v>14</v>
      </c>
      <c r="N33" s="804"/>
      <c r="O33" s="804"/>
      <c r="P33" s="804"/>
      <c r="Q33" s="805"/>
      <c r="R33" s="62">
        <f>R31-R32</f>
        <v>0</v>
      </c>
      <c r="S33" s="53" t="str">
        <f>L31</f>
        <v>ms</v>
      </c>
      <c r="T33" s="54"/>
      <c r="U33" s="24"/>
    </row>
    <row r="34" spans="1:21" ht="21" customHeight="1">
      <c r="B34" s="218"/>
      <c r="C34" s="217"/>
      <c r="M34" s="803" t="s">
        <v>53</v>
      </c>
      <c r="N34" s="804"/>
      <c r="O34" s="804"/>
      <c r="P34" s="804"/>
      <c r="Q34" s="805"/>
      <c r="R34" s="62">
        <f>DEZ!E40</f>
        <v>841.92</v>
      </c>
      <c r="S34" s="53"/>
      <c r="T34" s="54"/>
      <c r="U34" s="24"/>
    </row>
    <row r="35" spans="1:21" ht="21" customHeight="1">
      <c r="B35" s="163"/>
      <c r="C35" s="219"/>
      <c r="M35" s="803" t="s">
        <v>54</v>
      </c>
      <c r="N35" s="804"/>
      <c r="O35" s="804"/>
      <c r="P35" s="804"/>
      <c r="Q35" s="805"/>
      <c r="R35" s="62">
        <f>TRUNC(R34*R33,2)</f>
        <v>0</v>
      </c>
      <c r="S35" s="53" t="s">
        <v>55</v>
      </c>
      <c r="T35" s="54"/>
      <c r="U35" s="24"/>
    </row>
  </sheetData>
  <mergeCells count="34">
    <mergeCell ref="M34:Q34"/>
    <mergeCell ref="M35:Q35"/>
    <mergeCell ref="T10:T11"/>
    <mergeCell ref="U10:U11"/>
    <mergeCell ref="D31:I31"/>
    <mergeCell ref="J31:K31"/>
    <mergeCell ref="M31:Q31"/>
    <mergeCell ref="D32:I33"/>
    <mergeCell ref="J32:K33"/>
    <mergeCell ref="L32:L33"/>
    <mergeCell ref="M32:Q32"/>
    <mergeCell ref="M33:Q33"/>
    <mergeCell ref="N10:N11"/>
    <mergeCell ref="O10:O11"/>
    <mergeCell ref="P10:P11"/>
    <mergeCell ref="Q10:Q11"/>
    <mergeCell ref="R10:R11"/>
    <mergeCell ref="S10:S11"/>
    <mergeCell ref="T8:U8"/>
    <mergeCell ref="T9:U9"/>
    <mergeCell ref="B10:B11"/>
    <mergeCell ref="C10:C11"/>
    <mergeCell ref="D10:F11"/>
    <mergeCell ref="G10:I11"/>
    <mergeCell ref="J10:J11"/>
    <mergeCell ref="K10:K11"/>
    <mergeCell ref="L10:L11"/>
    <mergeCell ref="M10:M11"/>
    <mergeCell ref="T7:U7"/>
    <mergeCell ref="B1:U4"/>
    <mergeCell ref="V4:AA4"/>
    <mergeCell ref="B5:I5"/>
    <mergeCell ref="J5:O5"/>
    <mergeCell ref="P5:U5"/>
  </mergeCells>
  <conditionalFormatting sqref="J32:K35">
    <cfRule type="cellIs" dxfId="403" priority="1" operator="greaterThanOrEqual">
      <formula>1</formula>
    </cfRule>
    <cfRule type="cellIs" dxfId="40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7D91A-D1BE-4471-AACC-8F5EADA34942}">
  <sheetPr codeName="Planilha176">
    <tabColor rgb="FF339933"/>
    <pageSetUpPr fitToPage="1"/>
  </sheetPr>
  <dimension ref="A1:AJ29"/>
  <sheetViews>
    <sheetView view="pageBreakPreview" topLeftCell="B4" zoomScale="51" zoomScaleNormal="55" zoomScaleSheetLayoutView="51"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DEZ!A603</f>
        <v>5.3.5.4</v>
      </c>
      <c r="C10" s="845" t="str">
        <f>DEZ!C603</f>
        <v>Fornecimento, dobragem e colocação em fôrma, de armadura CA-60 B fina, diâmetro de 4.0 a 7.0mm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1383</v>
      </c>
      <c r="D12" s="77"/>
      <c r="E12" s="78"/>
      <c r="F12" s="79"/>
      <c r="G12" s="77"/>
      <c r="H12" s="78"/>
      <c r="I12" s="79"/>
      <c r="J12" s="80"/>
      <c r="K12" s="81">
        <v>78</v>
      </c>
      <c r="L12" s="82"/>
      <c r="M12" s="83"/>
      <c r="N12" s="105"/>
      <c r="O12" s="84"/>
      <c r="P12" s="82"/>
      <c r="Q12" s="93"/>
      <c r="R12" s="85">
        <f>K12</f>
        <v>78</v>
      </c>
      <c r="S12" s="111" t="s">
        <v>57</v>
      </c>
      <c r="T12" s="215">
        <v>10</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DEZ!I603</f>
        <v>78</v>
      </c>
      <c r="K25" s="810"/>
      <c r="L25" s="50" t="str">
        <f>DEZ!D259</f>
        <v>kg</v>
      </c>
      <c r="M25" s="803" t="s">
        <v>12</v>
      </c>
      <c r="N25" s="811"/>
      <c r="O25" s="811"/>
      <c r="P25" s="811"/>
      <c r="Q25" s="805"/>
      <c r="R25" s="61">
        <f>R12</f>
        <v>78</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78</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kg</v>
      </c>
      <c r="T27" s="54"/>
      <c r="U27" s="24"/>
    </row>
    <row r="28" spans="1:28" ht="21" customHeight="1">
      <c r="B28" s="218"/>
      <c r="C28" s="217"/>
      <c r="M28" s="803" t="s">
        <v>53</v>
      </c>
      <c r="N28" s="804"/>
      <c r="O28" s="804"/>
      <c r="P28" s="804"/>
      <c r="Q28" s="805"/>
      <c r="R28" s="62">
        <f>DEZ!E603</f>
        <v>8.08</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143" priority="1" operator="greaterThanOrEqual">
      <formula>1</formula>
    </cfRule>
    <cfRule type="cellIs" dxfId="14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3633-7725-456A-920C-A16709FF5502}">
  <sheetPr codeName="Planilha177">
    <tabColor rgb="FF339933"/>
    <pageSetUpPr fitToPage="1"/>
  </sheetPr>
  <dimension ref="A1:AJ29"/>
  <sheetViews>
    <sheetView view="pageBreakPreview" topLeftCell="A3" zoomScale="50" zoomScaleNormal="55" zoomScaleSheetLayoutView="50"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DEZ!A607</f>
        <v>5.3.6.1</v>
      </c>
      <c r="C10" s="845" t="str">
        <f>DEZ!C607</f>
        <v>Forma de chapas madeira compensada resinada, esp. 12mm, levando-se em conta a utilização 3 vezes, reforçadas com sarrafos de madeira de 2.5 x 10.0cm (incl material, corte, montagem, escoras em eucalipto e desforma)</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1381</v>
      </c>
      <c r="D12" s="77"/>
      <c r="E12" s="78"/>
      <c r="F12" s="79"/>
      <c r="G12" s="77"/>
      <c r="H12" s="78"/>
      <c r="I12" s="79"/>
      <c r="J12" s="80"/>
      <c r="K12" s="81">
        <v>87.7</v>
      </c>
      <c r="L12" s="82"/>
      <c r="M12" s="83"/>
      <c r="N12" s="105"/>
      <c r="O12" s="84"/>
      <c r="P12" s="82"/>
      <c r="Q12" s="93"/>
      <c r="R12" s="85">
        <f>K12</f>
        <v>87.7</v>
      </c>
      <c r="S12" s="111" t="s">
        <v>57</v>
      </c>
      <c r="T12" s="215">
        <v>10</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DEZ!I607</f>
        <v>87.7</v>
      </c>
      <c r="K25" s="810"/>
      <c r="L25" s="50" t="str">
        <f>DEZ!D245</f>
        <v>m2</v>
      </c>
      <c r="M25" s="803" t="s">
        <v>12</v>
      </c>
      <c r="N25" s="811"/>
      <c r="O25" s="811"/>
      <c r="P25" s="811"/>
      <c r="Q25" s="805"/>
      <c r="R25" s="61">
        <f>R12</f>
        <v>87.7</v>
      </c>
      <c r="S25" s="51" t="str">
        <f>L25</f>
        <v>m2</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87.7</v>
      </c>
      <c r="S26" s="52" t="str">
        <f>L25</f>
        <v>m2</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m2</v>
      </c>
      <c r="T27" s="54"/>
      <c r="U27" s="24"/>
    </row>
    <row r="28" spans="1:28" ht="21" customHeight="1">
      <c r="B28" s="218"/>
      <c r="C28" s="217"/>
      <c r="M28" s="803" t="s">
        <v>53</v>
      </c>
      <c r="N28" s="804"/>
      <c r="O28" s="804"/>
      <c r="P28" s="804"/>
      <c r="Q28" s="805"/>
      <c r="R28" s="62">
        <f>DEZ!E607</f>
        <v>91.04</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141" priority="1" operator="greaterThanOrEqual">
      <formula>1</formula>
    </cfRule>
    <cfRule type="cellIs" dxfId="14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2A760-CA17-4CFA-9553-75B5C73EC556}">
  <sheetPr codeName="Planilha178">
    <tabColor rgb="FF339933"/>
    <pageSetUpPr fitToPage="1"/>
  </sheetPr>
  <dimension ref="A1:AJ29"/>
  <sheetViews>
    <sheetView view="pageBreakPreview" topLeftCell="B4" zoomScale="51" zoomScaleNormal="55" zoomScaleSheetLayoutView="51"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DEZ!A604</f>
        <v>5.3.5.5</v>
      </c>
      <c r="C10" s="845" t="str">
        <f>DEZ!C604</f>
        <v>FORNECIMENTO E APLICAÇÃO DE CONCRETO USINADO FCK=40 MPA - CONSIDERANDO BOMBEAMENTO (5% DE PERDAS JÁ INCLUÍDO NO CUSTO) (6% DE TAXA P/CONCR. BOMBEAVEL)</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1382</v>
      </c>
      <c r="D12" s="77"/>
      <c r="E12" s="78"/>
      <c r="F12" s="79"/>
      <c r="G12" s="77"/>
      <c r="H12" s="78"/>
      <c r="I12" s="79"/>
      <c r="J12" s="80"/>
      <c r="K12" s="81">
        <v>3.5</v>
      </c>
      <c r="L12" s="82"/>
      <c r="M12" s="83"/>
      <c r="N12" s="105"/>
      <c r="O12" s="84"/>
      <c r="P12" s="82"/>
      <c r="Q12" s="93"/>
      <c r="R12" s="85">
        <f>K12</f>
        <v>3.5</v>
      </c>
      <c r="S12" s="111" t="s">
        <v>57</v>
      </c>
      <c r="T12" s="215">
        <v>10</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DEZ!I604</f>
        <v>3.5</v>
      </c>
      <c r="K25" s="810"/>
      <c r="L25" s="50" t="s">
        <v>58</v>
      </c>
      <c r="M25" s="803" t="s">
        <v>12</v>
      </c>
      <c r="N25" s="811"/>
      <c r="O25" s="811"/>
      <c r="P25" s="811"/>
      <c r="Q25" s="805"/>
      <c r="R25" s="61">
        <f>R12</f>
        <v>3.5</v>
      </c>
      <c r="S25" s="51" t="str">
        <f>L25</f>
        <v>m3</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3.5</v>
      </c>
      <c r="S26" s="52" t="str">
        <f>L25</f>
        <v>m3</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m3</v>
      </c>
      <c r="T27" s="54"/>
      <c r="U27" s="24"/>
    </row>
    <row r="28" spans="1:28" ht="21" customHeight="1">
      <c r="B28" s="218"/>
      <c r="C28" s="217"/>
      <c r="M28" s="803" t="s">
        <v>53</v>
      </c>
      <c r="N28" s="804"/>
      <c r="O28" s="804"/>
      <c r="P28" s="804"/>
      <c r="Q28" s="805"/>
      <c r="R28" s="62">
        <f>DEZ!E604</f>
        <v>486.08</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139" priority="1" operator="greaterThanOrEqual">
      <formula>1</formula>
    </cfRule>
    <cfRule type="cellIs" dxfId="13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2FE37-7240-413F-8AB7-968A4DF54760}">
  <sheetPr codeName="Planilha179">
    <tabColor rgb="FF339933"/>
    <pageSetUpPr fitToPage="1"/>
  </sheetPr>
  <dimension ref="A1:AJ29"/>
  <sheetViews>
    <sheetView view="pageBreakPreview" topLeftCell="A3" zoomScale="50" zoomScaleNormal="55" zoomScaleSheetLayoutView="50"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DEZ!A608</f>
        <v>5.3.6.2</v>
      </c>
      <c r="C10" s="845" t="str">
        <f>DEZ!C608</f>
        <v>Fornecimento, dobragem e colocação em fôrma, de armadura CA-50 A média, diâmetro de 6.3 a 10.0 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1380</v>
      </c>
      <c r="D12" s="77"/>
      <c r="E12" s="78"/>
      <c r="F12" s="79"/>
      <c r="G12" s="77"/>
      <c r="H12" s="78"/>
      <c r="I12" s="79"/>
      <c r="J12" s="80"/>
      <c r="K12" s="81"/>
      <c r="L12" s="82"/>
      <c r="M12" s="83">
        <v>502</v>
      </c>
      <c r="N12" s="105"/>
      <c r="O12" s="84"/>
      <c r="P12" s="82"/>
      <c r="Q12" s="93"/>
      <c r="R12" s="85">
        <f>M12</f>
        <v>502</v>
      </c>
      <c r="S12" s="111" t="s">
        <v>57</v>
      </c>
      <c r="T12" s="215">
        <v>10</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DEZ!I608</f>
        <v>502</v>
      </c>
      <c r="K25" s="810"/>
      <c r="L25" s="50" t="s">
        <v>29</v>
      </c>
      <c r="M25" s="803" t="s">
        <v>12</v>
      </c>
      <c r="N25" s="811"/>
      <c r="O25" s="811"/>
      <c r="P25" s="811"/>
      <c r="Q25" s="805"/>
      <c r="R25" s="61">
        <f>R12</f>
        <v>502</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502</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kg</v>
      </c>
      <c r="T27" s="54"/>
      <c r="U27" s="24"/>
    </row>
    <row r="28" spans="1:28" ht="21" customHeight="1">
      <c r="B28" s="218"/>
      <c r="C28" s="217"/>
      <c r="M28" s="803" t="s">
        <v>53</v>
      </c>
      <c r="N28" s="804"/>
      <c r="O28" s="804"/>
      <c r="P28" s="804"/>
      <c r="Q28" s="805"/>
      <c r="R28" s="62">
        <f>DEZ!E608</f>
        <v>7.98</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137" priority="1" operator="greaterThanOrEqual">
      <formula>1</formula>
    </cfRule>
    <cfRule type="cellIs" dxfId="13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EA2C-D0B7-4A3C-B820-D0E7789A706D}">
  <sheetPr codeName="Planilha180">
    <tabColor rgb="FF339933"/>
    <pageSetUpPr fitToPage="1"/>
  </sheetPr>
  <dimension ref="A1:AJ29"/>
  <sheetViews>
    <sheetView view="pageBreakPreview" topLeftCell="A7" zoomScale="50" zoomScaleNormal="55" zoomScaleSheetLayoutView="50"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DEZ!A609</f>
        <v>5.3.6.3</v>
      </c>
      <c r="C10" s="845" t="str">
        <f>DEZ!C609</f>
        <v>Fornecimento, dobragem e colocação em fôrma, de armadura CA-50 A grossa diâmetro de 12.5 a 25.0 mm (1/2 a 1")</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1380</v>
      </c>
      <c r="D12" s="77"/>
      <c r="E12" s="78"/>
      <c r="F12" s="79"/>
      <c r="G12" s="77"/>
      <c r="H12" s="78"/>
      <c r="I12" s="79"/>
      <c r="J12" s="80"/>
      <c r="K12" s="81"/>
      <c r="L12" s="82"/>
      <c r="M12" s="83">
        <v>199</v>
      </c>
      <c r="N12" s="105"/>
      <c r="O12" s="84"/>
      <c r="P12" s="82"/>
      <c r="Q12" s="93"/>
      <c r="R12" s="85">
        <f>M12</f>
        <v>199</v>
      </c>
      <c r="S12" s="111" t="s">
        <v>57</v>
      </c>
      <c r="T12" s="215">
        <v>10</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DEZ!I609</f>
        <v>199</v>
      </c>
      <c r="K25" s="810"/>
      <c r="L25" s="50" t="s">
        <v>29</v>
      </c>
      <c r="M25" s="803" t="s">
        <v>12</v>
      </c>
      <c r="N25" s="811"/>
      <c r="O25" s="811"/>
      <c r="P25" s="811"/>
      <c r="Q25" s="805"/>
      <c r="R25" s="61">
        <f>R12</f>
        <v>199</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199</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kg</v>
      </c>
      <c r="T27" s="54"/>
      <c r="U27" s="24"/>
    </row>
    <row r="28" spans="1:28" ht="21" customHeight="1">
      <c r="B28" s="218"/>
      <c r="C28" s="217"/>
      <c r="M28" s="803" t="s">
        <v>53</v>
      </c>
      <c r="N28" s="804"/>
      <c r="O28" s="804"/>
      <c r="P28" s="804"/>
      <c r="Q28" s="805"/>
      <c r="R28" s="62">
        <f>DEZ!E609</f>
        <v>8.41</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135" priority="1" operator="greaterThanOrEqual">
      <formula>1</formula>
    </cfRule>
    <cfRule type="cellIs" dxfId="13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9B081-E32E-4714-98BE-8EB7DAD3173D}">
  <sheetPr codeName="Planilha181">
    <tabColor rgb="FF339933"/>
    <pageSetUpPr fitToPage="1"/>
  </sheetPr>
  <dimension ref="A1:AJ29"/>
  <sheetViews>
    <sheetView view="pageBreakPreview" topLeftCell="A7" zoomScale="50" zoomScaleNormal="55" zoomScaleSheetLayoutView="50"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DEZ!A610</f>
        <v>5.3.6.4</v>
      </c>
      <c r="C10" s="845" t="str">
        <f>DEZ!C610</f>
        <v>Fornecimento, dobragem e colocação em fôrma, de armadura CA-60 B fina, diâmetro de 4.0 a 7.0mm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1380</v>
      </c>
      <c r="D12" s="77"/>
      <c r="E12" s="78"/>
      <c r="F12" s="79"/>
      <c r="G12" s="77"/>
      <c r="H12" s="78"/>
      <c r="I12" s="79"/>
      <c r="J12" s="80"/>
      <c r="K12" s="81"/>
      <c r="L12" s="82"/>
      <c r="M12" s="83">
        <v>34</v>
      </c>
      <c r="N12" s="105"/>
      <c r="O12" s="84"/>
      <c r="P12" s="82"/>
      <c r="Q12" s="93"/>
      <c r="R12" s="85">
        <f>M12</f>
        <v>34</v>
      </c>
      <c r="S12" s="111" t="s">
        <v>57</v>
      </c>
      <c r="T12" s="215">
        <v>10</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DEZ!I610</f>
        <v>34</v>
      </c>
      <c r="K25" s="810"/>
      <c r="L25" s="50" t="s">
        <v>29</v>
      </c>
      <c r="M25" s="803" t="s">
        <v>12</v>
      </c>
      <c r="N25" s="811"/>
      <c r="O25" s="811"/>
      <c r="P25" s="811"/>
      <c r="Q25" s="805"/>
      <c r="R25" s="61">
        <f>R12</f>
        <v>34</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34</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kg</v>
      </c>
      <c r="T27" s="54"/>
      <c r="U27" s="24"/>
    </row>
    <row r="28" spans="1:28" ht="21" customHeight="1">
      <c r="B28" s="218"/>
      <c r="C28" s="217"/>
      <c r="M28" s="803" t="s">
        <v>53</v>
      </c>
      <c r="N28" s="804"/>
      <c r="O28" s="804"/>
      <c r="P28" s="804"/>
      <c r="Q28" s="805"/>
      <c r="R28" s="62">
        <f>DEZ!E610</f>
        <v>8.08</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133" priority="1" operator="greaterThanOrEqual">
      <formula>1</formula>
    </cfRule>
    <cfRule type="cellIs" dxfId="13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8C994-4C10-4982-A723-15111BABE230}">
  <sheetPr codeName="Planilha182">
    <tabColor rgb="FF339933"/>
    <pageSetUpPr fitToPage="1"/>
  </sheetPr>
  <dimension ref="A1:AJ29"/>
  <sheetViews>
    <sheetView view="pageBreakPreview" topLeftCell="A7" zoomScale="50" zoomScaleNormal="55" zoomScaleSheetLayoutView="50"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DEZ!A611</f>
        <v>5.3.6.5</v>
      </c>
      <c r="C10" s="845" t="str">
        <f>DEZ!C611</f>
        <v>FORNECIMENTO E APLICAÇÃO DE CONCRETO USINADO FCK=40 MPA - CONSIDERANDO BOMBEAMENTO (5% DE PERDAS JÁ INCLUÍDO NO CUSTO) (6% DE TAXA P/CONCR.
BOMBEAVEL)</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1379</v>
      </c>
      <c r="D12" s="77"/>
      <c r="E12" s="78"/>
      <c r="F12" s="79"/>
      <c r="G12" s="77"/>
      <c r="H12" s="78"/>
      <c r="I12" s="79"/>
      <c r="J12" s="80"/>
      <c r="K12" s="81"/>
      <c r="L12" s="82">
        <v>8.9</v>
      </c>
      <c r="M12" s="83"/>
      <c r="N12" s="105"/>
      <c r="O12" s="84"/>
      <c r="P12" s="82"/>
      <c r="Q12" s="93"/>
      <c r="R12" s="85">
        <f>L12</f>
        <v>8.9</v>
      </c>
      <c r="S12" s="111" t="s">
        <v>57</v>
      </c>
      <c r="T12" s="215">
        <v>10</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DEZ!I611</f>
        <v>8.9</v>
      </c>
      <c r="K25" s="810"/>
      <c r="L25" s="50" t="s">
        <v>58</v>
      </c>
      <c r="M25" s="803" t="s">
        <v>12</v>
      </c>
      <c r="N25" s="811"/>
      <c r="O25" s="811"/>
      <c r="P25" s="811"/>
      <c r="Q25" s="805"/>
      <c r="R25" s="61">
        <f>R12</f>
        <v>8.9</v>
      </c>
      <c r="S25" s="51" t="str">
        <f>L25</f>
        <v>m3</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8.9</v>
      </c>
      <c r="S26" s="52" t="str">
        <f>L25</f>
        <v>m3</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m3</v>
      </c>
      <c r="T27" s="54"/>
      <c r="U27" s="24"/>
    </row>
    <row r="28" spans="1:28" ht="21" customHeight="1">
      <c r="B28" s="218"/>
      <c r="C28" s="217"/>
      <c r="M28" s="803" t="s">
        <v>53</v>
      </c>
      <c r="N28" s="804"/>
      <c r="O28" s="804"/>
      <c r="P28" s="804"/>
      <c r="Q28" s="805"/>
      <c r="R28" s="62">
        <f>DEZ!E611</f>
        <v>486.08</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131" priority="1" operator="greaterThanOrEqual">
      <formula>1</formula>
    </cfRule>
    <cfRule type="cellIs" dxfId="13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ilha46">
    <tabColor rgb="FF339933"/>
    <pageSetUpPr fitToPage="1"/>
  </sheetPr>
  <dimension ref="A1:AJ29"/>
  <sheetViews>
    <sheetView view="pageBreakPreview" topLeftCell="A5" zoomScale="60" zoomScaleNormal="55"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DEZ!A258</f>
        <v>3.3.5.1</v>
      </c>
      <c r="C10" s="845" t="str">
        <f>DEZ!C258</f>
        <v>Forma de chapas madeira compensada resinada, esp. 12mm, levando-se em conta a utilização 3 vezes, reforçadas com sarrafos de madeira de 2.5 x 10.0cm (incl material, corte, montagem, escoras em eucalipto e desforma)</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c r="D12" s="77"/>
      <c r="E12" s="78"/>
      <c r="F12" s="79"/>
      <c r="G12" s="77"/>
      <c r="H12" s="78"/>
      <c r="I12" s="79"/>
      <c r="J12" s="80"/>
      <c r="K12" s="81">
        <v>51</v>
      </c>
      <c r="L12" s="82"/>
      <c r="M12" s="83"/>
      <c r="N12" s="105"/>
      <c r="O12" s="84"/>
      <c r="P12" s="82"/>
      <c r="Q12" s="93"/>
      <c r="R12" s="85">
        <f>K12</f>
        <v>51</v>
      </c>
      <c r="S12" s="111" t="s">
        <v>57</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DEZ!F258</f>
        <v>51</v>
      </c>
      <c r="K25" s="810"/>
      <c r="L25" s="50" t="str">
        <f>DEZ!D245</f>
        <v>m2</v>
      </c>
      <c r="M25" s="803" t="s">
        <v>12</v>
      </c>
      <c r="N25" s="811"/>
      <c r="O25" s="811"/>
      <c r="P25" s="811"/>
      <c r="Q25" s="805"/>
      <c r="R25" s="61">
        <f>R12</f>
        <v>51</v>
      </c>
      <c r="S25" s="51" t="str">
        <f>L25</f>
        <v>m2</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v>0</v>
      </c>
      <c r="S26" s="52" t="str">
        <f>L25</f>
        <v>m2</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51</v>
      </c>
      <c r="S27" s="53" t="str">
        <f>L25</f>
        <v>m2</v>
      </c>
      <c r="T27" s="54"/>
      <c r="U27" s="24"/>
    </row>
    <row r="28" spans="1:28" ht="21" customHeight="1">
      <c r="B28" s="218"/>
      <c r="C28" s="217"/>
      <c r="M28" s="803" t="s">
        <v>53</v>
      </c>
      <c r="N28" s="804"/>
      <c r="O28" s="804"/>
      <c r="P28" s="804"/>
      <c r="Q28" s="805"/>
      <c r="R28" s="62">
        <f>DEZ!E258</f>
        <v>91.04</v>
      </c>
      <c r="S28" s="53"/>
      <c r="T28" s="54"/>
      <c r="U28" s="24"/>
    </row>
    <row r="29" spans="1:28" ht="21" customHeight="1">
      <c r="B29" s="163"/>
      <c r="C29" s="219"/>
      <c r="M29" s="803" t="s">
        <v>54</v>
      </c>
      <c r="N29" s="804"/>
      <c r="O29" s="804"/>
      <c r="P29" s="804"/>
      <c r="Q29" s="805"/>
      <c r="R29" s="62">
        <f>TRUNC(R28*R27,2)</f>
        <v>4643.04</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129" priority="1" operator="greaterThanOrEqual">
      <formula>1</formula>
    </cfRule>
    <cfRule type="cellIs" dxfId="12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8A2DB-E86E-492F-9E31-C4FA95D1C52F}">
  <sheetPr codeName="Planilha74">
    <tabColor rgb="FF339933"/>
    <pageSetUpPr fitToPage="1"/>
  </sheetPr>
  <dimension ref="A1:AJ28"/>
  <sheetViews>
    <sheetView view="pageBreakPreview" zoomScale="50" zoomScaleNormal="55" zoomScaleSheetLayoutView="50"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DEZ!A478</f>
        <v>4.4.1.1</v>
      </c>
      <c r="C10" s="845" t="str">
        <f>DEZ!C478</f>
        <v>Fôrma com chapa compensada plastificada esp. 12mm, utização 5 vezes</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998</v>
      </c>
      <c r="D12" s="854">
        <v>18</v>
      </c>
      <c r="E12" s="855"/>
      <c r="F12" s="856"/>
      <c r="G12" s="857">
        <v>5</v>
      </c>
      <c r="H12" s="858"/>
      <c r="I12" s="859"/>
      <c r="J12" s="226"/>
      <c r="K12" s="81">
        <f>D12*G12</f>
        <v>90</v>
      </c>
      <c r="L12" s="82"/>
      <c r="M12" s="83"/>
      <c r="N12" s="105"/>
      <c r="O12" s="84"/>
      <c r="P12" s="82"/>
      <c r="Q12" s="93"/>
      <c r="R12" s="85">
        <f>K12</f>
        <v>90</v>
      </c>
      <c r="S12" s="154" t="s">
        <v>57</v>
      </c>
      <c r="T12" s="215">
        <v>6</v>
      </c>
      <c r="U12" s="94"/>
      <c r="V12" s="71"/>
      <c r="W12" s="71"/>
      <c r="X12" s="152"/>
      <c r="Y12" s="153"/>
      <c r="Z12" s="72"/>
    </row>
    <row r="13" spans="1:36" s="73" customFormat="1" ht="21" customHeight="1">
      <c r="A13" s="64"/>
      <c r="B13" s="109"/>
      <c r="C13" s="237" t="s">
        <v>1017</v>
      </c>
      <c r="D13" s="77"/>
      <c r="E13" s="78"/>
      <c r="F13" s="79"/>
      <c r="H13" s="78"/>
      <c r="I13" s="79"/>
      <c r="J13" s="66"/>
      <c r="K13" s="108">
        <v>251</v>
      </c>
      <c r="L13" s="67"/>
      <c r="M13" s="68"/>
      <c r="N13" s="110"/>
      <c r="O13" s="69"/>
      <c r="P13" s="67"/>
      <c r="Q13" s="106"/>
      <c r="R13" s="85">
        <f>K13</f>
        <v>251</v>
      </c>
      <c r="S13" s="154" t="s">
        <v>57</v>
      </c>
      <c r="T13" s="215">
        <v>7</v>
      </c>
      <c r="U13" s="94"/>
      <c r="V13" s="71"/>
      <c r="W13" s="71"/>
      <c r="X13" s="152"/>
      <c r="Y13" s="153"/>
      <c r="Z13" s="72"/>
      <c r="AA13" s="71"/>
      <c r="AB13" s="74"/>
    </row>
    <row r="14" spans="1:36" s="73" customFormat="1" ht="21" customHeight="1">
      <c r="A14" s="64"/>
      <c r="B14" s="109"/>
      <c r="C14" s="237" t="s">
        <v>1361</v>
      </c>
      <c r="D14" s="854">
        <v>18</v>
      </c>
      <c r="E14" s="855"/>
      <c r="F14" s="856"/>
      <c r="G14" s="857">
        <v>5</v>
      </c>
      <c r="H14" s="858"/>
      <c r="I14" s="859"/>
      <c r="J14" s="226"/>
      <c r="K14" s="81">
        <f>D14*G14</f>
        <v>90</v>
      </c>
      <c r="L14" s="67"/>
      <c r="M14" s="68"/>
      <c r="N14" s="110"/>
      <c r="O14" s="69"/>
      <c r="P14" s="67"/>
      <c r="Q14" s="106"/>
      <c r="R14" s="85">
        <f>K14</f>
        <v>90</v>
      </c>
      <c r="S14" s="154" t="s">
        <v>57</v>
      </c>
      <c r="T14" s="215">
        <v>9</v>
      </c>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v>431</v>
      </c>
      <c r="K20" s="810"/>
      <c r="L20" s="50" t="s">
        <v>57</v>
      </c>
      <c r="M20" s="803" t="s">
        <v>12</v>
      </c>
      <c r="N20" s="811"/>
      <c r="O20" s="811"/>
      <c r="P20" s="811"/>
      <c r="Q20" s="805"/>
      <c r="R20" s="61">
        <f>SUM(R12:R19)</f>
        <v>431</v>
      </c>
      <c r="S20" s="51" t="str">
        <f>L20</f>
        <v>m2</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SUM(R12:R14)</f>
        <v>431</v>
      </c>
      <c r="S21" s="52" t="str">
        <f>L20</f>
        <v>m2</v>
      </c>
      <c r="T21" s="22"/>
      <c r="U21" s="23"/>
    </row>
    <row r="22" spans="1:28" ht="21" customHeight="1">
      <c r="A22" s="10" t="s">
        <v>469</v>
      </c>
      <c r="B22" s="165"/>
      <c r="C22" s="164"/>
      <c r="D22" s="820"/>
      <c r="E22" s="821"/>
      <c r="F22" s="821"/>
      <c r="G22" s="821"/>
      <c r="H22" s="821"/>
      <c r="I22" s="822"/>
      <c r="J22" s="825"/>
      <c r="K22" s="826"/>
      <c r="L22" s="828"/>
      <c r="M22" s="803" t="s">
        <v>14</v>
      </c>
      <c r="N22" s="804"/>
      <c r="O22" s="804"/>
      <c r="P22" s="804"/>
      <c r="Q22" s="805"/>
      <c r="R22" s="62">
        <f>R20-R21</f>
        <v>0</v>
      </c>
      <c r="S22" s="53" t="str">
        <f>L20</f>
        <v>m2</v>
      </c>
      <c r="T22" s="54"/>
      <c r="U22" s="24"/>
    </row>
    <row r="23" spans="1:28" ht="21" customHeight="1">
      <c r="B23" s="218"/>
      <c r="C23" s="217"/>
      <c r="M23" s="803" t="s">
        <v>53</v>
      </c>
      <c r="N23" s="804"/>
      <c r="O23" s="804"/>
      <c r="P23" s="804"/>
      <c r="Q23" s="805"/>
      <c r="R23" s="62">
        <f>DEZ!E478</f>
        <v>86.33</v>
      </c>
      <c r="S23" s="53"/>
      <c r="T23" s="54"/>
      <c r="U23" s="24"/>
    </row>
    <row r="24" spans="1:28" ht="21" customHeight="1">
      <c r="B24" s="163"/>
      <c r="C24" s="219"/>
      <c r="M24" s="803" t="s">
        <v>54</v>
      </c>
      <c r="N24" s="804"/>
      <c r="O24" s="804"/>
      <c r="P24" s="804"/>
      <c r="Q24" s="805"/>
      <c r="R24" s="62">
        <f>TRUNC(R23*R22,2)</f>
        <v>0</v>
      </c>
      <c r="S24" s="53" t="s">
        <v>55</v>
      </c>
      <c r="T24" s="54"/>
      <c r="U24" s="24"/>
    </row>
    <row r="27" spans="1:28">
      <c r="C27" s="2">
        <f>18*5</f>
        <v>90</v>
      </c>
    </row>
    <row r="28" spans="1:28">
      <c r="C28" s="2">
        <f>C27*0.09</f>
        <v>8.1</v>
      </c>
    </row>
  </sheetData>
  <mergeCells count="38">
    <mergeCell ref="M24:Q24"/>
    <mergeCell ref="D21:I22"/>
    <mergeCell ref="J21:K22"/>
    <mergeCell ref="L21:L22"/>
    <mergeCell ref="M21:Q21"/>
    <mergeCell ref="M22:Q22"/>
    <mergeCell ref="M23:Q23"/>
    <mergeCell ref="M10:M11"/>
    <mergeCell ref="T10:T11"/>
    <mergeCell ref="U10:U11"/>
    <mergeCell ref="D12:F12"/>
    <mergeCell ref="D20:I20"/>
    <mergeCell ref="J20:K20"/>
    <mergeCell ref="M20:Q20"/>
    <mergeCell ref="N10:N11"/>
    <mergeCell ref="O10:O11"/>
    <mergeCell ref="P10:P11"/>
    <mergeCell ref="Q10:Q11"/>
    <mergeCell ref="R10:R11"/>
    <mergeCell ref="S10:S11"/>
    <mergeCell ref="D14:F14"/>
    <mergeCell ref="G14:I14"/>
    <mergeCell ref="T7:U7"/>
    <mergeCell ref="G12:I12"/>
    <mergeCell ref="B1:U4"/>
    <mergeCell ref="V4:AA4"/>
    <mergeCell ref="B5:I5"/>
    <mergeCell ref="J5:O5"/>
    <mergeCell ref="P5:U5"/>
    <mergeCell ref="T8:U8"/>
    <mergeCell ref="T9:U9"/>
    <mergeCell ref="B10:B11"/>
    <mergeCell ref="C10:C11"/>
    <mergeCell ref="D10:F11"/>
    <mergeCell ref="G10:I11"/>
    <mergeCell ref="J10:J11"/>
    <mergeCell ref="K10:K11"/>
    <mergeCell ref="L10:L11"/>
  </mergeCells>
  <conditionalFormatting sqref="J21:K24">
    <cfRule type="cellIs" dxfId="127" priority="1" operator="greaterThanOrEqual">
      <formula>1</formula>
    </cfRule>
    <cfRule type="cellIs" dxfId="12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F6D34-47EC-4F2A-A2F3-2D64308893D8}">
  <sheetPr codeName="Planilha112">
    <tabColor rgb="FF339933"/>
    <pageSetUpPr fitToPage="1"/>
  </sheetPr>
  <dimension ref="A1:AJ30"/>
  <sheetViews>
    <sheetView view="pageBreakPreview" topLeftCell="I7" zoomScale="60" zoomScaleNormal="55"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1" width="20.710937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DEZ!A254</f>
        <v>3.3.4.2</v>
      </c>
      <c r="C10" s="845" t="str">
        <f>DEZ!C254</f>
        <v>Fornecimento e espalhamento de pó de pedra</v>
      </c>
      <c r="D10" s="816" t="s">
        <v>854</v>
      </c>
      <c r="E10" s="816"/>
      <c r="F10" s="816"/>
      <c r="G10" s="816" t="s">
        <v>33</v>
      </c>
      <c r="H10" s="816"/>
      <c r="I10" s="816"/>
      <c r="J10" s="812" t="s">
        <v>855</v>
      </c>
      <c r="K10" s="812" t="s">
        <v>897</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237" t="s">
        <v>1029</v>
      </c>
      <c r="D12" s="851">
        <f>4.2+1.95</f>
        <v>6.15</v>
      </c>
      <c r="E12" s="852"/>
      <c r="F12" s="853"/>
      <c r="G12" s="851">
        <v>2.2999999999999998</v>
      </c>
      <c r="H12" s="852"/>
      <c r="I12" s="853"/>
      <c r="J12" s="108">
        <f>D12*G12</f>
        <v>14.145</v>
      </c>
      <c r="K12" s="108">
        <v>0.2</v>
      </c>
      <c r="L12" s="67">
        <f>J12*K12</f>
        <v>2.8290000000000002</v>
      </c>
      <c r="M12" s="68"/>
      <c r="N12" s="110"/>
      <c r="O12" s="69"/>
      <c r="P12" s="67"/>
      <c r="Q12" s="106"/>
      <c r="R12" s="85">
        <f>L12</f>
        <v>2.8290000000000002</v>
      </c>
      <c r="S12" s="154" t="s">
        <v>58</v>
      </c>
      <c r="T12" s="215">
        <v>8</v>
      </c>
      <c r="U12" s="94"/>
      <c r="V12" s="71"/>
      <c r="W12" s="71"/>
      <c r="X12" s="152"/>
      <c r="Y12" s="153"/>
      <c r="Z12" s="72"/>
      <c r="AA12" s="71"/>
      <c r="AB12" s="74"/>
    </row>
    <row r="13" spans="1:36" s="73" customFormat="1" ht="21" customHeight="1">
      <c r="A13" s="64"/>
      <c r="B13" s="109"/>
      <c r="C13" s="237" t="s">
        <v>1029</v>
      </c>
      <c r="D13" s="851">
        <f>4.2+1.6</f>
        <v>5.8000000000000007</v>
      </c>
      <c r="E13" s="852"/>
      <c r="F13" s="853"/>
      <c r="G13" s="851">
        <v>2.7</v>
      </c>
      <c r="H13" s="852"/>
      <c r="I13" s="853"/>
      <c r="J13" s="108">
        <f>D13*G13</f>
        <v>15.660000000000004</v>
      </c>
      <c r="K13" s="108">
        <f>K12</f>
        <v>0.2</v>
      </c>
      <c r="L13" s="67">
        <f>J13*K13</f>
        <v>3.132000000000001</v>
      </c>
      <c r="M13" s="68"/>
      <c r="N13" s="110"/>
      <c r="O13" s="69"/>
      <c r="P13" s="67"/>
      <c r="Q13" s="106"/>
      <c r="R13" s="85">
        <f>J22-R12</f>
        <v>3.7909999999999999</v>
      </c>
      <c r="S13" s="154" t="s">
        <v>58</v>
      </c>
      <c r="T13" s="215">
        <v>8</v>
      </c>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DEZ!F254</f>
        <v>6.62</v>
      </c>
      <c r="K22" s="810"/>
      <c r="L22" s="50" t="s">
        <v>58</v>
      </c>
      <c r="M22" s="803" t="s">
        <v>12</v>
      </c>
      <c r="N22" s="811"/>
      <c r="O22" s="811"/>
      <c r="P22" s="811"/>
      <c r="Q22" s="805"/>
      <c r="R22" s="61">
        <f>SUM(R12:R21)</f>
        <v>6.62</v>
      </c>
      <c r="S22" s="51" t="str">
        <f>L22</f>
        <v>m3</v>
      </c>
      <c r="T22" s="22"/>
      <c r="U22" s="23"/>
    </row>
    <row r="23" spans="1:28" ht="21" customHeight="1">
      <c r="B23" s="163"/>
      <c r="C23" s="19"/>
      <c r="D23" s="817" t="s">
        <v>13</v>
      </c>
      <c r="E23" s="818"/>
      <c r="F23" s="818"/>
      <c r="G23" s="818"/>
      <c r="H23" s="818"/>
      <c r="I23" s="819"/>
      <c r="J23" s="823">
        <f>R22/J22</f>
        <v>1</v>
      </c>
      <c r="K23" s="824"/>
      <c r="L23" s="827"/>
      <c r="M23" s="803" t="s">
        <v>34</v>
      </c>
      <c r="N23" s="804"/>
      <c r="O23" s="804"/>
      <c r="P23" s="804"/>
      <c r="Q23" s="805"/>
      <c r="R23" s="61">
        <f>SUM(R12:R13)</f>
        <v>6.62</v>
      </c>
      <c r="S23" s="52" t="str">
        <f>L22</f>
        <v>m3</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m3</v>
      </c>
      <c r="T24" s="54"/>
      <c r="U24" s="24"/>
    </row>
    <row r="25" spans="1:28" ht="21" customHeight="1">
      <c r="B25" s="218"/>
      <c r="C25" s="217"/>
      <c r="M25" s="803" t="s">
        <v>53</v>
      </c>
      <c r="N25" s="804"/>
      <c r="O25" s="804"/>
      <c r="P25" s="804"/>
      <c r="Q25" s="805"/>
      <c r="R25" s="62">
        <f>DEZ!E254</f>
        <v>125.94</v>
      </c>
      <c r="S25" s="53" t="s">
        <v>55</v>
      </c>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8">
    <mergeCell ref="M25:Q25"/>
    <mergeCell ref="M26:Q26"/>
    <mergeCell ref="K10:K11"/>
    <mergeCell ref="D22:I22"/>
    <mergeCell ref="J22:K22"/>
    <mergeCell ref="M22:Q22"/>
    <mergeCell ref="D23:I24"/>
    <mergeCell ref="J23:K24"/>
    <mergeCell ref="L23:L24"/>
    <mergeCell ref="M23:Q23"/>
    <mergeCell ref="M24:Q24"/>
    <mergeCell ref="D12:F12"/>
    <mergeCell ref="G12:I12"/>
    <mergeCell ref="D13:F13"/>
    <mergeCell ref="G13:I13"/>
    <mergeCell ref="N10:N11"/>
    <mergeCell ref="T8:U8"/>
    <mergeCell ref="T9:U9"/>
    <mergeCell ref="B10:B11"/>
    <mergeCell ref="C10:C11"/>
    <mergeCell ref="D10:F11"/>
    <mergeCell ref="G10:I11"/>
    <mergeCell ref="J10:J11"/>
    <mergeCell ref="L10:L11"/>
    <mergeCell ref="M10:M11"/>
    <mergeCell ref="T10:T11"/>
    <mergeCell ref="U10:U11"/>
    <mergeCell ref="O10:O11"/>
    <mergeCell ref="P10:P11"/>
    <mergeCell ref="Q10:Q11"/>
    <mergeCell ref="R10:R11"/>
    <mergeCell ref="S10:S11"/>
    <mergeCell ref="T7:U7"/>
    <mergeCell ref="B1:U4"/>
    <mergeCell ref="V4:AA4"/>
    <mergeCell ref="B5:I5"/>
    <mergeCell ref="J5:O5"/>
    <mergeCell ref="P5:U5"/>
  </mergeCells>
  <conditionalFormatting sqref="J23:K26">
    <cfRule type="cellIs" dxfId="125" priority="1" operator="greaterThanOrEqual">
      <formula>1</formula>
    </cfRule>
    <cfRule type="cellIs" dxfId="124"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D7E82-EFB0-4330-A3EE-C7D4C12D5BA3}">
  <sheetPr codeName="Planilha120">
    <tabColor rgb="FF339933"/>
    <pageSetUpPr fitToPage="1"/>
  </sheetPr>
  <dimension ref="A1:AJ20"/>
  <sheetViews>
    <sheetView view="pageBreakPreview" topLeftCell="B5" zoomScale="50" zoomScaleNormal="55" zoomScaleSheetLayoutView="50" workbookViewId="0">
      <selection activeCell="R18" sqref="R1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1" width="13.5703125" style="2" customWidth="1"/>
    <col min="12" max="12" width="12.140625" style="2" customWidth="1"/>
    <col min="13" max="13" width="12.28515625" style="2" customWidth="1"/>
    <col min="14" max="15" width="13.5703125" style="2" customWidth="1"/>
    <col min="16" max="16" width="15.140625" style="2" bestFit="1" customWidth="1"/>
    <col min="17" max="17" width="7.42578125" style="2" customWidth="1"/>
    <col min="18" max="18" width="20.2851562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DEZ!A43</f>
        <v>1.1.3.8</v>
      </c>
      <c r="C10" s="845" t="str">
        <f>DEZ!C43</f>
        <v>Rede de luz, incl. padrão entr. energia trifás. cabo ligação até barracões, quadro distrib., disj. e chave de força, cons. 20m entre padrão entrada e QDG, conf. projeto (1 utilização)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90" customFormat="1" ht="21" customHeight="1">
      <c r="A12" s="75"/>
      <c r="B12" s="107"/>
      <c r="C12" s="65" t="s">
        <v>1259</v>
      </c>
      <c r="D12" s="857">
        <v>30</v>
      </c>
      <c r="E12" s="858"/>
      <c r="F12" s="859"/>
      <c r="G12" s="77"/>
      <c r="H12" s="78"/>
      <c r="I12" s="79"/>
      <c r="J12" s="80"/>
      <c r="K12" s="81"/>
      <c r="L12" s="82"/>
      <c r="M12" s="83">
        <v>1</v>
      </c>
      <c r="N12" s="84"/>
      <c r="O12" s="155"/>
      <c r="P12" s="156"/>
      <c r="Q12" s="85"/>
      <c r="R12" s="85">
        <f>D12</f>
        <v>30</v>
      </c>
      <c r="S12" s="111" t="s">
        <v>51</v>
      </c>
      <c r="T12" s="215">
        <v>8</v>
      </c>
      <c r="U12" s="92"/>
      <c r="V12" s="86"/>
      <c r="W12" s="86"/>
      <c r="X12" s="86"/>
      <c r="Y12" s="151"/>
      <c r="Z12" s="87"/>
      <c r="AA12" s="88"/>
      <c r="AB12" s="89"/>
    </row>
    <row r="13" spans="1:36" s="90" customFormat="1" ht="21" customHeight="1">
      <c r="A13" s="75"/>
      <c r="B13" s="157"/>
      <c r="C13" s="65" t="s">
        <v>952</v>
      </c>
      <c r="D13" s="857">
        <v>10</v>
      </c>
      <c r="E13" s="858"/>
      <c r="F13" s="859"/>
      <c r="G13" s="77"/>
      <c r="H13" s="78"/>
      <c r="I13" s="79"/>
      <c r="J13" s="80"/>
      <c r="K13" s="81"/>
      <c r="L13" s="82"/>
      <c r="M13" s="83"/>
      <c r="N13" s="84"/>
      <c r="O13" s="84"/>
      <c r="P13" s="82"/>
      <c r="Q13" s="85"/>
      <c r="R13" s="85">
        <f>D13</f>
        <v>10</v>
      </c>
      <c r="S13" s="111" t="s">
        <v>51</v>
      </c>
      <c r="T13" s="215">
        <v>8</v>
      </c>
      <c r="U13" s="92"/>
      <c r="V13" s="86"/>
      <c r="W13" s="86"/>
      <c r="X13" s="86"/>
      <c r="Y13" s="151"/>
      <c r="Z13" s="87"/>
      <c r="AA13" s="88"/>
      <c r="AB13" s="89"/>
    </row>
    <row r="14" spans="1:36" s="1" customFormat="1" ht="21" customHeight="1">
      <c r="A14" s="11"/>
      <c r="B14" s="25"/>
      <c r="C14" s="65" t="s">
        <v>1296</v>
      </c>
      <c r="D14" s="857">
        <v>20</v>
      </c>
      <c r="E14" s="858"/>
      <c r="F14" s="859"/>
      <c r="G14" s="26"/>
      <c r="H14" s="159"/>
      <c r="I14" s="27"/>
      <c r="J14" s="28"/>
      <c r="K14" s="49"/>
      <c r="L14" s="40"/>
      <c r="M14" s="41"/>
      <c r="N14" s="160"/>
      <c r="O14" s="160"/>
      <c r="P14" s="40"/>
      <c r="Q14" s="42"/>
      <c r="R14" s="85">
        <f>D14</f>
        <v>20</v>
      </c>
      <c r="S14" s="111" t="s">
        <v>51</v>
      </c>
      <c r="T14" s="215">
        <v>8</v>
      </c>
      <c r="U14" s="48"/>
      <c r="V14" s="120"/>
      <c r="W14" s="120"/>
      <c r="X14" s="120"/>
      <c r="Y14" s="142"/>
      <c r="Z14" s="15"/>
      <c r="AA14" s="17"/>
      <c r="AB14" s="44"/>
    </row>
    <row r="15" spans="1:36" ht="21" customHeight="1">
      <c r="B15" s="118"/>
      <c r="C15" s="119"/>
      <c r="D15" s="26"/>
      <c r="E15" s="159"/>
      <c r="F15" s="27"/>
      <c r="G15" s="26"/>
      <c r="H15" s="159"/>
      <c r="I15" s="27"/>
      <c r="J15" s="28"/>
      <c r="K15" s="49"/>
      <c r="L15" s="40"/>
      <c r="M15" s="41"/>
      <c r="N15" s="160"/>
      <c r="O15" s="160"/>
      <c r="P15" s="40"/>
      <c r="Q15" s="42"/>
      <c r="R15" s="60"/>
      <c r="S15" s="43"/>
      <c r="T15" s="216"/>
      <c r="U15" s="117"/>
    </row>
    <row r="16" spans="1:36" ht="39.6" customHeight="1">
      <c r="B16" s="161"/>
      <c r="C16" s="162"/>
      <c r="D16" s="806" t="s">
        <v>11</v>
      </c>
      <c r="E16" s="807"/>
      <c r="F16" s="807"/>
      <c r="G16" s="807"/>
      <c r="H16" s="807"/>
      <c r="I16" s="808"/>
      <c r="J16" s="809">
        <v>100</v>
      </c>
      <c r="K16" s="810"/>
      <c r="L16" s="50" t="s">
        <v>51</v>
      </c>
      <c r="M16" s="803" t="s">
        <v>12</v>
      </c>
      <c r="N16" s="811"/>
      <c r="O16" s="811"/>
      <c r="P16" s="811"/>
      <c r="Q16" s="805"/>
      <c r="R16" s="61">
        <f>SUM(R12:R15)</f>
        <v>60</v>
      </c>
      <c r="S16" s="51" t="str">
        <f>L16</f>
        <v>m</v>
      </c>
      <c r="T16" s="22"/>
      <c r="U16" s="23"/>
    </row>
    <row r="17" spans="1:21" ht="21" customHeight="1">
      <c r="B17" s="163"/>
      <c r="C17" s="19"/>
      <c r="D17" s="817" t="s">
        <v>13</v>
      </c>
      <c r="E17" s="818"/>
      <c r="F17" s="818"/>
      <c r="G17" s="818"/>
      <c r="H17" s="818"/>
      <c r="I17" s="819"/>
      <c r="J17" s="823">
        <f>R16/J16</f>
        <v>0.6</v>
      </c>
      <c r="K17" s="824"/>
      <c r="L17" s="827"/>
      <c r="M17" s="803" t="s">
        <v>34</v>
      </c>
      <c r="N17" s="804"/>
      <c r="O17" s="804"/>
      <c r="P17" s="804"/>
      <c r="Q17" s="805"/>
      <c r="R17" s="61">
        <f>SUM(R12:R14)</f>
        <v>60</v>
      </c>
      <c r="S17" s="52" t="str">
        <f>L16</f>
        <v>m</v>
      </c>
      <c r="T17" s="22"/>
      <c r="U17" s="23"/>
    </row>
    <row r="18" spans="1:21" ht="21" customHeight="1">
      <c r="A18" s="10" t="s">
        <v>77</v>
      </c>
      <c r="B18" s="165"/>
      <c r="C18" s="164"/>
      <c r="D18" s="820"/>
      <c r="E18" s="821"/>
      <c r="F18" s="821"/>
      <c r="G18" s="821"/>
      <c r="H18" s="821"/>
      <c r="I18" s="822"/>
      <c r="J18" s="825"/>
      <c r="K18" s="826"/>
      <c r="L18" s="828"/>
      <c r="M18" s="803" t="s">
        <v>14</v>
      </c>
      <c r="N18" s="804"/>
      <c r="O18" s="804"/>
      <c r="P18" s="804"/>
      <c r="Q18" s="805"/>
      <c r="R18" s="62">
        <f>R16-R17</f>
        <v>0</v>
      </c>
      <c r="S18" s="53" t="str">
        <f>L16</f>
        <v>m</v>
      </c>
      <c r="T18" s="54"/>
      <c r="U18" s="24"/>
    </row>
    <row r="19" spans="1:21" ht="21" customHeight="1">
      <c r="B19" s="218"/>
      <c r="C19" s="217"/>
      <c r="M19" s="803" t="s">
        <v>53</v>
      </c>
      <c r="N19" s="804"/>
      <c r="O19" s="804"/>
      <c r="P19" s="804"/>
      <c r="Q19" s="805"/>
      <c r="R19" s="62">
        <f>DEZ!E43</f>
        <v>433.87</v>
      </c>
      <c r="S19" s="53"/>
      <c r="T19" s="54"/>
      <c r="U19" s="24"/>
    </row>
    <row r="20" spans="1:21" ht="21" customHeight="1">
      <c r="B20" s="163"/>
      <c r="C20" s="219"/>
      <c r="M20" s="803" t="s">
        <v>54</v>
      </c>
      <c r="N20" s="804"/>
      <c r="O20" s="804"/>
      <c r="P20" s="804"/>
      <c r="Q20" s="805"/>
      <c r="R20" s="62">
        <f>TRUNC(R19*R18,2)</f>
        <v>0</v>
      </c>
      <c r="S20" s="53" t="s">
        <v>55</v>
      </c>
      <c r="T20" s="54"/>
      <c r="U20" s="24"/>
    </row>
  </sheetData>
  <mergeCells count="37">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0:Q20"/>
    <mergeCell ref="D13:F13"/>
    <mergeCell ref="D17:I18"/>
    <mergeCell ref="J17:K18"/>
    <mergeCell ref="L17:L18"/>
    <mergeCell ref="M17:Q17"/>
    <mergeCell ref="M18:Q18"/>
    <mergeCell ref="M19:Q19"/>
    <mergeCell ref="D12:F12"/>
    <mergeCell ref="D16:I16"/>
    <mergeCell ref="J16:K16"/>
    <mergeCell ref="M16:Q16"/>
    <mergeCell ref="D14:F14"/>
  </mergeCells>
  <conditionalFormatting sqref="J17:K20">
    <cfRule type="cellIs" dxfId="401" priority="1" operator="greaterThanOrEqual">
      <formula>1</formula>
    </cfRule>
    <cfRule type="cellIs" dxfId="40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4BE8C-71CD-446D-8BB5-D95F8458B4B0}">
  <sheetPr codeName="Planilha113">
    <tabColor rgb="FF339933"/>
    <pageSetUpPr fitToPage="1"/>
  </sheetPr>
  <dimension ref="A1:AJ30"/>
  <sheetViews>
    <sheetView view="pageBreakPreview" topLeftCell="D7" zoomScale="60" zoomScaleNormal="55"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1" width="20.710937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DEZ!A255</f>
        <v>3.3.4.3</v>
      </c>
      <c r="C10" s="845" t="str">
        <f>DEZ!C255</f>
        <v>Alvenaria de blocos de concreto estrut. (14x19x39cm) cheios, c/ resist. mín. compr. 15MPa, assentados c/ arg. de cimento e areia no traço 1:4, esp. juntas 10mm e esp. da parede s/ revest. 14cm</v>
      </c>
      <c r="D10" s="816" t="s">
        <v>854</v>
      </c>
      <c r="E10" s="816"/>
      <c r="F10" s="816"/>
      <c r="G10" s="816" t="s">
        <v>33</v>
      </c>
      <c r="H10" s="816"/>
      <c r="I10" s="816"/>
      <c r="J10" s="812" t="s">
        <v>855</v>
      </c>
      <c r="K10" s="812" t="s">
        <v>897</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237" t="s">
        <v>1030</v>
      </c>
      <c r="D12" s="851"/>
      <c r="E12" s="852"/>
      <c r="F12" s="853"/>
      <c r="G12" s="851"/>
      <c r="H12" s="852"/>
      <c r="I12" s="853"/>
      <c r="J12" s="108">
        <v>2.7</v>
      </c>
      <c r="K12" s="108"/>
      <c r="L12" s="67">
        <f>J12*K12</f>
        <v>0</v>
      </c>
      <c r="M12" s="68"/>
      <c r="N12" s="110"/>
      <c r="O12" s="69"/>
      <c r="P12" s="67"/>
      <c r="Q12" s="106"/>
      <c r="R12" s="85">
        <f>J12</f>
        <v>2.7</v>
      </c>
      <c r="S12" s="154" t="s">
        <v>57</v>
      </c>
      <c r="T12" s="215">
        <v>8</v>
      </c>
      <c r="U12" s="94"/>
      <c r="V12" s="71"/>
      <c r="W12" s="71"/>
      <c r="X12" s="152"/>
      <c r="Y12" s="153"/>
      <c r="Z12" s="72"/>
      <c r="AA12" s="71"/>
      <c r="AB12" s="74"/>
    </row>
    <row r="13" spans="1:36" s="73" customFormat="1" ht="21" customHeight="1">
      <c r="A13" s="64"/>
      <c r="B13" s="109"/>
      <c r="C13" s="237"/>
      <c r="D13" s="851"/>
      <c r="E13" s="852"/>
      <c r="F13" s="853"/>
      <c r="G13" s="851"/>
      <c r="H13" s="852"/>
      <c r="I13" s="853"/>
      <c r="J13" s="108"/>
      <c r="K13" s="108"/>
      <c r="L13" s="67"/>
      <c r="M13" s="68"/>
      <c r="N13" s="110"/>
      <c r="O13" s="69"/>
      <c r="P13" s="67"/>
      <c r="Q13" s="106"/>
      <c r="R13" s="85"/>
      <c r="S13" s="154"/>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DEZ!F255</f>
        <v>2.7</v>
      </c>
      <c r="K22" s="810"/>
      <c r="L22" s="50" t="s">
        <v>57</v>
      </c>
      <c r="M22" s="803" t="s">
        <v>12</v>
      </c>
      <c r="N22" s="811"/>
      <c r="O22" s="811"/>
      <c r="P22" s="811"/>
      <c r="Q22" s="805"/>
      <c r="R22" s="61">
        <f>SUM(R12:R21)</f>
        <v>2.7</v>
      </c>
      <c r="S22" s="51" t="str">
        <f>L22</f>
        <v>m2</v>
      </c>
      <c r="T22" s="22"/>
      <c r="U22" s="23"/>
    </row>
    <row r="23" spans="1:28" ht="21" customHeight="1">
      <c r="B23" s="163"/>
      <c r="C23" s="19"/>
      <c r="D23" s="817" t="s">
        <v>13</v>
      </c>
      <c r="E23" s="818"/>
      <c r="F23" s="818"/>
      <c r="G23" s="818"/>
      <c r="H23" s="818"/>
      <c r="I23" s="819"/>
      <c r="J23" s="823">
        <f>R22/J22</f>
        <v>1</v>
      </c>
      <c r="K23" s="824"/>
      <c r="L23" s="827"/>
      <c r="M23" s="803" t="s">
        <v>34</v>
      </c>
      <c r="N23" s="804"/>
      <c r="O23" s="804"/>
      <c r="P23" s="804"/>
      <c r="Q23" s="805"/>
      <c r="R23" s="61">
        <f>R12</f>
        <v>2.7</v>
      </c>
      <c r="S23" s="52" t="str">
        <f>L22</f>
        <v>m2</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m2</v>
      </c>
      <c r="T24" s="54"/>
      <c r="U24" s="24"/>
    </row>
    <row r="25" spans="1:28" ht="21" customHeight="1">
      <c r="B25" s="218"/>
      <c r="C25" s="217"/>
      <c r="M25" s="803" t="s">
        <v>53</v>
      </c>
      <c r="N25" s="804"/>
      <c r="O25" s="804"/>
      <c r="P25" s="804"/>
      <c r="Q25" s="805"/>
      <c r="R25" s="62">
        <f>DEZ!E255</f>
        <v>94.9</v>
      </c>
      <c r="S25" s="53" t="s">
        <v>55</v>
      </c>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8">
    <mergeCell ref="S10:S11"/>
    <mergeCell ref="M25:Q25"/>
    <mergeCell ref="M26:Q26"/>
    <mergeCell ref="D22:I22"/>
    <mergeCell ref="J22:K22"/>
    <mergeCell ref="M22:Q22"/>
    <mergeCell ref="D23:I24"/>
    <mergeCell ref="J23:K24"/>
    <mergeCell ref="L23:L24"/>
    <mergeCell ref="M23:Q23"/>
    <mergeCell ref="M24:Q24"/>
    <mergeCell ref="D12:F12"/>
    <mergeCell ref="G12:I12"/>
    <mergeCell ref="D13:F13"/>
    <mergeCell ref="G13:I13"/>
    <mergeCell ref="N10:N11"/>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T7:U7"/>
    <mergeCell ref="B1:U4"/>
    <mergeCell ref="V4:AA4"/>
    <mergeCell ref="B5:I5"/>
    <mergeCell ref="J5:O5"/>
    <mergeCell ref="P5:U5"/>
  </mergeCells>
  <conditionalFormatting sqref="J23:K26">
    <cfRule type="cellIs" dxfId="123" priority="1" operator="greaterThanOrEqual">
      <formula>1</formula>
    </cfRule>
    <cfRule type="cellIs" dxfId="122"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CD4F2-57A6-464C-BD79-476A573A6ACE}">
  <sheetPr codeName="Planilha66">
    <tabColor rgb="FF339933"/>
    <pageSetUpPr fitToPage="1"/>
  </sheetPr>
  <dimension ref="A1:AJ31"/>
  <sheetViews>
    <sheetView view="pageBreakPreview" topLeftCell="I6"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DEZ!A279</f>
        <v>3.3.8.2</v>
      </c>
      <c r="C10" s="845" t="str">
        <f>DEZ!C279</f>
        <v>Cobertura em telha termoacustica tipo telha/telha em aço galvanizado trapez. 40, e=0.43mm, pint. face. sup. e infer. cor branca, incl. acess. fix. nucleo em poliuretano (injeção contínua),
e=30mm, ref. Isoeste, Sto André, Panissol, Metform ou equi</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4" customHeight="1">
      <c r="A12" s="64"/>
      <c r="B12" s="109"/>
      <c r="C12" s="237" t="s">
        <v>1003</v>
      </c>
      <c r="D12" s="854"/>
      <c r="E12" s="855"/>
      <c r="F12" s="856"/>
      <c r="G12" s="857"/>
      <c r="H12" s="858"/>
      <c r="I12" s="859"/>
      <c r="J12" s="226"/>
      <c r="K12" s="81">
        <v>209.41</v>
      </c>
      <c r="L12" s="82"/>
      <c r="M12" s="83"/>
      <c r="N12" s="105"/>
      <c r="O12" s="84"/>
      <c r="P12" s="82"/>
      <c r="Q12" s="93"/>
      <c r="R12" s="85">
        <f>K12/2</f>
        <v>104.705</v>
      </c>
      <c r="S12" s="154" t="s">
        <v>57</v>
      </c>
      <c r="T12" s="215">
        <v>7</v>
      </c>
      <c r="U12" s="94"/>
      <c r="V12" s="71"/>
      <c r="W12" s="71"/>
      <c r="X12" s="152"/>
      <c r="Y12" s="153"/>
      <c r="Z12" s="72"/>
    </row>
    <row r="13" spans="1:36" s="73" customFormat="1" ht="21" customHeight="1">
      <c r="A13" s="64"/>
      <c r="B13" s="109"/>
      <c r="C13" s="237" t="s">
        <v>1003</v>
      </c>
      <c r="D13" s="77"/>
      <c r="E13" s="78"/>
      <c r="F13" s="79"/>
      <c r="H13" s="78"/>
      <c r="I13" s="79"/>
      <c r="J13" s="66"/>
      <c r="K13" s="108">
        <f>J23*0.5</f>
        <v>104.705</v>
      </c>
      <c r="L13" s="67"/>
      <c r="M13" s="68"/>
      <c r="N13" s="110"/>
      <c r="O13" s="69"/>
      <c r="P13" s="67"/>
      <c r="Q13" s="106"/>
      <c r="R13" s="85">
        <f>K13</f>
        <v>104.705</v>
      </c>
      <c r="S13" s="154" t="s">
        <v>57</v>
      </c>
      <c r="T13" s="215">
        <v>8</v>
      </c>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DEZ!F279</f>
        <v>209.41</v>
      </c>
      <c r="K23" s="810"/>
      <c r="L23" s="50" t="s">
        <v>57</v>
      </c>
      <c r="M23" s="803" t="s">
        <v>12</v>
      </c>
      <c r="N23" s="811"/>
      <c r="O23" s="811"/>
      <c r="P23" s="811"/>
      <c r="Q23" s="805"/>
      <c r="R23" s="61">
        <f>SUM(R12:R22)</f>
        <v>209.41</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SUM(R12:R13)</f>
        <v>209.41</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DEZ!E279</f>
        <v>124.46</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6">
    <mergeCell ref="R10:R11"/>
    <mergeCell ref="S10:S11"/>
    <mergeCell ref="M27:Q27"/>
    <mergeCell ref="D24:I25"/>
    <mergeCell ref="J24:K25"/>
    <mergeCell ref="L24:L25"/>
    <mergeCell ref="M24:Q24"/>
    <mergeCell ref="M25:Q25"/>
    <mergeCell ref="M26:Q26"/>
    <mergeCell ref="D12:F12"/>
    <mergeCell ref="G12:I12"/>
    <mergeCell ref="D23:I23"/>
    <mergeCell ref="J23:K23"/>
    <mergeCell ref="M23:Q23"/>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4:K27">
    <cfRule type="cellIs" dxfId="121" priority="1" operator="greaterThanOrEqual">
      <formula>1</formula>
    </cfRule>
    <cfRule type="cellIs" dxfId="12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AAFA1-5EF1-4527-BF20-2F54008E35FA}">
  <sheetPr codeName="Planilha134">
    <tabColor rgb="FF339933"/>
    <pageSetUpPr fitToPage="1"/>
  </sheetPr>
  <dimension ref="A1:AJ30"/>
  <sheetViews>
    <sheetView view="pageBreakPreview" topLeftCell="F7" zoomScale="60" zoomScaleNormal="55"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13.140625" style="2" customWidth="1"/>
    <col min="10" max="10" width="15.42578125" style="2" customWidth="1"/>
    <col min="11" max="11" width="20.710937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DEZ!A286</f>
        <v>3.3.9.1</v>
      </c>
      <c r="C10" s="845" t="str">
        <f>DEZ!C286</f>
        <v>CALHA PLATIBANDA DE CHAPA DE AÇO GALVANIZADA NUM 26, CORTE 45 CM, FORNECIMENTO E INSTALAÇÃO</v>
      </c>
      <c r="D10" s="816" t="s">
        <v>854</v>
      </c>
      <c r="E10" s="816"/>
      <c r="F10" s="816"/>
      <c r="G10" s="816" t="s">
        <v>1306</v>
      </c>
      <c r="H10" s="816"/>
      <c r="I10" s="816"/>
      <c r="J10" s="812" t="s">
        <v>855</v>
      </c>
      <c r="K10" s="812" t="s">
        <v>897</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237" t="s">
        <v>1305</v>
      </c>
      <c r="D12" s="851">
        <v>19.899999999999999</v>
      </c>
      <c r="E12" s="852"/>
      <c r="F12" s="853"/>
      <c r="G12" s="851">
        <v>2</v>
      </c>
      <c r="H12" s="852"/>
      <c r="I12" s="853"/>
      <c r="J12" s="108"/>
      <c r="K12" s="108"/>
      <c r="L12" s="67">
        <f>J12*K12</f>
        <v>0</v>
      </c>
      <c r="M12" s="68">
        <f>D12*G12</f>
        <v>39.799999999999997</v>
      </c>
      <c r="N12" s="110"/>
      <c r="O12" s="69"/>
      <c r="P12" s="67"/>
      <c r="Q12" s="106"/>
      <c r="R12" s="85">
        <f>M12</f>
        <v>39.799999999999997</v>
      </c>
      <c r="S12" s="154" t="s">
        <v>51</v>
      </c>
      <c r="T12" s="215">
        <v>8</v>
      </c>
      <c r="U12" s="94"/>
      <c r="V12" s="71"/>
      <c r="W12" s="71"/>
      <c r="X12" s="152"/>
      <c r="Y12" s="153"/>
      <c r="Z12" s="72"/>
      <c r="AA12" s="71"/>
      <c r="AB12" s="74"/>
    </row>
    <row r="13" spans="1:36" s="73" customFormat="1" ht="21" customHeight="1">
      <c r="A13" s="64"/>
      <c r="B13" s="109"/>
      <c r="C13" s="237"/>
      <c r="D13" s="851"/>
      <c r="E13" s="852"/>
      <c r="F13" s="853"/>
      <c r="G13" s="851"/>
      <c r="H13" s="852"/>
      <c r="I13" s="853"/>
      <c r="J13" s="108"/>
      <c r="K13" s="108"/>
      <c r="L13" s="67"/>
      <c r="M13" s="68"/>
      <c r="N13" s="110"/>
      <c r="O13" s="69"/>
      <c r="P13" s="67"/>
      <c r="Q13" s="106"/>
      <c r="R13" s="85"/>
      <c r="S13" s="154"/>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DEZ!I286</f>
        <v>39.799999999999997</v>
      </c>
      <c r="K22" s="810"/>
      <c r="L22" s="50" t="s">
        <v>51</v>
      </c>
      <c r="M22" s="803" t="s">
        <v>12</v>
      </c>
      <c r="N22" s="811"/>
      <c r="O22" s="811"/>
      <c r="P22" s="811"/>
      <c r="Q22" s="805"/>
      <c r="R22" s="61">
        <f>SUM(R12:R21)</f>
        <v>39.799999999999997</v>
      </c>
      <c r="S22" s="51" t="str">
        <f>L22</f>
        <v>m</v>
      </c>
      <c r="T22" s="22"/>
      <c r="U22" s="23"/>
    </row>
    <row r="23" spans="1:28" ht="21" customHeight="1">
      <c r="B23" s="163"/>
      <c r="C23" s="19"/>
      <c r="D23" s="817" t="s">
        <v>13</v>
      </c>
      <c r="E23" s="818"/>
      <c r="F23" s="818"/>
      <c r="G23" s="818"/>
      <c r="H23" s="818"/>
      <c r="I23" s="819"/>
      <c r="J23" s="823">
        <f>R22/J22</f>
        <v>1</v>
      </c>
      <c r="K23" s="824"/>
      <c r="L23" s="827"/>
      <c r="M23" s="803" t="s">
        <v>34</v>
      </c>
      <c r="N23" s="804"/>
      <c r="O23" s="804"/>
      <c r="P23" s="804"/>
      <c r="Q23" s="805"/>
      <c r="R23" s="61">
        <f>R12</f>
        <v>39.799999999999997</v>
      </c>
      <c r="S23" s="52" t="str">
        <f>L22</f>
        <v>m</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m</v>
      </c>
      <c r="T24" s="54"/>
      <c r="U24" s="24"/>
    </row>
    <row r="25" spans="1:28" ht="21" customHeight="1">
      <c r="B25" s="218"/>
      <c r="C25" s="217"/>
      <c r="M25" s="803" t="s">
        <v>53</v>
      </c>
      <c r="N25" s="804"/>
      <c r="O25" s="804"/>
      <c r="P25" s="804"/>
      <c r="Q25" s="805"/>
      <c r="R25" s="62">
        <f>DEZ!E286</f>
        <v>72.83</v>
      </c>
      <c r="S25" s="53" t="s">
        <v>55</v>
      </c>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8">
    <mergeCell ref="S10:S11"/>
    <mergeCell ref="M25:Q25"/>
    <mergeCell ref="M26:Q26"/>
    <mergeCell ref="D22:I22"/>
    <mergeCell ref="J22:K22"/>
    <mergeCell ref="M22:Q22"/>
    <mergeCell ref="D23:I24"/>
    <mergeCell ref="J23:K24"/>
    <mergeCell ref="L23:L24"/>
    <mergeCell ref="M23:Q23"/>
    <mergeCell ref="M24:Q24"/>
    <mergeCell ref="D12:F12"/>
    <mergeCell ref="G12:I12"/>
    <mergeCell ref="D13:F13"/>
    <mergeCell ref="G13:I13"/>
    <mergeCell ref="N10:N11"/>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T7:U7"/>
    <mergeCell ref="B1:U4"/>
    <mergeCell ref="V4:AA4"/>
    <mergeCell ref="B5:I5"/>
    <mergeCell ref="J5:O5"/>
    <mergeCell ref="P5:U5"/>
  </mergeCells>
  <conditionalFormatting sqref="J23:K26">
    <cfRule type="cellIs" dxfId="119" priority="1" operator="greaterThanOrEqual">
      <formula>1</formula>
    </cfRule>
    <cfRule type="cellIs" dxfId="118"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C2182-2C86-401A-972B-CB17E939F307}">
  <sheetPr codeName="Planilha135">
    <tabColor rgb="FF339933"/>
    <pageSetUpPr fitToPage="1"/>
  </sheetPr>
  <dimension ref="A1:AJ30"/>
  <sheetViews>
    <sheetView view="pageBreakPreview" topLeftCell="D7" zoomScale="60" zoomScaleNormal="55"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13.140625" style="2" customWidth="1"/>
    <col min="10" max="10" width="15.42578125" style="2" customWidth="1"/>
    <col min="11" max="11" width="20.710937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DEZ!A287</f>
        <v>3.3.9.2</v>
      </c>
      <c r="C10" s="845" t="str">
        <f>DEZ!C287</f>
        <v>Rufo de chapa metálica nº 26 com largura de 30 cm</v>
      </c>
      <c r="D10" s="816" t="s">
        <v>854</v>
      </c>
      <c r="E10" s="816"/>
      <c r="F10" s="816"/>
      <c r="G10" s="816" t="s">
        <v>1306</v>
      </c>
      <c r="H10" s="816"/>
      <c r="I10" s="816"/>
      <c r="J10" s="812" t="s">
        <v>855</v>
      </c>
      <c r="K10" s="812" t="s">
        <v>897</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237" t="s">
        <v>1305</v>
      </c>
      <c r="D12" s="851">
        <v>62.2</v>
      </c>
      <c r="E12" s="852"/>
      <c r="F12" s="853"/>
      <c r="G12" s="851"/>
      <c r="H12" s="852"/>
      <c r="I12" s="853"/>
      <c r="J12" s="108"/>
      <c r="K12" s="108"/>
      <c r="L12" s="67">
        <f>J12*K12</f>
        <v>0</v>
      </c>
      <c r="M12" s="68"/>
      <c r="N12" s="110"/>
      <c r="O12" s="69"/>
      <c r="P12" s="67"/>
      <c r="Q12" s="106"/>
      <c r="R12" s="85">
        <f>D12</f>
        <v>62.2</v>
      </c>
      <c r="S12" s="154" t="s">
        <v>51</v>
      </c>
      <c r="T12" s="215">
        <v>8</v>
      </c>
      <c r="U12" s="94"/>
      <c r="V12" s="71"/>
      <c r="W12" s="71"/>
      <c r="X12" s="152"/>
      <c r="Y12" s="153"/>
      <c r="Z12" s="72"/>
      <c r="AA12" s="71"/>
      <c r="AB12" s="74"/>
    </row>
    <row r="13" spans="1:36" s="73" customFormat="1" ht="21" customHeight="1">
      <c r="A13" s="64"/>
      <c r="B13" s="109"/>
      <c r="C13" s="237"/>
      <c r="D13" s="851"/>
      <c r="E13" s="852"/>
      <c r="F13" s="853"/>
      <c r="G13" s="851"/>
      <c r="H13" s="852"/>
      <c r="I13" s="853"/>
      <c r="J13" s="108"/>
      <c r="K13" s="108"/>
      <c r="L13" s="67"/>
      <c r="M13" s="68"/>
      <c r="N13" s="110"/>
      <c r="O13" s="69"/>
      <c r="P13" s="67"/>
      <c r="Q13" s="106"/>
      <c r="R13" s="85"/>
      <c r="S13" s="154"/>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DEZ!I287</f>
        <v>62.2</v>
      </c>
      <c r="K22" s="810"/>
      <c r="L22" s="50" t="s">
        <v>51</v>
      </c>
      <c r="M22" s="803" t="s">
        <v>12</v>
      </c>
      <c r="N22" s="811"/>
      <c r="O22" s="811"/>
      <c r="P22" s="811"/>
      <c r="Q22" s="805"/>
      <c r="R22" s="61">
        <f>SUM(R12:R21)</f>
        <v>62.2</v>
      </c>
      <c r="S22" s="51" t="str">
        <f>L22</f>
        <v>m</v>
      </c>
      <c r="T22" s="22"/>
      <c r="U22" s="23"/>
    </row>
    <row r="23" spans="1:28" ht="21" customHeight="1">
      <c r="B23" s="163"/>
      <c r="C23" s="19"/>
      <c r="D23" s="817" t="s">
        <v>13</v>
      </c>
      <c r="E23" s="818"/>
      <c r="F23" s="818"/>
      <c r="G23" s="818"/>
      <c r="H23" s="818"/>
      <c r="I23" s="819"/>
      <c r="J23" s="823">
        <f>R22/J22</f>
        <v>1</v>
      </c>
      <c r="K23" s="824"/>
      <c r="L23" s="827"/>
      <c r="M23" s="803" t="s">
        <v>34</v>
      </c>
      <c r="N23" s="804"/>
      <c r="O23" s="804"/>
      <c r="P23" s="804"/>
      <c r="Q23" s="805"/>
      <c r="R23" s="61">
        <f>R12</f>
        <v>62.2</v>
      </c>
      <c r="S23" s="52" t="str">
        <f>L22</f>
        <v>m</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m</v>
      </c>
      <c r="T24" s="54"/>
      <c r="U24" s="24"/>
    </row>
    <row r="25" spans="1:28" ht="21" customHeight="1">
      <c r="B25" s="218"/>
      <c r="C25" s="217"/>
      <c r="M25" s="803" t="s">
        <v>53</v>
      </c>
      <c r="N25" s="804"/>
      <c r="O25" s="804"/>
      <c r="P25" s="804"/>
      <c r="Q25" s="805"/>
      <c r="R25" s="62">
        <f>DEZ!E287</f>
        <v>31.38</v>
      </c>
      <c r="S25" s="53" t="s">
        <v>55</v>
      </c>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8">
    <mergeCell ref="S10:S11"/>
    <mergeCell ref="M25:Q25"/>
    <mergeCell ref="M26:Q26"/>
    <mergeCell ref="D22:I22"/>
    <mergeCell ref="J22:K22"/>
    <mergeCell ref="M22:Q22"/>
    <mergeCell ref="D23:I24"/>
    <mergeCell ref="J23:K24"/>
    <mergeCell ref="L23:L24"/>
    <mergeCell ref="M23:Q23"/>
    <mergeCell ref="M24:Q24"/>
    <mergeCell ref="D12:F12"/>
    <mergeCell ref="G12:I12"/>
    <mergeCell ref="D13:F13"/>
    <mergeCell ref="G13:I13"/>
    <mergeCell ref="N10:N11"/>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T7:U7"/>
    <mergeCell ref="B1:U4"/>
    <mergeCell ref="V4:AA4"/>
    <mergeCell ref="B5:I5"/>
    <mergeCell ref="J5:O5"/>
    <mergeCell ref="P5:U5"/>
  </mergeCells>
  <conditionalFormatting sqref="J23:K26">
    <cfRule type="cellIs" dxfId="117" priority="1" operator="greaterThanOrEqual">
      <formula>1</formula>
    </cfRule>
    <cfRule type="cellIs" dxfId="116"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15FBD-2253-4A8D-96F6-0E5CA3E161EF}">
  <sheetPr codeName="Planilha136">
    <tabColor rgb="FF339933"/>
    <pageSetUpPr fitToPage="1"/>
  </sheetPr>
  <dimension ref="A1:AJ30"/>
  <sheetViews>
    <sheetView view="pageBreakPreview" topLeftCell="E9" zoomScale="60" zoomScaleNormal="55"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13.140625" style="2" customWidth="1"/>
    <col min="10" max="10" width="15.42578125" style="2" customWidth="1"/>
    <col min="11" max="11" width="20.710937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DEZ!A288</f>
        <v>3.3.9.3</v>
      </c>
      <c r="C10" s="845" t="str">
        <f>DEZ!C288</f>
        <v>Tubo de PVC rígido soldável branco, para esgoto, diâmetro 100mm (4"), inclusive conexões</v>
      </c>
      <c r="D10" s="816" t="s">
        <v>854</v>
      </c>
      <c r="E10" s="816"/>
      <c r="F10" s="816"/>
      <c r="G10" s="816" t="s">
        <v>1306</v>
      </c>
      <c r="H10" s="816"/>
      <c r="I10" s="816"/>
      <c r="J10" s="812" t="s">
        <v>855</v>
      </c>
      <c r="K10" s="812" t="s">
        <v>897</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237" t="s">
        <v>1307</v>
      </c>
      <c r="D12" s="851">
        <v>10</v>
      </c>
      <c r="E12" s="852"/>
      <c r="F12" s="853"/>
      <c r="G12" s="851"/>
      <c r="H12" s="852"/>
      <c r="I12" s="853"/>
      <c r="J12" s="108"/>
      <c r="K12" s="108"/>
      <c r="L12" s="67">
        <f>J12*K12</f>
        <v>0</v>
      </c>
      <c r="M12" s="68"/>
      <c r="N12" s="110"/>
      <c r="O12" s="69"/>
      <c r="P12" s="67"/>
      <c r="Q12" s="106"/>
      <c r="R12" s="85">
        <f>D12</f>
        <v>10</v>
      </c>
      <c r="S12" s="154" t="s">
        <v>51</v>
      </c>
      <c r="T12" s="215">
        <v>8</v>
      </c>
      <c r="U12" s="94"/>
      <c r="V12" s="71"/>
      <c r="W12" s="71"/>
      <c r="X12" s="152"/>
      <c r="Y12" s="153"/>
      <c r="Z12" s="72"/>
      <c r="AA12" s="71"/>
      <c r="AB12" s="74"/>
    </row>
    <row r="13" spans="1:36" s="73" customFormat="1" ht="21" customHeight="1">
      <c r="A13" s="64"/>
      <c r="B13" s="109"/>
      <c r="C13" s="237"/>
      <c r="D13" s="851"/>
      <c r="E13" s="852"/>
      <c r="F13" s="853"/>
      <c r="G13" s="851"/>
      <c r="H13" s="852"/>
      <c r="I13" s="853"/>
      <c r="J13" s="108"/>
      <c r="K13" s="108"/>
      <c r="L13" s="67"/>
      <c r="M13" s="68"/>
      <c r="N13" s="110"/>
      <c r="O13" s="69"/>
      <c r="P13" s="67"/>
      <c r="Q13" s="106"/>
      <c r="R13" s="85"/>
      <c r="S13" s="154"/>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DEZ!I288</f>
        <v>10</v>
      </c>
      <c r="K22" s="810"/>
      <c r="L22" s="50" t="s">
        <v>51</v>
      </c>
      <c r="M22" s="803" t="s">
        <v>12</v>
      </c>
      <c r="N22" s="811"/>
      <c r="O22" s="811"/>
      <c r="P22" s="811"/>
      <c r="Q22" s="805"/>
      <c r="R22" s="61">
        <f>SUM(R12:R21)</f>
        <v>10</v>
      </c>
      <c r="S22" s="51" t="str">
        <f>L22</f>
        <v>m</v>
      </c>
      <c r="T22" s="22"/>
      <c r="U22" s="23"/>
    </row>
    <row r="23" spans="1:28" ht="21" customHeight="1">
      <c r="B23" s="163"/>
      <c r="C23" s="19"/>
      <c r="D23" s="817" t="s">
        <v>13</v>
      </c>
      <c r="E23" s="818"/>
      <c r="F23" s="818"/>
      <c r="G23" s="818"/>
      <c r="H23" s="818"/>
      <c r="I23" s="819"/>
      <c r="J23" s="823">
        <f>R22/J22</f>
        <v>1</v>
      </c>
      <c r="K23" s="824"/>
      <c r="L23" s="827"/>
      <c r="M23" s="803" t="s">
        <v>34</v>
      </c>
      <c r="N23" s="804"/>
      <c r="O23" s="804"/>
      <c r="P23" s="804"/>
      <c r="Q23" s="805"/>
      <c r="R23" s="61">
        <f>R12</f>
        <v>10</v>
      </c>
      <c r="S23" s="52" t="str">
        <f>L22</f>
        <v>m</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m</v>
      </c>
      <c r="T24" s="54"/>
      <c r="U24" s="24"/>
    </row>
    <row r="25" spans="1:28" ht="21" customHeight="1">
      <c r="B25" s="218"/>
      <c r="C25" s="217"/>
      <c r="M25" s="803" t="s">
        <v>53</v>
      </c>
      <c r="N25" s="804"/>
      <c r="O25" s="804"/>
      <c r="P25" s="804"/>
      <c r="Q25" s="805"/>
      <c r="R25" s="62">
        <f>DEZ!E288</f>
        <v>61.57</v>
      </c>
      <c r="S25" s="53" t="s">
        <v>55</v>
      </c>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8">
    <mergeCell ref="S10:S11"/>
    <mergeCell ref="M25:Q25"/>
    <mergeCell ref="M26:Q26"/>
    <mergeCell ref="D22:I22"/>
    <mergeCell ref="J22:K22"/>
    <mergeCell ref="M22:Q22"/>
    <mergeCell ref="D23:I24"/>
    <mergeCell ref="J23:K24"/>
    <mergeCell ref="L23:L24"/>
    <mergeCell ref="M23:Q23"/>
    <mergeCell ref="M24:Q24"/>
    <mergeCell ref="D12:F12"/>
    <mergeCell ref="G12:I12"/>
    <mergeCell ref="D13:F13"/>
    <mergeCell ref="G13:I13"/>
    <mergeCell ref="N10:N11"/>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T7:U7"/>
    <mergeCell ref="B1:U4"/>
    <mergeCell ref="V4:AA4"/>
    <mergeCell ref="B5:I5"/>
    <mergeCell ref="J5:O5"/>
    <mergeCell ref="P5:U5"/>
  </mergeCells>
  <conditionalFormatting sqref="J23:K26">
    <cfRule type="cellIs" dxfId="115" priority="1" operator="greaterThanOrEqual">
      <formula>1</formula>
    </cfRule>
    <cfRule type="cellIs" dxfId="114"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0A600-8E01-4E4E-8312-7BD62F27CA46}">
  <sheetPr codeName="Planilha137">
    <tabColor rgb="FF339933"/>
    <pageSetUpPr fitToPage="1"/>
  </sheetPr>
  <dimension ref="A1:AJ30"/>
  <sheetViews>
    <sheetView view="pageBreakPreview" topLeftCell="G9" zoomScale="60" zoomScaleNormal="55"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13.140625" style="2" customWidth="1"/>
    <col min="10" max="10" width="15.42578125" style="2" customWidth="1"/>
    <col min="11" max="11" width="20.710937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DEZ!A289</f>
        <v>3.3.9.4</v>
      </c>
      <c r="C10" s="845" t="str">
        <f>DEZ!C289</f>
        <v>Tubo PVC rígido para esgoto no diâmetro de 150mm incluindo escavação e aterro com areia</v>
      </c>
      <c r="D10" s="816" t="s">
        <v>854</v>
      </c>
      <c r="E10" s="816"/>
      <c r="F10" s="816"/>
      <c r="G10" s="816" t="s">
        <v>1306</v>
      </c>
      <c r="H10" s="816"/>
      <c r="I10" s="816"/>
      <c r="J10" s="812" t="s">
        <v>855</v>
      </c>
      <c r="K10" s="812" t="s">
        <v>897</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237" t="s">
        <v>1308</v>
      </c>
      <c r="D12" s="851">
        <v>11</v>
      </c>
      <c r="E12" s="852"/>
      <c r="F12" s="853"/>
      <c r="G12" s="851"/>
      <c r="H12" s="852"/>
      <c r="I12" s="853"/>
      <c r="J12" s="108"/>
      <c r="K12" s="108"/>
      <c r="L12" s="67">
        <f>J12*K12</f>
        <v>0</v>
      </c>
      <c r="M12" s="68"/>
      <c r="N12" s="110"/>
      <c r="O12" s="69"/>
      <c r="P12" s="67"/>
      <c r="Q12" s="106"/>
      <c r="R12" s="85">
        <f>D12</f>
        <v>11</v>
      </c>
      <c r="S12" s="154" t="s">
        <v>51</v>
      </c>
      <c r="T12" s="215">
        <v>8</v>
      </c>
      <c r="U12" s="94"/>
      <c r="V12" s="71"/>
      <c r="W12" s="71"/>
      <c r="X12" s="152"/>
      <c r="Y12" s="153"/>
      <c r="Z12" s="72"/>
      <c r="AA12" s="71"/>
      <c r="AB12" s="74"/>
    </row>
    <row r="13" spans="1:36" s="73" customFormat="1" ht="21" customHeight="1">
      <c r="A13" s="64"/>
      <c r="B13" s="109"/>
      <c r="C13" s="237"/>
      <c r="D13" s="851"/>
      <c r="E13" s="852"/>
      <c r="F13" s="853"/>
      <c r="G13" s="851"/>
      <c r="H13" s="852"/>
      <c r="I13" s="853"/>
      <c r="J13" s="108"/>
      <c r="K13" s="108"/>
      <c r="L13" s="67"/>
      <c r="M13" s="68"/>
      <c r="N13" s="110"/>
      <c r="O13" s="69"/>
      <c r="P13" s="67"/>
      <c r="Q13" s="106"/>
      <c r="R13" s="85"/>
      <c r="S13" s="154"/>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DEZ!I289</f>
        <v>11</v>
      </c>
      <c r="K22" s="810"/>
      <c r="L22" s="50" t="s">
        <v>51</v>
      </c>
      <c r="M22" s="803" t="s">
        <v>12</v>
      </c>
      <c r="N22" s="811"/>
      <c r="O22" s="811"/>
      <c r="P22" s="811"/>
      <c r="Q22" s="805"/>
      <c r="R22" s="61">
        <f>SUM(R12:R21)</f>
        <v>11</v>
      </c>
      <c r="S22" s="51" t="str">
        <f>L22</f>
        <v>m</v>
      </c>
      <c r="T22" s="22"/>
      <c r="U22" s="23"/>
    </row>
    <row r="23" spans="1:28" ht="21" customHeight="1">
      <c r="B23" s="163"/>
      <c r="C23" s="19"/>
      <c r="D23" s="817" t="s">
        <v>13</v>
      </c>
      <c r="E23" s="818"/>
      <c r="F23" s="818"/>
      <c r="G23" s="818"/>
      <c r="H23" s="818"/>
      <c r="I23" s="819"/>
      <c r="J23" s="823">
        <f>R22/J22</f>
        <v>1</v>
      </c>
      <c r="K23" s="824"/>
      <c r="L23" s="827"/>
      <c r="M23" s="803" t="s">
        <v>34</v>
      </c>
      <c r="N23" s="804"/>
      <c r="O23" s="804"/>
      <c r="P23" s="804"/>
      <c r="Q23" s="805"/>
      <c r="R23" s="61">
        <f>R12</f>
        <v>11</v>
      </c>
      <c r="S23" s="52" t="str">
        <f>L22</f>
        <v>m</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m</v>
      </c>
      <c r="T24" s="54"/>
      <c r="U24" s="24"/>
    </row>
    <row r="25" spans="1:28" ht="21" customHeight="1">
      <c r="B25" s="218"/>
      <c r="C25" s="217"/>
      <c r="M25" s="803" t="s">
        <v>53</v>
      </c>
      <c r="N25" s="804"/>
      <c r="O25" s="804"/>
      <c r="P25" s="804"/>
      <c r="Q25" s="805"/>
      <c r="R25" s="62">
        <f>DEZ!E289</f>
        <v>80.5</v>
      </c>
      <c r="S25" s="53" t="s">
        <v>55</v>
      </c>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8">
    <mergeCell ref="S10:S11"/>
    <mergeCell ref="M25:Q25"/>
    <mergeCell ref="M26:Q26"/>
    <mergeCell ref="D22:I22"/>
    <mergeCell ref="J22:K22"/>
    <mergeCell ref="M22:Q22"/>
    <mergeCell ref="D23:I24"/>
    <mergeCell ref="J23:K24"/>
    <mergeCell ref="L23:L24"/>
    <mergeCell ref="M23:Q23"/>
    <mergeCell ref="M24:Q24"/>
    <mergeCell ref="D12:F12"/>
    <mergeCell ref="G12:I12"/>
    <mergeCell ref="D13:F13"/>
    <mergeCell ref="G13:I13"/>
    <mergeCell ref="N10:N11"/>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T7:U7"/>
    <mergeCell ref="B1:U4"/>
    <mergeCell ref="V4:AA4"/>
    <mergeCell ref="B5:I5"/>
    <mergeCell ref="J5:O5"/>
    <mergeCell ref="P5:U5"/>
  </mergeCells>
  <conditionalFormatting sqref="J23:K26">
    <cfRule type="cellIs" dxfId="113" priority="1" operator="greaterThanOrEqual">
      <formula>1</formula>
    </cfRule>
    <cfRule type="cellIs" dxfId="112"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9B4AC-666E-437D-A39A-222589CE6E8E}">
  <sheetPr codeName="Planilha75">
    <tabColor rgb="FF339933"/>
    <pageSetUpPr fitToPage="1"/>
  </sheetPr>
  <dimension ref="A1:AJ31"/>
  <sheetViews>
    <sheetView view="pageBreakPreview" topLeftCell="I6"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DEZ!A479</f>
        <v>4.4.1.2</v>
      </c>
      <c r="C10" s="845" t="str">
        <f>DEZ!C479</f>
        <v>ARMAÇÃO DO SISTEMA DE PAREDES DE CONCRETO COM TELA Q785</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988</v>
      </c>
      <c r="D12" s="854"/>
      <c r="E12" s="855"/>
      <c r="F12" s="856"/>
      <c r="G12" s="77"/>
      <c r="H12" s="78"/>
      <c r="I12" s="79"/>
      <c r="J12" s="226"/>
      <c r="K12" s="81">
        <f>3966.02*0.9</f>
        <v>3569.4180000000001</v>
      </c>
      <c r="L12" s="82"/>
      <c r="M12" s="83"/>
      <c r="N12" s="105"/>
      <c r="O12" s="84"/>
      <c r="P12" s="82"/>
      <c r="Q12" s="93"/>
      <c r="R12" s="85">
        <f>K12</f>
        <v>3569.4180000000001</v>
      </c>
      <c r="S12" s="154" t="s">
        <v>57</v>
      </c>
      <c r="T12" s="215">
        <v>6</v>
      </c>
      <c r="U12" s="94"/>
      <c r="V12" s="71"/>
      <c r="W12" s="71"/>
      <c r="X12" s="152"/>
      <c r="Y12" s="153"/>
      <c r="Z12" s="72"/>
    </row>
    <row r="13" spans="1:36" s="73" customFormat="1" ht="21" customHeight="1">
      <c r="A13" s="64"/>
      <c r="B13" s="109"/>
      <c r="C13" s="237" t="s">
        <v>1004</v>
      </c>
      <c r="D13" s="77"/>
      <c r="E13" s="78"/>
      <c r="F13" s="79"/>
      <c r="G13" s="77"/>
      <c r="H13" s="78"/>
      <c r="I13" s="79"/>
      <c r="J13" s="66"/>
      <c r="K13" s="108">
        <f>J23-K12-318.3</f>
        <v>78.30199999999985</v>
      </c>
      <c r="L13" s="67"/>
      <c r="M13" s="68"/>
      <c r="N13" s="110"/>
      <c r="O13" s="69"/>
      <c r="P13" s="67"/>
      <c r="Q13" s="106"/>
      <c r="R13" s="85">
        <f>K13</f>
        <v>78.30199999999985</v>
      </c>
      <c r="S13" s="154" t="s">
        <v>57</v>
      </c>
      <c r="T13" s="215">
        <v>7</v>
      </c>
      <c r="U13" s="94"/>
      <c r="V13" s="71"/>
      <c r="W13" s="71"/>
      <c r="X13" s="152"/>
      <c r="Y13" s="153"/>
      <c r="Z13" s="72"/>
      <c r="AA13" s="71"/>
      <c r="AB13" s="74"/>
    </row>
    <row r="14" spans="1:36" s="90" customFormat="1" ht="21" customHeight="1">
      <c r="A14" s="75"/>
      <c r="B14" s="107"/>
      <c r="C14" s="104" t="s">
        <v>1367</v>
      </c>
      <c r="D14" s="77"/>
      <c r="E14" s="78"/>
      <c r="F14" s="79"/>
      <c r="G14" s="77"/>
      <c r="H14" s="78"/>
      <c r="I14" s="79"/>
      <c r="J14" s="80"/>
      <c r="K14" s="81">
        <v>318.30000000000018</v>
      </c>
      <c r="L14" s="82"/>
      <c r="M14" s="83"/>
      <c r="N14" s="84"/>
      <c r="O14" s="155"/>
      <c r="P14" s="156"/>
      <c r="Q14" s="85"/>
      <c r="R14" s="85">
        <f>K14</f>
        <v>318.30000000000018</v>
      </c>
      <c r="S14" s="154" t="s">
        <v>57</v>
      </c>
      <c r="T14" s="215">
        <v>9</v>
      </c>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DEZ!F479</f>
        <v>3966.02</v>
      </c>
      <c r="K23" s="810"/>
      <c r="L23" s="50" t="s">
        <v>57</v>
      </c>
      <c r="M23" s="803" t="s">
        <v>12</v>
      </c>
      <c r="N23" s="811"/>
      <c r="O23" s="811"/>
      <c r="P23" s="811"/>
      <c r="Q23" s="805"/>
      <c r="R23" s="61">
        <f>SUM(R12:R22)</f>
        <v>3966.02</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SUM(R12:R16)</f>
        <v>3966.02</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DEZ!E479</f>
        <v>7.33</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5">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111" priority="1" operator="greaterThanOrEqual">
      <formula>1</formula>
    </cfRule>
    <cfRule type="cellIs" dxfId="11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DA260-2BDD-4945-B7C6-55F492ECCF43}">
  <sheetPr codeName="Planilha80">
    <tabColor rgb="FF339933"/>
    <pageSetUpPr fitToPage="1"/>
  </sheetPr>
  <dimension ref="A1:AJ27"/>
  <sheetViews>
    <sheetView view="pageBreakPreview" topLeftCell="G7" zoomScale="60" zoomScaleNormal="55"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1" width="21.425781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DEZ!A482</f>
        <v>4.4.1.5</v>
      </c>
      <c r="C10" s="845" t="str">
        <f>DEZ!C482</f>
        <v>FORNECIMENTO E APLICAÇÃO DE CONCRETO USINADO FCK=50 MPA COM ADITIVO LIQUIDO IMPERMEABILIZANTE E SÍLICA ATIVA - CONSIDERANDO BOMBEAMENTO (5% DE PERDAS JÁ INCLUÍDO NO CUSTO) (6% DE TAXA P/CONCR. BOMBEAVEL)</v>
      </c>
      <c r="D10" s="816" t="s">
        <v>854</v>
      </c>
      <c r="E10" s="816"/>
      <c r="F10" s="816"/>
      <c r="G10" s="816" t="s">
        <v>33</v>
      </c>
      <c r="H10" s="816"/>
      <c r="I10" s="816"/>
      <c r="J10" s="812" t="s">
        <v>853</v>
      </c>
      <c r="K10" s="812" t="s">
        <v>897</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7.75" customHeight="1">
      <c r="A12" s="64"/>
      <c r="B12" s="109"/>
      <c r="C12" s="237" t="s">
        <v>1018</v>
      </c>
      <c r="D12" s="854">
        <v>18</v>
      </c>
      <c r="E12" s="855"/>
      <c r="F12" s="856"/>
      <c r="G12" s="851">
        <v>5</v>
      </c>
      <c r="H12" s="852"/>
      <c r="I12" s="853"/>
      <c r="J12" s="226"/>
      <c r="K12" s="81">
        <v>0.1</v>
      </c>
      <c r="L12" s="82">
        <f>D12*G12*K12</f>
        <v>9</v>
      </c>
      <c r="M12" s="83"/>
      <c r="N12" s="105"/>
      <c r="O12" s="84"/>
      <c r="P12" s="82"/>
      <c r="Q12" s="93"/>
      <c r="R12" s="85">
        <f>L12</f>
        <v>9</v>
      </c>
      <c r="S12" s="154" t="s">
        <v>58</v>
      </c>
      <c r="T12" s="215">
        <v>7</v>
      </c>
      <c r="U12" s="94"/>
      <c r="V12" s="71"/>
      <c r="W12" s="71"/>
      <c r="X12" s="152"/>
      <c r="Y12" s="153"/>
      <c r="Z12" s="72"/>
    </row>
    <row r="13" spans="1:36" s="73" customFormat="1" ht="27.75" customHeight="1">
      <c r="A13" s="64"/>
      <c r="B13" s="109"/>
      <c r="C13" s="237" t="s">
        <v>1027</v>
      </c>
      <c r="D13" s="854">
        <v>18</v>
      </c>
      <c r="E13" s="855"/>
      <c r="F13" s="856"/>
      <c r="G13" s="851">
        <v>5</v>
      </c>
      <c r="H13" s="852"/>
      <c r="I13" s="853"/>
      <c r="J13" s="226"/>
      <c r="K13" s="81">
        <v>0.1</v>
      </c>
      <c r="L13" s="82">
        <f>D13*G13*K13</f>
        <v>9</v>
      </c>
      <c r="M13" s="83"/>
      <c r="N13" s="105"/>
      <c r="O13" s="84"/>
      <c r="P13" s="82"/>
      <c r="Q13" s="93"/>
      <c r="R13" s="85">
        <f>L13</f>
        <v>9</v>
      </c>
      <c r="S13" s="154" t="s">
        <v>58</v>
      </c>
      <c r="T13" s="215">
        <v>8</v>
      </c>
      <c r="U13" s="94"/>
      <c r="V13" s="71"/>
      <c r="W13" s="71"/>
      <c r="X13" s="152"/>
      <c r="Y13" s="153"/>
      <c r="Z13" s="72"/>
    </row>
    <row r="14" spans="1:36" s="73" customFormat="1" ht="27.75" customHeight="1">
      <c r="A14" s="64"/>
      <c r="B14" s="109"/>
      <c r="C14" s="237" t="s">
        <v>1309</v>
      </c>
      <c r="D14" s="854"/>
      <c r="E14" s="855"/>
      <c r="F14" s="856"/>
      <c r="G14" s="851"/>
      <c r="H14" s="852"/>
      <c r="I14" s="853"/>
      <c r="J14" s="226"/>
      <c r="K14" s="81"/>
      <c r="L14" s="82">
        <v>10.050000000000001</v>
      </c>
      <c r="M14" s="83"/>
      <c r="N14" s="105"/>
      <c r="O14" s="84"/>
      <c r="P14" s="82"/>
      <c r="Q14" s="93"/>
      <c r="R14" s="85">
        <f>L14</f>
        <v>10.050000000000001</v>
      </c>
      <c r="S14" s="154" t="s">
        <v>58</v>
      </c>
      <c r="T14" s="215">
        <v>9</v>
      </c>
      <c r="U14" s="94"/>
      <c r="V14" s="71"/>
      <c r="W14" s="71"/>
      <c r="X14" s="152"/>
      <c r="Y14" s="153"/>
      <c r="Z14" s="72"/>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1" customFormat="1" ht="21" customHeight="1">
      <c r="A17" s="11"/>
      <c r="B17" s="25"/>
      <c r="C17" s="20"/>
      <c r="D17" s="26"/>
      <c r="E17" s="159"/>
      <c r="F17" s="27"/>
      <c r="G17" s="26"/>
      <c r="H17" s="159"/>
      <c r="I17" s="27"/>
      <c r="J17" s="28"/>
      <c r="K17" s="49"/>
      <c r="L17" s="40"/>
      <c r="M17" s="41"/>
      <c r="N17" s="160"/>
      <c r="O17" s="160"/>
      <c r="P17" s="40"/>
      <c r="Q17" s="42"/>
      <c r="R17" s="60"/>
      <c r="S17" s="43"/>
      <c r="T17" s="215"/>
      <c r="U17" s="48"/>
      <c r="V17" s="120"/>
      <c r="W17" s="120"/>
      <c r="X17" s="120"/>
      <c r="Y17" s="142"/>
      <c r="Z17" s="15"/>
      <c r="AA17" s="17"/>
      <c r="AB17" s="44"/>
    </row>
    <row r="18" spans="1:28" ht="21" customHeight="1">
      <c r="B18" s="118"/>
      <c r="C18" s="119"/>
      <c r="D18" s="26"/>
      <c r="E18" s="159"/>
      <c r="F18" s="27"/>
      <c r="G18" s="26"/>
      <c r="H18" s="159"/>
      <c r="I18" s="27"/>
      <c r="J18" s="28"/>
      <c r="K18" s="49"/>
      <c r="L18" s="40"/>
      <c r="M18" s="41"/>
      <c r="N18" s="160"/>
      <c r="O18" s="160"/>
      <c r="P18" s="40"/>
      <c r="Q18" s="42"/>
      <c r="R18" s="60"/>
      <c r="S18" s="43"/>
      <c r="T18" s="216"/>
      <c r="U18" s="117"/>
    </row>
    <row r="19" spans="1:28" ht="39.6" customHeight="1">
      <c r="B19" s="161"/>
      <c r="C19" s="162"/>
      <c r="D19" s="806" t="s">
        <v>11</v>
      </c>
      <c r="E19" s="807"/>
      <c r="F19" s="807"/>
      <c r="G19" s="807"/>
      <c r="H19" s="807"/>
      <c r="I19" s="808"/>
      <c r="J19" s="809">
        <f>DEZ!F482</f>
        <v>28.05</v>
      </c>
      <c r="K19" s="810"/>
      <c r="L19" s="50" t="s">
        <v>58</v>
      </c>
      <c r="M19" s="803" t="s">
        <v>12</v>
      </c>
      <c r="N19" s="811"/>
      <c r="O19" s="811"/>
      <c r="P19" s="811"/>
      <c r="Q19" s="805"/>
      <c r="R19" s="61">
        <f>SUM(R12:R18)</f>
        <v>28.05</v>
      </c>
      <c r="S19" s="51" t="str">
        <f>L19</f>
        <v>m3</v>
      </c>
      <c r="T19" s="22"/>
      <c r="U19" s="23"/>
    </row>
    <row r="20" spans="1:28" ht="21" customHeight="1">
      <c r="B20" s="163"/>
      <c r="C20" s="19"/>
      <c r="D20" s="817" t="s">
        <v>13</v>
      </c>
      <c r="E20" s="818"/>
      <c r="F20" s="818"/>
      <c r="G20" s="818"/>
      <c r="H20" s="818"/>
      <c r="I20" s="819"/>
      <c r="J20" s="823">
        <f>R19/J19</f>
        <v>1</v>
      </c>
      <c r="K20" s="824"/>
      <c r="L20" s="827"/>
      <c r="M20" s="803" t="s">
        <v>34</v>
      </c>
      <c r="N20" s="804"/>
      <c r="O20" s="804"/>
      <c r="P20" s="804"/>
      <c r="Q20" s="805"/>
      <c r="R20" s="61">
        <f>SUM(R12:R15)</f>
        <v>28.05</v>
      </c>
      <c r="S20" s="52" t="str">
        <f>L19</f>
        <v>m3</v>
      </c>
      <c r="T20" s="22"/>
      <c r="U20" s="23"/>
    </row>
    <row r="21" spans="1:28" ht="21" customHeight="1">
      <c r="A21" s="10" t="s">
        <v>469</v>
      </c>
      <c r="B21" s="165"/>
      <c r="C21" s="164"/>
      <c r="D21" s="820"/>
      <c r="E21" s="821"/>
      <c r="F21" s="821"/>
      <c r="G21" s="821"/>
      <c r="H21" s="821"/>
      <c r="I21" s="822"/>
      <c r="J21" s="825"/>
      <c r="K21" s="826"/>
      <c r="L21" s="828"/>
      <c r="M21" s="803" t="s">
        <v>14</v>
      </c>
      <c r="N21" s="804"/>
      <c r="O21" s="804"/>
      <c r="P21" s="804"/>
      <c r="Q21" s="805"/>
      <c r="R21" s="62">
        <f>R19-R20</f>
        <v>0</v>
      </c>
      <c r="S21" s="53" t="str">
        <f>L19</f>
        <v>m3</v>
      </c>
      <c r="T21" s="54"/>
      <c r="U21" s="24"/>
    </row>
    <row r="22" spans="1:28" ht="21" customHeight="1">
      <c r="B22" s="218"/>
      <c r="C22" s="217"/>
      <c r="M22" s="803" t="s">
        <v>53</v>
      </c>
      <c r="N22" s="804"/>
      <c r="O22" s="804"/>
      <c r="P22" s="804"/>
      <c r="Q22" s="805"/>
      <c r="R22" s="62">
        <f>DEZ!E482</f>
        <v>777.83</v>
      </c>
      <c r="S22" s="53"/>
      <c r="T22" s="54"/>
      <c r="U22" s="24"/>
    </row>
    <row r="23" spans="1:28" ht="21" customHeight="1">
      <c r="B23" s="163"/>
      <c r="C23" s="219"/>
      <c r="M23" s="803" t="s">
        <v>54</v>
      </c>
      <c r="N23" s="804"/>
      <c r="O23" s="804"/>
      <c r="P23" s="804"/>
      <c r="Q23" s="805"/>
      <c r="R23" s="62">
        <f>TRUNC(R22*R21,2)</f>
        <v>0</v>
      </c>
      <c r="S23" s="53" t="s">
        <v>55</v>
      </c>
      <c r="T23" s="54"/>
      <c r="U23" s="24"/>
    </row>
    <row r="26" spans="1:28">
      <c r="C26" s="2">
        <f>18*5</f>
        <v>90</v>
      </c>
    </row>
    <row r="27" spans="1:28">
      <c r="C27" s="2">
        <f>C26*0.09</f>
        <v>8.1</v>
      </c>
    </row>
  </sheetData>
  <mergeCells count="40">
    <mergeCell ref="D14:F14"/>
    <mergeCell ref="G14:I14"/>
    <mergeCell ref="T8:U8"/>
    <mergeCell ref="T9:U9"/>
    <mergeCell ref="M23:Q23"/>
    <mergeCell ref="G12:I12"/>
    <mergeCell ref="D20:I21"/>
    <mergeCell ref="J20:K21"/>
    <mergeCell ref="L20:L21"/>
    <mergeCell ref="M20:Q20"/>
    <mergeCell ref="M21:Q21"/>
    <mergeCell ref="M22:Q22"/>
    <mergeCell ref="D12:F12"/>
    <mergeCell ref="D19:I19"/>
    <mergeCell ref="J19:K19"/>
    <mergeCell ref="M19:Q19"/>
    <mergeCell ref="K10:K11"/>
    <mergeCell ref="L10:L11"/>
    <mergeCell ref="Q10:Q11"/>
    <mergeCell ref="B10:B11"/>
    <mergeCell ref="C10:C11"/>
    <mergeCell ref="D10:F11"/>
    <mergeCell ref="G10:I11"/>
    <mergeCell ref="J10:J11"/>
    <mergeCell ref="D13:F13"/>
    <mergeCell ref="G13:I13"/>
    <mergeCell ref="T7:U7"/>
    <mergeCell ref="B1:U4"/>
    <mergeCell ref="V4:AA4"/>
    <mergeCell ref="B5:I5"/>
    <mergeCell ref="J5:O5"/>
    <mergeCell ref="P5:U5"/>
    <mergeCell ref="M10:M11"/>
    <mergeCell ref="T10:T11"/>
    <mergeCell ref="U10:U11"/>
    <mergeCell ref="R10:R11"/>
    <mergeCell ref="S10:S11"/>
    <mergeCell ref="N10:N11"/>
    <mergeCell ref="O10:O11"/>
    <mergeCell ref="P10:P11"/>
  </mergeCells>
  <conditionalFormatting sqref="J20:K23">
    <cfRule type="cellIs" dxfId="109" priority="1" operator="greaterThanOrEqual">
      <formula>1</formula>
    </cfRule>
    <cfRule type="cellIs" dxfId="108" priority="2" operator="greaterThan">
      <formula>100%</formula>
    </cfRule>
  </conditionalFormatting>
  <pageMargins left="0.51181102362204722" right="0.51181102362204722" top="0.78740157480314965" bottom="0.78740157480314965" header="0.31496062992125984" footer="0.31496062992125984"/>
  <pageSetup paperSize="9" scale="42" fitToHeight="0" orientation="landscape" r:id="rId1"/>
  <headerFooter>
    <oddFooter>Página &amp;P de &amp;N</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BE9D1-ADC5-47E3-8F7B-573F7B310F01}">
  <sheetPr codeName="Planilha138">
    <tabColor rgb="FF339933"/>
    <pageSetUpPr fitToPage="1"/>
  </sheetPr>
  <dimension ref="A1:AJ30"/>
  <sheetViews>
    <sheetView view="pageBreakPreview" topLeftCell="D6" zoomScale="60" zoomScaleNormal="55"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1" width="21.425781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DEZ!A483</f>
        <v>4.4.1.6</v>
      </c>
      <c r="C10" s="845" t="str">
        <f>DEZ!C483</f>
        <v>Poliestireno espandido (EPS) de alta densidade - fornecimento e instalação</v>
      </c>
      <c r="D10" s="816" t="s">
        <v>854</v>
      </c>
      <c r="E10" s="816"/>
      <c r="F10" s="816"/>
      <c r="G10" s="816" t="s">
        <v>33</v>
      </c>
      <c r="H10" s="816"/>
      <c r="I10" s="816"/>
      <c r="J10" s="812" t="s">
        <v>853</v>
      </c>
      <c r="K10" s="812" t="s">
        <v>897</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0.25" customHeight="1">
      <c r="A12" s="64"/>
      <c r="B12" s="109"/>
      <c r="C12" s="237" t="s">
        <v>1298</v>
      </c>
      <c r="D12" s="854"/>
      <c r="E12" s="855"/>
      <c r="F12" s="856"/>
      <c r="G12" s="851"/>
      <c r="H12" s="852"/>
      <c r="I12" s="853"/>
      <c r="J12" s="226"/>
      <c r="K12" s="81"/>
      <c r="L12" s="82">
        <f>113.84*0.85</f>
        <v>96.763999999999996</v>
      </c>
      <c r="M12" s="83"/>
      <c r="N12" s="105"/>
      <c r="O12" s="84"/>
      <c r="P12" s="82"/>
      <c r="Q12" s="93"/>
      <c r="R12" s="85">
        <f>L12</f>
        <v>96.763999999999996</v>
      </c>
      <c r="S12" s="154" t="s">
        <v>58</v>
      </c>
      <c r="T12" s="215">
        <v>8</v>
      </c>
      <c r="U12" s="94"/>
      <c r="V12" s="71"/>
      <c r="W12" s="71"/>
      <c r="X12" s="152"/>
      <c r="Y12" s="153"/>
      <c r="Z12" s="72"/>
    </row>
    <row r="13" spans="1:36" s="73" customFormat="1" ht="20.25" customHeight="1">
      <c r="A13" s="64"/>
      <c r="B13" s="109"/>
      <c r="C13" s="237" t="s">
        <v>1310</v>
      </c>
      <c r="D13" s="854"/>
      <c r="E13" s="855"/>
      <c r="F13" s="856"/>
      <c r="G13" s="851"/>
      <c r="H13" s="852"/>
      <c r="I13" s="853"/>
      <c r="J13" s="226"/>
      <c r="K13" s="81"/>
      <c r="L13" s="82">
        <f>0.15*113.84</f>
        <v>17.076000000000001</v>
      </c>
      <c r="M13" s="83"/>
      <c r="N13" s="105"/>
      <c r="O13" s="84"/>
      <c r="P13" s="82"/>
      <c r="Q13" s="93"/>
      <c r="R13" s="85">
        <f>L13</f>
        <v>17.076000000000001</v>
      </c>
      <c r="S13" s="154" t="s">
        <v>58</v>
      </c>
      <c r="T13" s="215">
        <v>9</v>
      </c>
      <c r="U13" s="94"/>
      <c r="V13" s="71"/>
      <c r="W13" s="71"/>
      <c r="X13" s="152"/>
      <c r="Y13" s="153"/>
      <c r="Z13" s="72"/>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DEZ!F483</f>
        <v>113.84</v>
      </c>
      <c r="K22" s="810"/>
      <c r="L22" s="50" t="s">
        <v>58</v>
      </c>
      <c r="M22" s="803" t="s">
        <v>12</v>
      </c>
      <c r="N22" s="811"/>
      <c r="O22" s="811"/>
      <c r="P22" s="811"/>
      <c r="Q22" s="805"/>
      <c r="R22" s="61">
        <f>SUM(R12:R21)</f>
        <v>113.84</v>
      </c>
      <c r="S22" s="51" t="str">
        <f>L22</f>
        <v>m3</v>
      </c>
      <c r="T22" s="22"/>
      <c r="U22" s="23"/>
    </row>
    <row r="23" spans="1:28" ht="21" customHeight="1">
      <c r="B23" s="163"/>
      <c r="C23" s="19"/>
      <c r="D23" s="817" t="s">
        <v>13</v>
      </c>
      <c r="E23" s="818"/>
      <c r="F23" s="818"/>
      <c r="G23" s="818"/>
      <c r="H23" s="818"/>
      <c r="I23" s="819"/>
      <c r="J23" s="823">
        <f>R22/J22</f>
        <v>1</v>
      </c>
      <c r="K23" s="824"/>
      <c r="L23" s="827"/>
      <c r="M23" s="803" t="s">
        <v>34</v>
      </c>
      <c r="N23" s="804"/>
      <c r="O23" s="804"/>
      <c r="P23" s="804"/>
      <c r="Q23" s="805"/>
      <c r="R23" s="61">
        <f>SUM(R12:R13)</f>
        <v>113.84</v>
      </c>
      <c r="S23" s="52" t="str">
        <f>L22</f>
        <v>m3</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m3</v>
      </c>
      <c r="T24" s="54"/>
      <c r="U24" s="24"/>
    </row>
    <row r="25" spans="1:28" ht="21" customHeight="1">
      <c r="B25" s="218"/>
      <c r="C25" s="217"/>
      <c r="M25" s="803" t="s">
        <v>53</v>
      </c>
      <c r="N25" s="804"/>
      <c r="O25" s="804"/>
      <c r="P25" s="804"/>
      <c r="Q25" s="805"/>
      <c r="R25" s="62">
        <f>DEZ!E483</f>
        <v>641.15</v>
      </c>
      <c r="S25" s="53"/>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8">
    <mergeCell ref="D13:F13"/>
    <mergeCell ref="G13:I13"/>
    <mergeCell ref="T7:U7"/>
    <mergeCell ref="B1:U4"/>
    <mergeCell ref="V4:AA4"/>
    <mergeCell ref="B5:I5"/>
    <mergeCell ref="J5:O5"/>
    <mergeCell ref="P5:U5"/>
    <mergeCell ref="T8:U8"/>
    <mergeCell ref="T9:U9"/>
    <mergeCell ref="B10:B11"/>
    <mergeCell ref="C10:C11"/>
    <mergeCell ref="D10:F11"/>
    <mergeCell ref="G10:I11"/>
    <mergeCell ref="J10:J11"/>
    <mergeCell ref="K10:K11"/>
    <mergeCell ref="T10:T11"/>
    <mergeCell ref="U10:U11"/>
    <mergeCell ref="Q10:Q11"/>
    <mergeCell ref="R10:R11"/>
    <mergeCell ref="S10:S11"/>
    <mergeCell ref="D12:F12"/>
    <mergeCell ref="G12:I12"/>
    <mergeCell ref="N10:N11"/>
    <mergeCell ref="O10:O11"/>
    <mergeCell ref="P10:P11"/>
    <mergeCell ref="L10:L11"/>
    <mergeCell ref="M10:M11"/>
    <mergeCell ref="M25:Q25"/>
    <mergeCell ref="M26:Q26"/>
    <mergeCell ref="D22:I22"/>
    <mergeCell ref="J22:K22"/>
    <mergeCell ref="M22:Q22"/>
    <mergeCell ref="D23:I24"/>
    <mergeCell ref="J23:K24"/>
    <mergeCell ref="L23:L24"/>
    <mergeCell ref="M23:Q23"/>
    <mergeCell ref="M24:Q24"/>
  </mergeCells>
  <conditionalFormatting sqref="J23:K26">
    <cfRule type="cellIs" dxfId="107" priority="1" operator="greaterThanOrEqual">
      <formula>1</formula>
    </cfRule>
    <cfRule type="cellIs" dxfId="106" priority="2" operator="greaterThan">
      <formula>100%</formula>
    </cfRule>
  </conditionalFormatting>
  <pageMargins left="0.51181102362204722" right="0.51181102362204722" top="0.78740157480314965" bottom="0.78740157480314965" header="0.31496062992125984" footer="0.31496062992125984"/>
  <pageSetup paperSize="9" scale="42" fitToHeight="0" orientation="landscape" r:id="rId1"/>
  <headerFooter>
    <oddFooter>Página &amp;P de &amp;N</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2742B-0034-4A0F-8FBA-9BE2645989BA}">
  <sheetPr codeName="Planilha67">
    <tabColor rgb="FF339933"/>
    <pageSetUpPr fitToPage="1"/>
  </sheetPr>
  <dimension ref="A1:AJ31"/>
  <sheetViews>
    <sheetView view="pageBreakPreview" topLeftCell="J2" zoomScale="60" zoomScaleNormal="55" workbookViewId="0">
      <selection activeCell="T13" sqref="T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DEZ!A281</f>
        <v>3.3.8.4</v>
      </c>
      <c r="C10" s="845" t="str">
        <f>DEZ!C281</f>
        <v>Fornecimento, dobragem e colocação em fôrma, de armadura CA-50 A média, diâmetro de 6.3 a 10.0 mm (Platibanda)</v>
      </c>
      <c r="D10" s="816" t="s">
        <v>854</v>
      </c>
      <c r="E10" s="816"/>
      <c r="F10" s="816"/>
      <c r="G10" s="816" t="s">
        <v>33</v>
      </c>
      <c r="H10" s="816"/>
      <c r="I10" s="816"/>
      <c r="J10" s="812" t="s">
        <v>853</v>
      </c>
      <c r="K10" s="812" t="s">
        <v>1010</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1003</v>
      </c>
      <c r="D12" s="854"/>
      <c r="E12" s="855"/>
      <c r="F12" s="856"/>
      <c r="G12" s="857"/>
      <c r="H12" s="858"/>
      <c r="I12" s="859"/>
      <c r="J12" s="226"/>
      <c r="K12" s="81">
        <v>112</v>
      </c>
      <c r="L12" s="82"/>
      <c r="M12" s="83"/>
      <c r="N12" s="105"/>
      <c r="O12" s="84"/>
      <c r="P12" s="82"/>
      <c r="Q12" s="93"/>
      <c r="R12" s="85">
        <f>K12</f>
        <v>112</v>
      </c>
      <c r="S12" s="154" t="s">
        <v>57</v>
      </c>
      <c r="T12" s="215">
        <v>7</v>
      </c>
      <c r="U12" s="94"/>
      <c r="V12" s="71"/>
      <c r="W12" s="71"/>
      <c r="X12" s="152"/>
      <c r="Y12" s="153"/>
      <c r="Z12" s="72"/>
    </row>
    <row r="13" spans="1:36" s="73" customFormat="1" ht="21" customHeight="1">
      <c r="A13" s="64"/>
      <c r="B13" s="109"/>
      <c r="C13" s="65"/>
      <c r="D13" s="77"/>
      <c r="E13" s="78"/>
      <c r="F13" s="79"/>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DEZ!F281</f>
        <v>112</v>
      </c>
      <c r="K23" s="810"/>
      <c r="L23" s="50" t="str">
        <f>DEZ!D281</f>
        <v>kg</v>
      </c>
      <c r="M23" s="803" t="s">
        <v>12</v>
      </c>
      <c r="N23" s="811"/>
      <c r="O23" s="811"/>
      <c r="P23" s="811"/>
      <c r="Q23" s="805"/>
      <c r="R23" s="61">
        <f>SUM(R12:R22)</f>
        <v>112</v>
      </c>
      <c r="S23" s="51" t="str">
        <f>L23</f>
        <v>kg</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112</v>
      </c>
      <c r="S24" s="52" t="str">
        <f>L23</f>
        <v>kg</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kg</v>
      </c>
      <c r="T25" s="54"/>
      <c r="U25" s="24"/>
    </row>
    <row r="26" spans="1:28" ht="21" customHeight="1">
      <c r="B26" s="218"/>
      <c r="C26" s="217"/>
      <c r="M26" s="803" t="s">
        <v>53</v>
      </c>
      <c r="N26" s="804"/>
      <c r="O26" s="804"/>
      <c r="P26" s="804"/>
      <c r="Q26" s="805"/>
      <c r="R26" s="62">
        <f>DEZ!E281</f>
        <v>7.98</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6">
    <mergeCell ref="R10:R11"/>
    <mergeCell ref="S10:S11"/>
    <mergeCell ref="M27:Q27"/>
    <mergeCell ref="D24:I25"/>
    <mergeCell ref="J24:K25"/>
    <mergeCell ref="L24:L25"/>
    <mergeCell ref="M24:Q24"/>
    <mergeCell ref="M25:Q25"/>
    <mergeCell ref="M26:Q26"/>
    <mergeCell ref="D12:F12"/>
    <mergeCell ref="G12:I12"/>
    <mergeCell ref="D23:I23"/>
    <mergeCell ref="J23:K23"/>
    <mergeCell ref="M23:Q23"/>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4:K27">
    <cfRule type="cellIs" dxfId="105" priority="1" operator="greaterThanOrEqual">
      <formula>1</formula>
    </cfRule>
    <cfRule type="cellIs" dxfId="10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5ECF-9886-4689-B6EF-2D64AAE2B329}">
  <sheetPr codeName="Planilha121">
    <tabColor rgb="FF339933"/>
    <pageSetUpPr fitToPage="1"/>
  </sheetPr>
  <dimension ref="A1:AJ21"/>
  <sheetViews>
    <sheetView view="pageBreakPreview" topLeftCell="B5" zoomScale="50" zoomScaleNormal="55" zoomScaleSheetLayoutView="50" workbookViewId="0">
      <selection activeCell="R19" sqref="R1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1" width="13.5703125" style="2" customWidth="1"/>
    <col min="12" max="12" width="12.140625" style="2" customWidth="1"/>
    <col min="13" max="13" width="12.28515625" style="2" customWidth="1"/>
    <col min="14" max="15" width="13.5703125" style="2" customWidth="1"/>
    <col min="16" max="16" width="15.140625" style="2" bestFit="1" customWidth="1"/>
    <col min="17" max="17" width="7.42578125" style="2" customWidth="1"/>
    <col min="18" max="18" width="20.2851562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DEZ!A44</f>
        <v>1.1.3.9</v>
      </c>
      <c r="C10" s="845" t="str">
        <f>DEZ!C44</f>
        <v>Rede de esgoto, contendo fossa e filtro, inclusive tubos e conexões de ligação entre caixas, considerando distância de 25m, conforme projeto (1 utilização)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90" customFormat="1" ht="21" customHeight="1">
      <c r="A12" s="75"/>
      <c r="B12" s="107"/>
      <c r="C12" s="65" t="s">
        <v>964</v>
      </c>
      <c r="D12" s="857">
        <v>10</v>
      </c>
      <c r="E12" s="858"/>
      <c r="F12" s="859"/>
      <c r="G12" s="77"/>
      <c r="H12" s="78"/>
      <c r="I12" s="79"/>
      <c r="J12" s="80"/>
      <c r="K12" s="81"/>
      <c r="L12" s="82"/>
      <c r="M12" s="68">
        <v>1</v>
      </c>
      <c r="N12" s="110"/>
      <c r="O12" s="69"/>
      <c r="P12" s="67"/>
      <c r="Q12" s="106"/>
      <c r="R12" s="70">
        <f>D12</f>
        <v>10</v>
      </c>
      <c r="S12" s="111" t="s">
        <v>51</v>
      </c>
      <c r="T12" s="215">
        <v>8</v>
      </c>
      <c r="U12" s="92"/>
      <c r="V12" s="86"/>
      <c r="W12" s="86"/>
      <c r="X12" s="86"/>
      <c r="Y12" s="151"/>
      <c r="Z12" s="87"/>
      <c r="AA12" s="88"/>
      <c r="AB12" s="89"/>
    </row>
    <row r="13" spans="1:36" s="90" customFormat="1" ht="21" customHeight="1">
      <c r="A13" s="75"/>
      <c r="B13" s="107"/>
      <c r="C13" s="65"/>
      <c r="D13" s="857"/>
      <c r="E13" s="858"/>
      <c r="F13" s="859"/>
      <c r="G13" s="77"/>
      <c r="H13" s="78"/>
      <c r="I13" s="79"/>
      <c r="J13" s="80"/>
      <c r="K13" s="81"/>
      <c r="L13" s="82"/>
      <c r="M13" s="83"/>
      <c r="N13" s="84"/>
      <c r="O13" s="155"/>
      <c r="P13" s="156"/>
      <c r="Q13" s="85"/>
      <c r="R13" s="85"/>
      <c r="S13" s="111"/>
      <c r="T13" s="215"/>
      <c r="U13" s="92"/>
      <c r="V13" s="86"/>
      <c r="W13" s="86"/>
      <c r="X13" s="86"/>
      <c r="Y13" s="151"/>
      <c r="Z13" s="87"/>
      <c r="AA13" s="88"/>
      <c r="AB13" s="89"/>
    </row>
    <row r="14" spans="1:36" s="90" customFormat="1" ht="21" customHeight="1">
      <c r="A14" s="75"/>
      <c r="B14" s="157"/>
      <c r="C14" s="65"/>
      <c r="D14" s="857"/>
      <c r="E14" s="858"/>
      <c r="F14" s="859"/>
      <c r="G14" s="77"/>
      <c r="H14" s="78"/>
      <c r="I14" s="79"/>
      <c r="J14" s="80"/>
      <c r="K14" s="81"/>
      <c r="L14" s="82"/>
      <c r="M14" s="83"/>
      <c r="N14" s="84"/>
      <c r="O14" s="84"/>
      <c r="P14" s="82"/>
      <c r="Q14" s="85"/>
      <c r="R14" s="85"/>
      <c r="S14" s="111"/>
      <c r="T14" s="215"/>
      <c r="U14" s="92"/>
      <c r="V14" s="86"/>
      <c r="W14" s="86"/>
      <c r="X14" s="86"/>
      <c r="Y14" s="151"/>
      <c r="Z14" s="87"/>
      <c r="AA14" s="88"/>
      <c r="AB14" s="89"/>
    </row>
    <row r="15" spans="1:36" s="1" customFormat="1" ht="21" customHeight="1">
      <c r="A15" s="11"/>
      <c r="B15" s="25"/>
      <c r="C15" s="20"/>
      <c r="D15" s="26"/>
      <c r="E15" s="159"/>
      <c r="F15" s="27"/>
      <c r="G15" s="26"/>
      <c r="H15" s="159"/>
      <c r="I15" s="27"/>
      <c r="J15" s="28"/>
      <c r="K15" s="49"/>
      <c r="L15" s="40"/>
      <c r="M15" s="41"/>
      <c r="N15" s="160"/>
      <c r="O15" s="160"/>
      <c r="P15" s="40"/>
      <c r="Q15" s="42"/>
      <c r="R15" s="60"/>
      <c r="S15" s="43"/>
      <c r="T15" s="215"/>
      <c r="U15" s="48"/>
      <c r="V15" s="120"/>
      <c r="W15" s="120"/>
      <c r="X15" s="120"/>
      <c r="Y15" s="142"/>
      <c r="Z15" s="15"/>
      <c r="AA15" s="17"/>
      <c r="AB15" s="44"/>
    </row>
    <row r="16" spans="1:36" ht="21" customHeight="1">
      <c r="B16" s="118"/>
      <c r="C16" s="119"/>
      <c r="D16" s="26"/>
      <c r="E16" s="159"/>
      <c r="F16" s="27"/>
      <c r="G16" s="26"/>
      <c r="H16" s="159"/>
      <c r="I16" s="27"/>
      <c r="J16" s="28"/>
      <c r="K16" s="49"/>
      <c r="L16" s="40"/>
      <c r="M16" s="41"/>
      <c r="N16" s="160"/>
      <c r="O16" s="160"/>
      <c r="P16" s="40"/>
      <c r="Q16" s="42"/>
      <c r="R16" s="60"/>
      <c r="S16" s="43"/>
      <c r="T16" s="216"/>
      <c r="U16" s="117"/>
    </row>
    <row r="17" spans="1:21" ht="39.6" customHeight="1">
      <c r="B17" s="161"/>
      <c r="C17" s="162"/>
      <c r="D17" s="806" t="s">
        <v>11</v>
      </c>
      <c r="E17" s="807"/>
      <c r="F17" s="807"/>
      <c r="G17" s="807"/>
      <c r="H17" s="807"/>
      <c r="I17" s="808"/>
      <c r="J17" s="809">
        <v>30</v>
      </c>
      <c r="K17" s="810"/>
      <c r="L17" s="50" t="s">
        <v>51</v>
      </c>
      <c r="M17" s="803" t="s">
        <v>12</v>
      </c>
      <c r="N17" s="811"/>
      <c r="O17" s="811"/>
      <c r="P17" s="811"/>
      <c r="Q17" s="805"/>
      <c r="R17" s="61">
        <f>SUM(R12:R16)</f>
        <v>10</v>
      </c>
      <c r="S17" s="51" t="str">
        <f>L17</f>
        <v>m</v>
      </c>
      <c r="T17" s="22"/>
      <c r="U17" s="23"/>
    </row>
    <row r="18" spans="1:21" ht="21" customHeight="1">
      <c r="B18" s="163"/>
      <c r="C18" s="19"/>
      <c r="D18" s="817" t="s">
        <v>13</v>
      </c>
      <c r="E18" s="818"/>
      <c r="F18" s="818"/>
      <c r="G18" s="818"/>
      <c r="H18" s="818"/>
      <c r="I18" s="819"/>
      <c r="J18" s="823">
        <f>R17/J17</f>
        <v>0.33333333333333331</v>
      </c>
      <c r="K18" s="824"/>
      <c r="L18" s="827"/>
      <c r="M18" s="803" t="s">
        <v>34</v>
      </c>
      <c r="N18" s="804"/>
      <c r="O18" s="804"/>
      <c r="P18" s="804"/>
      <c r="Q18" s="805"/>
      <c r="R18" s="61">
        <f>R12</f>
        <v>10</v>
      </c>
      <c r="S18" s="52" t="str">
        <f>L17</f>
        <v>m</v>
      </c>
      <c r="T18" s="22"/>
      <c r="U18" s="23"/>
    </row>
    <row r="19" spans="1:21" ht="21" customHeight="1">
      <c r="A19" s="10" t="s">
        <v>77</v>
      </c>
      <c r="B19" s="165"/>
      <c r="C19" s="164"/>
      <c r="D19" s="820"/>
      <c r="E19" s="821"/>
      <c r="F19" s="821"/>
      <c r="G19" s="821"/>
      <c r="H19" s="821"/>
      <c r="I19" s="822"/>
      <c r="J19" s="825"/>
      <c r="K19" s="826"/>
      <c r="L19" s="828"/>
      <c r="M19" s="803" t="s">
        <v>14</v>
      </c>
      <c r="N19" s="804"/>
      <c r="O19" s="804"/>
      <c r="P19" s="804"/>
      <c r="Q19" s="805"/>
      <c r="R19" s="62">
        <f>R17-R18</f>
        <v>0</v>
      </c>
      <c r="S19" s="53" t="str">
        <f>L17</f>
        <v>m</v>
      </c>
      <c r="T19" s="54"/>
      <c r="U19" s="24"/>
    </row>
    <row r="20" spans="1:21" ht="21" customHeight="1">
      <c r="B20" s="218"/>
      <c r="C20" s="217"/>
      <c r="M20" s="803" t="s">
        <v>53</v>
      </c>
      <c r="N20" s="804"/>
      <c r="O20" s="804"/>
      <c r="P20" s="804"/>
      <c r="Q20" s="805"/>
      <c r="R20" s="62">
        <f>DEZ!E44</f>
        <v>314.74</v>
      </c>
      <c r="S20" s="53"/>
      <c r="T20" s="54"/>
      <c r="U20" s="24"/>
    </row>
    <row r="21" spans="1:21" ht="21" customHeight="1">
      <c r="B21" s="163"/>
      <c r="C21" s="219"/>
      <c r="M21" s="803" t="s">
        <v>54</v>
      </c>
      <c r="N21" s="804"/>
      <c r="O21" s="804"/>
      <c r="P21" s="804"/>
      <c r="Q21" s="805"/>
      <c r="R21" s="62">
        <f>TRUNC(R20*R19,2)</f>
        <v>0</v>
      </c>
      <c r="S21" s="53" t="s">
        <v>55</v>
      </c>
      <c r="T21" s="54"/>
      <c r="U21" s="24"/>
    </row>
  </sheetData>
  <mergeCells count="37">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7:I17"/>
    <mergeCell ref="J17:K17"/>
    <mergeCell ref="M17:Q17"/>
    <mergeCell ref="N10:N11"/>
    <mergeCell ref="O10:O11"/>
    <mergeCell ref="P10:P11"/>
    <mergeCell ref="Q10:Q11"/>
    <mergeCell ref="D12:F12"/>
    <mergeCell ref="D13:F13"/>
    <mergeCell ref="D14:F14"/>
    <mergeCell ref="M21:Q21"/>
    <mergeCell ref="D18:I19"/>
    <mergeCell ref="J18:K19"/>
    <mergeCell ref="L18:L19"/>
    <mergeCell ref="M18:Q18"/>
    <mergeCell ref="M19:Q19"/>
    <mergeCell ref="M20:Q20"/>
  </mergeCells>
  <conditionalFormatting sqref="J18:K21">
    <cfRule type="cellIs" dxfId="399" priority="1" operator="greaterThanOrEqual">
      <formula>1</formula>
    </cfRule>
    <cfRule type="cellIs" dxfId="39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C1850-8F2A-48AD-88DA-5DCBC8512D98}">
  <sheetPr codeName="Planilha68">
    <tabColor rgb="FF339933"/>
    <pageSetUpPr fitToPage="1"/>
  </sheetPr>
  <dimension ref="A1:AJ31"/>
  <sheetViews>
    <sheetView view="pageBreakPreview" topLeftCell="I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DEZ!A283</f>
        <v>3.3.8.6</v>
      </c>
      <c r="C10" s="845" t="str">
        <f>DEZ!C283</f>
        <v>Alvenaria de blocos de concreto 14x19x39cm, c/ resist. mínimo a compres. 2.5 MPa, assent. c/ arg. de cimento, cal hidratada CH1 e areia no traço 1:0.5:8 esp. das juntas 10mm e esp. das
paredes, s/ rev. 14cm (Platibanda)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4" customHeight="1">
      <c r="A12" s="64"/>
      <c r="B12" s="109"/>
      <c r="C12" s="237" t="s">
        <v>1003</v>
      </c>
      <c r="D12" s="854"/>
      <c r="E12" s="855"/>
      <c r="F12" s="856"/>
      <c r="G12" s="857"/>
      <c r="H12" s="858"/>
      <c r="I12" s="859"/>
      <c r="J12" s="226"/>
      <c r="K12" s="81">
        <v>59.43</v>
      </c>
      <c r="L12" s="82"/>
      <c r="M12" s="83"/>
      <c r="N12" s="105"/>
      <c r="O12" s="84"/>
      <c r="P12" s="82"/>
      <c r="Q12" s="93"/>
      <c r="R12" s="85">
        <f>K12</f>
        <v>59.43</v>
      </c>
      <c r="S12" s="154" t="s">
        <v>57</v>
      </c>
      <c r="T12" s="215">
        <v>7</v>
      </c>
      <c r="U12" s="94"/>
      <c r="V12" s="71"/>
      <c r="W12" s="71"/>
      <c r="X12" s="152"/>
      <c r="Y12" s="153"/>
      <c r="Z12" s="72"/>
    </row>
    <row r="13" spans="1:36" s="73" customFormat="1" ht="21" customHeight="1">
      <c r="A13" s="64"/>
      <c r="B13" s="109"/>
      <c r="C13" s="65"/>
      <c r="D13" s="77"/>
      <c r="E13" s="78"/>
      <c r="F13" s="79"/>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DEZ!F283</f>
        <v>59.43</v>
      </c>
      <c r="K23" s="810"/>
      <c r="L23" s="50" t="s">
        <v>57</v>
      </c>
      <c r="M23" s="803" t="s">
        <v>12</v>
      </c>
      <c r="N23" s="811"/>
      <c r="O23" s="811"/>
      <c r="P23" s="811"/>
      <c r="Q23" s="805"/>
      <c r="R23" s="61">
        <f>SUM(R12:R22)</f>
        <v>59.43</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59.43</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DEZ!E283</f>
        <v>62.2</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6">
    <mergeCell ref="R10:R11"/>
    <mergeCell ref="S10:S11"/>
    <mergeCell ref="M27:Q27"/>
    <mergeCell ref="D24:I25"/>
    <mergeCell ref="J24:K25"/>
    <mergeCell ref="L24:L25"/>
    <mergeCell ref="M24:Q24"/>
    <mergeCell ref="M25:Q25"/>
    <mergeCell ref="M26:Q26"/>
    <mergeCell ref="D12:F12"/>
    <mergeCell ref="G12:I12"/>
    <mergeCell ref="D23:I23"/>
    <mergeCell ref="J23:K23"/>
    <mergeCell ref="M23:Q23"/>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4:K27">
    <cfRule type="cellIs" dxfId="103" priority="1" operator="greaterThanOrEqual">
      <formula>1</formula>
    </cfRule>
    <cfRule type="cellIs" dxfId="10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3CE92-AD36-45FE-9A35-72FBF039B899}">
  <sheetPr codeName="Planilha69">
    <tabColor rgb="FF339933"/>
    <pageSetUpPr fitToPage="1"/>
  </sheetPr>
  <dimension ref="A1:AJ31"/>
  <sheetViews>
    <sheetView view="pageBreakPreview" topLeftCell="H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DEZ!A292</f>
        <v>3.3.10.1</v>
      </c>
      <c r="C10" s="845" t="str">
        <f>DEZ!C292</f>
        <v>Cerca de engranzamento soldado, incluso instalação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4" customHeight="1">
      <c r="A12" s="64"/>
      <c r="B12" s="109"/>
      <c r="C12" s="237" t="s">
        <v>1015</v>
      </c>
      <c r="D12" s="854"/>
      <c r="E12" s="855"/>
      <c r="F12" s="856"/>
      <c r="G12" s="857"/>
      <c r="H12" s="858"/>
      <c r="I12" s="859"/>
      <c r="J12" s="226"/>
      <c r="K12" s="81">
        <f>118.46</f>
        <v>118.46</v>
      </c>
      <c r="L12" s="82"/>
      <c r="M12" s="83"/>
      <c r="N12" s="105"/>
      <c r="O12" s="84"/>
      <c r="P12" s="82"/>
      <c r="Q12" s="93"/>
      <c r="R12" s="85">
        <f>K12</f>
        <v>118.46</v>
      </c>
      <c r="S12" s="154" t="s">
        <v>57</v>
      </c>
      <c r="T12" s="215">
        <v>7</v>
      </c>
      <c r="U12" s="94"/>
      <c r="V12" s="71"/>
      <c r="W12" s="71"/>
      <c r="X12" s="152"/>
      <c r="Y12" s="153"/>
      <c r="Z12" s="72"/>
    </row>
    <row r="13" spans="1:36" s="73" customFormat="1" ht="21" customHeight="1">
      <c r="A13" s="64"/>
      <c r="B13" s="109"/>
      <c r="C13" s="65"/>
      <c r="D13" s="77"/>
      <c r="E13" s="78"/>
      <c r="F13" s="79"/>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DEZ!F292</f>
        <v>118.46</v>
      </c>
      <c r="K23" s="810"/>
      <c r="L23" s="50" t="s">
        <v>57</v>
      </c>
      <c r="M23" s="803" t="s">
        <v>12</v>
      </c>
      <c r="N23" s="811"/>
      <c r="O23" s="811"/>
      <c r="P23" s="811"/>
      <c r="Q23" s="805"/>
      <c r="R23" s="61">
        <f>SUM(R12:R22)</f>
        <v>118.46</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118.46</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DEZ!E292</f>
        <v>280.31</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6">
    <mergeCell ref="R10:R11"/>
    <mergeCell ref="S10:S11"/>
    <mergeCell ref="M27:Q27"/>
    <mergeCell ref="D24:I25"/>
    <mergeCell ref="J24:K25"/>
    <mergeCell ref="L24:L25"/>
    <mergeCell ref="M24:Q24"/>
    <mergeCell ref="M25:Q25"/>
    <mergeCell ref="M26:Q26"/>
    <mergeCell ref="D12:F12"/>
    <mergeCell ref="G12:I12"/>
    <mergeCell ref="D23:I23"/>
    <mergeCell ref="J23:K23"/>
    <mergeCell ref="M23:Q23"/>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4:K27">
    <cfRule type="cellIs" dxfId="101" priority="1" operator="greaterThanOrEqual">
      <formula>1</formula>
    </cfRule>
    <cfRule type="cellIs" dxfId="10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D866B-CA94-4152-A137-99BC8905079A}">
  <sheetPr codeName="Planilha70">
    <tabColor rgb="FF339933"/>
    <pageSetUpPr fitToPage="1"/>
  </sheetPr>
  <dimension ref="A1:AJ31"/>
  <sheetViews>
    <sheetView view="pageBreakPreview" topLeftCell="G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DEZ!A297</f>
        <v>3.3.10.6</v>
      </c>
      <c r="C10" s="845" t="str">
        <f>DEZ!C297</f>
        <v>Alvenaria de blocos cerâmicos 10 furos 10x20x20cm, assentados c/argamassa de cimento, cal hidratada CH1 e areia traço 1:0,5:8, juntas 12mm e espessura das paredes, s/revestimento,
20cm (bloco comprado fábrica,posto obra)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4" customHeight="1">
      <c r="A12" s="64"/>
      <c r="B12" s="109"/>
      <c r="C12" s="237" t="s">
        <v>1011</v>
      </c>
      <c r="D12" s="854"/>
      <c r="E12" s="855"/>
      <c r="F12" s="856"/>
      <c r="G12" s="857"/>
      <c r="H12" s="858"/>
      <c r="I12" s="859"/>
      <c r="J12" s="226"/>
      <c r="K12" s="81">
        <v>6.97</v>
      </c>
      <c r="L12" s="82"/>
      <c r="M12" s="83"/>
      <c r="N12" s="105"/>
      <c r="O12" s="84"/>
      <c r="P12" s="82"/>
      <c r="Q12" s="93"/>
      <c r="R12" s="85">
        <f>K12</f>
        <v>6.97</v>
      </c>
      <c r="S12" s="154" t="s">
        <v>57</v>
      </c>
      <c r="T12" s="215">
        <v>7</v>
      </c>
      <c r="U12" s="94"/>
      <c r="V12" s="71"/>
      <c r="W12" s="71"/>
      <c r="X12" s="152"/>
      <c r="Y12" s="153"/>
      <c r="Z12" s="72"/>
    </row>
    <row r="13" spans="1:36" s="73" customFormat="1" ht="21" customHeight="1">
      <c r="A13" s="64"/>
      <c r="B13" s="109"/>
      <c r="C13" s="65"/>
      <c r="D13" s="77"/>
      <c r="E13" s="78"/>
      <c r="F13" s="79"/>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DEZ!F297</f>
        <v>6.97</v>
      </c>
      <c r="K23" s="810"/>
      <c r="L23" s="50" t="s">
        <v>57</v>
      </c>
      <c r="M23" s="803" t="s">
        <v>12</v>
      </c>
      <c r="N23" s="811"/>
      <c r="O23" s="811"/>
      <c r="P23" s="811"/>
      <c r="Q23" s="805"/>
      <c r="R23" s="61">
        <f>SUM(R12:R22)</f>
        <v>6.97</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6.97</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DEZ!E297</f>
        <v>88.68</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6">
    <mergeCell ref="R10:R11"/>
    <mergeCell ref="S10:S11"/>
    <mergeCell ref="M27:Q27"/>
    <mergeCell ref="D24:I25"/>
    <mergeCell ref="J24:K25"/>
    <mergeCell ref="L24:L25"/>
    <mergeCell ref="M24:Q24"/>
    <mergeCell ref="M25:Q25"/>
    <mergeCell ref="M26:Q26"/>
    <mergeCell ref="D12:F12"/>
    <mergeCell ref="G12:I12"/>
    <mergeCell ref="D23:I23"/>
    <mergeCell ref="J23:K23"/>
    <mergeCell ref="M23:Q23"/>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4:K27">
    <cfRule type="cellIs" dxfId="99" priority="1" operator="greaterThanOrEqual">
      <formula>1</formula>
    </cfRule>
    <cfRule type="cellIs" dxfId="9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7B5BE-EBD7-45B0-979F-880FAB7539D6}">
  <sheetPr codeName="Planilha71">
    <tabColor rgb="FF339933"/>
    <pageSetUpPr fitToPage="1"/>
  </sheetPr>
  <dimension ref="A1:AJ31"/>
  <sheetViews>
    <sheetView view="pageBreakPreview" topLeftCell="G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DEZ!A298</f>
        <v>3.3.10.7</v>
      </c>
      <c r="C10" s="845" t="str">
        <f>DEZ!C298</f>
        <v>Chapisco de argamassa de cimento e areia média ou grossa lavada, no traço 1:3, espessura 5 mm</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4" customHeight="1">
      <c r="A12" s="64"/>
      <c r="B12" s="109"/>
      <c r="C12" s="237" t="s">
        <v>1012</v>
      </c>
      <c r="D12" s="854"/>
      <c r="E12" s="855"/>
      <c r="F12" s="856"/>
      <c r="G12" s="857"/>
      <c r="H12" s="858"/>
      <c r="I12" s="859"/>
      <c r="J12" s="226"/>
      <c r="K12" s="81">
        <v>540.16999999999996</v>
      </c>
      <c r="L12" s="82"/>
      <c r="M12" s="83"/>
      <c r="N12" s="105"/>
      <c r="O12" s="84"/>
      <c r="P12" s="82"/>
      <c r="Q12" s="93"/>
      <c r="R12" s="85">
        <f>K12</f>
        <v>540.16999999999996</v>
      </c>
      <c r="S12" s="154" t="s">
        <v>57</v>
      </c>
      <c r="T12" s="215">
        <v>7</v>
      </c>
      <c r="U12" s="94"/>
      <c r="V12" s="71"/>
      <c r="W12" s="71"/>
      <c r="X12" s="152"/>
      <c r="Y12" s="153"/>
      <c r="Z12" s="72"/>
    </row>
    <row r="13" spans="1:36" s="73" customFormat="1" ht="21" customHeight="1">
      <c r="A13" s="64"/>
      <c r="B13" s="109"/>
      <c r="C13" s="65"/>
      <c r="D13" s="77"/>
      <c r="E13" s="78"/>
      <c r="F13" s="79"/>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DEZ!F298</f>
        <v>540.16999999999996</v>
      </c>
      <c r="K23" s="810"/>
      <c r="L23" s="50" t="s">
        <v>57</v>
      </c>
      <c r="M23" s="803" t="s">
        <v>12</v>
      </c>
      <c r="N23" s="811"/>
      <c r="O23" s="811"/>
      <c r="P23" s="811"/>
      <c r="Q23" s="805"/>
      <c r="R23" s="61">
        <f>SUM(R12:R22)</f>
        <v>540.16999999999996</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540.16999999999996</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DEZ!E298</f>
        <v>5.64</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6">
    <mergeCell ref="R10:R11"/>
    <mergeCell ref="S10:S11"/>
    <mergeCell ref="M27:Q27"/>
    <mergeCell ref="D24:I25"/>
    <mergeCell ref="J24:K25"/>
    <mergeCell ref="L24:L25"/>
    <mergeCell ref="M24:Q24"/>
    <mergeCell ref="M25:Q25"/>
    <mergeCell ref="M26:Q26"/>
    <mergeCell ref="D12:F12"/>
    <mergeCell ref="G12:I12"/>
    <mergeCell ref="D23:I23"/>
    <mergeCell ref="J23:K23"/>
    <mergeCell ref="M23:Q23"/>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4:K27">
    <cfRule type="cellIs" dxfId="97" priority="1" operator="greaterThanOrEqual">
      <formula>1</formula>
    </cfRule>
    <cfRule type="cellIs" dxfId="9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AFC79-FD64-4B12-A151-1C987A050EF2}">
  <sheetPr codeName="Planilha72">
    <tabColor rgb="FF339933"/>
    <pageSetUpPr fitToPage="1"/>
  </sheetPr>
  <dimension ref="A1:AJ31"/>
  <sheetViews>
    <sheetView view="pageBreakPreview" topLeftCell="E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DEZ!A299</f>
        <v>3.3.10.8</v>
      </c>
      <c r="C10" s="845" t="str">
        <f>DEZ!C299</f>
        <v>Reboco tipo paulista de argamassa de cimento, cal hidratada CH1 e areia média ou grossa lavada no traço 1:0.5:6, espessura 25 mm</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4" customHeight="1">
      <c r="A12" s="64"/>
      <c r="B12" s="109"/>
      <c r="C12" s="237" t="s">
        <v>1012</v>
      </c>
      <c r="D12" s="854"/>
      <c r="E12" s="855"/>
      <c r="F12" s="856"/>
      <c r="G12" s="857"/>
      <c r="H12" s="858"/>
      <c r="I12" s="859"/>
      <c r="J12" s="226"/>
      <c r="K12" s="81">
        <v>540.16999999999996</v>
      </c>
      <c r="L12" s="82"/>
      <c r="M12" s="83"/>
      <c r="N12" s="105"/>
      <c r="O12" s="84"/>
      <c r="P12" s="82"/>
      <c r="Q12" s="93"/>
      <c r="R12" s="85">
        <f>K12</f>
        <v>540.16999999999996</v>
      </c>
      <c r="S12" s="154" t="s">
        <v>57</v>
      </c>
      <c r="T12" s="215">
        <v>7</v>
      </c>
      <c r="U12" s="94"/>
      <c r="V12" s="71"/>
      <c r="W12" s="71"/>
      <c r="X12" s="152"/>
      <c r="Y12" s="153"/>
      <c r="Z12" s="72"/>
    </row>
    <row r="13" spans="1:36" s="73" customFormat="1" ht="21" customHeight="1">
      <c r="A13" s="64"/>
      <c r="B13" s="109"/>
      <c r="C13" s="65"/>
      <c r="D13" s="77"/>
      <c r="E13" s="78"/>
      <c r="F13" s="79"/>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DEZ!F299</f>
        <v>540.16999999999996</v>
      </c>
      <c r="K23" s="810"/>
      <c r="L23" s="50" t="s">
        <v>57</v>
      </c>
      <c r="M23" s="803" t="s">
        <v>12</v>
      </c>
      <c r="N23" s="811"/>
      <c r="O23" s="811"/>
      <c r="P23" s="811"/>
      <c r="Q23" s="805"/>
      <c r="R23" s="61">
        <f>SUM(R12:R22)</f>
        <v>540.16999999999996</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540.16999999999996</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DEZ!E299</f>
        <v>49.24</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6">
    <mergeCell ref="R10:R11"/>
    <mergeCell ref="S10:S11"/>
    <mergeCell ref="M27:Q27"/>
    <mergeCell ref="D24:I25"/>
    <mergeCell ref="J24:K25"/>
    <mergeCell ref="L24:L25"/>
    <mergeCell ref="M24:Q24"/>
    <mergeCell ref="M25:Q25"/>
    <mergeCell ref="M26:Q26"/>
    <mergeCell ref="D12:F12"/>
    <mergeCell ref="G12:I12"/>
    <mergeCell ref="D23:I23"/>
    <mergeCell ref="J23:K23"/>
    <mergeCell ref="M23:Q23"/>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4:K27">
    <cfRule type="cellIs" dxfId="95" priority="1" operator="greaterThanOrEqual">
      <formula>1</formula>
    </cfRule>
    <cfRule type="cellIs" dxfId="9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54F7E-4D00-480A-932E-9A7ED0AB67AC}">
  <sheetPr codeName="Planilha73">
    <tabColor rgb="FF339933"/>
    <pageSetUpPr fitToPage="1"/>
  </sheetPr>
  <dimension ref="A1:AJ31"/>
  <sheetViews>
    <sheetView view="pageBreakPreview" topLeftCell="J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DEZ!A300</f>
        <v>3.3.10.9</v>
      </c>
      <c r="C10" s="845" t="str">
        <f>DEZ!C300</f>
        <v>Pintura com tinta acrílica, marcas de referência Suvinil, Coral e Metalatex, inclusive selador acrílico, em paredes e forros, a duas demãos</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4" customHeight="1">
      <c r="A12" s="64"/>
      <c r="B12" s="109"/>
      <c r="C12" s="237" t="s">
        <v>1014</v>
      </c>
      <c r="D12" s="854"/>
      <c r="E12" s="855"/>
      <c r="F12" s="856"/>
      <c r="G12" s="857"/>
      <c r="H12" s="858"/>
      <c r="I12" s="859"/>
      <c r="J12" s="226"/>
      <c r="K12" s="81">
        <v>540.16999999999996</v>
      </c>
      <c r="L12" s="82"/>
      <c r="M12" s="83"/>
      <c r="N12" s="105"/>
      <c r="O12" s="84"/>
      <c r="P12" s="82"/>
      <c r="Q12" s="93"/>
      <c r="R12" s="85">
        <f>K12</f>
        <v>540.16999999999996</v>
      </c>
      <c r="S12" s="154" t="s">
        <v>57</v>
      </c>
      <c r="T12" s="215">
        <v>7</v>
      </c>
      <c r="U12" s="94"/>
      <c r="V12" s="71"/>
      <c r="W12" s="71"/>
      <c r="X12" s="152"/>
      <c r="Y12" s="153"/>
      <c r="Z12" s="72"/>
    </row>
    <row r="13" spans="1:36" s="73" customFormat="1" ht="21" customHeight="1">
      <c r="A13" s="64"/>
      <c r="B13" s="109"/>
      <c r="C13" s="65"/>
      <c r="D13" s="77"/>
      <c r="E13" s="78"/>
      <c r="F13" s="79"/>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DEZ!F300</f>
        <v>540.16999999999996</v>
      </c>
      <c r="K23" s="810"/>
      <c r="L23" s="50" t="s">
        <v>57</v>
      </c>
      <c r="M23" s="803" t="s">
        <v>12</v>
      </c>
      <c r="N23" s="811"/>
      <c r="O23" s="811"/>
      <c r="P23" s="811"/>
      <c r="Q23" s="805"/>
      <c r="R23" s="61">
        <f>SUM(R12:R22)</f>
        <v>540.16999999999996</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540.16999999999996</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DEZ!E300</f>
        <v>18.27</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7:Q27"/>
    <mergeCell ref="D24:I25"/>
    <mergeCell ref="J24:K25"/>
    <mergeCell ref="L24:L25"/>
    <mergeCell ref="M24:Q24"/>
    <mergeCell ref="M25:Q25"/>
    <mergeCell ref="M26:Q26"/>
    <mergeCell ref="D12:F12"/>
    <mergeCell ref="G12:I12"/>
    <mergeCell ref="D23:I23"/>
    <mergeCell ref="J23:K23"/>
    <mergeCell ref="M23:Q23"/>
  </mergeCells>
  <conditionalFormatting sqref="J24:K27">
    <cfRule type="cellIs" dxfId="93" priority="1" operator="greaterThanOrEqual">
      <formula>1</formula>
    </cfRule>
    <cfRule type="cellIs" dxfId="9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A8320-F8F9-449D-BA0B-C37EF5A86EED}">
  <sheetPr codeName="Planilha76">
    <tabColor rgb="FF339933"/>
    <pageSetUpPr fitToPage="1"/>
  </sheetPr>
  <dimension ref="A1:AJ31"/>
  <sheetViews>
    <sheetView view="pageBreakPreview" topLeftCell="I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9.710937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DEZ!A480</f>
        <v>4.4.1.3</v>
      </c>
      <c r="C10" s="845" t="str">
        <f>DEZ!C480</f>
        <v>Fornecimento, dobragem e colocação em fôrma, de armadura CA-50 A média, diâmetro de 6.3 a 10.0 mm</v>
      </c>
      <c r="D10" s="816" t="s">
        <v>854</v>
      </c>
      <c r="E10" s="816"/>
      <c r="F10" s="816"/>
      <c r="G10" s="816" t="s">
        <v>33</v>
      </c>
      <c r="H10" s="816"/>
      <c r="I10" s="816"/>
      <c r="J10" s="812" t="s">
        <v>897</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997</v>
      </c>
      <c r="D12" s="854"/>
      <c r="E12" s="855"/>
      <c r="F12" s="856"/>
      <c r="G12" s="854"/>
      <c r="H12" s="855"/>
      <c r="I12" s="856"/>
      <c r="J12" s="226"/>
      <c r="K12" s="81"/>
      <c r="L12" s="82"/>
      <c r="M12" s="83">
        <v>1880</v>
      </c>
      <c r="N12" s="105"/>
      <c r="O12" s="84"/>
      <c r="P12" s="82"/>
      <c r="Q12" s="93"/>
      <c r="R12" s="85">
        <f>M12</f>
        <v>1880</v>
      </c>
      <c r="S12" s="154" t="s">
        <v>996</v>
      </c>
      <c r="T12" s="215"/>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DEZ!F480</f>
        <v>1880</v>
      </c>
      <c r="K23" s="810"/>
      <c r="L23" s="50" t="s">
        <v>29</v>
      </c>
      <c r="M23" s="803" t="s">
        <v>12</v>
      </c>
      <c r="N23" s="811"/>
      <c r="O23" s="811"/>
      <c r="P23" s="811"/>
      <c r="Q23" s="805"/>
      <c r="R23" s="61">
        <f>SUM(R12:R22)</f>
        <v>1880</v>
      </c>
      <c r="S23" s="51" t="str">
        <f>L23</f>
        <v>kg</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1880</v>
      </c>
      <c r="S24" s="52" t="str">
        <f>L23</f>
        <v>kg</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kg</v>
      </c>
      <c r="T25" s="54"/>
      <c r="U25" s="24"/>
    </row>
    <row r="26" spans="1:28" ht="21" customHeight="1">
      <c r="B26" s="218"/>
      <c r="C26" s="217"/>
      <c r="M26" s="803" t="s">
        <v>53</v>
      </c>
      <c r="N26" s="804"/>
      <c r="O26" s="804"/>
      <c r="P26" s="804"/>
      <c r="Q26" s="805"/>
      <c r="R26" s="62">
        <f>DEZ!E480</f>
        <v>7.98</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6">
    <mergeCell ref="T8:U8"/>
    <mergeCell ref="T9:U9"/>
    <mergeCell ref="M27:Q27"/>
    <mergeCell ref="G12:I12"/>
    <mergeCell ref="D24:I25"/>
    <mergeCell ref="J24:K25"/>
    <mergeCell ref="L24:L25"/>
    <mergeCell ref="M24:Q24"/>
    <mergeCell ref="M25:Q25"/>
    <mergeCell ref="M26:Q26"/>
    <mergeCell ref="D12:F12"/>
    <mergeCell ref="D23:I23"/>
    <mergeCell ref="J23:K23"/>
    <mergeCell ref="M23:Q23"/>
    <mergeCell ref="K10:K11"/>
    <mergeCell ref="L10:L11"/>
    <mergeCell ref="B10:B11"/>
    <mergeCell ref="C10:C11"/>
    <mergeCell ref="D10:F11"/>
    <mergeCell ref="G10:I11"/>
    <mergeCell ref="J10:J11"/>
    <mergeCell ref="M10:M11"/>
    <mergeCell ref="T10:T11"/>
    <mergeCell ref="U10:U11"/>
    <mergeCell ref="R10:R11"/>
    <mergeCell ref="S10:S11"/>
    <mergeCell ref="N10:N11"/>
    <mergeCell ref="O10:O11"/>
    <mergeCell ref="P10:P11"/>
    <mergeCell ref="Q10:Q11"/>
    <mergeCell ref="T7:U7"/>
    <mergeCell ref="B1:U4"/>
    <mergeCell ref="V4:AA4"/>
    <mergeCell ref="B5:I5"/>
    <mergeCell ref="J5:O5"/>
    <mergeCell ref="P5:U5"/>
  </mergeCells>
  <conditionalFormatting sqref="J24:K27">
    <cfRule type="cellIs" dxfId="91" priority="1" operator="greaterThanOrEqual">
      <formula>1</formula>
    </cfRule>
    <cfRule type="cellIs" dxfId="90"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ilha77">
    <tabColor rgb="FF339933"/>
    <pageSetUpPr fitToPage="1"/>
  </sheetPr>
  <dimension ref="A1:AJ31"/>
  <sheetViews>
    <sheetView view="pageBreakPreview" topLeftCell="A2" zoomScale="60" zoomScaleNormal="55"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DEZ!A570</f>
        <v>5.2.1.2</v>
      </c>
      <c r="C10" s="845" t="str">
        <f>DEZ!C570</f>
        <v>Aterro compactado utilizando compactador de placa vibratória com reaproveitamento do material</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969</v>
      </c>
      <c r="D12" s="854"/>
      <c r="E12" s="855"/>
      <c r="F12" s="856"/>
      <c r="G12" s="77"/>
      <c r="H12" s="78"/>
      <c r="I12" s="79"/>
      <c r="J12" s="226"/>
      <c r="K12" s="81"/>
      <c r="L12" s="82">
        <v>0.88</v>
      </c>
      <c r="M12" s="83"/>
      <c r="N12" s="105"/>
      <c r="O12" s="84"/>
      <c r="P12" s="82"/>
      <c r="Q12" s="93"/>
      <c r="R12" s="85">
        <f>L12</f>
        <v>0.88</v>
      </c>
      <c r="S12" s="154" t="s">
        <v>59</v>
      </c>
      <c r="T12" s="215">
        <v>5</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DEZ!F569</f>
        <v>0.88</v>
      </c>
      <c r="K23" s="810"/>
      <c r="L23" s="50" t="str">
        <f>DEZ!D569</f>
        <v>m3</v>
      </c>
      <c r="M23" s="803" t="s">
        <v>12</v>
      </c>
      <c r="N23" s="811"/>
      <c r="O23" s="811"/>
      <c r="P23" s="811"/>
      <c r="Q23" s="805"/>
      <c r="R23" s="61">
        <f>SUM(R12:R22)</f>
        <v>0.88</v>
      </c>
      <c r="S23" s="51" t="str">
        <f>L23</f>
        <v>m3</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v>0</v>
      </c>
      <c r="S24" s="52" t="str">
        <f>L23</f>
        <v>m3</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0.88</v>
      </c>
      <c r="S25" s="53" t="str">
        <f>L23</f>
        <v>m3</v>
      </c>
      <c r="T25" s="54"/>
      <c r="U25" s="24"/>
    </row>
    <row r="26" spans="1:28" ht="21" customHeight="1">
      <c r="B26" s="218"/>
      <c r="C26" s="217"/>
      <c r="M26" s="803" t="s">
        <v>53</v>
      </c>
      <c r="N26" s="804"/>
      <c r="O26" s="804"/>
      <c r="P26" s="804"/>
      <c r="Q26" s="805"/>
      <c r="R26" s="62">
        <f>DEZ!E570</f>
        <v>25.99</v>
      </c>
      <c r="S26" s="53"/>
      <c r="T26" s="54"/>
      <c r="U26" s="24"/>
    </row>
    <row r="27" spans="1:28" ht="21" customHeight="1">
      <c r="B27" s="163"/>
      <c r="C27" s="219"/>
      <c r="M27" s="803" t="s">
        <v>54</v>
      </c>
      <c r="N27" s="804"/>
      <c r="O27" s="804"/>
      <c r="P27" s="804"/>
      <c r="Q27" s="805"/>
      <c r="R27" s="62">
        <f>TRUNC(R26*R25,2)</f>
        <v>22.87</v>
      </c>
      <c r="S27" s="53" t="s">
        <v>55</v>
      </c>
      <c r="T27" s="54"/>
      <c r="U27" s="24"/>
    </row>
    <row r="30" spans="1:28">
      <c r="C30" s="2">
        <f>18*5</f>
        <v>90</v>
      </c>
    </row>
    <row r="31" spans="1:28">
      <c r="C31" s="2">
        <f>C30*0.09</f>
        <v>8.1</v>
      </c>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M27:Q27"/>
    <mergeCell ref="D24:I25"/>
    <mergeCell ref="J24:K25"/>
    <mergeCell ref="L24:L25"/>
    <mergeCell ref="M24:Q24"/>
    <mergeCell ref="M25:Q25"/>
    <mergeCell ref="M26:Q26"/>
  </mergeCells>
  <conditionalFormatting sqref="J24:K27">
    <cfRule type="cellIs" dxfId="89" priority="1" operator="greaterThanOrEqual">
      <formula>1</formula>
    </cfRule>
    <cfRule type="cellIs" dxfId="8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ilha78">
    <tabColor rgb="FF339933"/>
    <pageSetUpPr fitToPage="1"/>
  </sheetPr>
  <dimension ref="A1:AJ31"/>
  <sheetViews>
    <sheetView view="pageBreakPreview" topLeftCell="A2" zoomScale="60" zoomScaleNormal="55" workbookViewId="0">
      <selection activeCell="L13" sqref="L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DEZ!A571</f>
        <v>5.2.1.3</v>
      </c>
      <c r="C10" s="845" t="str">
        <f>DEZ!C571</f>
        <v>Aterro manual para regularização do terreno em argila, inclusive adensamento manual e fornecimento do material (máximo de 100m3)</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969</v>
      </c>
      <c r="D12" s="854"/>
      <c r="E12" s="855"/>
      <c r="F12" s="856"/>
      <c r="G12" s="77"/>
      <c r="H12" s="78"/>
      <c r="I12" s="79"/>
      <c r="J12" s="226"/>
      <c r="K12" s="81"/>
      <c r="L12" s="82">
        <v>80.989999999999995</v>
      </c>
      <c r="M12" s="83"/>
      <c r="N12" s="105"/>
      <c r="O12" s="84"/>
      <c r="P12" s="82"/>
      <c r="Q12" s="93"/>
      <c r="R12" s="85">
        <f>L12</f>
        <v>80.989999999999995</v>
      </c>
      <c r="S12" s="154" t="s">
        <v>59</v>
      </c>
      <c r="T12" s="215">
        <v>5</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DEZ!F571</f>
        <v>80.989999999999995</v>
      </c>
      <c r="K23" s="810"/>
      <c r="L23" s="50" t="str">
        <f>DEZ!D569</f>
        <v>m3</v>
      </c>
      <c r="M23" s="803" t="s">
        <v>12</v>
      </c>
      <c r="N23" s="811"/>
      <c r="O23" s="811"/>
      <c r="P23" s="811"/>
      <c r="Q23" s="805"/>
      <c r="R23" s="61">
        <f>SUM(R12:R22)</f>
        <v>80.989999999999995</v>
      </c>
      <c r="S23" s="51" t="str">
        <f>L23</f>
        <v>m3</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v>0</v>
      </c>
      <c r="S24" s="52" t="str">
        <f>L23</f>
        <v>m3</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80.989999999999995</v>
      </c>
      <c r="S25" s="53" t="str">
        <f>L23</f>
        <v>m3</v>
      </c>
      <c r="T25" s="54"/>
      <c r="U25" s="24"/>
    </row>
    <row r="26" spans="1:28" ht="21" customHeight="1">
      <c r="B26" s="218"/>
      <c r="C26" s="217"/>
      <c r="M26" s="803" t="s">
        <v>53</v>
      </c>
      <c r="N26" s="804"/>
      <c r="O26" s="804"/>
      <c r="P26" s="804"/>
      <c r="Q26" s="805"/>
      <c r="R26" s="62">
        <f>DEZ!E571</f>
        <v>115.66</v>
      </c>
      <c r="S26" s="53"/>
      <c r="T26" s="54"/>
      <c r="U26" s="24"/>
    </row>
    <row r="27" spans="1:28" ht="21" customHeight="1">
      <c r="B27" s="163"/>
      <c r="C27" s="219"/>
      <c r="M27" s="803" t="s">
        <v>54</v>
      </c>
      <c r="N27" s="804"/>
      <c r="O27" s="804"/>
      <c r="P27" s="804"/>
      <c r="Q27" s="805"/>
      <c r="R27" s="62">
        <f>TRUNC(R26*R25,2)</f>
        <v>9367.2999999999993</v>
      </c>
      <c r="S27" s="53" t="s">
        <v>55</v>
      </c>
      <c r="T27" s="54"/>
      <c r="U27" s="24"/>
    </row>
    <row r="30" spans="1:28">
      <c r="C30" s="2">
        <f>18*5</f>
        <v>90</v>
      </c>
    </row>
    <row r="31" spans="1:28">
      <c r="C31" s="2">
        <f>C30*0.09</f>
        <v>8.1</v>
      </c>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M27:Q27"/>
    <mergeCell ref="D24:I25"/>
    <mergeCell ref="J24:K25"/>
    <mergeCell ref="L24:L25"/>
    <mergeCell ref="M24:Q24"/>
    <mergeCell ref="M25:Q25"/>
    <mergeCell ref="M26:Q26"/>
  </mergeCells>
  <conditionalFormatting sqref="J24:K27">
    <cfRule type="cellIs" dxfId="87" priority="1" operator="greaterThanOrEqual">
      <formula>1</formula>
    </cfRule>
    <cfRule type="cellIs" dxfId="8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B0F57-9461-449E-9FED-016628E13ECD}">
  <sheetPr>
    <tabColor rgb="FF339933"/>
    <pageSetUpPr fitToPage="1"/>
  </sheetPr>
  <dimension ref="A1:AE31"/>
  <sheetViews>
    <sheetView view="pageBreakPreview" zoomScale="50" zoomScaleNormal="55" zoomScaleSheetLayoutView="50" workbookViewId="0">
      <selection activeCell="N25" sqref="N25"/>
    </sheetView>
  </sheetViews>
  <sheetFormatPr defaultColWidth="9.140625" defaultRowHeight="12.75"/>
  <cols>
    <col min="1" max="1" width="9.140625" style="10"/>
    <col min="2" max="2" width="12.7109375" style="18"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31.140625" style="2" customWidth="1"/>
    <col min="14" max="14" width="16" style="63" customWidth="1"/>
    <col min="15" max="15" width="9" style="2" customWidth="1"/>
    <col min="16" max="16" width="15.28515625" style="2" customWidth="1"/>
    <col min="17" max="19" width="9.140625" style="2"/>
    <col min="20" max="20" width="9.140625" style="140"/>
    <col min="21" max="22" width="9.140625" style="2"/>
    <col min="23" max="23" width="12.7109375" style="13" customWidth="1"/>
    <col min="24" max="16384" width="9.140625" style="2"/>
  </cols>
  <sheetData>
    <row r="1" spans="1:31" ht="18.75" customHeight="1">
      <c r="B1" s="831" t="s">
        <v>851</v>
      </c>
      <c r="C1" s="832"/>
      <c r="D1" s="832"/>
      <c r="E1" s="832"/>
      <c r="F1" s="832"/>
      <c r="G1" s="832"/>
      <c r="H1" s="832"/>
      <c r="I1" s="832"/>
      <c r="J1" s="832"/>
      <c r="K1" s="832"/>
      <c r="L1" s="832"/>
      <c r="M1" s="832"/>
      <c r="N1" s="832"/>
      <c r="O1" s="832"/>
      <c r="P1" s="832"/>
    </row>
    <row r="2" spans="1:31" ht="18.75" customHeight="1">
      <c r="B2" s="832"/>
      <c r="C2" s="832"/>
      <c r="D2" s="832"/>
      <c r="E2" s="832"/>
      <c r="F2" s="832"/>
      <c r="G2" s="832"/>
      <c r="H2" s="832"/>
      <c r="I2" s="832"/>
      <c r="J2" s="832"/>
      <c r="K2" s="832"/>
      <c r="L2" s="832"/>
      <c r="M2" s="832"/>
      <c r="N2" s="832"/>
      <c r="O2" s="832"/>
      <c r="P2" s="832"/>
    </row>
    <row r="3" spans="1:31" ht="18.75" customHeight="1">
      <c r="B3" s="832"/>
      <c r="C3" s="832"/>
      <c r="D3" s="832"/>
      <c r="E3" s="832"/>
      <c r="F3" s="832"/>
      <c r="G3" s="832"/>
      <c r="H3" s="832"/>
      <c r="I3" s="832"/>
      <c r="J3" s="832"/>
      <c r="K3" s="832"/>
      <c r="L3" s="832"/>
      <c r="M3" s="832"/>
      <c r="N3" s="832"/>
      <c r="O3" s="832"/>
      <c r="P3" s="832"/>
    </row>
    <row r="4" spans="1:31" ht="18.75" customHeight="1">
      <c r="B4" s="832"/>
      <c r="C4" s="832"/>
      <c r="D4" s="832"/>
      <c r="E4" s="832"/>
      <c r="F4" s="832"/>
      <c r="G4" s="832"/>
      <c r="H4" s="832"/>
      <c r="I4" s="832"/>
      <c r="J4" s="832"/>
      <c r="K4" s="832"/>
      <c r="L4" s="832"/>
      <c r="M4" s="832"/>
      <c r="N4" s="832"/>
      <c r="O4" s="832"/>
      <c r="P4" s="832"/>
      <c r="Q4" s="833"/>
      <c r="R4" s="833"/>
      <c r="S4" s="833"/>
      <c r="T4" s="833"/>
      <c r="U4" s="833"/>
      <c r="V4" s="833"/>
    </row>
    <row r="5" spans="1:31" s="21" customFormat="1" ht="15.75" customHeight="1">
      <c r="A5" s="29"/>
      <c r="B5" s="834" t="s">
        <v>5</v>
      </c>
      <c r="C5" s="835"/>
      <c r="D5" s="835"/>
      <c r="E5" s="835"/>
      <c r="F5" s="835"/>
      <c r="G5" s="835"/>
      <c r="H5" s="835"/>
      <c r="I5" s="836"/>
      <c r="J5" s="837" t="s">
        <v>6</v>
      </c>
      <c r="K5" s="838"/>
      <c r="L5" s="838"/>
      <c r="M5" s="838"/>
      <c r="N5" s="841"/>
      <c r="O5" s="841"/>
      <c r="P5" s="841"/>
      <c r="Q5" s="158"/>
      <c r="R5" s="158"/>
      <c r="S5" s="158"/>
      <c r="T5" s="158"/>
      <c r="U5" s="158"/>
      <c r="V5" s="158"/>
      <c r="W5" s="30"/>
    </row>
    <row r="6" spans="1:31"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T6" s="141"/>
      <c r="W6" s="36"/>
    </row>
    <row r="7" spans="1:31" s="35" customFormat="1" ht="15.75">
      <c r="A7" s="31"/>
      <c r="B7" s="98"/>
      <c r="C7" s="145"/>
      <c r="D7" s="37"/>
      <c r="E7" s="38"/>
      <c r="F7" s="38"/>
      <c r="G7" s="37"/>
      <c r="H7" s="38"/>
      <c r="I7" s="56"/>
      <c r="J7" s="136" t="str">
        <f>DEZ!D8</f>
        <v xml:space="preserve">CONTRATO N°: </v>
      </c>
      <c r="K7" s="37"/>
      <c r="L7" s="115" t="str">
        <f>DEZ!F8</f>
        <v>06/2021</v>
      </c>
      <c r="M7" s="37"/>
      <c r="N7" s="58"/>
      <c r="O7" s="37"/>
      <c r="P7" s="733"/>
      <c r="T7" s="141"/>
      <c r="W7" s="36"/>
    </row>
    <row r="8" spans="1:31"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59"/>
      <c r="O8" s="38"/>
      <c r="P8" s="733"/>
      <c r="T8" s="141"/>
      <c r="V8" s="39"/>
      <c r="W8" s="39"/>
      <c r="X8" s="39"/>
      <c r="Y8" s="39"/>
      <c r="Z8" s="39"/>
      <c r="AA8" s="39"/>
      <c r="AB8" s="39"/>
      <c r="AC8" s="39"/>
      <c r="AD8" s="39"/>
      <c r="AE8" s="39"/>
    </row>
    <row r="9" spans="1:31"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59"/>
      <c r="O9" s="38"/>
      <c r="P9" s="733"/>
      <c r="T9" s="141"/>
      <c r="V9" s="39"/>
      <c r="W9" s="39"/>
      <c r="X9" s="39"/>
      <c r="Y9" s="39"/>
      <c r="Z9" s="39"/>
      <c r="AA9" s="39"/>
      <c r="AB9" s="39"/>
      <c r="AC9" s="39"/>
      <c r="AD9" s="39"/>
      <c r="AE9" s="39"/>
    </row>
    <row r="10" spans="1:31" s="16" customFormat="1" ht="24.95" customHeight="1">
      <c r="A10" s="14"/>
      <c r="B10" s="843" t="str">
        <f>DEZ!A634</f>
        <v>5.3.10.1</v>
      </c>
      <c r="C10" s="845" t="str">
        <f>DEZ!C634</f>
        <v>Cerca de engranzamento soldado, incluso instalação</v>
      </c>
      <c r="D10" s="816" t="s">
        <v>854</v>
      </c>
      <c r="E10" s="816"/>
      <c r="F10" s="816"/>
      <c r="G10" s="816" t="s">
        <v>33</v>
      </c>
      <c r="H10" s="816"/>
      <c r="I10" s="816"/>
      <c r="J10" s="812" t="s">
        <v>853</v>
      </c>
      <c r="K10" s="812" t="s">
        <v>855</v>
      </c>
      <c r="L10" s="812" t="s">
        <v>856</v>
      </c>
      <c r="M10" s="812" t="s">
        <v>62</v>
      </c>
      <c r="N10" s="849" t="s">
        <v>857</v>
      </c>
      <c r="O10" s="812" t="s">
        <v>10</v>
      </c>
      <c r="P10" s="812" t="s">
        <v>858</v>
      </c>
      <c r="Q10" s="120"/>
      <c r="R10" s="120"/>
      <c r="S10" s="143"/>
      <c r="T10" s="144"/>
      <c r="U10" s="15"/>
      <c r="V10" s="12"/>
      <c r="W10" s="12"/>
      <c r="X10" s="12"/>
      <c r="Y10" s="12"/>
      <c r="Z10" s="12"/>
      <c r="AA10" s="12"/>
      <c r="AB10" s="12"/>
      <c r="AC10" s="12"/>
      <c r="AD10" s="12"/>
      <c r="AE10" s="12"/>
    </row>
    <row r="11" spans="1:31" s="16" customFormat="1" ht="39.6" customHeight="1">
      <c r="A11" s="14"/>
      <c r="B11" s="844"/>
      <c r="C11" s="846"/>
      <c r="D11" s="816"/>
      <c r="E11" s="816"/>
      <c r="F11" s="816"/>
      <c r="G11" s="816"/>
      <c r="H11" s="816"/>
      <c r="I11" s="816"/>
      <c r="J11" s="813"/>
      <c r="K11" s="813"/>
      <c r="L11" s="813"/>
      <c r="M11" s="813"/>
      <c r="N11" s="850"/>
      <c r="O11" s="813"/>
      <c r="P11" s="813"/>
      <c r="Q11" s="120"/>
      <c r="R11" s="120"/>
      <c r="S11" s="143"/>
      <c r="T11" s="144"/>
      <c r="U11" s="15"/>
      <c r="V11" s="12"/>
      <c r="W11" s="12"/>
      <c r="X11" s="12"/>
      <c r="Y11" s="12"/>
      <c r="Z11" s="12"/>
      <c r="AA11" s="12"/>
      <c r="AB11" s="12"/>
      <c r="AC11" s="12"/>
      <c r="AD11" s="12"/>
      <c r="AE11" s="12"/>
    </row>
    <row r="12" spans="1:31" s="73" customFormat="1" ht="15">
      <c r="A12" s="64"/>
      <c r="B12" s="109"/>
      <c r="C12" s="237" t="s">
        <v>968</v>
      </c>
      <c r="D12" s="854"/>
      <c r="E12" s="855"/>
      <c r="F12" s="856"/>
      <c r="G12" s="77"/>
      <c r="H12" s="78"/>
      <c r="I12" s="79"/>
      <c r="J12" s="226"/>
      <c r="K12" s="81">
        <v>111.39</v>
      </c>
      <c r="L12" s="82"/>
      <c r="M12" s="83"/>
      <c r="N12" s="85">
        <f>K12</f>
        <v>111.39</v>
      </c>
      <c r="O12" s="154" t="s">
        <v>57</v>
      </c>
      <c r="P12" s="215">
        <v>13</v>
      </c>
      <c r="Q12" s="71"/>
      <c r="R12" s="71"/>
      <c r="S12" s="152"/>
      <c r="T12" s="153"/>
      <c r="U12" s="72"/>
    </row>
    <row r="13" spans="1:31" s="73" customFormat="1" ht="21" customHeight="1">
      <c r="A13" s="64"/>
      <c r="B13" s="109"/>
      <c r="C13" s="65"/>
      <c r="D13" s="77"/>
      <c r="E13" s="78"/>
      <c r="F13" s="79"/>
      <c r="G13" s="77"/>
      <c r="H13" s="78"/>
      <c r="I13" s="79"/>
      <c r="J13" s="66"/>
      <c r="K13" s="108"/>
      <c r="L13" s="67"/>
      <c r="M13" s="68"/>
      <c r="N13" s="85"/>
      <c r="O13" s="111"/>
      <c r="P13" s="215"/>
      <c r="Q13" s="71"/>
      <c r="R13" s="71"/>
      <c r="S13" s="152"/>
      <c r="T13" s="153"/>
      <c r="U13" s="72"/>
      <c r="V13" s="71"/>
      <c r="W13" s="74"/>
    </row>
    <row r="14" spans="1:31" s="90" customFormat="1" ht="21" customHeight="1">
      <c r="A14" s="75"/>
      <c r="B14" s="107"/>
      <c r="C14" s="104"/>
      <c r="D14" s="77"/>
      <c r="E14" s="78"/>
      <c r="F14" s="79"/>
      <c r="G14" s="77"/>
      <c r="H14" s="78"/>
      <c r="I14" s="79"/>
      <c r="J14" s="80"/>
      <c r="K14" s="81"/>
      <c r="L14" s="82"/>
      <c r="M14" s="83"/>
      <c r="N14" s="85"/>
      <c r="O14" s="154"/>
      <c r="P14" s="215"/>
      <c r="Q14" s="86"/>
      <c r="R14" s="86"/>
      <c r="S14" s="86"/>
      <c r="T14" s="151"/>
      <c r="U14" s="87"/>
      <c r="V14" s="88"/>
      <c r="W14" s="89"/>
    </row>
    <row r="15" spans="1:31" s="90" customFormat="1" ht="21" customHeight="1">
      <c r="A15" s="75"/>
      <c r="B15" s="107"/>
      <c r="C15" s="104"/>
      <c r="D15" s="77"/>
      <c r="E15" s="78"/>
      <c r="F15" s="79"/>
      <c r="G15" s="77"/>
      <c r="H15" s="78"/>
      <c r="I15" s="79"/>
      <c r="J15" s="80"/>
      <c r="K15" s="81"/>
      <c r="L15" s="82"/>
      <c r="M15" s="83"/>
      <c r="N15" s="85"/>
      <c r="O15" s="154"/>
      <c r="P15" s="215"/>
      <c r="Q15" s="86"/>
      <c r="R15" s="86"/>
      <c r="S15" s="86"/>
      <c r="T15" s="151"/>
      <c r="U15" s="87"/>
      <c r="V15" s="88"/>
      <c r="W15" s="89"/>
    </row>
    <row r="16" spans="1:31" s="90" customFormat="1" ht="21" customHeight="1">
      <c r="A16" s="75"/>
      <c r="B16" s="107"/>
      <c r="C16" s="104"/>
      <c r="D16" s="77"/>
      <c r="E16" s="78"/>
      <c r="F16" s="79"/>
      <c r="G16" s="77"/>
      <c r="H16" s="78"/>
      <c r="I16" s="79"/>
      <c r="J16" s="80"/>
      <c r="K16" s="81"/>
      <c r="L16" s="82"/>
      <c r="M16" s="83"/>
      <c r="N16" s="85"/>
      <c r="O16" s="154"/>
      <c r="P16" s="215"/>
      <c r="Q16" s="86"/>
      <c r="R16" s="86"/>
      <c r="S16" s="86"/>
      <c r="T16" s="151"/>
      <c r="U16" s="87"/>
      <c r="V16" s="88"/>
      <c r="W16" s="89"/>
    </row>
    <row r="17" spans="1:23" s="90" customFormat="1" ht="21" customHeight="1">
      <c r="A17" s="75"/>
      <c r="B17" s="157"/>
      <c r="C17" s="76"/>
      <c r="D17" s="77"/>
      <c r="E17" s="78"/>
      <c r="F17" s="79"/>
      <c r="G17" s="77"/>
      <c r="H17" s="78"/>
      <c r="I17" s="79"/>
      <c r="J17" s="80"/>
      <c r="K17" s="81"/>
      <c r="L17" s="82"/>
      <c r="M17" s="83"/>
      <c r="N17" s="85"/>
      <c r="O17" s="154"/>
      <c r="P17" s="215"/>
      <c r="Q17" s="86"/>
      <c r="R17" s="86"/>
      <c r="S17" s="86"/>
      <c r="T17" s="151"/>
      <c r="U17" s="87"/>
      <c r="V17" s="88"/>
      <c r="W17" s="89"/>
    </row>
    <row r="18" spans="1:23" s="90" customFormat="1" ht="21" customHeight="1">
      <c r="A18" s="75"/>
      <c r="B18" s="157"/>
      <c r="C18" s="76"/>
      <c r="D18" s="77"/>
      <c r="E18" s="78"/>
      <c r="F18" s="79"/>
      <c r="G18" s="77"/>
      <c r="H18" s="78"/>
      <c r="I18" s="79"/>
      <c r="J18" s="80"/>
      <c r="K18" s="81"/>
      <c r="L18" s="82"/>
      <c r="M18" s="83"/>
      <c r="N18" s="85"/>
      <c r="O18" s="154"/>
      <c r="P18" s="215"/>
      <c r="Q18" s="86"/>
      <c r="R18" s="86"/>
      <c r="S18" s="86"/>
      <c r="T18" s="151"/>
      <c r="U18" s="87"/>
      <c r="V18" s="88"/>
      <c r="W18" s="89"/>
    </row>
    <row r="19" spans="1:23" s="90" customFormat="1" ht="21" customHeight="1">
      <c r="A19" s="75"/>
      <c r="B19" s="157"/>
      <c r="C19" s="76"/>
      <c r="D19" s="77"/>
      <c r="E19" s="78"/>
      <c r="F19" s="79"/>
      <c r="G19" s="77"/>
      <c r="H19" s="78"/>
      <c r="I19" s="79"/>
      <c r="J19" s="80"/>
      <c r="K19" s="81"/>
      <c r="L19" s="82"/>
      <c r="M19" s="83"/>
      <c r="N19" s="85"/>
      <c r="O19" s="154"/>
      <c r="P19" s="215"/>
      <c r="Q19" s="86"/>
      <c r="R19" s="86"/>
      <c r="S19" s="86"/>
      <c r="T19" s="151"/>
      <c r="U19" s="87"/>
      <c r="V19" s="88"/>
      <c r="W19" s="89"/>
    </row>
    <row r="20" spans="1:23" s="90" customFormat="1" ht="21" customHeight="1">
      <c r="A20" s="75"/>
      <c r="B20" s="157"/>
      <c r="C20" s="76"/>
      <c r="D20" s="77"/>
      <c r="E20" s="78"/>
      <c r="F20" s="79"/>
      <c r="G20" s="77"/>
      <c r="H20" s="78"/>
      <c r="I20" s="79"/>
      <c r="J20" s="80"/>
      <c r="K20" s="81"/>
      <c r="L20" s="82"/>
      <c r="M20" s="83"/>
      <c r="N20" s="85"/>
      <c r="O20" s="154"/>
      <c r="P20" s="215"/>
      <c r="Q20" s="86"/>
      <c r="R20" s="86"/>
      <c r="S20" s="86"/>
      <c r="T20" s="151"/>
      <c r="U20" s="87"/>
      <c r="V20" s="88"/>
      <c r="W20" s="89"/>
    </row>
    <row r="21" spans="1:23" s="1" customFormat="1" ht="21" customHeight="1">
      <c r="A21" s="11"/>
      <c r="B21" s="25"/>
      <c r="C21" s="20"/>
      <c r="D21" s="26"/>
      <c r="E21" s="159"/>
      <c r="F21" s="27"/>
      <c r="G21" s="26"/>
      <c r="H21" s="159"/>
      <c r="I21" s="27"/>
      <c r="J21" s="28"/>
      <c r="K21" s="49"/>
      <c r="L21" s="40"/>
      <c r="M21" s="41"/>
      <c r="N21" s="60"/>
      <c r="O21" s="43"/>
      <c r="P21" s="215"/>
      <c r="Q21" s="120"/>
      <c r="R21" s="120"/>
      <c r="S21" s="120"/>
      <c r="T21" s="142"/>
      <c r="U21" s="15"/>
      <c r="V21" s="17"/>
      <c r="W21" s="44"/>
    </row>
    <row r="22" spans="1:23" ht="21" customHeight="1">
      <c r="B22" s="118"/>
      <c r="C22" s="119"/>
      <c r="D22" s="26"/>
      <c r="E22" s="159"/>
      <c r="F22" s="27"/>
      <c r="G22" s="26"/>
      <c r="H22" s="159"/>
      <c r="I22" s="27"/>
      <c r="J22" s="28"/>
      <c r="K22" s="49"/>
      <c r="L22" s="40"/>
      <c r="M22" s="41"/>
      <c r="N22" s="60"/>
      <c r="O22" s="43"/>
      <c r="P22" s="216"/>
    </row>
    <row r="23" spans="1:23" ht="54" customHeight="1">
      <c r="B23" s="161"/>
      <c r="C23" s="162"/>
      <c r="D23" s="806" t="s">
        <v>11</v>
      </c>
      <c r="E23" s="807"/>
      <c r="F23" s="807"/>
      <c r="G23" s="807"/>
      <c r="H23" s="807"/>
      <c r="I23" s="808"/>
      <c r="J23" s="809">
        <f>DEZ!I634</f>
        <v>111.39</v>
      </c>
      <c r="K23" s="810"/>
      <c r="L23" s="50" t="s">
        <v>50</v>
      </c>
      <c r="M23" s="732" t="s">
        <v>12</v>
      </c>
      <c r="N23" s="61">
        <f>SUM(N12:N22)</f>
        <v>111.39</v>
      </c>
      <c r="O23" s="51" t="str">
        <f>L23</f>
        <v>m²</v>
      </c>
      <c r="P23" s="22"/>
    </row>
    <row r="24" spans="1:23" ht="43.5" customHeight="1">
      <c r="B24" s="163"/>
      <c r="C24" s="19"/>
      <c r="D24" s="817" t="s">
        <v>13</v>
      </c>
      <c r="E24" s="818"/>
      <c r="F24" s="818"/>
      <c r="G24" s="818"/>
      <c r="H24" s="818"/>
      <c r="I24" s="819"/>
      <c r="J24" s="823">
        <f>N23/J23</f>
        <v>1</v>
      </c>
      <c r="K24" s="824"/>
      <c r="L24" s="827"/>
      <c r="M24" s="732" t="s">
        <v>34</v>
      </c>
      <c r="N24" s="61">
        <f>N12</f>
        <v>111.39</v>
      </c>
      <c r="O24" s="52" t="str">
        <f>L23</f>
        <v>m²</v>
      </c>
      <c r="P24" s="22"/>
    </row>
    <row r="25" spans="1:23" ht="21" customHeight="1">
      <c r="A25" s="10" t="s">
        <v>469</v>
      </c>
      <c r="B25" s="165"/>
      <c r="C25" s="164"/>
      <c r="D25" s="820"/>
      <c r="E25" s="821"/>
      <c r="F25" s="821"/>
      <c r="G25" s="821"/>
      <c r="H25" s="821"/>
      <c r="I25" s="822"/>
      <c r="J25" s="825"/>
      <c r="K25" s="826"/>
      <c r="L25" s="828"/>
      <c r="M25" s="732" t="s">
        <v>14</v>
      </c>
      <c r="N25" s="62">
        <f>N23-N24</f>
        <v>0</v>
      </c>
      <c r="O25" s="53" t="str">
        <f>L23</f>
        <v>m²</v>
      </c>
      <c r="P25" s="54"/>
    </row>
    <row r="26" spans="1:23" ht="21" customHeight="1">
      <c r="B26" s="218"/>
      <c r="C26" s="217"/>
      <c r="M26" s="732" t="s">
        <v>53</v>
      </c>
      <c r="N26" s="62">
        <f>DEZ!E634</f>
        <v>280.31</v>
      </c>
      <c r="O26" s="53"/>
      <c r="P26" s="54"/>
    </row>
    <row r="27" spans="1:23" ht="21" customHeight="1">
      <c r="B27" s="163"/>
      <c r="C27" s="219"/>
      <c r="M27" s="732" t="s">
        <v>54</v>
      </c>
      <c r="N27" s="62">
        <f>TRUNC(N26*N25,2)</f>
        <v>0</v>
      </c>
      <c r="O27" s="53" t="s">
        <v>55</v>
      </c>
      <c r="P27" s="54"/>
    </row>
    <row r="30" spans="1:23">
      <c r="C30" s="2">
        <f>18*5</f>
        <v>90</v>
      </c>
    </row>
    <row r="31" spans="1:23">
      <c r="C31" s="2">
        <f>C30*0.09</f>
        <v>8.1</v>
      </c>
    </row>
  </sheetData>
  <mergeCells count="22">
    <mergeCell ref="D24:I25"/>
    <mergeCell ref="J24:K25"/>
    <mergeCell ref="L24:L25"/>
    <mergeCell ref="P10:P11"/>
    <mergeCell ref="D12:F12"/>
    <mergeCell ref="D23:I23"/>
    <mergeCell ref="J23:K23"/>
    <mergeCell ref="N10:N11"/>
    <mergeCell ref="O10:O11"/>
    <mergeCell ref="K10:K11"/>
    <mergeCell ref="L10:L11"/>
    <mergeCell ref="M10:M11"/>
    <mergeCell ref="B10:B11"/>
    <mergeCell ref="C10:C11"/>
    <mergeCell ref="D10:F11"/>
    <mergeCell ref="G10:I11"/>
    <mergeCell ref="J10:J11"/>
    <mergeCell ref="B1:P4"/>
    <mergeCell ref="Q4:V4"/>
    <mergeCell ref="B5:I5"/>
    <mergeCell ref="J5:M5"/>
    <mergeCell ref="N5:P5"/>
  </mergeCells>
  <conditionalFormatting sqref="J24:K27">
    <cfRule type="cellIs" dxfId="85" priority="1" operator="greaterThanOrEqual">
      <formula>1</formula>
    </cfRule>
    <cfRule type="cellIs" dxfId="84" priority="2" operator="greaterThan">
      <formula>100%</formula>
    </cfRule>
  </conditionalFormatting>
  <pageMargins left="0.51181102362204722" right="0.51181102362204722" top="0.78740157480314965" bottom="0.78740157480314965" header="0.31496062992125984" footer="0.31496062992125984"/>
  <pageSetup paperSize="9" scale="57" fitToHeight="0" orientation="landscape" r:id="rId1"/>
  <headerFooter>
    <oddFooter>Página &amp;P de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18">
    <tabColor rgb="FF339933"/>
    <pageSetUpPr fitToPage="1"/>
  </sheetPr>
  <dimension ref="A1:AJ33"/>
  <sheetViews>
    <sheetView view="pageBreakPreview" topLeftCell="B6" zoomScale="50" zoomScaleNormal="55" zoomScaleSheetLayoutView="50" workbookViewId="0">
      <selection activeCell="R31" sqref="R3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DEZ!A41</f>
        <v>1.1.3.6</v>
      </c>
      <c r="C10" s="845" t="str">
        <f>DEZ!C41</f>
        <v>Mobilização e desmobilização de conteiner locado para barracão de obra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952</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t="s">
        <v>953</v>
      </c>
      <c r="D13" s="77"/>
      <c r="E13" s="78"/>
      <c r="F13" s="79"/>
      <c r="G13" s="77"/>
      <c r="H13" s="78"/>
      <c r="I13" s="79"/>
      <c r="J13" s="66"/>
      <c r="K13" s="108"/>
      <c r="L13" s="67"/>
      <c r="M13" s="68">
        <v>1</v>
      </c>
      <c r="N13" s="110"/>
      <c r="O13" s="69"/>
      <c r="P13" s="67"/>
      <c r="Q13" s="106"/>
      <c r="R13" s="85">
        <f>M13</f>
        <v>1</v>
      </c>
      <c r="S13" s="111" t="str">
        <f>L29</f>
        <v>und</v>
      </c>
      <c r="T13" s="215">
        <v>4</v>
      </c>
      <c r="U13" s="94"/>
      <c r="V13" s="71"/>
      <c r="W13" s="71"/>
      <c r="X13" s="152"/>
      <c r="Y13" s="153"/>
      <c r="Z13" s="72"/>
      <c r="AA13" s="71"/>
      <c r="AB13" s="74"/>
    </row>
    <row r="14" spans="1:36" s="73" customFormat="1" ht="21" customHeight="1">
      <c r="A14" s="64"/>
      <c r="B14" s="109"/>
      <c r="C14" s="65" t="s">
        <v>954</v>
      </c>
      <c r="D14" s="77"/>
      <c r="E14" s="78"/>
      <c r="F14" s="79"/>
      <c r="G14" s="77"/>
      <c r="H14" s="78"/>
      <c r="I14" s="79"/>
      <c r="J14" s="66"/>
      <c r="K14" s="108"/>
      <c r="L14" s="67"/>
      <c r="M14" s="68">
        <v>1</v>
      </c>
      <c r="N14" s="110"/>
      <c r="O14" s="69"/>
      <c r="P14" s="67"/>
      <c r="Q14" s="106"/>
      <c r="R14" s="85">
        <f t="shared" ref="R14:R16" si="0">M14</f>
        <v>1</v>
      </c>
      <c r="S14" s="111" t="s">
        <v>59</v>
      </c>
      <c r="T14" s="215">
        <v>4</v>
      </c>
      <c r="U14" s="94"/>
      <c r="V14" s="71"/>
      <c r="W14" s="71"/>
      <c r="X14" s="152"/>
      <c r="Y14" s="153"/>
      <c r="Z14" s="72"/>
      <c r="AA14" s="71"/>
      <c r="AB14" s="74"/>
    </row>
    <row r="15" spans="1:36" s="73" customFormat="1" ht="21" customHeight="1">
      <c r="A15" s="64"/>
      <c r="B15" s="109"/>
      <c r="C15" s="65" t="s">
        <v>955</v>
      </c>
      <c r="D15" s="77"/>
      <c r="E15" s="78"/>
      <c r="F15" s="79"/>
      <c r="G15" s="77"/>
      <c r="H15" s="78"/>
      <c r="I15" s="79"/>
      <c r="J15" s="66"/>
      <c r="K15" s="108"/>
      <c r="L15" s="67"/>
      <c r="M15" s="68">
        <v>1</v>
      </c>
      <c r="N15" s="110"/>
      <c r="O15" s="69"/>
      <c r="P15" s="67"/>
      <c r="Q15" s="106"/>
      <c r="R15" s="85">
        <f t="shared" si="0"/>
        <v>1</v>
      </c>
      <c r="S15" s="111" t="s">
        <v>59</v>
      </c>
      <c r="T15" s="215">
        <v>4</v>
      </c>
      <c r="U15" s="94"/>
      <c r="V15" s="71"/>
      <c r="W15" s="71"/>
      <c r="X15" s="152"/>
      <c r="Y15" s="153"/>
      <c r="Z15" s="72"/>
      <c r="AA15" s="71"/>
      <c r="AB15" s="74"/>
    </row>
    <row r="16" spans="1:36" s="73" customFormat="1" ht="21" customHeight="1">
      <c r="A16" s="64"/>
      <c r="B16" s="109"/>
      <c r="C16" s="65" t="s">
        <v>956</v>
      </c>
      <c r="D16" s="77"/>
      <c r="E16" s="78"/>
      <c r="F16" s="79"/>
      <c r="G16" s="77"/>
      <c r="H16" s="78"/>
      <c r="I16" s="79"/>
      <c r="J16" s="66"/>
      <c r="K16" s="108"/>
      <c r="L16" s="67"/>
      <c r="M16" s="68">
        <v>1</v>
      </c>
      <c r="N16" s="110"/>
      <c r="O16" s="69"/>
      <c r="P16" s="67"/>
      <c r="Q16" s="106"/>
      <c r="R16" s="85">
        <f t="shared" si="0"/>
        <v>1</v>
      </c>
      <c r="S16" s="111" t="s">
        <v>59</v>
      </c>
      <c r="T16" s="215">
        <v>4</v>
      </c>
      <c r="U16" s="94"/>
      <c r="V16" s="71"/>
      <c r="W16" s="71"/>
      <c r="X16" s="152"/>
      <c r="Y16" s="153"/>
      <c r="Z16" s="72"/>
      <c r="AA16" s="71"/>
      <c r="AB16" s="74"/>
    </row>
    <row r="17" spans="1:28" s="73" customFormat="1" ht="21" customHeight="1">
      <c r="A17" s="64"/>
      <c r="B17" s="112"/>
      <c r="C17" s="220" t="s">
        <v>964</v>
      </c>
      <c r="D17" s="77"/>
      <c r="E17" s="78"/>
      <c r="F17" s="79"/>
      <c r="G17" s="77"/>
      <c r="H17" s="78"/>
      <c r="I17" s="79"/>
      <c r="J17" s="80"/>
      <c r="K17" s="81"/>
      <c r="L17" s="82"/>
      <c r="M17" s="83"/>
      <c r="N17" s="105"/>
      <c r="O17" s="84"/>
      <c r="P17" s="82"/>
      <c r="Q17" s="93"/>
      <c r="R17" s="85"/>
      <c r="S17" s="111"/>
      <c r="T17" s="215"/>
      <c r="U17" s="91"/>
      <c r="V17" s="71"/>
      <c r="W17" s="71"/>
      <c r="X17" s="152"/>
      <c r="Y17" s="153"/>
      <c r="Z17" s="72"/>
    </row>
    <row r="18" spans="1:28" s="90" customFormat="1" ht="21" customHeight="1">
      <c r="A18" s="75"/>
      <c r="B18" s="107"/>
      <c r="C18" s="65" t="s">
        <v>953</v>
      </c>
      <c r="D18" s="77"/>
      <c r="E18" s="78"/>
      <c r="F18" s="79"/>
      <c r="G18" s="77"/>
      <c r="H18" s="78"/>
      <c r="I18" s="79"/>
      <c r="J18" s="80"/>
      <c r="K18" s="81"/>
      <c r="L18" s="82"/>
      <c r="M18" s="68">
        <v>1</v>
      </c>
      <c r="N18" s="110"/>
      <c r="O18" s="69"/>
      <c r="P18" s="67"/>
      <c r="Q18" s="106"/>
      <c r="R18" s="85">
        <f>M18</f>
        <v>1</v>
      </c>
      <c r="S18" s="111" t="s">
        <v>59</v>
      </c>
      <c r="T18" s="215">
        <v>5</v>
      </c>
      <c r="U18" s="92"/>
      <c r="V18" s="86"/>
      <c r="W18" s="86"/>
      <c r="X18" s="86"/>
      <c r="Y18" s="151"/>
      <c r="Z18" s="87"/>
      <c r="AA18" s="88"/>
      <c r="AB18" s="89"/>
    </row>
    <row r="19" spans="1:28" s="90" customFormat="1" ht="21" customHeight="1">
      <c r="A19" s="75"/>
      <c r="B19" s="107"/>
      <c r="C19" s="65" t="s">
        <v>954</v>
      </c>
      <c r="D19" s="77"/>
      <c r="E19" s="78"/>
      <c r="F19" s="79"/>
      <c r="G19" s="77"/>
      <c r="H19" s="78"/>
      <c r="I19" s="79"/>
      <c r="J19" s="80"/>
      <c r="K19" s="81"/>
      <c r="L19" s="82"/>
      <c r="M19" s="68">
        <v>1</v>
      </c>
      <c r="N19" s="110"/>
      <c r="O19" s="69"/>
      <c r="P19" s="67"/>
      <c r="Q19" s="106"/>
      <c r="R19" s="85">
        <f t="shared" ref="R19:R21" si="1">M19</f>
        <v>1</v>
      </c>
      <c r="S19" s="111" t="s">
        <v>59</v>
      </c>
      <c r="T19" s="215">
        <v>5</v>
      </c>
      <c r="U19" s="92"/>
      <c r="V19" s="86"/>
      <c r="W19" s="86"/>
      <c r="X19" s="86"/>
      <c r="Y19" s="151"/>
      <c r="Z19" s="87"/>
      <c r="AA19" s="88"/>
      <c r="AB19" s="89"/>
    </row>
    <row r="20" spans="1:28" s="90" customFormat="1" ht="21" customHeight="1">
      <c r="A20" s="75"/>
      <c r="B20" s="157"/>
      <c r="C20" s="65" t="s">
        <v>955</v>
      </c>
      <c r="D20" s="77"/>
      <c r="E20" s="78"/>
      <c r="F20" s="79"/>
      <c r="G20" s="77"/>
      <c r="H20" s="78"/>
      <c r="I20" s="79"/>
      <c r="J20" s="80"/>
      <c r="K20" s="81"/>
      <c r="L20" s="82"/>
      <c r="M20" s="68">
        <v>1</v>
      </c>
      <c r="N20" s="110"/>
      <c r="O20" s="69"/>
      <c r="P20" s="67"/>
      <c r="Q20" s="106"/>
      <c r="R20" s="85">
        <f t="shared" si="1"/>
        <v>1</v>
      </c>
      <c r="S20" s="111" t="s">
        <v>59</v>
      </c>
      <c r="T20" s="215">
        <v>5</v>
      </c>
      <c r="U20" s="92"/>
      <c r="V20" s="86"/>
      <c r="W20" s="86"/>
      <c r="X20" s="86"/>
      <c r="Y20" s="151"/>
      <c r="Z20" s="87"/>
      <c r="AA20" s="88"/>
      <c r="AB20" s="89"/>
    </row>
    <row r="21" spans="1:28" s="90" customFormat="1" ht="21" customHeight="1">
      <c r="A21" s="75"/>
      <c r="B21" s="157"/>
      <c r="C21" s="65" t="s">
        <v>956</v>
      </c>
      <c r="D21" s="77"/>
      <c r="E21" s="78"/>
      <c r="F21" s="79"/>
      <c r="G21" s="77"/>
      <c r="H21" s="78"/>
      <c r="I21" s="79"/>
      <c r="J21" s="80"/>
      <c r="K21" s="81"/>
      <c r="L21" s="82"/>
      <c r="M21" s="68">
        <v>1</v>
      </c>
      <c r="N21" s="110"/>
      <c r="O21" s="69"/>
      <c r="P21" s="67"/>
      <c r="Q21" s="106"/>
      <c r="R21" s="85">
        <f t="shared" si="1"/>
        <v>1</v>
      </c>
      <c r="S21" s="111" t="s">
        <v>59</v>
      </c>
      <c r="T21" s="215">
        <v>5</v>
      </c>
      <c r="U21" s="92"/>
      <c r="V21" s="86"/>
      <c r="W21" s="86"/>
      <c r="X21" s="86"/>
      <c r="Y21" s="151"/>
      <c r="Z21" s="87"/>
      <c r="AA21" s="88"/>
      <c r="AB21" s="89"/>
    </row>
    <row r="22" spans="1:28" s="73" customFormat="1" ht="21" customHeight="1">
      <c r="A22" s="64"/>
      <c r="B22" s="112"/>
      <c r="C22" s="220" t="s">
        <v>1019</v>
      </c>
      <c r="D22" s="77"/>
      <c r="E22" s="78"/>
      <c r="F22" s="79"/>
      <c r="G22" s="77"/>
      <c r="H22" s="78"/>
      <c r="I22" s="79"/>
      <c r="J22" s="80"/>
      <c r="K22" s="81"/>
      <c r="L22" s="82"/>
      <c r="M22" s="83"/>
      <c r="N22" s="105"/>
      <c r="O22" s="84"/>
      <c r="P22" s="82"/>
      <c r="Q22" s="93"/>
      <c r="R22" s="85"/>
      <c r="S22" s="111"/>
      <c r="T22" s="215"/>
      <c r="U22" s="91"/>
      <c r="V22" s="71"/>
      <c r="W22" s="71"/>
      <c r="X22" s="152"/>
      <c r="Y22" s="153"/>
      <c r="Z22" s="72"/>
    </row>
    <row r="23" spans="1:28" s="90" customFormat="1" ht="21" customHeight="1">
      <c r="A23" s="75"/>
      <c r="B23" s="157"/>
      <c r="C23" s="65" t="s">
        <v>953</v>
      </c>
      <c r="D23" s="77"/>
      <c r="E23" s="78"/>
      <c r="F23" s="79"/>
      <c r="G23" s="77"/>
      <c r="H23" s="78"/>
      <c r="I23" s="79"/>
      <c r="J23" s="80"/>
      <c r="K23" s="81"/>
      <c r="L23" s="82"/>
      <c r="M23" s="83">
        <v>1</v>
      </c>
      <c r="N23" s="84"/>
      <c r="O23" s="84"/>
      <c r="P23" s="82"/>
      <c r="Q23" s="85"/>
      <c r="R23" s="85">
        <v>1</v>
      </c>
      <c r="S23" s="111" t="s">
        <v>59</v>
      </c>
      <c r="T23" s="215">
        <v>7</v>
      </c>
      <c r="U23" s="92"/>
      <c r="V23" s="86"/>
      <c r="W23" s="86"/>
      <c r="X23" s="86"/>
      <c r="Y23" s="151"/>
      <c r="Z23" s="87"/>
      <c r="AA23" s="88"/>
      <c r="AB23" s="89"/>
    </row>
    <row r="24" spans="1:28" s="90" customFormat="1" ht="15">
      <c r="A24" s="75"/>
      <c r="B24" s="157"/>
      <c r="C24" s="65" t="s">
        <v>954</v>
      </c>
      <c r="D24" s="77"/>
      <c r="E24" s="78"/>
      <c r="F24" s="79"/>
      <c r="G24" s="77"/>
      <c r="H24" s="78"/>
      <c r="I24" s="79"/>
      <c r="J24" s="80"/>
      <c r="K24" s="81"/>
      <c r="L24" s="82"/>
      <c r="M24" s="83">
        <v>1</v>
      </c>
      <c r="N24" s="84"/>
      <c r="O24" s="84"/>
      <c r="P24" s="82"/>
      <c r="Q24" s="85"/>
      <c r="R24" s="85">
        <v>1</v>
      </c>
      <c r="S24" s="111" t="s">
        <v>59</v>
      </c>
      <c r="T24" s="215">
        <v>7</v>
      </c>
      <c r="U24" s="92"/>
      <c r="V24" s="86"/>
      <c r="W24" s="86"/>
      <c r="X24" s="86"/>
      <c r="Y24" s="151"/>
      <c r="Z24" s="87"/>
      <c r="AA24" s="88"/>
      <c r="AB24" s="89"/>
    </row>
    <row r="25" spans="1:28" s="90" customFormat="1" ht="21" customHeight="1">
      <c r="A25" s="75"/>
      <c r="B25" s="157"/>
      <c r="C25" s="65" t="s">
        <v>956</v>
      </c>
      <c r="D25" s="77"/>
      <c r="E25" s="78"/>
      <c r="F25" s="79"/>
      <c r="G25" s="77"/>
      <c r="H25" s="78"/>
      <c r="I25" s="79"/>
      <c r="J25" s="80"/>
      <c r="K25" s="81"/>
      <c r="L25" s="82"/>
      <c r="M25" s="83">
        <v>1</v>
      </c>
      <c r="N25" s="84"/>
      <c r="O25" s="84"/>
      <c r="P25" s="82"/>
      <c r="Q25" s="85"/>
      <c r="R25" s="85">
        <v>1</v>
      </c>
      <c r="S25" s="111" t="s">
        <v>59</v>
      </c>
      <c r="T25" s="215">
        <v>9</v>
      </c>
      <c r="U25" s="92"/>
      <c r="V25" s="86"/>
      <c r="W25" s="86"/>
      <c r="X25" s="86"/>
      <c r="Y25" s="151"/>
      <c r="Z25" s="87"/>
      <c r="AA25" s="88"/>
      <c r="AB25" s="89"/>
    </row>
    <row r="26" spans="1:28" s="90" customFormat="1" ht="21" customHeight="1">
      <c r="A26" s="75"/>
      <c r="B26" s="157"/>
      <c r="C26" s="65" t="s">
        <v>1443</v>
      </c>
      <c r="D26" s="77"/>
      <c r="E26" s="78"/>
      <c r="F26" s="79"/>
      <c r="G26" s="77"/>
      <c r="H26" s="78"/>
      <c r="I26" s="79"/>
      <c r="J26" s="80"/>
      <c r="K26" s="81"/>
      <c r="L26" s="82"/>
      <c r="M26" s="83">
        <v>1</v>
      </c>
      <c r="N26" s="84"/>
      <c r="O26" s="84"/>
      <c r="P26" s="82"/>
      <c r="Q26" s="85"/>
      <c r="R26" s="85">
        <v>1</v>
      </c>
      <c r="S26" s="111" t="s">
        <v>59</v>
      </c>
      <c r="T26" s="215">
        <v>14</v>
      </c>
      <c r="U26" s="92"/>
      <c r="V26" s="86"/>
      <c r="W26" s="86"/>
      <c r="X26" s="86"/>
      <c r="Y26" s="151"/>
      <c r="Z26" s="87"/>
      <c r="AA26" s="88"/>
      <c r="AB26" s="89"/>
    </row>
    <row r="27" spans="1:28" s="90" customFormat="1" ht="21" customHeight="1">
      <c r="A27" s="75"/>
      <c r="B27" s="157"/>
      <c r="C27" s="65" t="s">
        <v>1444</v>
      </c>
      <c r="D27" s="77"/>
      <c r="E27" s="78"/>
      <c r="F27" s="79"/>
      <c r="G27" s="77"/>
      <c r="H27" s="78"/>
      <c r="I27" s="79"/>
      <c r="J27" s="80"/>
      <c r="K27" s="81"/>
      <c r="L27" s="82"/>
      <c r="M27" s="83">
        <v>1</v>
      </c>
      <c r="N27" s="84"/>
      <c r="O27" s="84"/>
      <c r="P27" s="82"/>
      <c r="Q27" s="85"/>
      <c r="R27" s="85">
        <v>1</v>
      </c>
      <c r="S27" s="111" t="s">
        <v>59</v>
      </c>
      <c r="T27" s="215">
        <v>14</v>
      </c>
      <c r="U27" s="92"/>
      <c r="V27" s="86"/>
      <c r="W27" s="86"/>
      <c r="X27" s="86"/>
      <c r="Y27" s="151"/>
      <c r="Z27" s="87"/>
      <c r="AA27" s="88"/>
      <c r="AB27" s="89"/>
    </row>
    <row r="28" spans="1:28" ht="21" customHeight="1">
      <c r="B28" s="118"/>
      <c r="C28" s="65" t="s">
        <v>1445</v>
      </c>
      <c r="D28" s="26"/>
      <c r="E28" s="159"/>
      <c r="F28" s="27"/>
      <c r="G28" s="26"/>
      <c r="H28" s="159"/>
      <c r="I28" s="27"/>
      <c r="J28" s="28"/>
      <c r="K28" s="49"/>
      <c r="L28" s="40"/>
      <c r="M28" s="41">
        <v>1</v>
      </c>
      <c r="N28" s="160"/>
      <c r="O28" s="160"/>
      <c r="P28" s="40"/>
      <c r="Q28" s="42"/>
      <c r="R28" s="85">
        <v>1</v>
      </c>
      <c r="S28" s="111" t="s">
        <v>59</v>
      </c>
      <c r="T28" s="215">
        <v>14</v>
      </c>
      <c r="U28" s="117"/>
    </row>
    <row r="29" spans="1:28" ht="39.6" customHeight="1">
      <c r="B29" s="161"/>
      <c r="C29" s="162"/>
      <c r="D29" s="806" t="s">
        <v>11</v>
      </c>
      <c r="E29" s="807"/>
      <c r="F29" s="807"/>
      <c r="G29" s="807"/>
      <c r="H29" s="807"/>
      <c r="I29" s="808"/>
      <c r="J29" s="809">
        <f>DEZ!I41</f>
        <v>14</v>
      </c>
      <c r="K29" s="810"/>
      <c r="L29" s="50" t="str">
        <f>DEZ!D41</f>
        <v>und</v>
      </c>
      <c r="M29" s="803" t="s">
        <v>12</v>
      </c>
      <c r="N29" s="811"/>
      <c r="O29" s="811"/>
      <c r="P29" s="811"/>
      <c r="Q29" s="805"/>
      <c r="R29" s="61">
        <f>SUM(R12:R28)</f>
        <v>14</v>
      </c>
      <c r="S29" s="51" t="str">
        <f>L29</f>
        <v>und</v>
      </c>
      <c r="T29" s="22"/>
      <c r="U29" s="23"/>
    </row>
    <row r="30" spans="1:28" ht="21" customHeight="1">
      <c r="B30" s="163"/>
      <c r="C30" s="19"/>
      <c r="D30" s="817" t="s">
        <v>13</v>
      </c>
      <c r="E30" s="818"/>
      <c r="F30" s="818"/>
      <c r="G30" s="818"/>
      <c r="H30" s="818"/>
      <c r="I30" s="819"/>
      <c r="J30" s="823">
        <f>R29/J29</f>
        <v>1</v>
      </c>
      <c r="K30" s="824"/>
      <c r="L30" s="827"/>
      <c r="M30" s="803" t="s">
        <v>34</v>
      </c>
      <c r="N30" s="804"/>
      <c r="O30" s="804"/>
      <c r="P30" s="804"/>
      <c r="Q30" s="805"/>
      <c r="R30" s="61">
        <f>SUM(R13:R28)</f>
        <v>14</v>
      </c>
      <c r="S30" s="52" t="str">
        <f>L29</f>
        <v>und</v>
      </c>
      <c r="T30" s="22"/>
      <c r="U30" s="23"/>
    </row>
    <row r="31" spans="1:28" ht="21" customHeight="1">
      <c r="A31" s="10" t="s">
        <v>77</v>
      </c>
      <c r="B31" s="165"/>
      <c r="C31" s="164"/>
      <c r="D31" s="820"/>
      <c r="E31" s="821"/>
      <c r="F31" s="821"/>
      <c r="G31" s="821"/>
      <c r="H31" s="821"/>
      <c r="I31" s="822"/>
      <c r="J31" s="825"/>
      <c r="K31" s="826"/>
      <c r="L31" s="828"/>
      <c r="M31" s="803" t="s">
        <v>14</v>
      </c>
      <c r="N31" s="804"/>
      <c r="O31" s="804"/>
      <c r="P31" s="804"/>
      <c r="Q31" s="805"/>
      <c r="R31" s="62">
        <f>R29-R30</f>
        <v>0</v>
      </c>
      <c r="S31" s="53" t="str">
        <f>L29</f>
        <v>und</v>
      </c>
      <c r="T31" s="54"/>
      <c r="U31" s="24"/>
    </row>
    <row r="32" spans="1:28" ht="21" customHeight="1">
      <c r="B32" s="218"/>
      <c r="C32" s="217"/>
      <c r="M32" s="803" t="s">
        <v>53</v>
      </c>
      <c r="N32" s="804"/>
      <c r="O32" s="804"/>
      <c r="P32" s="804"/>
      <c r="Q32" s="805"/>
      <c r="R32" s="62">
        <f>DEZ!E41</f>
        <v>1028.8900000000001</v>
      </c>
      <c r="S32" s="53"/>
      <c r="T32" s="54"/>
      <c r="U32" s="24"/>
    </row>
    <row r="33" spans="2:21" ht="21" customHeight="1">
      <c r="B33" s="163"/>
      <c r="C33" s="219"/>
      <c r="M33" s="803" t="s">
        <v>54</v>
      </c>
      <c r="N33" s="804"/>
      <c r="O33" s="804"/>
      <c r="P33" s="804"/>
      <c r="Q33" s="805"/>
      <c r="R33" s="62">
        <f>TRUNC(R32*R31,2)</f>
        <v>0</v>
      </c>
      <c r="S33" s="53" t="s">
        <v>55</v>
      </c>
      <c r="T33" s="54"/>
      <c r="U33" s="24"/>
    </row>
  </sheetData>
  <mergeCells count="34">
    <mergeCell ref="M32:Q32"/>
    <mergeCell ref="M33:Q33"/>
    <mergeCell ref="T10:T11"/>
    <mergeCell ref="U10:U11"/>
    <mergeCell ref="D29:I29"/>
    <mergeCell ref="J29:K29"/>
    <mergeCell ref="M29:Q29"/>
    <mergeCell ref="D30:I31"/>
    <mergeCell ref="J30:K31"/>
    <mergeCell ref="L30:L31"/>
    <mergeCell ref="M30:Q30"/>
    <mergeCell ref="M31:Q31"/>
    <mergeCell ref="N10:N11"/>
    <mergeCell ref="O10:O11"/>
    <mergeCell ref="P10:P11"/>
    <mergeCell ref="Q10:Q11"/>
    <mergeCell ref="R10:R11"/>
    <mergeCell ref="S10:S11"/>
    <mergeCell ref="T8:U8"/>
    <mergeCell ref="T9:U9"/>
    <mergeCell ref="B10:B11"/>
    <mergeCell ref="C10:C11"/>
    <mergeCell ref="D10:F11"/>
    <mergeCell ref="G10:I11"/>
    <mergeCell ref="J10:J11"/>
    <mergeCell ref="K10:K11"/>
    <mergeCell ref="L10:L11"/>
    <mergeCell ref="M10:M11"/>
    <mergeCell ref="T7:U7"/>
    <mergeCell ref="B1:U4"/>
    <mergeCell ref="V4:AA4"/>
    <mergeCell ref="B5:I5"/>
    <mergeCell ref="J5:O5"/>
    <mergeCell ref="P5:U5"/>
  </mergeCells>
  <conditionalFormatting sqref="J30:K33">
    <cfRule type="cellIs" dxfId="397" priority="1" operator="greaterThanOrEqual">
      <formula>1</formula>
    </cfRule>
    <cfRule type="cellIs" dxfId="39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FA21E-348A-4FDE-AD2B-CE782D0DE92F}">
  <sheetPr>
    <tabColor rgb="FF339933"/>
    <pageSetUpPr fitToPage="1"/>
  </sheetPr>
  <dimension ref="A1:AE31"/>
  <sheetViews>
    <sheetView view="pageBreakPreview" zoomScale="50" zoomScaleNormal="55" zoomScaleSheetLayoutView="50" workbookViewId="0">
      <selection activeCell="N25" sqref="N25"/>
    </sheetView>
  </sheetViews>
  <sheetFormatPr defaultColWidth="9.140625" defaultRowHeight="12.75"/>
  <cols>
    <col min="1" max="1" width="9.140625" style="10"/>
    <col min="2" max="2" width="12.7109375" style="18"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31.140625" style="2" customWidth="1"/>
    <col min="14" max="14" width="16" style="63" customWidth="1"/>
    <col min="15" max="15" width="9" style="2" customWidth="1"/>
    <col min="16" max="16" width="15.28515625" style="2" customWidth="1"/>
    <col min="17" max="19" width="9.140625" style="2"/>
    <col min="20" max="20" width="9.140625" style="140"/>
    <col min="21" max="22" width="9.140625" style="2"/>
    <col min="23" max="23" width="12.7109375" style="13" customWidth="1"/>
    <col min="24" max="16384" width="9.140625" style="2"/>
  </cols>
  <sheetData>
    <row r="1" spans="1:31" ht="18.75" customHeight="1">
      <c r="B1" s="831" t="s">
        <v>851</v>
      </c>
      <c r="C1" s="832"/>
      <c r="D1" s="832"/>
      <c r="E1" s="832"/>
      <c r="F1" s="832"/>
      <c r="G1" s="832"/>
      <c r="H1" s="832"/>
      <c r="I1" s="832"/>
      <c r="J1" s="832"/>
      <c r="K1" s="832"/>
      <c r="L1" s="832"/>
      <c r="M1" s="832"/>
      <c r="N1" s="832"/>
      <c r="O1" s="832"/>
      <c r="P1" s="832"/>
    </row>
    <row r="2" spans="1:31" ht="18.75" customHeight="1">
      <c r="B2" s="832"/>
      <c r="C2" s="832"/>
      <c r="D2" s="832"/>
      <c r="E2" s="832"/>
      <c r="F2" s="832"/>
      <c r="G2" s="832"/>
      <c r="H2" s="832"/>
      <c r="I2" s="832"/>
      <c r="J2" s="832"/>
      <c r="K2" s="832"/>
      <c r="L2" s="832"/>
      <c r="M2" s="832"/>
      <c r="N2" s="832"/>
      <c r="O2" s="832"/>
      <c r="P2" s="832"/>
    </row>
    <row r="3" spans="1:31" ht="18.75" customHeight="1">
      <c r="B3" s="832"/>
      <c r="C3" s="832"/>
      <c r="D3" s="832"/>
      <c r="E3" s="832"/>
      <c r="F3" s="832"/>
      <c r="G3" s="832"/>
      <c r="H3" s="832"/>
      <c r="I3" s="832"/>
      <c r="J3" s="832"/>
      <c r="K3" s="832"/>
      <c r="L3" s="832"/>
      <c r="M3" s="832"/>
      <c r="N3" s="832"/>
      <c r="O3" s="832"/>
      <c r="P3" s="832"/>
    </row>
    <row r="4" spans="1:31" ht="18.75" customHeight="1">
      <c r="B4" s="832"/>
      <c r="C4" s="832"/>
      <c r="D4" s="832"/>
      <c r="E4" s="832"/>
      <c r="F4" s="832"/>
      <c r="G4" s="832"/>
      <c r="H4" s="832"/>
      <c r="I4" s="832"/>
      <c r="J4" s="832"/>
      <c r="K4" s="832"/>
      <c r="L4" s="832"/>
      <c r="M4" s="832"/>
      <c r="N4" s="832"/>
      <c r="O4" s="832"/>
      <c r="P4" s="832"/>
      <c r="Q4" s="833"/>
      <c r="R4" s="833"/>
      <c r="S4" s="833"/>
      <c r="T4" s="833"/>
      <c r="U4" s="833"/>
      <c r="V4" s="833"/>
    </row>
    <row r="5" spans="1:31" s="21" customFormat="1" ht="15.75" customHeight="1">
      <c r="A5" s="29"/>
      <c r="B5" s="834" t="s">
        <v>5</v>
      </c>
      <c r="C5" s="835"/>
      <c r="D5" s="835"/>
      <c r="E5" s="835"/>
      <c r="F5" s="835"/>
      <c r="G5" s="835"/>
      <c r="H5" s="835"/>
      <c r="I5" s="836"/>
      <c r="J5" s="837" t="s">
        <v>6</v>
      </c>
      <c r="K5" s="838"/>
      <c r="L5" s="838"/>
      <c r="M5" s="838"/>
      <c r="N5" s="841"/>
      <c r="O5" s="841"/>
      <c r="P5" s="841"/>
      <c r="Q5" s="158"/>
      <c r="R5" s="158"/>
      <c r="S5" s="158"/>
      <c r="T5" s="158"/>
      <c r="U5" s="158"/>
      <c r="V5" s="158"/>
      <c r="W5" s="30"/>
    </row>
    <row r="6" spans="1:31"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T6" s="141"/>
      <c r="W6" s="36"/>
    </row>
    <row r="7" spans="1:31" s="35" customFormat="1" ht="15.75">
      <c r="A7" s="31"/>
      <c r="B7" s="98"/>
      <c r="C7" s="145"/>
      <c r="D7" s="37"/>
      <c r="E7" s="38"/>
      <c r="F7" s="38"/>
      <c r="G7" s="37"/>
      <c r="H7" s="38"/>
      <c r="I7" s="56"/>
      <c r="J7" s="136" t="str">
        <f>DEZ!D8</f>
        <v xml:space="preserve">CONTRATO N°: </v>
      </c>
      <c r="K7" s="37"/>
      <c r="L7" s="115" t="str">
        <f>DEZ!F8</f>
        <v>06/2021</v>
      </c>
      <c r="M7" s="37"/>
      <c r="N7" s="58"/>
      <c r="O7" s="37"/>
      <c r="P7" s="733"/>
      <c r="T7" s="141"/>
      <c r="W7" s="36"/>
    </row>
    <row r="8" spans="1:31"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59"/>
      <c r="O8" s="38"/>
      <c r="P8" s="733"/>
      <c r="T8" s="141"/>
      <c r="V8" s="39"/>
      <c r="W8" s="39"/>
      <c r="X8" s="39"/>
      <c r="Y8" s="39"/>
      <c r="Z8" s="39"/>
      <c r="AA8" s="39"/>
      <c r="AB8" s="39"/>
      <c r="AC8" s="39"/>
      <c r="AD8" s="39"/>
      <c r="AE8" s="39"/>
    </row>
    <row r="9" spans="1:31"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59"/>
      <c r="O9" s="38"/>
      <c r="P9" s="733"/>
      <c r="T9" s="141"/>
      <c r="V9" s="39"/>
      <c r="W9" s="39"/>
      <c r="X9" s="39"/>
      <c r="Y9" s="39"/>
      <c r="Z9" s="39"/>
      <c r="AA9" s="39"/>
      <c r="AB9" s="39"/>
      <c r="AC9" s="39"/>
      <c r="AD9" s="39"/>
      <c r="AE9" s="39"/>
    </row>
    <row r="10" spans="1:31" s="16" customFormat="1" ht="24.95" customHeight="1">
      <c r="A10" s="14"/>
      <c r="B10" s="843" t="str">
        <f>DEZ!A642</f>
        <v>5.3.10.9</v>
      </c>
      <c r="C10" s="845" t="str">
        <f>DEZ!C642</f>
        <v>Pintura com tinta acrílica, marcas de referência Suvinil, Coral e Metalatex, inclusive selador acrílico, em paredes e forros, a duas demãos</v>
      </c>
      <c r="D10" s="816" t="s">
        <v>854</v>
      </c>
      <c r="E10" s="816"/>
      <c r="F10" s="816"/>
      <c r="G10" s="816" t="s">
        <v>33</v>
      </c>
      <c r="H10" s="816"/>
      <c r="I10" s="816"/>
      <c r="J10" s="812" t="s">
        <v>853</v>
      </c>
      <c r="K10" s="812" t="s">
        <v>855</v>
      </c>
      <c r="L10" s="812" t="s">
        <v>856</v>
      </c>
      <c r="M10" s="812" t="s">
        <v>62</v>
      </c>
      <c r="N10" s="849" t="s">
        <v>857</v>
      </c>
      <c r="O10" s="812" t="s">
        <v>10</v>
      </c>
      <c r="P10" s="812" t="s">
        <v>858</v>
      </c>
      <c r="Q10" s="120"/>
      <c r="R10" s="120"/>
      <c r="S10" s="143"/>
      <c r="T10" s="144"/>
      <c r="U10" s="15"/>
      <c r="V10" s="12"/>
      <c r="W10" s="12"/>
      <c r="X10" s="12"/>
      <c r="Y10" s="12"/>
      <c r="Z10" s="12"/>
      <c r="AA10" s="12"/>
      <c r="AB10" s="12"/>
      <c r="AC10" s="12"/>
      <c r="AD10" s="12"/>
      <c r="AE10" s="12"/>
    </row>
    <row r="11" spans="1:31" s="16" customFormat="1" ht="39.6" customHeight="1">
      <c r="A11" s="14"/>
      <c r="B11" s="844"/>
      <c r="C11" s="846"/>
      <c r="D11" s="816"/>
      <c r="E11" s="816"/>
      <c r="F11" s="816"/>
      <c r="G11" s="816"/>
      <c r="H11" s="816"/>
      <c r="I11" s="816"/>
      <c r="J11" s="813"/>
      <c r="K11" s="813"/>
      <c r="L11" s="813"/>
      <c r="M11" s="813"/>
      <c r="N11" s="850"/>
      <c r="O11" s="813"/>
      <c r="P11" s="813"/>
      <c r="Q11" s="120"/>
      <c r="R11" s="120"/>
      <c r="S11" s="143"/>
      <c r="T11" s="144"/>
      <c r="U11" s="15"/>
      <c r="V11" s="12"/>
      <c r="W11" s="12"/>
      <c r="X11" s="12"/>
      <c r="Y11" s="12"/>
      <c r="Z11" s="12"/>
      <c r="AA11" s="12"/>
      <c r="AB11" s="12"/>
      <c r="AC11" s="12"/>
      <c r="AD11" s="12"/>
      <c r="AE11" s="12"/>
    </row>
    <row r="12" spans="1:31" s="73" customFormat="1" ht="15">
      <c r="A12" s="64"/>
      <c r="B12" s="109"/>
      <c r="C12" s="237" t="s">
        <v>1438</v>
      </c>
      <c r="D12" s="854"/>
      <c r="E12" s="855"/>
      <c r="F12" s="856"/>
      <c r="G12" s="77"/>
      <c r="H12" s="78"/>
      <c r="I12" s="79"/>
      <c r="J12" s="226"/>
      <c r="K12" s="81">
        <v>531.42999999999995</v>
      </c>
      <c r="L12" s="82"/>
      <c r="M12" s="83"/>
      <c r="N12" s="85">
        <f>K12</f>
        <v>531.42999999999995</v>
      </c>
      <c r="O12" s="154" t="s">
        <v>57</v>
      </c>
      <c r="P12" s="215">
        <v>13</v>
      </c>
      <c r="Q12" s="71"/>
      <c r="R12" s="71"/>
      <c r="S12" s="152"/>
      <c r="T12" s="153"/>
      <c r="U12" s="72"/>
    </row>
    <row r="13" spans="1:31" s="73" customFormat="1" ht="21" customHeight="1">
      <c r="A13" s="64"/>
      <c r="B13" s="109"/>
      <c r="C13" s="65"/>
      <c r="D13" s="77"/>
      <c r="E13" s="78"/>
      <c r="F13" s="79"/>
      <c r="G13" s="77"/>
      <c r="H13" s="78"/>
      <c r="I13" s="79"/>
      <c r="J13" s="66"/>
      <c r="K13" s="108"/>
      <c r="L13" s="67"/>
      <c r="M13" s="68"/>
      <c r="N13" s="85"/>
      <c r="O13" s="111"/>
      <c r="P13" s="215"/>
      <c r="Q13" s="71"/>
      <c r="R13" s="71"/>
      <c r="S13" s="152"/>
      <c r="T13" s="153"/>
      <c r="U13" s="72"/>
      <c r="V13" s="71"/>
      <c r="W13" s="74"/>
    </row>
    <row r="14" spans="1:31" s="90" customFormat="1" ht="21" customHeight="1">
      <c r="A14" s="75"/>
      <c r="B14" s="107"/>
      <c r="C14" s="104"/>
      <c r="D14" s="77"/>
      <c r="E14" s="78"/>
      <c r="F14" s="79"/>
      <c r="G14" s="77"/>
      <c r="H14" s="78"/>
      <c r="I14" s="79"/>
      <c r="J14" s="80"/>
      <c r="K14" s="81"/>
      <c r="L14" s="82"/>
      <c r="M14" s="83"/>
      <c r="N14" s="85"/>
      <c r="O14" s="154"/>
      <c r="P14" s="215"/>
      <c r="Q14" s="86"/>
      <c r="R14" s="86"/>
      <c r="S14" s="86"/>
      <c r="T14" s="151"/>
      <c r="U14" s="87"/>
      <c r="V14" s="88"/>
      <c r="W14" s="89"/>
    </row>
    <row r="15" spans="1:31" s="90" customFormat="1" ht="21" customHeight="1">
      <c r="A15" s="75"/>
      <c r="B15" s="107"/>
      <c r="C15" s="104"/>
      <c r="D15" s="77"/>
      <c r="E15" s="78"/>
      <c r="F15" s="79"/>
      <c r="G15" s="77"/>
      <c r="H15" s="78"/>
      <c r="I15" s="79"/>
      <c r="J15" s="80"/>
      <c r="K15" s="81"/>
      <c r="L15" s="82"/>
      <c r="M15" s="83"/>
      <c r="N15" s="85"/>
      <c r="O15" s="154"/>
      <c r="P15" s="215"/>
      <c r="Q15" s="86"/>
      <c r="R15" s="86"/>
      <c r="S15" s="86"/>
      <c r="T15" s="151"/>
      <c r="U15" s="87"/>
      <c r="V15" s="88"/>
      <c r="W15" s="89"/>
    </row>
    <row r="16" spans="1:31" s="90" customFormat="1" ht="21" customHeight="1">
      <c r="A16" s="75"/>
      <c r="B16" s="107"/>
      <c r="C16" s="104"/>
      <c r="D16" s="77"/>
      <c r="E16" s="78"/>
      <c r="F16" s="79"/>
      <c r="G16" s="77"/>
      <c r="H16" s="78"/>
      <c r="I16" s="79"/>
      <c r="J16" s="80"/>
      <c r="K16" s="81"/>
      <c r="L16" s="82"/>
      <c r="M16" s="83"/>
      <c r="N16" s="85"/>
      <c r="O16" s="154"/>
      <c r="P16" s="215"/>
      <c r="Q16" s="86"/>
      <c r="R16" s="86"/>
      <c r="S16" s="86"/>
      <c r="T16" s="151"/>
      <c r="U16" s="87"/>
      <c r="V16" s="88"/>
      <c r="W16" s="89"/>
    </row>
    <row r="17" spans="1:23" s="90" customFormat="1" ht="21" customHeight="1">
      <c r="A17" s="75"/>
      <c r="B17" s="157"/>
      <c r="C17" s="76"/>
      <c r="D17" s="77"/>
      <c r="E17" s="78"/>
      <c r="F17" s="79"/>
      <c r="G17" s="77"/>
      <c r="H17" s="78"/>
      <c r="I17" s="79"/>
      <c r="J17" s="80"/>
      <c r="K17" s="81"/>
      <c r="L17" s="82"/>
      <c r="M17" s="83"/>
      <c r="N17" s="85"/>
      <c r="O17" s="154"/>
      <c r="P17" s="215"/>
      <c r="Q17" s="86"/>
      <c r="R17" s="86"/>
      <c r="S17" s="86"/>
      <c r="T17" s="151"/>
      <c r="U17" s="87"/>
      <c r="V17" s="88"/>
      <c r="W17" s="89"/>
    </row>
    <row r="18" spans="1:23" s="90" customFormat="1" ht="21" customHeight="1">
      <c r="A18" s="75"/>
      <c r="B18" s="157"/>
      <c r="C18" s="76"/>
      <c r="D18" s="77"/>
      <c r="E18" s="78"/>
      <c r="F18" s="79"/>
      <c r="G18" s="77"/>
      <c r="H18" s="78"/>
      <c r="I18" s="79"/>
      <c r="J18" s="80"/>
      <c r="K18" s="81"/>
      <c r="L18" s="82"/>
      <c r="M18" s="83"/>
      <c r="N18" s="85"/>
      <c r="O18" s="154"/>
      <c r="P18" s="215"/>
      <c r="Q18" s="86"/>
      <c r="R18" s="86"/>
      <c r="S18" s="86"/>
      <c r="T18" s="151"/>
      <c r="U18" s="87"/>
      <c r="V18" s="88"/>
      <c r="W18" s="89"/>
    </row>
    <row r="19" spans="1:23" s="90" customFormat="1" ht="21" customHeight="1">
      <c r="A19" s="75"/>
      <c r="B19" s="157"/>
      <c r="C19" s="76"/>
      <c r="D19" s="77"/>
      <c r="E19" s="78"/>
      <c r="F19" s="79"/>
      <c r="G19" s="77"/>
      <c r="H19" s="78"/>
      <c r="I19" s="79"/>
      <c r="J19" s="80"/>
      <c r="K19" s="81"/>
      <c r="L19" s="82"/>
      <c r="M19" s="83"/>
      <c r="N19" s="85"/>
      <c r="O19" s="154"/>
      <c r="P19" s="215"/>
      <c r="Q19" s="86"/>
      <c r="R19" s="86"/>
      <c r="S19" s="86"/>
      <c r="T19" s="151"/>
      <c r="U19" s="87"/>
      <c r="V19" s="88"/>
      <c r="W19" s="89"/>
    </row>
    <row r="20" spans="1:23" s="90" customFormat="1" ht="21" customHeight="1">
      <c r="A20" s="75"/>
      <c r="B20" s="157"/>
      <c r="C20" s="76"/>
      <c r="D20" s="77"/>
      <c r="E20" s="78"/>
      <c r="F20" s="79"/>
      <c r="G20" s="77"/>
      <c r="H20" s="78"/>
      <c r="I20" s="79"/>
      <c r="J20" s="80"/>
      <c r="K20" s="81"/>
      <c r="L20" s="82"/>
      <c r="M20" s="83"/>
      <c r="N20" s="85"/>
      <c r="O20" s="154"/>
      <c r="P20" s="215"/>
      <c r="Q20" s="86"/>
      <c r="R20" s="86"/>
      <c r="S20" s="86"/>
      <c r="T20" s="151"/>
      <c r="U20" s="87"/>
      <c r="V20" s="88"/>
      <c r="W20" s="89"/>
    </row>
    <row r="21" spans="1:23" s="1" customFormat="1" ht="21" customHeight="1">
      <c r="A21" s="11"/>
      <c r="B21" s="25"/>
      <c r="C21" s="20"/>
      <c r="D21" s="26"/>
      <c r="E21" s="159"/>
      <c r="F21" s="27"/>
      <c r="G21" s="26"/>
      <c r="H21" s="159"/>
      <c r="I21" s="27"/>
      <c r="J21" s="28"/>
      <c r="K21" s="49"/>
      <c r="L21" s="40"/>
      <c r="M21" s="41"/>
      <c r="N21" s="60"/>
      <c r="O21" s="43"/>
      <c r="P21" s="215"/>
      <c r="Q21" s="120"/>
      <c r="R21" s="120"/>
      <c r="S21" s="120"/>
      <c r="T21" s="142"/>
      <c r="U21" s="15"/>
      <c r="V21" s="17"/>
      <c r="W21" s="44"/>
    </row>
    <row r="22" spans="1:23" ht="21" customHeight="1">
      <c r="B22" s="118"/>
      <c r="C22" s="119"/>
      <c r="D22" s="26"/>
      <c r="E22" s="159"/>
      <c r="F22" s="27"/>
      <c r="G22" s="26"/>
      <c r="H22" s="159"/>
      <c r="I22" s="27"/>
      <c r="J22" s="28"/>
      <c r="K22" s="49"/>
      <c r="L22" s="40"/>
      <c r="M22" s="41"/>
      <c r="N22" s="60"/>
      <c r="O22" s="43"/>
      <c r="P22" s="216"/>
    </row>
    <row r="23" spans="1:23" ht="54" customHeight="1">
      <c r="B23" s="161"/>
      <c r="C23" s="162"/>
      <c r="D23" s="806" t="s">
        <v>11</v>
      </c>
      <c r="E23" s="807"/>
      <c r="F23" s="807"/>
      <c r="G23" s="807"/>
      <c r="H23" s="807"/>
      <c r="I23" s="808"/>
      <c r="J23" s="809">
        <f>DEZ!I642</f>
        <v>531.42999999999995</v>
      </c>
      <c r="K23" s="810"/>
      <c r="L23" s="50" t="s">
        <v>50</v>
      </c>
      <c r="M23" s="732" t="s">
        <v>12</v>
      </c>
      <c r="N23" s="61">
        <f>SUM(N12:N22)</f>
        <v>531.42999999999995</v>
      </c>
      <c r="O23" s="51" t="str">
        <f>L23</f>
        <v>m²</v>
      </c>
      <c r="P23" s="22"/>
    </row>
    <row r="24" spans="1:23" ht="43.5" customHeight="1">
      <c r="B24" s="163"/>
      <c r="C24" s="19"/>
      <c r="D24" s="817" t="s">
        <v>13</v>
      </c>
      <c r="E24" s="818"/>
      <c r="F24" s="818"/>
      <c r="G24" s="818"/>
      <c r="H24" s="818"/>
      <c r="I24" s="819"/>
      <c r="J24" s="823">
        <f>N23/J23</f>
        <v>1</v>
      </c>
      <c r="K24" s="824"/>
      <c r="L24" s="827"/>
      <c r="M24" s="732" t="s">
        <v>34</v>
      </c>
      <c r="N24" s="61">
        <f>N12</f>
        <v>531.42999999999995</v>
      </c>
      <c r="O24" s="52" t="str">
        <f>L23</f>
        <v>m²</v>
      </c>
      <c r="P24" s="22"/>
    </row>
    <row r="25" spans="1:23" ht="21" customHeight="1">
      <c r="A25" s="10" t="s">
        <v>469</v>
      </c>
      <c r="B25" s="165"/>
      <c r="C25" s="164"/>
      <c r="D25" s="820"/>
      <c r="E25" s="821"/>
      <c r="F25" s="821"/>
      <c r="G25" s="821"/>
      <c r="H25" s="821"/>
      <c r="I25" s="822"/>
      <c r="J25" s="825"/>
      <c r="K25" s="826"/>
      <c r="L25" s="828"/>
      <c r="M25" s="732" t="s">
        <v>14</v>
      </c>
      <c r="N25" s="62">
        <f>N23-N24</f>
        <v>0</v>
      </c>
      <c r="O25" s="53" t="str">
        <f>L23</f>
        <v>m²</v>
      </c>
      <c r="P25" s="54"/>
    </row>
    <row r="26" spans="1:23" ht="21" customHeight="1">
      <c r="B26" s="218"/>
      <c r="C26" s="217"/>
      <c r="M26" s="732" t="s">
        <v>53</v>
      </c>
      <c r="N26" s="62">
        <f>DEZ!E642</f>
        <v>18.27</v>
      </c>
      <c r="O26" s="53"/>
      <c r="P26" s="54"/>
    </row>
    <row r="27" spans="1:23" ht="21" customHeight="1">
      <c r="B27" s="163"/>
      <c r="C27" s="219"/>
      <c r="M27" s="732" t="s">
        <v>54</v>
      </c>
      <c r="N27" s="62">
        <f>TRUNC(N26*N25,2)</f>
        <v>0</v>
      </c>
      <c r="O27" s="53" t="s">
        <v>55</v>
      </c>
      <c r="P27" s="54"/>
    </row>
    <row r="30" spans="1:23">
      <c r="C30" s="2">
        <f>18*5</f>
        <v>90</v>
      </c>
    </row>
    <row r="31" spans="1:23">
      <c r="C31" s="2">
        <f>C30*0.09</f>
        <v>8.1</v>
      </c>
    </row>
  </sheetData>
  <mergeCells count="22">
    <mergeCell ref="D12:F12"/>
    <mergeCell ref="D23:I23"/>
    <mergeCell ref="J23:K23"/>
    <mergeCell ref="D24:I25"/>
    <mergeCell ref="J24:K25"/>
    <mergeCell ref="L24:L25"/>
    <mergeCell ref="K10:K11"/>
    <mergeCell ref="L10:L11"/>
    <mergeCell ref="M10:M11"/>
    <mergeCell ref="N10:N11"/>
    <mergeCell ref="O10:O11"/>
    <mergeCell ref="P10:P11"/>
    <mergeCell ref="B1:P4"/>
    <mergeCell ref="Q4:V4"/>
    <mergeCell ref="B5:I5"/>
    <mergeCell ref="J5:M5"/>
    <mergeCell ref="N5:P5"/>
    <mergeCell ref="B10:B11"/>
    <mergeCell ref="C10:C11"/>
    <mergeCell ref="D10:F11"/>
    <mergeCell ref="G10:I11"/>
    <mergeCell ref="J10:J11"/>
  </mergeCells>
  <conditionalFormatting sqref="J24:K27">
    <cfRule type="cellIs" dxfId="83" priority="1" operator="greaterThanOrEqual">
      <formula>1</formula>
    </cfRule>
    <cfRule type="cellIs" dxfId="82" priority="2" operator="greaterThan">
      <formula>100%</formula>
    </cfRule>
  </conditionalFormatting>
  <pageMargins left="0.51181102362204722" right="0.51181102362204722" top="0.78740157480314965" bottom="0.78740157480314965" header="0.31496062992125984" footer="0.31496062992125984"/>
  <pageSetup paperSize="9" scale="57" fitToHeight="0" orientation="landscape" r:id="rId1"/>
  <headerFooter>
    <oddFooter>Página &amp;P de &amp;N</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AAD-2E74-4141-887A-31D549773BBA}">
  <sheetPr>
    <tabColor rgb="FF339933"/>
    <pageSetUpPr fitToPage="1"/>
  </sheetPr>
  <dimension ref="A1:AE31"/>
  <sheetViews>
    <sheetView view="pageBreakPreview" zoomScale="50" zoomScaleNormal="55" zoomScaleSheetLayoutView="50" workbookViewId="0">
      <selection activeCell="N25" sqref="N25"/>
    </sheetView>
  </sheetViews>
  <sheetFormatPr defaultColWidth="9.140625" defaultRowHeight="12.75"/>
  <cols>
    <col min="1" max="1" width="9.140625" style="10"/>
    <col min="2" max="2" width="14.140625" style="18"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31.140625" style="2" customWidth="1"/>
    <col min="14" max="14" width="16" style="63" customWidth="1"/>
    <col min="15" max="15" width="9" style="2" customWidth="1"/>
    <col min="16" max="16" width="15.28515625" style="2" customWidth="1"/>
    <col min="17" max="19" width="9.140625" style="2"/>
    <col min="20" max="20" width="9.140625" style="140"/>
    <col min="21" max="22" width="9.140625" style="2"/>
    <col min="23" max="23" width="12.7109375" style="13" customWidth="1"/>
    <col min="24" max="16384" width="9.140625" style="2"/>
  </cols>
  <sheetData>
    <row r="1" spans="1:31" ht="18.75" customHeight="1">
      <c r="B1" s="831" t="s">
        <v>851</v>
      </c>
      <c r="C1" s="832"/>
      <c r="D1" s="832"/>
      <c r="E1" s="832"/>
      <c r="F1" s="832"/>
      <c r="G1" s="832"/>
      <c r="H1" s="832"/>
      <c r="I1" s="832"/>
      <c r="J1" s="832"/>
      <c r="K1" s="832"/>
      <c r="L1" s="832"/>
      <c r="M1" s="832"/>
      <c r="N1" s="832"/>
      <c r="O1" s="832"/>
      <c r="P1" s="832"/>
    </row>
    <row r="2" spans="1:31" ht="18.75" customHeight="1">
      <c r="B2" s="832"/>
      <c r="C2" s="832"/>
      <c r="D2" s="832"/>
      <c r="E2" s="832"/>
      <c r="F2" s="832"/>
      <c r="G2" s="832"/>
      <c r="H2" s="832"/>
      <c r="I2" s="832"/>
      <c r="J2" s="832"/>
      <c r="K2" s="832"/>
      <c r="L2" s="832"/>
      <c r="M2" s="832"/>
      <c r="N2" s="832"/>
      <c r="O2" s="832"/>
      <c r="P2" s="832"/>
    </row>
    <row r="3" spans="1:31" ht="18.75" customHeight="1">
      <c r="B3" s="832"/>
      <c r="C3" s="832"/>
      <c r="D3" s="832"/>
      <c r="E3" s="832"/>
      <c r="F3" s="832"/>
      <c r="G3" s="832"/>
      <c r="H3" s="832"/>
      <c r="I3" s="832"/>
      <c r="J3" s="832"/>
      <c r="K3" s="832"/>
      <c r="L3" s="832"/>
      <c r="M3" s="832"/>
      <c r="N3" s="832"/>
      <c r="O3" s="832"/>
      <c r="P3" s="832"/>
    </row>
    <row r="4" spans="1:31" ht="18.75" customHeight="1">
      <c r="B4" s="832"/>
      <c r="C4" s="832"/>
      <c r="D4" s="832"/>
      <c r="E4" s="832"/>
      <c r="F4" s="832"/>
      <c r="G4" s="832"/>
      <c r="H4" s="832"/>
      <c r="I4" s="832"/>
      <c r="J4" s="832"/>
      <c r="K4" s="832"/>
      <c r="L4" s="832"/>
      <c r="M4" s="832"/>
      <c r="N4" s="832"/>
      <c r="O4" s="832"/>
      <c r="P4" s="832"/>
      <c r="Q4" s="833"/>
      <c r="R4" s="833"/>
      <c r="S4" s="833"/>
      <c r="T4" s="833"/>
      <c r="U4" s="833"/>
      <c r="V4" s="833"/>
    </row>
    <row r="5" spans="1:31" s="21" customFormat="1" ht="15.75" customHeight="1">
      <c r="A5" s="29"/>
      <c r="B5" s="834" t="s">
        <v>5</v>
      </c>
      <c r="C5" s="835"/>
      <c r="D5" s="835"/>
      <c r="E5" s="835"/>
      <c r="F5" s="835"/>
      <c r="G5" s="835"/>
      <c r="H5" s="835"/>
      <c r="I5" s="836"/>
      <c r="J5" s="837" t="s">
        <v>6</v>
      </c>
      <c r="K5" s="838"/>
      <c r="L5" s="838"/>
      <c r="M5" s="838"/>
      <c r="N5" s="841"/>
      <c r="O5" s="841"/>
      <c r="P5" s="841"/>
      <c r="Q5" s="158"/>
      <c r="R5" s="158"/>
      <c r="S5" s="158"/>
      <c r="T5" s="158"/>
      <c r="U5" s="158"/>
      <c r="V5" s="158"/>
      <c r="W5" s="30"/>
    </row>
    <row r="6" spans="1:31"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T6" s="141"/>
      <c r="W6" s="36"/>
    </row>
    <row r="7" spans="1:31" s="35" customFormat="1" ht="15.75">
      <c r="A7" s="31"/>
      <c r="B7" s="98"/>
      <c r="C7" s="145"/>
      <c r="D7" s="37"/>
      <c r="E7" s="38"/>
      <c r="F7" s="38"/>
      <c r="G7" s="37"/>
      <c r="H7" s="38"/>
      <c r="I7" s="56"/>
      <c r="J7" s="136" t="str">
        <f>DEZ!D8</f>
        <v xml:space="preserve">CONTRATO N°: </v>
      </c>
      <c r="K7" s="37"/>
      <c r="L7" s="115" t="str">
        <f>DEZ!F8</f>
        <v>06/2021</v>
      </c>
      <c r="M7" s="37"/>
      <c r="N7" s="58"/>
      <c r="O7" s="37"/>
      <c r="P7" s="733"/>
      <c r="T7" s="141"/>
      <c r="W7" s="36"/>
    </row>
    <row r="8" spans="1:31"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59"/>
      <c r="O8" s="38"/>
      <c r="P8" s="733"/>
      <c r="T8" s="141"/>
      <c r="V8" s="39"/>
      <c r="W8" s="39"/>
      <c r="X8" s="39"/>
      <c r="Y8" s="39"/>
      <c r="Z8" s="39"/>
      <c r="AA8" s="39"/>
      <c r="AB8" s="39"/>
      <c r="AC8" s="39"/>
      <c r="AD8" s="39"/>
      <c r="AE8" s="39"/>
    </row>
    <row r="9" spans="1:31"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59"/>
      <c r="O9" s="38"/>
      <c r="P9" s="733"/>
      <c r="T9" s="141"/>
      <c r="V9" s="39"/>
      <c r="W9" s="39"/>
      <c r="X9" s="39"/>
      <c r="Y9" s="39"/>
      <c r="Z9" s="39"/>
      <c r="AA9" s="39"/>
      <c r="AB9" s="39"/>
      <c r="AC9" s="39"/>
      <c r="AD9" s="39"/>
      <c r="AE9" s="39"/>
    </row>
    <row r="10" spans="1:31" s="16" customFormat="1" ht="24.95" customHeight="1">
      <c r="A10" s="14"/>
      <c r="B10" s="843" t="str">
        <f>DEZ!A643</f>
        <v>5.3.10.10</v>
      </c>
      <c r="C10" s="845" t="str">
        <f>DEZ!C643</f>
        <v>Piso argamassa alta resistência tipo granilite ou equiv de qualidade comprovada, esp de 10mm, com juntas plástica em quadros de 1m, na cor natural, com acabamento anti-derrapante mecanizado, inclusive regularização e=3.0cm</v>
      </c>
      <c r="D10" s="816" t="s">
        <v>854</v>
      </c>
      <c r="E10" s="816"/>
      <c r="F10" s="816"/>
      <c r="G10" s="816" t="s">
        <v>33</v>
      </c>
      <c r="H10" s="816"/>
      <c r="I10" s="816"/>
      <c r="J10" s="812" t="s">
        <v>853</v>
      </c>
      <c r="K10" s="812" t="s">
        <v>855</v>
      </c>
      <c r="L10" s="812" t="s">
        <v>856</v>
      </c>
      <c r="M10" s="812" t="s">
        <v>62</v>
      </c>
      <c r="N10" s="849" t="s">
        <v>857</v>
      </c>
      <c r="O10" s="812" t="s">
        <v>10</v>
      </c>
      <c r="P10" s="812" t="s">
        <v>858</v>
      </c>
      <c r="Q10" s="120"/>
      <c r="R10" s="120"/>
      <c r="S10" s="143"/>
      <c r="T10" s="144"/>
      <c r="U10" s="15"/>
      <c r="V10" s="12"/>
      <c r="W10" s="12"/>
      <c r="X10" s="12"/>
      <c r="Y10" s="12"/>
      <c r="Z10" s="12"/>
      <c r="AA10" s="12"/>
      <c r="AB10" s="12"/>
      <c r="AC10" s="12"/>
      <c r="AD10" s="12"/>
      <c r="AE10" s="12"/>
    </row>
    <row r="11" spans="1:31" s="16" customFormat="1" ht="39.6" customHeight="1">
      <c r="A11" s="14"/>
      <c r="B11" s="844"/>
      <c r="C11" s="846"/>
      <c r="D11" s="816"/>
      <c r="E11" s="816"/>
      <c r="F11" s="816"/>
      <c r="G11" s="816"/>
      <c r="H11" s="816"/>
      <c r="I11" s="816"/>
      <c r="J11" s="813"/>
      <c r="K11" s="813"/>
      <c r="L11" s="813"/>
      <c r="M11" s="813"/>
      <c r="N11" s="850"/>
      <c r="O11" s="813"/>
      <c r="P11" s="813"/>
      <c r="Q11" s="120"/>
      <c r="R11" s="120"/>
      <c r="S11" s="143"/>
      <c r="T11" s="144"/>
      <c r="U11" s="15"/>
      <c r="V11" s="12"/>
      <c r="W11" s="12"/>
      <c r="X11" s="12"/>
      <c r="Y11" s="12"/>
      <c r="Z11" s="12"/>
      <c r="AA11" s="12"/>
      <c r="AB11" s="12"/>
      <c r="AC11" s="12"/>
      <c r="AD11" s="12"/>
      <c r="AE11" s="12"/>
    </row>
    <row r="12" spans="1:31" s="73" customFormat="1" ht="27" customHeight="1">
      <c r="A12" s="64"/>
      <c r="B12" s="109"/>
      <c r="C12" s="237" t="s">
        <v>1439</v>
      </c>
      <c r="D12" s="854"/>
      <c r="E12" s="855"/>
      <c r="F12" s="856"/>
      <c r="G12" s="77"/>
      <c r="H12" s="78"/>
      <c r="I12" s="79"/>
      <c r="J12" s="226"/>
      <c r="K12" s="81">
        <v>142.32</v>
      </c>
      <c r="L12" s="82"/>
      <c r="M12" s="83"/>
      <c r="N12" s="85">
        <f>K12</f>
        <v>142.32</v>
      </c>
      <c r="O12" s="154" t="s">
        <v>57</v>
      </c>
      <c r="P12" s="215">
        <v>13</v>
      </c>
      <c r="Q12" s="71"/>
      <c r="R12" s="71"/>
      <c r="S12" s="152"/>
      <c r="T12" s="153"/>
      <c r="U12" s="72"/>
    </row>
    <row r="13" spans="1:31" s="73" customFormat="1" ht="21" customHeight="1">
      <c r="A13" s="64"/>
      <c r="B13" s="109"/>
      <c r="C13" s="65"/>
      <c r="D13" s="77"/>
      <c r="E13" s="78"/>
      <c r="F13" s="79"/>
      <c r="G13" s="77"/>
      <c r="H13" s="78"/>
      <c r="I13" s="79"/>
      <c r="J13" s="66"/>
      <c r="K13" s="108"/>
      <c r="L13" s="67"/>
      <c r="M13" s="68"/>
      <c r="N13" s="85"/>
      <c r="O13" s="111"/>
      <c r="P13" s="215"/>
      <c r="Q13" s="71"/>
      <c r="R13" s="71"/>
      <c r="S13" s="152"/>
      <c r="T13" s="153"/>
      <c r="U13" s="72"/>
      <c r="V13" s="71"/>
      <c r="W13" s="74"/>
    </row>
    <row r="14" spans="1:31" s="90" customFormat="1" ht="21" customHeight="1">
      <c r="A14" s="75"/>
      <c r="B14" s="107"/>
      <c r="C14" s="104"/>
      <c r="D14" s="77"/>
      <c r="E14" s="78"/>
      <c r="F14" s="79"/>
      <c r="G14" s="77"/>
      <c r="H14" s="78"/>
      <c r="I14" s="79"/>
      <c r="J14" s="80"/>
      <c r="K14" s="81"/>
      <c r="L14" s="82"/>
      <c r="M14" s="83"/>
      <c r="N14" s="85"/>
      <c r="O14" s="154"/>
      <c r="P14" s="215"/>
      <c r="Q14" s="86"/>
      <c r="R14" s="86"/>
      <c r="S14" s="86"/>
      <c r="T14" s="151"/>
      <c r="U14" s="87"/>
      <c r="V14" s="88"/>
      <c r="W14" s="89"/>
    </row>
    <row r="15" spans="1:31" s="90" customFormat="1" ht="21" customHeight="1">
      <c r="A15" s="75"/>
      <c r="B15" s="107"/>
      <c r="C15" s="104"/>
      <c r="D15" s="77"/>
      <c r="E15" s="78"/>
      <c r="F15" s="79"/>
      <c r="G15" s="77"/>
      <c r="H15" s="78"/>
      <c r="I15" s="79"/>
      <c r="J15" s="80"/>
      <c r="K15" s="81"/>
      <c r="L15" s="82"/>
      <c r="M15" s="83"/>
      <c r="N15" s="85"/>
      <c r="O15" s="154"/>
      <c r="P15" s="215"/>
      <c r="Q15" s="86"/>
      <c r="R15" s="86"/>
      <c r="S15" s="86"/>
      <c r="T15" s="151"/>
      <c r="U15" s="87"/>
      <c r="V15" s="88"/>
      <c r="W15" s="89"/>
    </row>
    <row r="16" spans="1:31" s="90" customFormat="1" ht="21" customHeight="1">
      <c r="A16" s="75"/>
      <c r="B16" s="107"/>
      <c r="C16" s="104"/>
      <c r="D16" s="77"/>
      <c r="E16" s="78"/>
      <c r="F16" s="79"/>
      <c r="G16" s="77"/>
      <c r="H16" s="78"/>
      <c r="I16" s="79"/>
      <c r="J16" s="80"/>
      <c r="K16" s="81"/>
      <c r="L16" s="82"/>
      <c r="M16" s="83"/>
      <c r="N16" s="85"/>
      <c r="O16" s="154"/>
      <c r="P16" s="215"/>
      <c r="Q16" s="86"/>
      <c r="R16" s="86"/>
      <c r="S16" s="86"/>
      <c r="T16" s="151"/>
      <c r="U16" s="87"/>
      <c r="V16" s="88"/>
      <c r="W16" s="89"/>
    </row>
    <row r="17" spans="1:23" s="90" customFormat="1" ht="21" customHeight="1">
      <c r="A17" s="75"/>
      <c r="B17" s="157"/>
      <c r="C17" s="76"/>
      <c r="D17" s="77"/>
      <c r="E17" s="78"/>
      <c r="F17" s="79"/>
      <c r="G17" s="77"/>
      <c r="H17" s="78"/>
      <c r="I17" s="79"/>
      <c r="J17" s="80"/>
      <c r="K17" s="81"/>
      <c r="L17" s="82"/>
      <c r="M17" s="83"/>
      <c r="N17" s="85"/>
      <c r="O17" s="154"/>
      <c r="P17" s="215"/>
      <c r="Q17" s="86"/>
      <c r="R17" s="86"/>
      <c r="S17" s="86"/>
      <c r="T17" s="151"/>
      <c r="U17" s="87"/>
      <c r="V17" s="88"/>
      <c r="W17" s="89"/>
    </row>
    <row r="18" spans="1:23" s="90" customFormat="1" ht="21" customHeight="1">
      <c r="A18" s="75"/>
      <c r="B18" s="157"/>
      <c r="C18" s="76"/>
      <c r="D18" s="77"/>
      <c r="E18" s="78"/>
      <c r="F18" s="79"/>
      <c r="G18" s="77"/>
      <c r="H18" s="78"/>
      <c r="I18" s="79"/>
      <c r="J18" s="80"/>
      <c r="K18" s="81"/>
      <c r="L18" s="82"/>
      <c r="M18" s="83"/>
      <c r="N18" s="85"/>
      <c r="O18" s="154"/>
      <c r="P18" s="215"/>
      <c r="Q18" s="86"/>
      <c r="R18" s="86"/>
      <c r="S18" s="86"/>
      <c r="T18" s="151"/>
      <c r="U18" s="87"/>
      <c r="V18" s="88"/>
      <c r="W18" s="89"/>
    </row>
    <row r="19" spans="1:23" s="90" customFormat="1" ht="21" customHeight="1">
      <c r="A19" s="75"/>
      <c r="B19" s="157"/>
      <c r="C19" s="76"/>
      <c r="D19" s="77"/>
      <c r="E19" s="78"/>
      <c r="F19" s="79"/>
      <c r="G19" s="77"/>
      <c r="H19" s="78"/>
      <c r="I19" s="79"/>
      <c r="J19" s="80"/>
      <c r="K19" s="81"/>
      <c r="L19" s="82"/>
      <c r="M19" s="83"/>
      <c r="N19" s="85"/>
      <c r="O19" s="154"/>
      <c r="P19" s="215"/>
      <c r="Q19" s="86"/>
      <c r="R19" s="86"/>
      <c r="S19" s="86"/>
      <c r="T19" s="151"/>
      <c r="U19" s="87"/>
      <c r="V19" s="88"/>
      <c r="W19" s="89"/>
    </row>
    <row r="20" spans="1:23" s="90" customFormat="1" ht="21" customHeight="1">
      <c r="A20" s="75"/>
      <c r="B20" s="157"/>
      <c r="C20" s="76"/>
      <c r="D20" s="77"/>
      <c r="E20" s="78"/>
      <c r="F20" s="79"/>
      <c r="G20" s="77"/>
      <c r="H20" s="78"/>
      <c r="I20" s="79"/>
      <c r="J20" s="80"/>
      <c r="K20" s="81"/>
      <c r="L20" s="82"/>
      <c r="M20" s="83"/>
      <c r="N20" s="85"/>
      <c r="O20" s="154"/>
      <c r="P20" s="215"/>
      <c r="Q20" s="86"/>
      <c r="R20" s="86"/>
      <c r="S20" s="86"/>
      <c r="T20" s="151"/>
      <c r="U20" s="87"/>
      <c r="V20" s="88"/>
      <c r="W20" s="89"/>
    </row>
    <row r="21" spans="1:23" s="1" customFormat="1" ht="21" customHeight="1">
      <c r="A21" s="11"/>
      <c r="B21" s="25"/>
      <c r="C21" s="20"/>
      <c r="D21" s="26"/>
      <c r="E21" s="159"/>
      <c r="F21" s="27"/>
      <c r="G21" s="26"/>
      <c r="H21" s="159"/>
      <c r="I21" s="27"/>
      <c r="J21" s="28"/>
      <c r="K21" s="49"/>
      <c r="L21" s="40"/>
      <c r="M21" s="41"/>
      <c r="N21" s="60"/>
      <c r="O21" s="43"/>
      <c r="P21" s="215"/>
      <c r="Q21" s="120"/>
      <c r="R21" s="120"/>
      <c r="S21" s="120"/>
      <c r="T21" s="142"/>
      <c r="U21" s="15"/>
      <c r="V21" s="17"/>
      <c r="W21" s="44"/>
    </row>
    <row r="22" spans="1:23" ht="21" customHeight="1">
      <c r="B22" s="118"/>
      <c r="C22" s="119"/>
      <c r="D22" s="26"/>
      <c r="E22" s="159"/>
      <c r="F22" s="27"/>
      <c r="G22" s="26"/>
      <c r="H22" s="159"/>
      <c r="I22" s="27"/>
      <c r="J22" s="28"/>
      <c r="K22" s="49"/>
      <c r="L22" s="40"/>
      <c r="M22" s="41"/>
      <c r="N22" s="60"/>
      <c r="O22" s="43"/>
      <c r="P22" s="216"/>
    </row>
    <row r="23" spans="1:23" ht="54" customHeight="1">
      <c r="B23" s="161"/>
      <c r="C23" s="162"/>
      <c r="D23" s="806" t="s">
        <v>11</v>
      </c>
      <c r="E23" s="807"/>
      <c r="F23" s="807"/>
      <c r="G23" s="807"/>
      <c r="H23" s="807"/>
      <c r="I23" s="808"/>
      <c r="J23" s="809">
        <f>DEZ!I643</f>
        <v>142.32</v>
      </c>
      <c r="K23" s="810"/>
      <c r="L23" s="50" t="s">
        <v>50</v>
      </c>
      <c r="M23" s="732" t="s">
        <v>12</v>
      </c>
      <c r="N23" s="61">
        <f>SUM(N12:N22)</f>
        <v>142.32</v>
      </c>
      <c r="O23" s="51" t="str">
        <f>L23</f>
        <v>m²</v>
      </c>
      <c r="P23" s="22"/>
    </row>
    <row r="24" spans="1:23" ht="43.5" customHeight="1">
      <c r="B24" s="163"/>
      <c r="C24" s="19"/>
      <c r="D24" s="817" t="s">
        <v>13</v>
      </c>
      <c r="E24" s="818"/>
      <c r="F24" s="818"/>
      <c r="G24" s="818"/>
      <c r="H24" s="818"/>
      <c r="I24" s="819"/>
      <c r="J24" s="823">
        <f>N23/J23</f>
        <v>1</v>
      </c>
      <c r="K24" s="824"/>
      <c r="L24" s="827"/>
      <c r="M24" s="732" t="s">
        <v>34</v>
      </c>
      <c r="N24" s="61">
        <f>N12</f>
        <v>142.32</v>
      </c>
      <c r="O24" s="52" t="str">
        <f>L23</f>
        <v>m²</v>
      </c>
      <c r="P24" s="22"/>
    </row>
    <row r="25" spans="1:23" ht="21" customHeight="1">
      <c r="A25" s="10" t="s">
        <v>469</v>
      </c>
      <c r="B25" s="165"/>
      <c r="C25" s="164"/>
      <c r="D25" s="820"/>
      <c r="E25" s="821"/>
      <c r="F25" s="821"/>
      <c r="G25" s="821"/>
      <c r="H25" s="821"/>
      <c r="I25" s="822"/>
      <c r="J25" s="825"/>
      <c r="K25" s="826"/>
      <c r="L25" s="828"/>
      <c r="M25" s="732" t="s">
        <v>14</v>
      </c>
      <c r="N25" s="62">
        <f>N23-N24</f>
        <v>0</v>
      </c>
      <c r="O25" s="53" t="str">
        <f>L23</f>
        <v>m²</v>
      </c>
      <c r="P25" s="54"/>
    </row>
    <row r="26" spans="1:23" ht="21" customHeight="1">
      <c r="B26" s="218"/>
      <c r="C26" s="217"/>
      <c r="M26" s="732" t="s">
        <v>53</v>
      </c>
      <c r="N26" s="62">
        <f>DEZ!E643</f>
        <v>106.19</v>
      </c>
      <c r="O26" s="53"/>
      <c r="P26" s="54"/>
    </row>
    <row r="27" spans="1:23" ht="21" customHeight="1">
      <c r="B27" s="163"/>
      <c r="C27" s="219"/>
      <c r="M27" s="732" t="s">
        <v>54</v>
      </c>
      <c r="N27" s="62">
        <f>TRUNC(N26*N25,2)</f>
        <v>0</v>
      </c>
      <c r="O27" s="53" t="s">
        <v>55</v>
      </c>
      <c r="P27" s="54"/>
    </row>
    <row r="30" spans="1:23">
      <c r="C30" s="2">
        <f>18*5</f>
        <v>90</v>
      </c>
    </row>
    <row r="31" spans="1:23">
      <c r="C31" s="2">
        <f>C30*0.09</f>
        <v>8.1</v>
      </c>
    </row>
  </sheetData>
  <mergeCells count="22">
    <mergeCell ref="D12:F12"/>
    <mergeCell ref="D23:I23"/>
    <mergeCell ref="J23:K23"/>
    <mergeCell ref="D24:I25"/>
    <mergeCell ref="J24:K25"/>
    <mergeCell ref="L24:L25"/>
    <mergeCell ref="K10:K11"/>
    <mergeCell ref="L10:L11"/>
    <mergeCell ref="M10:M11"/>
    <mergeCell ref="N10:N11"/>
    <mergeCell ref="O10:O11"/>
    <mergeCell ref="P10:P11"/>
    <mergeCell ref="B1:P4"/>
    <mergeCell ref="Q4:V4"/>
    <mergeCell ref="B5:I5"/>
    <mergeCell ref="J5:M5"/>
    <mergeCell ref="N5:P5"/>
    <mergeCell ref="B10:B11"/>
    <mergeCell ref="C10:C11"/>
    <mergeCell ref="D10:F11"/>
    <mergeCell ref="G10:I11"/>
    <mergeCell ref="J10:J11"/>
  </mergeCells>
  <conditionalFormatting sqref="J24:K27">
    <cfRule type="cellIs" dxfId="81" priority="1" operator="greaterThanOrEqual">
      <formula>1</formula>
    </cfRule>
    <cfRule type="cellIs" dxfId="80" priority="2" operator="greaterThan">
      <formula>100%</formula>
    </cfRule>
  </conditionalFormatting>
  <pageMargins left="0.51181102362204722" right="0.51181102362204722" top="0.78740157480314965" bottom="0.78740157480314965" header="0.31496062992125984" footer="0.31496062992125984"/>
  <pageSetup paperSize="9" scale="57" fitToHeight="0" orientation="landscape" r:id="rId1"/>
  <headerFooter>
    <oddFooter>Página &amp;P de &amp;N</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Planilha79">
    <tabColor rgb="FF339933"/>
    <pageSetUpPr fitToPage="1"/>
  </sheetPr>
  <dimension ref="A1:AJ31"/>
  <sheetViews>
    <sheetView view="pageBreakPreview" topLeftCell="A2" zoomScale="60" zoomScaleNormal="55" workbookViewId="0">
      <selection activeCell="R12" sqref="R12:R1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DEZ!A574</f>
        <v>5.3.1.1</v>
      </c>
      <c r="C10" s="845" t="str">
        <f>DEZ!C574</f>
        <v>Locação de obra com gabarito de madeira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968</v>
      </c>
      <c r="D12" s="854"/>
      <c r="E12" s="855"/>
      <c r="F12" s="856"/>
      <c r="G12" s="77"/>
      <c r="H12" s="78"/>
      <c r="I12" s="79"/>
      <c r="J12" s="226"/>
      <c r="K12" s="81">
        <v>180.88</v>
      </c>
      <c r="L12" s="82"/>
      <c r="M12" s="83"/>
      <c r="N12" s="105"/>
      <c r="O12" s="84"/>
      <c r="P12" s="82"/>
      <c r="Q12" s="93"/>
      <c r="R12" s="85">
        <f>K12</f>
        <v>180.88</v>
      </c>
      <c r="S12" s="154" t="s">
        <v>59</v>
      </c>
      <c r="T12" s="215">
        <v>5</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DEZ!F574</f>
        <v>180.88</v>
      </c>
      <c r="K23" s="810"/>
      <c r="L23" s="50" t="str">
        <f>DEZ!D583</f>
        <v>m2</v>
      </c>
      <c r="M23" s="803" t="s">
        <v>12</v>
      </c>
      <c r="N23" s="811"/>
      <c r="O23" s="811"/>
      <c r="P23" s="811"/>
      <c r="Q23" s="805"/>
      <c r="R23" s="61">
        <f>SUM(R12:R22)</f>
        <v>180.88</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v>0</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180.88</v>
      </c>
      <c r="S25" s="53" t="str">
        <f>L23</f>
        <v>m2</v>
      </c>
      <c r="T25" s="54"/>
      <c r="U25" s="24"/>
    </row>
    <row r="26" spans="1:28" ht="21" customHeight="1">
      <c r="B26" s="218"/>
      <c r="C26" s="217"/>
      <c r="M26" s="803" t="s">
        <v>53</v>
      </c>
      <c r="N26" s="804"/>
      <c r="O26" s="804"/>
      <c r="P26" s="804"/>
      <c r="Q26" s="805"/>
      <c r="R26" s="62">
        <f>DEZ!E574</f>
        <v>7.69</v>
      </c>
      <c r="S26" s="53"/>
      <c r="T26" s="54"/>
      <c r="U26" s="24"/>
    </row>
    <row r="27" spans="1:28" ht="21" customHeight="1">
      <c r="B27" s="163"/>
      <c r="C27" s="219"/>
      <c r="M27" s="803" t="s">
        <v>54</v>
      </c>
      <c r="N27" s="804"/>
      <c r="O27" s="804"/>
      <c r="P27" s="804"/>
      <c r="Q27" s="805"/>
      <c r="R27" s="62">
        <f>TRUNC(R26*R25,2)</f>
        <v>1390.96</v>
      </c>
      <c r="S27" s="53" t="s">
        <v>55</v>
      </c>
      <c r="T27" s="54"/>
      <c r="U27" s="24"/>
    </row>
    <row r="30" spans="1:28">
      <c r="C30" s="2">
        <f>18*5</f>
        <v>90</v>
      </c>
    </row>
    <row r="31" spans="1:28">
      <c r="C31" s="2">
        <f>C30*0.09</f>
        <v>8.1</v>
      </c>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M27:Q27"/>
    <mergeCell ref="D24:I25"/>
    <mergeCell ref="J24:K25"/>
    <mergeCell ref="L24:L25"/>
    <mergeCell ref="M24:Q24"/>
    <mergeCell ref="M25:Q25"/>
    <mergeCell ref="M26:Q26"/>
  </mergeCells>
  <conditionalFormatting sqref="J24:K27">
    <cfRule type="cellIs" dxfId="79" priority="1" operator="greaterThanOrEqual">
      <formula>1</formula>
    </cfRule>
    <cfRule type="cellIs" dxfId="7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69B6-6E27-4DAE-9A51-D764B82B8D4B}">
  <sheetPr>
    <tabColor rgb="FF339933"/>
    <pageSetUpPr fitToPage="1"/>
  </sheetPr>
  <dimension ref="A1:AE31"/>
  <sheetViews>
    <sheetView view="pageBreakPreview" zoomScale="50" zoomScaleNormal="55" zoomScaleSheetLayoutView="50" workbookViewId="0">
      <selection activeCell="R12" sqref="R12:R14"/>
    </sheetView>
  </sheetViews>
  <sheetFormatPr defaultColWidth="9.140625" defaultRowHeight="12.75"/>
  <cols>
    <col min="1" max="1" width="9.140625" style="10"/>
    <col min="2" max="2" width="14.140625" style="18"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31.140625" style="2" customWidth="1"/>
    <col min="14" max="14" width="16" style="63" customWidth="1"/>
    <col min="15" max="15" width="9" style="2" customWidth="1"/>
    <col min="16" max="16" width="15.28515625" style="2" customWidth="1"/>
    <col min="17" max="19" width="9.140625" style="2"/>
    <col min="20" max="20" width="9.140625" style="140"/>
    <col min="21" max="22" width="9.140625" style="2"/>
    <col min="23" max="23" width="12.7109375" style="13" customWidth="1"/>
    <col min="24" max="16384" width="9.140625" style="2"/>
  </cols>
  <sheetData>
    <row r="1" spans="1:31" ht="18.75" customHeight="1">
      <c r="B1" s="831" t="s">
        <v>851</v>
      </c>
      <c r="C1" s="832"/>
      <c r="D1" s="832"/>
      <c r="E1" s="832"/>
      <c r="F1" s="832"/>
      <c r="G1" s="832"/>
      <c r="H1" s="832"/>
      <c r="I1" s="832"/>
      <c r="J1" s="832"/>
      <c r="K1" s="832"/>
      <c r="L1" s="832"/>
      <c r="M1" s="832"/>
      <c r="N1" s="832"/>
      <c r="O1" s="832"/>
      <c r="P1" s="832"/>
    </row>
    <row r="2" spans="1:31" ht="18.75" customHeight="1">
      <c r="B2" s="832"/>
      <c r="C2" s="832"/>
      <c r="D2" s="832"/>
      <c r="E2" s="832"/>
      <c r="F2" s="832"/>
      <c r="G2" s="832"/>
      <c r="H2" s="832"/>
      <c r="I2" s="832"/>
      <c r="J2" s="832"/>
      <c r="K2" s="832"/>
      <c r="L2" s="832"/>
      <c r="M2" s="832"/>
      <c r="N2" s="832"/>
      <c r="O2" s="832"/>
      <c r="P2" s="832"/>
    </row>
    <row r="3" spans="1:31" ht="18.75" customHeight="1">
      <c r="B3" s="832"/>
      <c r="C3" s="832"/>
      <c r="D3" s="832"/>
      <c r="E3" s="832"/>
      <c r="F3" s="832"/>
      <c r="G3" s="832"/>
      <c r="H3" s="832"/>
      <c r="I3" s="832"/>
      <c r="J3" s="832"/>
      <c r="K3" s="832"/>
      <c r="L3" s="832"/>
      <c r="M3" s="832"/>
      <c r="N3" s="832"/>
      <c r="O3" s="832"/>
      <c r="P3" s="832"/>
    </row>
    <row r="4" spans="1:31" ht="18.75" customHeight="1">
      <c r="B4" s="832"/>
      <c r="C4" s="832"/>
      <c r="D4" s="832"/>
      <c r="E4" s="832"/>
      <c r="F4" s="832"/>
      <c r="G4" s="832"/>
      <c r="H4" s="832"/>
      <c r="I4" s="832"/>
      <c r="J4" s="832"/>
      <c r="K4" s="832"/>
      <c r="L4" s="832"/>
      <c r="M4" s="832"/>
      <c r="N4" s="832"/>
      <c r="O4" s="832"/>
      <c r="P4" s="832"/>
      <c r="Q4" s="833"/>
      <c r="R4" s="833"/>
      <c r="S4" s="833"/>
      <c r="T4" s="833"/>
      <c r="U4" s="833"/>
      <c r="V4" s="833"/>
    </row>
    <row r="5" spans="1:31" s="21" customFormat="1" ht="15.75" customHeight="1">
      <c r="A5" s="29"/>
      <c r="B5" s="834" t="s">
        <v>5</v>
      </c>
      <c r="C5" s="835"/>
      <c r="D5" s="835"/>
      <c r="E5" s="835"/>
      <c r="F5" s="835"/>
      <c r="G5" s="835"/>
      <c r="H5" s="835"/>
      <c r="I5" s="836"/>
      <c r="J5" s="837" t="s">
        <v>6</v>
      </c>
      <c r="K5" s="838"/>
      <c r="L5" s="838"/>
      <c r="M5" s="838"/>
      <c r="N5" s="841"/>
      <c r="O5" s="841"/>
      <c r="P5" s="841"/>
      <c r="Q5" s="158"/>
      <c r="R5" s="158"/>
      <c r="S5" s="158"/>
      <c r="T5" s="158"/>
      <c r="U5" s="158"/>
      <c r="V5" s="158"/>
      <c r="W5" s="30"/>
    </row>
    <row r="6" spans="1:31"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T6" s="141"/>
      <c r="W6" s="36"/>
    </row>
    <row r="7" spans="1:31" s="35" customFormat="1" ht="15.75">
      <c r="A7" s="31"/>
      <c r="B7" s="98"/>
      <c r="C7" s="145"/>
      <c r="D7" s="37"/>
      <c r="E7" s="38"/>
      <c r="F7" s="38"/>
      <c r="G7" s="37"/>
      <c r="H7" s="38"/>
      <c r="I7" s="56"/>
      <c r="J7" s="136" t="str">
        <f>DEZ!D8</f>
        <v xml:space="preserve">CONTRATO N°: </v>
      </c>
      <c r="K7" s="37"/>
      <c r="L7" s="115" t="str">
        <f>DEZ!F8</f>
        <v>06/2021</v>
      </c>
      <c r="M7" s="37"/>
      <c r="N7" s="58"/>
      <c r="O7" s="37"/>
      <c r="P7" s="733"/>
      <c r="T7" s="141"/>
      <c r="W7" s="36"/>
    </row>
    <row r="8" spans="1:31"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59"/>
      <c r="O8" s="38"/>
      <c r="P8" s="733"/>
      <c r="T8" s="141"/>
      <c r="V8" s="39"/>
      <c r="W8" s="39"/>
      <c r="X8" s="39"/>
      <c r="Y8" s="39"/>
      <c r="Z8" s="39"/>
      <c r="AA8" s="39"/>
      <c r="AB8" s="39"/>
      <c r="AC8" s="39"/>
      <c r="AD8" s="39"/>
      <c r="AE8" s="39"/>
    </row>
    <row r="9" spans="1:31"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59"/>
      <c r="O9" s="38"/>
      <c r="P9" s="733"/>
      <c r="T9" s="141"/>
      <c r="V9" s="39"/>
      <c r="W9" s="39"/>
      <c r="X9" s="39"/>
      <c r="Y9" s="39"/>
      <c r="Z9" s="39"/>
      <c r="AA9" s="39"/>
      <c r="AB9" s="39"/>
      <c r="AC9" s="39"/>
      <c r="AD9" s="39"/>
      <c r="AE9" s="39"/>
    </row>
    <row r="10" spans="1:31" s="16" customFormat="1" ht="24.95" customHeight="1">
      <c r="A10" s="14"/>
      <c r="B10" s="843" t="str">
        <f>DEZ!A644</f>
        <v>5.3.10.11</v>
      </c>
      <c r="C10" s="845" t="str">
        <f>DEZ!C644</f>
        <v>Cadeira longarina com 3 lugares, estrutura em aço e encosto em polipropileno de alta resistência - fornecimento e instalação</v>
      </c>
      <c r="D10" s="816" t="s">
        <v>854</v>
      </c>
      <c r="E10" s="816"/>
      <c r="F10" s="816"/>
      <c r="G10" s="816" t="s">
        <v>33</v>
      </c>
      <c r="H10" s="816"/>
      <c r="I10" s="816"/>
      <c r="J10" s="812" t="s">
        <v>853</v>
      </c>
      <c r="K10" s="812" t="s">
        <v>855</v>
      </c>
      <c r="L10" s="812" t="s">
        <v>856</v>
      </c>
      <c r="M10" s="812" t="s">
        <v>62</v>
      </c>
      <c r="N10" s="849" t="s">
        <v>857</v>
      </c>
      <c r="O10" s="812" t="s">
        <v>10</v>
      </c>
      <c r="P10" s="812" t="s">
        <v>858</v>
      </c>
      <c r="Q10" s="120"/>
      <c r="R10" s="120"/>
      <c r="S10" s="143"/>
      <c r="T10" s="144"/>
      <c r="U10" s="15"/>
      <c r="V10" s="12"/>
      <c r="W10" s="12"/>
      <c r="X10" s="12"/>
      <c r="Y10" s="12"/>
      <c r="Z10" s="12"/>
      <c r="AA10" s="12"/>
      <c r="AB10" s="12"/>
      <c r="AC10" s="12"/>
      <c r="AD10" s="12"/>
      <c r="AE10" s="12"/>
    </row>
    <row r="11" spans="1:31" s="16" customFormat="1" ht="39.6" customHeight="1">
      <c r="A11" s="14"/>
      <c r="B11" s="844"/>
      <c r="C11" s="846"/>
      <c r="D11" s="816"/>
      <c r="E11" s="816"/>
      <c r="F11" s="816"/>
      <c r="G11" s="816"/>
      <c r="H11" s="816"/>
      <c r="I11" s="816"/>
      <c r="J11" s="813"/>
      <c r="K11" s="813"/>
      <c r="L11" s="813"/>
      <c r="M11" s="813"/>
      <c r="N11" s="850"/>
      <c r="O11" s="813"/>
      <c r="P11" s="813"/>
      <c r="Q11" s="120"/>
      <c r="R11" s="120"/>
      <c r="S11" s="143"/>
      <c r="T11" s="144"/>
      <c r="U11" s="15"/>
      <c r="V11" s="12"/>
      <c r="W11" s="12"/>
      <c r="X11" s="12"/>
      <c r="Y11" s="12"/>
      <c r="Z11" s="12"/>
      <c r="AA11" s="12"/>
      <c r="AB11" s="12"/>
      <c r="AC11" s="12"/>
      <c r="AD11" s="12"/>
      <c r="AE11" s="12"/>
    </row>
    <row r="12" spans="1:31" s="73" customFormat="1" ht="27" customHeight="1">
      <c r="A12" s="64"/>
      <c r="B12" s="109"/>
      <c r="C12" s="237" t="s">
        <v>1440</v>
      </c>
      <c r="D12" s="854"/>
      <c r="E12" s="855"/>
      <c r="F12" s="856"/>
      <c r="G12" s="77"/>
      <c r="H12" s="78"/>
      <c r="I12" s="79"/>
      <c r="J12" s="226"/>
      <c r="K12" s="81"/>
      <c r="L12" s="82"/>
      <c r="M12" s="83">
        <f>25*0.6</f>
        <v>15</v>
      </c>
      <c r="N12" s="85">
        <f>M12</f>
        <v>15</v>
      </c>
      <c r="O12" s="154" t="str">
        <f>L23</f>
        <v>un</v>
      </c>
      <c r="P12" s="215">
        <v>13</v>
      </c>
      <c r="Q12" s="71"/>
      <c r="R12" s="71"/>
      <c r="S12" s="152"/>
      <c r="T12" s="153"/>
      <c r="U12" s="72"/>
    </row>
    <row r="13" spans="1:31" s="73" customFormat="1" ht="27" customHeight="1">
      <c r="A13" s="64"/>
      <c r="B13" s="109"/>
      <c r="C13" s="237" t="s">
        <v>1440</v>
      </c>
      <c r="D13" s="854"/>
      <c r="E13" s="855"/>
      <c r="F13" s="856"/>
      <c r="G13" s="77"/>
      <c r="H13" s="78"/>
      <c r="I13" s="79"/>
      <c r="J13" s="226"/>
      <c r="K13" s="81"/>
      <c r="L13" s="82"/>
      <c r="M13" s="83">
        <v>10</v>
      </c>
      <c r="N13" s="85">
        <f>M13</f>
        <v>10</v>
      </c>
      <c r="O13" s="154">
        <f>L24</f>
        <v>0</v>
      </c>
      <c r="P13" s="215">
        <v>14</v>
      </c>
      <c r="Q13" s="71"/>
      <c r="R13" s="71"/>
      <c r="S13" s="152"/>
      <c r="T13" s="153"/>
      <c r="U13" s="72"/>
    </row>
    <row r="14" spans="1:31" s="90" customFormat="1" ht="21" customHeight="1">
      <c r="A14" s="75"/>
      <c r="B14" s="107"/>
      <c r="C14" s="104"/>
      <c r="D14" s="77"/>
      <c r="E14" s="78"/>
      <c r="F14" s="79"/>
      <c r="G14" s="77"/>
      <c r="H14" s="78"/>
      <c r="I14" s="79"/>
      <c r="J14" s="80"/>
      <c r="K14" s="81"/>
      <c r="L14" s="82"/>
      <c r="M14" s="83"/>
      <c r="N14" s="85"/>
      <c r="O14" s="154"/>
      <c r="P14" s="215"/>
      <c r="Q14" s="86"/>
      <c r="R14" s="86"/>
      <c r="S14" s="86"/>
      <c r="T14" s="151"/>
      <c r="U14" s="87"/>
      <c r="V14" s="88"/>
      <c r="W14" s="89"/>
    </row>
    <row r="15" spans="1:31" s="90" customFormat="1" ht="21" customHeight="1">
      <c r="A15" s="75"/>
      <c r="B15" s="107"/>
      <c r="C15" s="104"/>
      <c r="D15" s="77"/>
      <c r="E15" s="78"/>
      <c r="F15" s="79"/>
      <c r="G15" s="77"/>
      <c r="H15" s="78"/>
      <c r="I15" s="79"/>
      <c r="J15" s="80"/>
      <c r="K15" s="81"/>
      <c r="L15" s="82"/>
      <c r="M15" s="83"/>
      <c r="N15" s="85"/>
      <c r="O15" s="154"/>
      <c r="P15" s="215"/>
      <c r="Q15" s="86"/>
      <c r="R15" s="86"/>
      <c r="S15" s="86"/>
      <c r="T15" s="151"/>
      <c r="U15" s="87"/>
      <c r="V15" s="88"/>
      <c r="W15" s="89"/>
    </row>
    <row r="16" spans="1:31" s="90" customFormat="1" ht="21" customHeight="1">
      <c r="A16" s="75"/>
      <c r="B16" s="107"/>
      <c r="C16" s="104"/>
      <c r="D16" s="77"/>
      <c r="E16" s="78"/>
      <c r="F16" s="79"/>
      <c r="G16" s="77"/>
      <c r="H16" s="78"/>
      <c r="I16" s="79"/>
      <c r="J16" s="80"/>
      <c r="K16" s="81"/>
      <c r="L16" s="82"/>
      <c r="M16" s="83"/>
      <c r="N16" s="85"/>
      <c r="O16" s="154"/>
      <c r="P16" s="215"/>
      <c r="Q16" s="86"/>
      <c r="R16" s="86"/>
      <c r="S16" s="86"/>
      <c r="T16" s="151"/>
      <c r="U16" s="87"/>
      <c r="V16" s="88"/>
      <c r="W16" s="89"/>
    </row>
    <row r="17" spans="1:23" s="90" customFormat="1" ht="21" customHeight="1">
      <c r="A17" s="75"/>
      <c r="B17" s="157"/>
      <c r="C17" s="76"/>
      <c r="D17" s="77"/>
      <c r="E17" s="78"/>
      <c r="F17" s="79"/>
      <c r="G17" s="77"/>
      <c r="H17" s="78"/>
      <c r="I17" s="79"/>
      <c r="J17" s="80"/>
      <c r="K17" s="81"/>
      <c r="L17" s="82"/>
      <c r="M17" s="83"/>
      <c r="N17" s="85"/>
      <c r="O17" s="154"/>
      <c r="P17" s="215"/>
      <c r="Q17" s="86"/>
      <c r="R17" s="86"/>
      <c r="S17" s="86"/>
      <c r="T17" s="151"/>
      <c r="U17" s="87"/>
      <c r="V17" s="88"/>
      <c r="W17" s="89"/>
    </row>
    <row r="18" spans="1:23" s="90" customFormat="1" ht="21" customHeight="1">
      <c r="A18" s="75"/>
      <c r="B18" s="157"/>
      <c r="C18" s="76"/>
      <c r="D18" s="77"/>
      <c r="E18" s="78"/>
      <c r="F18" s="79"/>
      <c r="G18" s="77"/>
      <c r="H18" s="78"/>
      <c r="I18" s="79"/>
      <c r="J18" s="80"/>
      <c r="K18" s="81"/>
      <c r="L18" s="82"/>
      <c r="M18" s="83"/>
      <c r="N18" s="85"/>
      <c r="O18" s="154"/>
      <c r="P18" s="215"/>
      <c r="Q18" s="86"/>
      <c r="R18" s="86"/>
      <c r="S18" s="86"/>
      <c r="T18" s="151"/>
      <c r="U18" s="87"/>
      <c r="V18" s="88"/>
      <c r="W18" s="89"/>
    </row>
    <row r="19" spans="1:23" s="90" customFormat="1" ht="21" customHeight="1">
      <c r="A19" s="75"/>
      <c r="B19" s="157"/>
      <c r="C19" s="76"/>
      <c r="D19" s="77"/>
      <c r="E19" s="78"/>
      <c r="F19" s="79"/>
      <c r="G19" s="77"/>
      <c r="H19" s="78"/>
      <c r="I19" s="79"/>
      <c r="J19" s="80"/>
      <c r="K19" s="81"/>
      <c r="L19" s="82"/>
      <c r="M19" s="83"/>
      <c r="N19" s="85"/>
      <c r="O19" s="154"/>
      <c r="P19" s="215"/>
      <c r="Q19" s="86"/>
      <c r="R19" s="86"/>
      <c r="S19" s="86"/>
      <c r="T19" s="151"/>
      <c r="U19" s="87"/>
      <c r="V19" s="88"/>
      <c r="W19" s="89"/>
    </row>
    <row r="20" spans="1:23" s="90" customFormat="1" ht="21" customHeight="1">
      <c r="A20" s="75"/>
      <c r="B20" s="157"/>
      <c r="C20" s="76"/>
      <c r="D20" s="77"/>
      <c r="E20" s="78"/>
      <c r="F20" s="79"/>
      <c r="G20" s="77"/>
      <c r="H20" s="78"/>
      <c r="I20" s="79"/>
      <c r="J20" s="80"/>
      <c r="K20" s="81"/>
      <c r="L20" s="82"/>
      <c r="M20" s="83"/>
      <c r="N20" s="85"/>
      <c r="O20" s="154"/>
      <c r="P20" s="215"/>
      <c r="Q20" s="86"/>
      <c r="R20" s="86"/>
      <c r="S20" s="86"/>
      <c r="T20" s="151"/>
      <c r="U20" s="87"/>
      <c r="V20" s="88"/>
      <c r="W20" s="89"/>
    </row>
    <row r="21" spans="1:23" s="1" customFormat="1" ht="21" customHeight="1">
      <c r="A21" s="11"/>
      <c r="B21" s="25"/>
      <c r="C21" s="20"/>
      <c r="D21" s="26"/>
      <c r="E21" s="159"/>
      <c r="F21" s="27"/>
      <c r="G21" s="26"/>
      <c r="H21" s="159"/>
      <c r="I21" s="27"/>
      <c r="J21" s="28"/>
      <c r="K21" s="49"/>
      <c r="L21" s="40"/>
      <c r="M21" s="41"/>
      <c r="N21" s="60"/>
      <c r="O21" s="43"/>
      <c r="P21" s="215"/>
      <c r="Q21" s="120"/>
      <c r="R21" s="120"/>
      <c r="S21" s="120"/>
      <c r="T21" s="142"/>
      <c r="U21" s="15"/>
      <c r="V21" s="17"/>
      <c r="W21" s="44"/>
    </row>
    <row r="22" spans="1:23" ht="21" customHeight="1">
      <c r="B22" s="118"/>
      <c r="C22" s="119"/>
      <c r="D22" s="26"/>
      <c r="E22" s="159"/>
      <c r="F22" s="27"/>
      <c r="G22" s="26"/>
      <c r="H22" s="159"/>
      <c r="I22" s="27"/>
      <c r="J22" s="28"/>
      <c r="K22" s="49"/>
      <c r="L22" s="40"/>
      <c r="M22" s="41"/>
      <c r="N22" s="60"/>
      <c r="O22" s="43"/>
      <c r="P22" s="216"/>
    </row>
    <row r="23" spans="1:23" ht="54" customHeight="1">
      <c r="B23" s="161"/>
      <c r="C23" s="162"/>
      <c r="D23" s="806" t="s">
        <v>11</v>
      </c>
      <c r="E23" s="807"/>
      <c r="F23" s="807"/>
      <c r="G23" s="807"/>
      <c r="H23" s="807"/>
      <c r="I23" s="808"/>
      <c r="J23" s="809">
        <f>DEZ!I644</f>
        <v>25</v>
      </c>
      <c r="K23" s="810"/>
      <c r="L23" s="50" t="str">
        <f>DEZ!D644</f>
        <v>un</v>
      </c>
      <c r="M23" s="732" t="s">
        <v>12</v>
      </c>
      <c r="N23" s="61">
        <f>SUM(N12:N22)</f>
        <v>25</v>
      </c>
      <c r="O23" s="51" t="str">
        <f>L23</f>
        <v>un</v>
      </c>
      <c r="P23" s="22"/>
    </row>
    <row r="24" spans="1:23" ht="43.5" customHeight="1">
      <c r="B24" s="163"/>
      <c r="C24" s="19"/>
      <c r="D24" s="817" t="s">
        <v>13</v>
      </c>
      <c r="E24" s="818"/>
      <c r="F24" s="818"/>
      <c r="G24" s="818"/>
      <c r="H24" s="818"/>
      <c r="I24" s="819"/>
      <c r="J24" s="823">
        <f>N23/J23</f>
        <v>1</v>
      </c>
      <c r="K24" s="824"/>
      <c r="L24" s="827"/>
      <c r="M24" s="732" t="s">
        <v>34</v>
      </c>
      <c r="N24" s="61">
        <f>N12</f>
        <v>15</v>
      </c>
      <c r="O24" s="52" t="str">
        <f>L23</f>
        <v>un</v>
      </c>
      <c r="P24" s="22"/>
    </row>
    <row r="25" spans="1:23" ht="21" customHeight="1">
      <c r="A25" s="10" t="s">
        <v>469</v>
      </c>
      <c r="B25" s="165"/>
      <c r="C25" s="164"/>
      <c r="D25" s="820"/>
      <c r="E25" s="821"/>
      <c r="F25" s="821"/>
      <c r="G25" s="821"/>
      <c r="H25" s="821"/>
      <c r="I25" s="822"/>
      <c r="J25" s="825"/>
      <c r="K25" s="826"/>
      <c r="L25" s="828"/>
      <c r="M25" s="732" t="s">
        <v>14</v>
      </c>
      <c r="N25" s="62">
        <f>N23-N24</f>
        <v>10</v>
      </c>
      <c r="O25" s="53" t="str">
        <f>L23</f>
        <v>un</v>
      </c>
      <c r="P25" s="54"/>
    </row>
    <row r="26" spans="1:23" ht="21" customHeight="1">
      <c r="B26" s="218"/>
      <c r="C26" s="217"/>
      <c r="M26" s="732" t="s">
        <v>53</v>
      </c>
      <c r="N26" s="62">
        <f>DEZ!E644</f>
        <v>333.45</v>
      </c>
      <c r="O26" s="53"/>
      <c r="P26" s="54"/>
    </row>
    <row r="27" spans="1:23" ht="21" customHeight="1">
      <c r="B27" s="163"/>
      <c r="C27" s="219"/>
      <c r="M27" s="732" t="s">
        <v>54</v>
      </c>
      <c r="N27" s="62">
        <f>TRUNC(N26*N25,2)</f>
        <v>3334.5</v>
      </c>
      <c r="O27" s="53" t="s">
        <v>55</v>
      </c>
      <c r="P27" s="54"/>
    </row>
    <row r="30" spans="1:23">
      <c r="C30" s="2">
        <f>18*5</f>
        <v>90</v>
      </c>
    </row>
    <row r="31" spans="1:23">
      <c r="C31" s="2">
        <f>C30*0.09</f>
        <v>8.1</v>
      </c>
    </row>
  </sheetData>
  <mergeCells count="23">
    <mergeCell ref="D12:F12"/>
    <mergeCell ref="D23:I23"/>
    <mergeCell ref="J23:K23"/>
    <mergeCell ref="D24:I25"/>
    <mergeCell ref="J24:K25"/>
    <mergeCell ref="D13:F13"/>
    <mergeCell ref="L24:L25"/>
    <mergeCell ref="K10:K11"/>
    <mergeCell ref="L10:L11"/>
    <mergeCell ref="M10:M11"/>
    <mergeCell ref="N10:N11"/>
    <mergeCell ref="O10:O11"/>
    <mergeCell ref="P10:P11"/>
    <mergeCell ref="B1:P4"/>
    <mergeCell ref="Q4:V4"/>
    <mergeCell ref="B5:I5"/>
    <mergeCell ref="J5:M5"/>
    <mergeCell ref="N5:P5"/>
    <mergeCell ref="B10:B11"/>
    <mergeCell ref="C10:C11"/>
    <mergeCell ref="D10:F11"/>
    <mergeCell ref="G10:I11"/>
    <mergeCell ref="J10:J11"/>
  </mergeCells>
  <conditionalFormatting sqref="J24:K27">
    <cfRule type="cellIs" dxfId="77" priority="1" operator="greaterThanOrEqual">
      <formula>1</formula>
    </cfRule>
    <cfRule type="cellIs" dxfId="76" priority="2" operator="greaterThan">
      <formula>100%</formula>
    </cfRule>
  </conditionalFormatting>
  <pageMargins left="0.51181102362204722" right="0.51181102362204722" top="0.78740157480314965" bottom="0.78740157480314965" header="0.31496062992125984" footer="0.31496062992125984"/>
  <pageSetup paperSize="9" scale="57" fitToHeight="0" orientation="landscape" r:id="rId1"/>
  <headerFooter>
    <oddFooter>Página &amp;P de &amp;N</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1AEBF-C1F4-4C8E-9294-947E5718E9C0}">
  <sheetPr>
    <tabColor rgb="FF339933"/>
    <pageSetUpPr fitToPage="1"/>
  </sheetPr>
  <dimension ref="A1:AF21"/>
  <sheetViews>
    <sheetView view="pageBreakPreview" topLeftCell="B1" zoomScale="50" zoomScaleNormal="55" zoomScaleSheetLayoutView="50" workbookViewId="0">
      <selection activeCell="R12" sqref="R12:R1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8" width="6.7109375" style="2" customWidth="1"/>
    <col min="9" max="9" width="10.85546875" style="2" customWidth="1"/>
    <col min="10" max="10" width="15.42578125" style="2" customWidth="1"/>
    <col min="11" max="12" width="13.5703125" style="2" customWidth="1"/>
    <col min="13" max="13" width="33.140625" style="2" customWidth="1"/>
    <col min="14" max="14" width="19.7109375" style="63" customWidth="1"/>
    <col min="15" max="15" width="7.140625" style="2" customWidth="1"/>
    <col min="16" max="16" width="15.28515625" style="2" customWidth="1"/>
    <col min="17" max="17" width="38.140625" style="2" bestFit="1" customWidth="1"/>
    <col min="18" max="20" width="9.140625" style="2"/>
    <col min="21" max="21" width="9.140625" style="140"/>
    <col min="22" max="23" width="9.140625" style="2"/>
    <col min="24" max="24" width="12.7109375" style="13" customWidth="1"/>
    <col min="25" max="16384" width="9.140625" style="2"/>
  </cols>
  <sheetData>
    <row r="1" spans="1:32" ht="18.75" customHeight="1">
      <c r="B1" s="831" t="s">
        <v>851</v>
      </c>
      <c r="C1" s="832"/>
      <c r="D1" s="832"/>
      <c r="E1" s="832"/>
      <c r="F1" s="832"/>
      <c r="G1" s="832"/>
      <c r="H1" s="832"/>
      <c r="I1" s="832"/>
      <c r="J1" s="832"/>
      <c r="K1" s="832"/>
      <c r="L1" s="832"/>
      <c r="M1" s="832"/>
      <c r="N1" s="832"/>
      <c r="O1" s="832"/>
      <c r="P1" s="832"/>
      <c r="Q1" s="832"/>
    </row>
    <row r="2" spans="1:32" ht="18.75" customHeight="1">
      <c r="B2" s="832"/>
      <c r="C2" s="832"/>
      <c r="D2" s="832"/>
      <c r="E2" s="832"/>
      <c r="F2" s="832"/>
      <c r="G2" s="832"/>
      <c r="H2" s="832"/>
      <c r="I2" s="832"/>
      <c r="J2" s="832"/>
      <c r="K2" s="832"/>
      <c r="L2" s="832"/>
      <c r="M2" s="832"/>
      <c r="N2" s="832"/>
      <c r="O2" s="832"/>
      <c r="P2" s="832"/>
      <c r="Q2" s="832"/>
    </row>
    <row r="3" spans="1:32" ht="18.75" customHeight="1">
      <c r="B3" s="832"/>
      <c r="C3" s="832"/>
      <c r="D3" s="832"/>
      <c r="E3" s="832"/>
      <c r="F3" s="832"/>
      <c r="G3" s="832"/>
      <c r="H3" s="832"/>
      <c r="I3" s="832"/>
      <c r="J3" s="832"/>
      <c r="K3" s="832"/>
      <c r="L3" s="832"/>
      <c r="M3" s="832"/>
      <c r="N3" s="832"/>
      <c r="O3" s="832"/>
      <c r="P3" s="832"/>
      <c r="Q3" s="832"/>
    </row>
    <row r="4" spans="1:32" ht="18.75" customHeight="1">
      <c r="B4" s="832"/>
      <c r="C4" s="832"/>
      <c r="D4" s="832"/>
      <c r="E4" s="832"/>
      <c r="F4" s="832"/>
      <c r="G4" s="832"/>
      <c r="H4" s="832"/>
      <c r="I4" s="832"/>
      <c r="J4" s="832"/>
      <c r="K4" s="832"/>
      <c r="L4" s="832"/>
      <c r="M4" s="832"/>
      <c r="N4" s="832"/>
      <c r="O4" s="832"/>
      <c r="P4" s="832"/>
      <c r="Q4" s="832"/>
      <c r="R4" s="833"/>
      <c r="S4" s="833"/>
      <c r="T4" s="833"/>
      <c r="U4" s="833"/>
      <c r="V4" s="833"/>
      <c r="W4" s="833"/>
    </row>
    <row r="5" spans="1:32" s="21" customFormat="1" ht="15.75" customHeight="1">
      <c r="A5" s="29"/>
      <c r="B5" s="834" t="s">
        <v>5</v>
      </c>
      <c r="C5" s="835"/>
      <c r="D5" s="835"/>
      <c r="E5" s="835"/>
      <c r="F5" s="835"/>
      <c r="G5" s="835"/>
      <c r="H5" s="835"/>
      <c r="I5" s="836"/>
      <c r="J5" s="837" t="s">
        <v>6</v>
      </c>
      <c r="K5" s="838"/>
      <c r="L5" s="838"/>
      <c r="M5" s="838"/>
      <c r="N5" s="841"/>
      <c r="O5" s="841"/>
      <c r="P5" s="841"/>
      <c r="Q5" s="842"/>
      <c r="R5" s="158"/>
      <c r="S5" s="158"/>
      <c r="T5" s="158"/>
      <c r="U5" s="158"/>
      <c r="V5" s="158"/>
      <c r="W5" s="158"/>
      <c r="X5" s="30"/>
    </row>
    <row r="6" spans="1:32"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Q6" s="34"/>
      <c r="U6" s="141"/>
      <c r="X6" s="36"/>
    </row>
    <row r="7" spans="1:32" s="35" customFormat="1" ht="15.75">
      <c r="A7" s="31"/>
      <c r="B7" s="98"/>
      <c r="C7" s="145"/>
      <c r="D7" s="37"/>
      <c r="E7" s="38"/>
      <c r="F7" s="38"/>
      <c r="G7" s="37"/>
      <c r="H7" s="38"/>
      <c r="I7" s="56"/>
      <c r="J7" s="136" t="str">
        <f>DEZ!D8</f>
        <v xml:space="preserve">CONTRATO N°: </v>
      </c>
      <c r="K7" s="37"/>
      <c r="L7" s="115" t="str">
        <f>DEZ!F8</f>
        <v>06/2021</v>
      </c>
      <c r="M7" s="37"/>
      <c r="N7" s="58"/>
      <c r="O7" s="37"/>
      <c r="P7" s="829"/>
      <c r="Q7" s="830"/>
      <c r="U7" s="141"/>
      <c r="X7" s="36"/>
    </row>
    <row r="8" spans="1:32"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59"/>
      <c r="O8" s="38"/>
      <c r="P8" s="829"/>
      <c r="Q8" s="830"/>
      <c r="U8" s="141"/>
      <c r="W8" s="39"/>
      <c r="X8" s="39"/>
      <c r="Y8" s="39"/>
      <c r="Z8" s="39"/>
      <c r="AA8" s="39"/>
      <c r="AB8" s="39"/>
      <c r="AC8" s="39"/>
      <c r="AD8" s="39"/>
      <c r="AE8" s="39"/>
      <c r="AF8" s="39"/>
    </row>
    <row r="9" spans="1:32"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59"/>
      <c r="O9" s="38"/>
      <c r="P9" s="829"/>
      <c r="Q9" s="830"/>
      <c r="U9" s="141"/>
      <c r="W9" s="39"/>
      <c r="X9" s="39"/>
      <c r="Y9" s="39"/>
      <c r="Z9" s="39"/>
      <c r="AA9" s="39"/>
      <c r="AB9" s="39"/>
      <c r="AC9" s="39"/>
      <c r="AD9" s="39"/>
      <c r="AE9" s="39"/>
      <c r="AF9" s="39"/>
    </row>
    <row r="10" spans="1:32" s="16" customFormat="1" ht="24.95" customHeight="1">
      <c r="A10" s="14"/>
      <c r="B10" s="843" t="str">
        <f>DEZ!A657</f>
        <v>5.4.1.10</v>
      </c>
      <c r="C10" s="845" t="str">
        <f>DEZ!C148</f>
        <v>Defensa barra tipo "D" 150 mm L=150 cm - fornecimento e instalação</v>
      </c>
      <c r="D10" s="816" t="s">
        <v>62</v>
      </c>
      <c r="E10" s="816"/>
      <c r="F10" s="816"/>
      <c r="G10" s="816" t="s">
        <v>1436</v>
      </c>
      <c r="H10" s="816"/>
      <c r="I10" s="816"/>
      <c r="J10" s="812" t="s">
        <v>853</v>
      </c>
      <c r="K10" s="812" t="s">
        <v>855</v>
      </c>
      <c r="L10" s="812" t="s">
        <v>856</v>
      </c>
      <c r="M10" s="812"/>
      <c r="N10" s="849" t="s">
        <v>857</v>
      </c>
      <c r="O10" s="812" t="s">
        <v>10</v>
      </c>
      <c r="P10" s="812" t="s">
        <v>858</v>
      </c>
      <c r="Q10" s="847" t="s">
        <v>35</v>
      </c>
      <c r="R10" s="120"/>
      <c r="S10" s="120"/>
      <c r="T10" s="143"/>
      <c r="U10" s="144"/>
      <c r="V10" s="15"/>
      <c r="W10" s="12"/>
      <c r="X10" s="12"/>
      <c r="Y10" s="12"/>
      <c r="Z10" s="12"/>
      <c r="AA10" s="12"/>
      <c r="AB10" s="12"/>
      <c r="AC10" s="12"/>
      <c r="AD10" s="12"/>
      <c r="AE10" s="12"/>
      <c r="AF10" s="12"/>
    </row>
    <row r="11" spans="1:32" s="16" customFormat="1" ht="39.6" customHeight="1">
      <c r="A11" s="14"/>
      <c r="B11" s="844"/>
      <c r="C11" s="846"/>
      <c r="D11" s="816"/>
      <c r="E11" s="816"/>
      <c r="F11" s="816"/>
      <c r="G11" s="816"/>
      <c r="H11" s="816"/>
      <c r="I11" s="816"/>
      <c r="J11" s="813"/>
      <c r="K11" s="813"/>
      <c r="L11" s="813"/>
      <c r="M11" s="813"/>
      <c r="N11" s="850"/>
      <c r="O11" s="813"/>
      <c r="P11" s="813"/>
      <c r="Q11" s="848"/>
      <c r="R11" s="120"/>
      <c r="S11" s="120"/>
      <c r="T11" s="143"/>
      <c r="U11" s="144"/>
      <c r="V11" s="15"/>
      <c r="W11" s="12"/>
      <c r="X11" s="12"/>
      <c r="Y11" s="12"/>
      <c r="Z11" s="12"/>
      <c r="AA11" s="12"/>
      <c r="AB11" s="12"/>
      <c r="AC11" s="12"/>
      <c r="AD11" s="12"/>
      <c r="AE11" s="12"/>
      <c r="AF11" s="12"/>
    </row>
    <row r="12" spans="1:32" s="73" customFormat="1" ht="21" customHeight="1">
      <c r="A12" s="64"/>
      <c r="B12" s="109"/>
      <c r="C12" s="65" t="s">
        <v>1441</v>
      </c>
      <c r="D12" s="77"/>
      <c r="E12" s="78"/>
      <c r="F12" s="79">
        <v>15</v>
      </c>
      <c r="G12" s="860">
        <v>0.6</v>
      </c>
      <c r="H12" s="861"/>
      <c r="I12" s="862"/>
      <c r="J12" s="66"/>
      <c r="K12" s="108"/>
      <c r="L12" s="67"/>
      <c r="M12" s="68"/>
      <c r="N12" s="93">
        <f>F12*G12</f>
        <v>9</v>
      </c>
      <c r="O12" s="111" t="str">
        <f>L17</f>
        <v>un</v>
      </c>
      <c r="P12" s="215">
        <v>13</v>
      </c>
      <c r="Q12" s="94"/>
      <c r="R12" s="71"/>
      <c r="S12" s="71"/>
      <c r="T12" s="152"/>
      <c r="U12" s="153"/>
      <c r="V12" s="72"/>
      <c r="W12" s="71"/>
      <c r="X12" s="74"/>
    </row>
    <row r="13" spans="1:32" s="73" customFormat="1" ht="21" customHeight="1">
      <c r="A13" s="64"/>
      <c r="B13" s="109"/>
      <c r="C13" s="65" t="s">
        <v>1441</v>
      </c>
      <c r="D13" s="77"/>
      <c r="E13" s="78"/>
      <c r="F13" s="79">
        <v>15</v>
      </c>
      <c r="G13" s="860">
        <v>0.4</v>
      </c>
      <c r="H13" s="861"/>
      <c r="I13" s="862"/>
      <c r="J13" s="66"/>
      <c r="K13" s="108"/>
      <c r="L13" s="67"/>
      <c r="M13" s="68"/>
      <c r="N13" s="93">
        <f>F13*G13</f>
        <v>6</v>
      </c>
      <c r="O13" s="111">
        <f>L18</f>
        <v>0</v>
      </c>
      <c r="P13" s="215">
        <v>14</v>
      </c>
      <c r="Q13" s="94"/>
      <c r="R13" s="71"/>
      <c r="S13" s="71"/>
      <c r="T13" s="152"/>
      <c r="U13" s="153"/>
      <c r="V13" s="72"/>
      <c r="W13" s="71"/>
      <c r="X13" s="74"/>
    </row>
    <row r="14" spans="1:32" s="73" customFormat="1" ht="21" customHeight="1">
      <c r="A14" s="64"/>
      <c r="B14" s="109"/>
      <c r="C14" s="65"/>
      <c r="D14" s="77"/>
      <c r="E14" s="78"/>
      <c r="F14" s="79"/>
      <c r="G14" s="77"/>
      <c r="H14" s="78"/>
      <c r="I14" s="79"/>
      <c r="J14" s="66"/>
      <c r="K14" s="108"/>
      <c r="L14" s="67"/>
      <c r="M14" s="68"/>
      <c r="N14" s="70"/>
      <c r="O14" s="111"/>
      <c r="P14" s="215"/>
      <c r="Q14" s="94"/>
      <c r="R14" s="71"/>
      <c r="S14" s="71"/>
      <c r="T14" s="152"/>
      <c r="U14" s="153"/>
      <c r="V14" s="72"/>
      <c r="W14" s="71"/>
      <c r="X14" s="74"/>
    </row>
    <row r="15" spans="1:32" s="73" customFormat="1" ht="21" customHeight="1">
      <c r="A15" s="64"/>
      <c r="B15" s="109"/>
      <c r="C15" s="65"/>
      <c r="D15" s="77"/>
      <c r="E15" s="78"/>
      <c r="F15" s="79"/>
      <c r="G15" s="77"/>
      <c r="H15" s="78"/>
      <c r="I15" s="79"/>
      <c r="J15" s="66"/>
      <c r="K15" s="108"/>
      <c r="L15" s="67"/>
      <c r="M15" s="68"/>
      <c r="N15" s="70"/>
      <c r="O15" s="111"/>
      <c r="P15" s="215"/>
      <c r="Q15" s="94"/>
      <c r="R15" s="71"/>
      <c r="S15" s="71"/>
      <c r="T15" s="152"/>
      <c r="U15" s="153"/>
      <c r="V15" s="72"/>
      <c r="W15" s="71"/>
      <c r="X15" s="74"/>
    </row>
    <row r="16" spans="1:32" s="73" customFormat="1" ht="21" customHeight="1">
      <c r="A16" s="64"/>
      <c r="B16" s="109"/>
      <c r="C16" s="65"/>
      <c r="D16" s="77"/>
      <c r="E16" s="78"/>
      <c r="F16" s="79"/>
      <c r="G16" s="77"/>
      <c r="H16" s="78"/>
      <c r="I16" s="79"/>
      <c r="J16" s="66"/>
      <c r="K16" s="108"/>
      <c r="L16" s="67"/>
      <c r="M16" s="68"/>
      <c r="N16" s="70"/>
      <c r="O16" s="111"/>
      <c r="P16" s="215"/>
      <c r="Q16" s="94"/>
      <c r="R16" s="71"/>
      <c r="S16" s="71"/>
      <c r="T16" s="152"/>
      <c r="U16" s="153"/>
      <c r="V16" s="72"/>
      <c r="W16" s="71"/>
      <c r="X16" s="74"/>
    </row>
    <row r="17" spans="1:17" ht="39.6" customHeight="1">
      <c r="B17" s="161"/>
      <c r="C17" s="162"/>
      <c r="D17" s="806" t="s">
        <v>11</v>
      </c>
      <c r="E17" s="807"/>
      <c r="F17" s="807"/>
      <c r="G17" s="807"/>
      <c r="H17" s="807"/>
      <c r="I17" s="808"/>
      <c r="J17" s="809">
        <f>DEZ!I148</f>
        <v>15</v>
      </c>
      <c r="K17" s="810"/>
      <c r="L17" s="50" t="str">
        <f>DEZ!D148</f>
        <v>un</v>
      </c>
      <c r="M17" s="732" t="s">
        <v>12</v>
      </c>
      <c r="N17" s="61">
        <f>SUM(N12:N16)</f>
        <v>15</v>
      </c>
      <c r="O17" s="51" t="str">
        <f>L17</f>
        <v>un</v>
      </c>
      <c r="P17" s="22"/>
      <c r="Q17" s="23"/>
    </row>
    <row r="18" spans="1:17" ht="21" customHeight="1">
      <c r="B18" s="163"/>
      <c r="C18" s="19"/>
      <c r="D18" s="817" t="s">
        <v>13</v>
      </c>
      <c r="E18" s="818"/>
      <c r="F18" s="818"/>
      <c r="G18" s="818"/>
      <c r="H18" s="818"/>
      <c r="I18" s="819"/>
      <c r="J18" s="823">
        <f>N17/J17</f>
        <v>1</v>
      </c>
      <c r="K18" s="824"/>
      <c r="L18" s="827"/>
      <c r="M18" s="732" t="s">
        <v>34</v>
      </c>
      <c r="N18" s="734">
        <f>N12</f>
        <v>9</v>
      </c>
      <c r="O18" s="52" t="str">
        <f>L17</f>
        <v>un</v>
      </c>
      <c r="P18" s="22"/>
      <c r="Q18" s="23"/>
    </row>
    <row r="19" spans="1:17" ht="21" customHeight="1">
      <c r="A19" s="10" t="s">
        <v>77</v>
      </c>
      <c r="B19" s="165"/>
      <c r="C19" s="164"/>
      <c r="D19" s="820"/>
      <c r="E19" s="821"/>
      <c r="F19" s="821"/>
      <c r="G19" s="821"/>
      <c r="H19" s="821"/>
      <c r="I19" s="822"/>
      <c r="J19" s="825"/>
      <c r="K19" s="826"/>
      <c r="L19" s="828"/>
      <c r="M19" s="732" t="s">
        <v>14</v>
      </c>
      <c r="N19" s="720">
        <f>N17-N18</f>
        <v>6</v>
      </c>
      <c r="O19" s="53" t="str">
        <f>L17</f>
        <v>un</v>
      </c>
      <c r="P19" s="54"/>
      <c r="Q19" s="24"/>
    </row>
    <row r="20" spans="1:17" ht="21" customHeight="1">
      <c r="B20" s="218"/>
      <c r="C20" s="217"/>
      <c r="M20" s="732" t="s">
        <v>53</v>
      </c>
      <c r="N20" s="62">
        <f>DEZ!E148</f>
        <v>2011.04</v>
      </c>
      <c r="O20" s="53"/>
      <c r="P20" s="54"/>
      <c r="Q20" s="24"/>
    </row>
    <row r="21" spans="1:17" ht="21" customHeight="1">
      <c r="B21" s="163"/>
      <c r="C21" s="219"/>
      <c r="M21" s="732" t="s">
        <v>54</v>
      </c>
      <c r="N21" s="62">
        <f>TRUNC(N20*N19,2)</f>
        <v>12066.24</v>
      </c>
      <c r="O21" s="53" t="s">
        <v>55</v>
      </c>
      <c r="P21" s="54"/>
      <c r="Q21" s="24"/>
    </row>
  </sheetData>
  <mergeCells count="27">
    <mergeCell ref="L18:L19"/>
    <mergeCell ref="N10:N11"/>
    <mergeCell ref="O10:O11"/>
    <mergeCell ref="G12:I12"/>
    <mergeCell ref="D17:I17"/>
    <mergeCell ref="J17:K17"/>
    <mergeCell ref="D18:I19"/>
    <mergeCell ref="J18:K19"/>
    <mergeCell ref="G13:I13"/>
    <mergeCell ref="P8:Q8"/>
    <mergeCell ref="P9:Q9"/>
    <mergeCell ref="B10:B11"/>
    <mergeCell ref="C10:C11"/>
    <mergeCell ref="D10:F11"/>
    <mergeCell ref="G10:I11"/>
    <mergeCell ref="J10:J11"/>
    <mergeCell ref="K10:K11"/>
    <mergeCell ref="L10:L11"/>
    <mergeCell ref="M10:M11"/>
    <mergeCell ref="P10:P11"/>
    <mergeCell ref="Q10:Q11"/>
    <mergeCell ref="P7:Q7"/>
    <mergeCell ref="B1:Q4"/>
    <mergeCell ref="R4:W4"/>
    <mergeCell ref="B5:I5"/>
    <mergeCell ref="J5:M5"/>
    <mergeCell ref="N5:Q5"/>
  </mergeCells>
  <conditionalFormatting sqref="J18:K21">
    <cfRule type="cellIs" dxfId="75" priority="1" operator="greaterThanOrEqual">
      <formula>1</formula>
    </cfRule>
    <cfRule type="cellIs" dxfId="74" priority="2" operator="greaterThan">
      <formula>100%</formula>
    </cfRule>
  </conditionalFormatting>
  <pageMargins left="0.51181102362204722" right="0.51181102362204722" top="0.78740157480314965" bottom="0.78740157480314965" header="0.31496062992125984" footer="0.31496062992125984"/>
  <pageSetup paperSize="9" scale="31" fitToHeight="0" orientation="landscape" r:id="rId1"/>
  <headerFooter>
    <oddFooter>Página &amp;P de &amp;N</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B6F5A-AB24-44F4-8081-C3B475D74191}">
  <sheetPr>
    <tabColor rgb="FF339933"/>
    <pageSetUpPr fitToPage="1"/>
  </sheetPr>
  <dimension ref="A1:AJ31"/>
  <sheetViews>
    <sheetView view="pageBreakPreview" topLeftCell="A4" zoomScale="50" zoomScaleNormal="55" zoomScaleSheetLayoutView="50" workbookViewId="0">
      <selection activeCell="C13" sqref="C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hidden="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DEZ!A668</f>
        <v>5.4.3.3</v>
      </c>
      <c r="C10" s="845" t="str">
        <f>DEZ!C668</f>
        <v>Apoio náutico para a execução da cravação de camisa metálica D = 600 a 1800 mm</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4.5" customHeight="1">
      <c r="A12" s="64"/>
      <c r="B12" s="109"/>
      <c r="C12" s="237" t="s">
        <v>1434</v>
      </c>
      <c r="D12" s="854"/>
      <c r="E12" s="855"/>
      <c r="F12" s="856"/>
      <c r="G12" s="77"/>
      <c r="H12" s="78"/>
      <c r="I12" s="79"/>
      <c r="J12" s="226"/>
      <c r="K12" s="81">
        <v>279</v>
      </c>
      <c r="L12" s="82"/>
      <c r="M12" s="83"/>
      <c r="N12" s="105"/>
      <c r="O12" s="84"/>
      <c r="P12" s="82"/>
      <c r="Q12" s="93"/>
      <c r="R12" s="85">
        <f>K12</f>
        <v>279</v>
      </c>
      <c r="S12" s="154" t="s">
        <v>59</v>
      </c>
      <c r="T12" s="215">
        <v>13</v>
      </c>
      <c r="U12" s="94"/>
      <c r="V12" s="71"/>
      <c r="W12" s="71"/>
      <c r="X12" s="152"/>
      <c r="Y12" s="153"/>
      <c r="Z12" s="72"/>
    </row>
    <row r="13" spans="1:36" s="73" customFormat="1" ht="21" customHeight="1">
      <c r="A13" s="64"/>
      <c r="B13" s="109"/>
      <c r="C13" s="237" t="s">
        <v>1442</v>
      </c>
      <c r="D13" s="77"/>
      <c r="E13" s="78"/>
      <c r="F13" s="79"/>
      <c r="G13" s="77"/>
      <c r="H13" s="78"/>
      <c r="I13" s="79"/>
      <c r="J13" s="66"/>
      <c r="K13" s="108"/>
      <c r="L13" s="67"/>
      <c r="M13" s="68"/>
      <c r="N13" s="110"/>
      <c r="O13" s="69"/>
      <c r="P13" s="67"/>
      <c r="Q13" s="106"/>
      <c r="R13" s="85"/>
      <c r="S13" s="154"/>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58.5" customHeight="1">
      <c r="B23" s="161"/>
      <c r="C23" s="162"/>
      <c r="D23" s="806" t="s">
        <v>11</v>
      </c>
      <c r="E23" s="807"/>
      <c r="F23" s="807"/>
      <c r="G23" s="807"/>
      <c r="H23" s="807"/>
      <c r="I23" s="808"/>
      <c r="J23" s="809">
        <f>DEZ!I668</f>
        <v>279</v>
      </c>
      <c r="K23" s="810"/>
      <c r="L23" s="50" t="s">
        <v>51</v>
      </c>
      <c r="M23" s="803" t="s">
        <v>12</v>
      </c>
      <c r="N23" s="811"/>
      <c r="O23" s="811"/>
      <c r="P23" s="811"/>
      <c r="Q23" s="805"/>
      <c r="R23" s="61">
        <f>SUM(R12:R22)</f>
        <v>279</v>
      </c>
      <c r="S23" s="51" t="str">
        <f>L23</f>
        <v>m</v>
      </c>
      <c r="T23" s="22"/>
      <c r="U23" s="23"/>
    </row>
    <row r="24" spans="1:28" ht="39" customHeight="1">
      <c r="B24" s="163"/>
      <c r="C24" s="19"/>
      <c r="D24" s="817" t="s">
        <v>13</v>
      </c>
      <c r="E24" s="818"/>
      <c r="F24" s="818"/>
      <c r="G24" s="818"/>
      <c r="H24" s="818"/>
      <c r="I24" s="819"/>
      <c r="J24" s="823">
        <f>R23/J23</f>
        <v>1</v>
      </c>
      <c r="K24" s="824"/>
      <c r="L24" s="827"/>
      <c r="M24" s="803" t="s">
        <v>34</v>
      </c>
      <c r="N24" s="804"/>
      <c r="O24" s="804"/>
      <c r="P24" s="804"/>
      <c r="Q24" s="805"/>
      <c r="R24" s="61">
        <f>R12</f>
        <v>279</v>
      </c>
      <c r="S24" s="52" t="str">
        <f>L23</f>
        <v>m</v>
      </c>
      <c r="T24" s="22"/>
      <c r="U24" s="23"/>
    </row>
    <row r="25" spans="1:28" ht="42"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v>
      </c>
      <c r="T25" s="54"/>
      <c r="U25" s="24"/>
    </row>
    <row r="26" spans="1:28" ht="37.5" customHeight="1">
      <c r="B26" s="218"/>
      <c r="C26" s="217"/>
      <c r="M26" s="803" t="s">
        <v>53</v>
      </c>
      <c r="N26" s="804"/>
      <c r="O26" s="804"/>
      <c r="P26" s="804"/>
      <c r="Q26" s="805"/>
      <c r="R26" s="62">
        <f>DEZ!E668</f>
        <v>294.97000000000003</v>
      </c>
      <c r="S26" s="53"/>
      <c r="T26" s="54"/>
      <c r="U26" s="24"/>
    </row>
    <row r="27" spans="1:28" ht="45"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5">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73" priority="1" operator="greaterThanOrEqual">
      <formula>1</formula>
    </cfRule>
    <cfRule type="cellIs" dxfId="72" priority="2" operator="greaterThan">
      <formula>100%</formula>
    </cfRule>
  </conditionalFormatting>
  <pageMargins left="0.51181102362204722" right="0.51181102362204722" top="0.78740157480314965" bottom="0.78740157480314965" header="0.31496062992125984" footer="0.31496062992125984"/>
  <pageSetup paperSize="9" scale="48" fitToHeight="0" orientation="landscape" r:id="rId1"/>
  <headerFooter>
    <oddFooter>Página &amp;P de &amp;N</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23531-D494-4002-9D5D-99854F03F909}">
  <sheetPr>
    <tabColor rgb="FF339933"/>
    <pageSetUpPr fitToPage="1"/>
  </sheetPr>
  <dimension ref="A1:AJ31"/>
  <sheetViews>
    <sheetView view="pageBreakPreview" topLeftCell="A4" zoomScale="50" zoomScaleNormal="55" zoomScaleSheetLayoutView="50" workbookViewId="0">
      <selection activeCell="R12" sqref="R12:R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hidden="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DEZ!A670</f>
        <v>5.4.3.5</v>
      </c>
      <c r="C10" s="845" t="str">
        <f>DEZ!C670</f>
        <v>Apoio náutico para a escavação com perfuratriz tipo Wirth em solo D = 600 mm a 1800 mm</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4.5" customHeight="1">
      <c r="A12" s="64"/>
      <c r="B12" s="109"/>
      <c r="C12" s="237" t="s">
        <v>1434</v>
      </c>
      <c r="D12" s="854"/>
      <c r="E12" s="855"/>
      <c r="F12" s="856"/>
      <c r="G12" s="77"/>
      <c r="H12" s="78"/>
      <c r="I12" s="79"/>
      <c r="J12" s="226"/>
      <c r="K12" s="81">
        <v>279</v>
      </c>
      <c r="L12" s="82"/>
      <c r="M12" s="83">
        <v>0.4</v>
      </c>
      <c r="N12" s="105"/>
      <c r="O12" s="84"/>
      <c r="P12" s="82"/>
      <c r="Q12" s="93"/>
      <c r="R12" s="85">
        <f>K12*M12</f>
        <v>111.60000000000001</v>
      </c>
      <c r="S12" s="154" t="s">
        <v>59</v>
      </c>
      <c r="T12" s="215">
        <v>13</v>
      </c>
      <c r="U12" s="94"/>
      <c r="V12" s="71"/>
      <c r="W12" s="71"/>
      <c r="X12" s="152"/>
      <c r="Y12" s="153"/>
      <c r="Z12" s="72"/>
    </row>
    <row r="13" spans="1:36" s="73" customFormat="1" ht="34.5" customHeight="1">
      <c r="A13" s="64"/>
      <c r="B13" s="109"/>
      <c r="C13" s="237" t="s">
        <v>1434</v>
      </c>
      <c r="D13" s="854"/>
      <c r="E13" s="855"/>
      <c r="F13" s="856"/>
      <c r="G13" s="77"/>
      <c r="H13" s="78"/>
      <c r="I13" s="79"/>
      <c r="J13" s="226"/>
      <c r="K13" s="81">
        <v>279</v>
      </c>
      <c r="L13" s="82"/>
      <c r="M13" s="83">
        <v>0.6</v>
      </c>
      <c r="N13" s="105"/>
      <c r="O13" s="84"/>
      <c r="P13" s="82"/>
      <c r="Q13" s="93"/>
      <c r="R13" s="85">
        <f>K13*M13</f>
        <v>167.4</v>
      </c>
      <c r="S13" s="154" t="s">
        <v>59</v>
      </c>
      <c r="T13" s="215">
        <v>14</v>
      </c>
      <c r="U13" s="94"/>
      <c r="V13" s="71"/>
      <c r="W13" s="71"/>
      <c r="X13" s="152"/>
      <c r="Y13" s="153"/>
      <c r="Z13" s="72"/>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58.5" customHeight="1">
      <c r="B23" s="161"/>
      <c r="C23" s="162"/>
      <c r="D23" s="806" t="s">
        <v>11</v>
      </c>
      <c r="E23" s="807"/>
      <c r="F23" s="807"/>
      <c r="G23" s="807"/>
      <c r="H23" s="807"/>
      <c r="I23" s="808"/>
      <c r="J23" s="809">
        <f>DEZ!I668</f>
        <v>279</v>
      </c>
      <c r="K23" s="810"/>
      <c r="L23" s="50" t="s">
        <v>51</v>
      </c>
      <c r="M23" s="803" t="s">
        <v>12</v>
      </c>
      <c r="N23" s="811"/>
      <c r="O23" s="811"/>
      <c r="P23" s="811"/>
      <c r="Q23" s="805"/>
      <c r="R23" s="61">
        <f>SUM(R12:R22)</f>
        <v>279</v>
      </c>
      <c r="S23" s="51" t="str">
        <f>L23</f>
        <v>m</v>
      </c>
      <c r="T23" s="22"/>
      <c r="U23" s="23"/>
    </row>
    <row r="24" spans="1:28" ht="39" customHeight="1">
      <c r="B24" s="163"/>
      <c r="C24" s="19"/>
      <c r="D24" s="817" t="s">
        <v>13</v>
      </c>
      <c r="E24" s="818"/>
      <c r="F24" s="818"/>
      <c r="G24" s="818"/>
      <c r="H24" s="818"/>
      <c r="I24" s="819"/>
      <c r="J24" s="823">
        <f>R23/J23</f>
        <v>1</v>
      </c>
      <c r="K24" s="824"/>
      <c r="L24" s="827"/>
      <c r="M24" s="803" t="s">
        <v>34</v>
      </c>
      <c r="N24" s="804"/>
      <c r="O24" s="804"/>
      <c r="P24" s="804"/>
      <c r="Q24" s="805"/>
      <c r="R24" s="61">
        <f>R12</f>
        <v>111.60000000000001</v>
      </c>
      <c r="S24" s="52" t="str">
        <f>L23</f>
        <v>m</v>
      </c>
      <c r="T24" s="22"/>
      <c r="U24" s="23"/>
    </row>
    <row r="25" spans="1:28" ht="42" customHeight="1">
      <c r="A25" s="10" t="s">
        <v>469</v>
      </c>
      <c r="B25" s="165"/>
      <c r="C25" s="164"/>
      <c r="D25" s="820"/>
      <c r="E25" s="821"/>
      <c r="F25" s="821"/>
      <c r="G25" s="821"/>
      <c r="H25" s="821"/>
      <c r="I25" s="822"/>
      <c r="J25" s="825"/>
      <c r="K25" s="826"/>
      <c r="L25" s="828"/>
      <c r="M25" s="803" t="s">
        <v>14</v>
      </c>
      <c r="N25" s="804"/>
      <c r="O25" s="804"/>
      <c r="P25" s="804"/>
      <c r="Q25" s="805"/>
      <c r="R25" s="62">
        <f>R23-R24</f>
        <v>167.39999999999998</v>
      </c>
      <c r="S25" s="53" t="str">
        <f>L23</f>
        <v>m</v>
      </c>
      <c r="T25" s="54"/>
      <c r="U25" s="24"/>
    </row>
    <row r="26" spans="1:28" ht="37.5" customHeight="1">
      <c r="B26" s="218"/>
      <c r="C26" s="217"/>
      <c r="M26" s="803" t="s">
        <v>53</v>
      </c>
      <c r="N26" s="804"/>
      <c r="O26" s="804"/>
      <c r="P26" s="804"/>
      <c r="Q26" s="805"/>
      <c r="R26" s="62">
        <f>DEZ!E670</f>
        <v>358.26</v>
      </c>
      <c r="S26" s="53"/>
      <c r="T26" s="54"/>
      <c r="U26" s="24"/>
    </row>
    <row r="27" spans="1:28" ht="45" customHeight="1">
      <c r="B27" s="163"/>
      <c r="C27" s="219"/>
      <c r="M27" s="803" t="s">
        <v>54</v>
      </c>
      <c r="N27" s="804"/>
      <c r="O27" s="804"/>
      <c r="P27" s="804"/>
      <c r="Q27" s="805"/>
      <c r="R27" s="62">
        <f>TRUNC(R26*R25,2)</f>
        <v>59972.72</v>
      </c>
      <c r="S27" s="53" t="s">
        <v>55</v>
      </c>
      <c r="T27" s="54"/>
      <c r="U27" s="24"/>
    </row>
    <row r="30" spans="1:28">
      <c r="C30" s="2">
        <f>18*5</f>
        <v>90</v>
      </c>
    </row>
    <row r="31" spans="1:28">
      <c r="C31" s="2">
        <f>C30*0.09</f>
        <v>8.1</v>
      </c>
    </row>
  </sheetData>
  <mergeCells count="36">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71" priority="1" operator="greaterThanOrEqual">
      <formula>1</formula>
    </cfRule>
    <cfRule type="cellIs" dxfId="70" priority="2" operator="greaterThan">
      <formula>100%</formula>
    </cfRule>
  </conditionalFormatting>
  <pageMargins left="0.51181102362204722" right="0.51181102362204722" top="0.78740157480314965" bottom="0.78740157480314965" header="0.31496062992125984" footer="0.31496062992125984"/>
  <pageSetup paperSize="9" scale="48" fitToHeight="0" orientation="landscape" r:id="rId1"/>
  <headerFooter>
    <oddFooter>Página &amp;P de &amp;N</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D8C3-B555-4A2B-85FD-777BBD9CC0BC}">
  <sheetPr codeName="Planilha115">
    <tabColor rgb="FF339933"/>
    <pageSetUpPr fitToPage="1"/>
  </sheetPr>
  <dimension ref="A1:AJ31"/>
  <sheetViews>
    <sheetView view="pageBreakPreview" topLeftCell="A4" zoomScale="60" zoomScaleNormal="55"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DEZ!A373</f>
        <v>3.6.1.19</v>
      </c>
      <c r="C10" s="845" t="str">
        <f>DEZ!C373</f>
        <v>SISTEMA ON-GRID COM 8x PAINEL SOLAR 325 WP (2 m x 1m) OU EQUIVALENTE - FORNECIMENTO E INSTALAÇÃO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4" customHeight="1">
      <c r="A12" s="64"/>
      <c r="B12" s="109"/>
      <c r="C12" s="237" t="s">
        <v>1031</v>
      </c>
      <c r="D12" s="854"/>
      <c r="E12" s="855"/>
      <c r="F12" s="856"/>
      <c r="G12" s="857"/>
      <c r="H12" s="858"/>
      <c r="I12" s="859"/>
      <c r="J12" s="226"/>
      <c r="K12" s="81"/>
      <c r="L12" s="82"/>
      <c r="M12" s="83">
        <v>1</v>
      </c>
      <c r="N12" s="105"/>
      <c r="O12" s="84"/>
      <c r="P12" s="82"/>
      <c r="Q12" s="93"/>
      <c r="R12" s="85">
        <f>M12</f>
        <v>1</v>
      </c>
      <c r="S12" s="154" t="s">
        <v>57</v>
      </c>
      <c r="T12" s="215">
        <v>7</v>
      </c>
      <c r="U12" s="94"/>
      <c r="V12" s="71"/>
      <c r="W12" s="71"/>
      <c r="X12" s="152"/>
      <c r="Y12" s="153"/>
      <c r="Z12" s="72"/>
    </row>
    <row r="13" spans="1:36" s="73" customFormat="1" ht="21" customHeight="1">
      <c r="A13" s="64"/>
      <c r="B13" s="109"/>
      <c r="C13" s="237"/>
      <c r="D13" s="77"/>
      <c r="E13" s="78"/>
      <c r="F13" s="79"/>
      <c r="H13" s="78"/>
      <c r="I13" s="79"/>
      <c r="J13" s="66"/>
      <c r="K13" s="108"/>
      <c r="L13" s="67"/>
      <c r="M13" s="68"/>
      <c r="N13" s="110"/>
      <c r="O13" s="69"/>
      <c r="P13" s="67"/>
      <c r="Q13" s="106"/>
      <c r="R13" s="85"/>
      <c r="S13" s="154"/>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DEZ!F373</f>
        <v>1</v>
      </c>
      <c r="K23" s="810"/>
      <c r="L23" s="50" t="str">
        <f>DEZ!D373</f>
        <v>UND</v>
      </c>
      <c r="M23" s="803" t="s">
        <v>12</v>
      </c>
      <c r="N23" s="811"/>
      <c r="O23" s="811"/>
      <c r="P23" s="811"/>
      <c r="Q23" s="805"/>
      <c r="R23" s="61">
        <f>SUM(R12:R22)</f>
        <v>1</v>
      </c>
      <c r="S23" s="51" t="str">
        <f>L23</f>
        <v>UND</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v>0</v>
      </c>
      <c r="S24" s="52" t="str">
        <f>L23</f>
        <v>UND</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R12</f>
        <v>1</v>
      </c>
      <c r="S25" s="53" t="str">
        <f>L23</f>
        <v>UND</v>
      </c>
      <c r="T25" s="54"/>
      <c r="U25" s="24"/>
    </row>
    <row r="26" spans="1:28" ht="21" customHeight="1">
      <c r="B26" s="218"/>
      <c r="C26" s="217"/>
      <c r="M26" s="803" t="s">
        <v>53</v>
      </c>
      <c r="N26" s="804"/>
      <c r="O26" s="804"/>
      <c r="P26" s="804"/>
      <c r="Q26" s="805"/>
      <c r="R26" s="62">
        <f>DEZ!E373</f>
        <v>12903.37</v>
      </c>
      <c r="S26" s="53"/>
      <c r="T26" s="54"/>
      <c r="U26" s="24"/>
    </row>
    <row r="27" spans="1:28" ht="21" customHeight="1">
      <c r="B27" s="163"/>
      <c r="C27" s="219"/>
      <c r="M27" s="803" t="s">
        <v>54</v>
      </c>
      <c r="N27" s="804"/>
      <c r="O27" s="804"/>
      <c r="P27" s="804"/>
      <c r="Q27" s="805"/>
      <c r="R27" s="62">
        <f>TRUNC(R26*R25,2)</f>
        <v>12903.37</v>
      </c>
      <c r="S27" s="53" t="s">
        <v>55</v>
      </c>
      <c r="T27" s="54"/>
      <c r="U27" s="24"/>
    </row>
    <row r="30" spans="1:28">
      <c r="C30" s="2">
        <f>18*5</f>
        <v>90</v>
      </c>
    </row>
    <row r="31" spans="1:28">
      <c r="C31" s="2">
        <f>C30*0.09</f>
        <v>8.1</v>
      </c>
    </row>
  </sheetData>
  <mergeCells count="36">
    <mergeCell ref="R10:R11"/>
    <mergeCell ref="S10:S11"/>
    <mergeCell ref="M27:Q27"/>
    <mergeCell ref="D24:I25"/>
    <mergeCell ref="J24:K25"/>
    <mergeCell ref="L24:L25"/>
    <mergeCell ref="M24:Q24"/>
    <mergeCell ref="M25:Q25"/>
    <mergeCell ref="M26:Q26"/>
    <mergeCell ref="D12:F12"/>
    <mergeCell ref="G12:I12"/>
    <mergeCell ref="D23:I23"/>
    <mergeCell ref="J23:K23"/>
    <mergeCell ref="M23:Q23"/>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4:K27">
    <cfRule type="cellIs" dxfId="69" priority="1" operator="greaterThanOrEqual">
      <formula>1</formula>
    </cfRule>
    <cfRule type="cellIs" dxfId="6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86F5-905E-4C96-8AB0-0D337CFA3B93}">
  <sheetPr codeName="Planilha81">
    <tabColor rgb="FF339933"/>
    <pageSetUpPr fitToPage="1"/>
  </sheetPr>
  <dimension ref="A1:AJ31"/>
  <sheetViews>
    <sheetView view="pageBreakPreview" topLeftCell="J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DEZ!A563</f>
        <v>5.1.2.1</v>
      </c>
      <c r="C10" s="845" t="str">
        <f>DEZ!C563</f>
        <v>Raspagem e limpeza do terreno (manual)</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993</v>
      </c>
      <c r="D12" s="854"/>
      <c r="E12" s="855"/>
      <c r="F12" s="856"/>
      <c r="G12" s="77"/>
      <c r="H12" s="78"/>
      <c r="I12" s="79"/>
      <c r="J12" s="226"/>
      <c r="K12" s="81">
        <v>180.88</v>
      </c>
      <c r="L12" s="82"/>
      <c r="M12" s="83"/>
      <c r="N12" s="105"/>
      <c r="O12" s="84"/>
      <c r="P12" s="82"/>
      <c r="Q12" s="93"/>
      <c r="R12" s="85">
        <f>K12</f>
        <v>180.88</v>
      </c>
      <c r="S12" s="154" t="s">
        <v>57</v>
      </c>
      <c r="T12" s="215">
        <v>6</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DEZ!F563</f>
        <v>180.88</v>
      </c>
      <c r="K23" s="810"/>
      <c r="L23" s="50" t="str">
        <f>DEZ!D583</f>
        <v>m2</v>
      </c>
      <c r="M23" s="803" t="s">
        <v>12</v>
      </c>
      <c r="N23" s="811"/>
      <c r="O23" s="811"/>
      <c r="P23" s="811"/>
      <c r="Q23" s="805"/>
      <c r="R23" s="61">
        <f>SUM(R12:R22)</f>
        <v>180.88</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180.88</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DEZ!E563</f>
        <v>3.74</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5">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67" priority="1" operator="greaterThanOrEqual">
      <formula>1</formula>
    </cfRule>
    <cfRule type="cellIs" dxfId="6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B0C9-D9A0-49FD-85AE-7702A7BF08BA}">
  <sheetPr codeName="Planilha82">
    <tabColor rgb="FF339933"/>
    <pageSetUpPr fitToPage="1"/>
  </sheetPr>
  <dimension ref="A1:AJ31"/>
  <sheetViews>
    <sheetView view="pageBreakPreview" topLeftCell="I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DEZ!A564</f>
        <v>5.1.2.2</v>
      </c>
      <c r="C10" s="845" t="str">
        <f>DEZ!C564</f>
        <v>Corte e destocamento de árvores com diâmetro superior a 30 cm</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993</v>
      </c>
      <c r="D12" s="854"/>
      <c r="E12" s="855"/>
      <c r="F12" s="856"/>
      <c r="G12" s="77"/>
      <c r="H12" s="78"/>
      <c r="I12" s="79"/>
      <c r="J12" s="226"/>
      <c r="K12" s="81"/>
      <c r="L12" s="82"/>
      <c r="M12" s="83">
        <v>1</v>
      </c>
      <c r="N12" s="105"/>
      <c r="O12" s="84"/>
      <c r="P12" s="82"/>
      <c r="Q12" s="93"/>
      <c r="R12" s="85">
        <f>M12</f>
        <v>1</v>
      </c>
      <c r="S12" s="154" t="str">
        <f>DEZ!D564</f>
        <v>und</v>
      </c>
      <c r="T12" s="215">
        <v>6</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DEZ!F564</f>
        <v>1</v>
      </c>
      <c r="K23" s="810"/>
      <c r="L23" s="50" t="str">
        <f>DEZ!D564</f>
        <v>und</v>
      </c>
      <c r="M23" s="803" t="s">
        <v>12</v>
      </c>
      <c r="N23" s="811"/>
      <c r="O23" s="811"/>
      <c r="P23" s="811"/>
      <c r="Q23" s="805"/>
      <c r="R23" s="61">
        <f>SUM(R12:R22)</f>
        <v>1</v>
      </c>
      <c r="S23" s="51" t="str">
        <f>L23</f>
        <v>und</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1</v>
      </c>
      <c r="S24" s="52" t="str">
        <f>L23</f>
        <v>und</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und</v>
      </c>
      <c r="T25" s="54"/>
      <c r="U25" s="24"/>
    </row>
    <row r="26" spans="1:28" ht="21" customHeight="1">
      <c r="B26" s="218"/>
      <c r="C26" s="217"/>
      <c r="M26" s="803" t="s">
        <v>53</v>
      </c>
      <c r="N26" s="804"/>
      <c r="O26" s="804"/>
      <c r="P26" s="804"/>
      <c r="Q26" s="805"/>
      <c r="R26" s="62">
        <f>DEZ!E564</f>
        <v>111.49</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5">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65" priority="1" operator="greaterThanOrEqual">
      <formula>1</formula>
    </cfRule>
    <cfRule type="cellIs" dxfId="6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9">
    <tabColor rgb="FF339933"/>
    <pageSetUpPr fitToPage="1"/>
  </sheetPr>
  <dimension ref="A1:AJ29"/>
  <sheetViews>
    <sheetView view="pageBreakPreview" topLeftCell="A7" zoomScale="60" zoomScaleNormal="55" workbookViewId="0">
      <selection activeCell="C12" sqref="C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A27</f>
        <v>3.1.2.1</v>
      </c>
      <c r="C10" s="845" t="str">
        <f>CONCATENATE(VLOOKUP(A27,DEZ!$A$2:$S$731,2,FALSE)," - ",VLOOKUP(A27,DEZ!$A$2:$S$731,3,FALSE))</f>
        <v>10201 - Demolição de piso cimentado inclusive lastro de concreto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947</v>
      </c>
      <c r="D12" s="77"/>
      <c r="E12" s="78"/>
      <c r="F12" s="79"/>
      <c r="G12" s="77"/>
      <c r="H12" s="78"/>
      <c r="I12" s="79"/>
      <c r="J12" s="80"/>
      <c r="K12" s="81">
        <v>268.29000000000002</v>
      </c>
      <c r="L12" s="82"/>
      <c r="M12" s="83"/>
      <c r="N12" s="105"/>
      <c r="O12" s="84"/>
      <c r="P12" s="82"/>
      <c r="Q12" s="93"/>
      <c r="R12" s="85">
        <f>K12</f>
        <v>268.29000000000002</v>
      </c>
      <c r="S12" s="111"/>
      <c r="T12" s="215">
        <v>4</v>
      </c>
      <c r="U12" s="91"/>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76"/>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VLOOKUP(A27,DEZ!$A$2:$S$731,6,FALSE)</f>
        <v>268.29000000000002</v>
      </c>
      <c r="K25" s="810"/>
      <c r="L25" s="50" t="str">
        <f>VLOOKUP(A27,DEZ!$A$2:$S$731,4,FALSE)</f>
        <v>m2</v>
      </c>
      <c r="M25" s="803" t="s">
        <v>12</v>
      </c>
      <c r="N25" s="811"/>
      <c r="O25" s="811"/>
      <c r="P25" s="811"/>
      <c r="Q25" s="805"/>
      <c r="R25" s="61">
        <f>SUM(R12:R24)</f>
        <v>268.29000000000002</v>
      </c>
      <c r="S25" s="51" t="str">
        <f>L25</f>
        <v>m2</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VLOOKUP(A27,DEZ!$A$2:$S$731,8,FALSE)</f>
        <v>268.29000000000002</v>
      </c>
      <c r="S26" s="52" t="str">
        <f>L25</f>
        <v>m2</v>
      </c>
      <c r="T26" s="22"/>
      <c r="U26" s="23"/>
    </row>
    <row r="27" spans="1:28" ht="21" customHeight="1">
      <c r="A27" s="10" t="s">
        <v>395</v>
      </c>
      <c r="B27" s="165"/>
      <c r="C27" s="164"/>
      <c r="D27" s="820"/>
      <c r="E27" s="821"/>
      <c r="F27" s="821"/>
      <c r="G27" s="821"/>
      <c r="H27" s="821"/>
      <c r="I27" s="822"/>
      <c r="J27" s="825"/>
      <c r="K27" s="826"/>
      <c r="L27" s="828"/>
      <c r="M27" s="803" t="s">
        <v>14</v>
      </c>
      <c r="N27" s="804"/>
      <c r="O27" s="804"/>
      <c r="P27" s="804"/>
      <c r="Q27" s="805"/>
      <c r="R27" s="62">
        <f>R25-R26</f>
        <v>0</v>
      </c>
      <c r="S27" s="53" t="str">
        <f>L25</f>
        <v>m2</v>
      </c>
      <c r="T27" s="54"/>
      <c r="U27" s="24"/>
    </row>
    <row r="28" spans="1:28" ht="21" customHeight="1">
      <c r="B28" s="218"/>
      <c r="C28" s="217"/>
      <c r="F28" s="65"/>
      <c r="M28" s="803" t="s">
        <v>53</v>
      </c>
      <c r="N28" s="804"/>
      <c r="O28" s="804"/>
      <c r="P28" s="804"/>
      <c r="Q28" s="805"/>
      <c r="R28" s="62">
        <f>VLOOKUP(A27,DEZ!$A$2:$S$731,5,FALSE)</f>
        <v>22.08</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95" priority="1" operator="greaterThanOrEqual">
      <formula>1</formula>
    </cfRule>
    <cfRule type="cellIs" dxfId="39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4FFF2-9AC2-4304-82F3-16428B387102}">
  <sheetPr codeName="Planilha83">
    <tabColor rgb="FF339933"/>
    <pageSetUpPr fitToPage="1"/>
  </sheetPr>
  <dimension ref="A1:AJ31"/>
  <sheetViews>
    <sheetView view="pageBreakPreview" topLeftCell="G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DEZ!A565</f>
        <v>5.1.2.3</v>
      </c>
      <c r="C10" s="845" t="str">
        <f>DEZ!C565</f>
        <v>Índice de preço para remoção de entulho decorrente da execução de obras (Classe A CONAMA - NBR 10.004 - Classe II-B), incluindo aluguel da caçamba, carga, transporte e descarga em área licenciada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994</v>
      </c>
      <c r="D12" s="854"/>
      <c r="E12" s="855"/>
      <c r="F12" s="856"/>
      <c r="G12" s="77"/>
      <c r="H12" s="78"/>
      <c r="I12" s="79"/>
      <c r="J12" s="226"/>
      <c r="K12" s="81"/>
      <c r="L12" s="82">
        <v>27.13</v>
      </c>
      <c r="M12" s="83"/>
      <c r="N12" s="105"/>
      <c r="O12" s="84"/>
      <c r="P12" s="82"/>
      <c r="Q12" s="93"/>
      <c r="R12" s="85">
        <f>L12</f>
        <v>27.13</v>
      </c>
      <c r="S12" s="154" t="str">
        <f>DEZ!D565</f>
        <v>m3</v>
      </c>
      <c r="T12" s="215">
        <v>6</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DEZ!F565</f>
        <v>27.13</v>
      </c>
      <c r="K23" s="810"/>
      <c r="L23" s="50" t="str">
        <f>DEZ!D565</f>
        <v>m3</v>
      </c>
      <c r="M23" s="803" t="s">
        <v>12</v>
      </c>
      <c r="N23" s="811"/>
      <c r="O23" s="811"/>
      <c r="P23" s="811"/>
      <c r="Q23" s="805"/>
      <c r="R23" s="61">
        <f>SUM(R12:R22)</f>
        <v>27.13</v>
      </c>
      <c r="S23" s="51" t="str">
        <f>L23</f>
        <v>m3</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27.13</v>
      </c>
      <c r="S24" s="52" t="str">
        <f>L23</f>
        <v>m3</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m3</v>
      </c>
      <c r="T25" s="54"/>
      <c r="U25" s="24"/>
    </row>
    <row r="26" spans="1:28" ht="21" customHeight="1">
      <c r="B26" s="218"/>
      <c r="C26" s="217"/>
      <c r="M26" s="803" t="s">
        <v>53</v>
      </c>
      <c r="N26" s="804"/>
      <c r="O26" s="804"/>
      <c r="P26" s="804"/>
      <c r="Q26" s="805"/>
      <c r="R26" s="62">
        <f>DEZ!E565</f>
        <v>56.45</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5">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63" priority="1" operator="greaterThanOrEqual">
      <formula>1</formula>
    </cfRule>
    <cfRule type="cellIs" dxfId="6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ilha86">
    <tabColor rgb="FF339933"/>
    <pageSetUpPr fitToPage="1"/>
  </sheetPr>
  <dimension ref="A1:AJ28"/>
  <sheetViews>
    <sheetView view="pageBreakPreview" topLeftCell="A4" zoomScale="60" zoomScaleNormal="55" workbookViewId="0">
      <selection activeCell="T13" sqref="T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A26</f>
        <v>3.4.1.2</v>
      </c>
      <c r="C10" s="845" t="str">
        <f>CONCATENATE(VLOOKUP(A26,DEZ!$A$2:$S$731,2,FALSE)," - ",VLOOKUP(A26,DEZ!$A$2:$S$731,3,FALSE))</f>
        <v>COMP3 - ARMAÇÃO DO SISTEMA DE PAREDES DE CONCRETO COM TELA Q785</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931</v>
      </c>
      <c r="D12" s="854">
        <v>3966.02</v>
      </c>
      <c r="E12" s="855"/>
      <c r="F12" s="856"/>
      <c r="G12" s="860"/>
      <c r="H12" s="861"/>
      <c r="I12" s="862"/>
      <c r="J12" s="80"/>
      <c r="K12" s="81"/>
      <c r="L12" s="82"/>
      <c r="M12" s="83"/>
      <c r="N12" s="105"/>
      <c r="O12" s="84"/>
      <c r="P12" s="82"/>
      <c r="Q12" s="93"/>
      <c r="R12" s="85">
        <f>D12</f>
        <v>3966.02</v>
      </c>
      <c r="S12" s="154" t="s">
        <v>29</v>
      </c>
      <c r="T12" s="215">
        <v>3</v>
      </c>
      <c r="U12" s="94"/>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VLOOKUP(A26,DEZ!$A$2:$S$731,6,FALSE)</f>
        <v>3966.02</v>
      </c>
      <c r="K24" s="810"/>
      <c r="L24" s="50" t="str">
        <f>VLOOKUP(A26,DEZ!$A$2:$S$731,4,FALSE)</f>
        <v>kg</v>
      </c>
      <c r="M24" s="803" t="s">
        <v>12</v>
      </c>
      <c r="N24" s="811"/>
      <c r="O24" s="811"/>
      <c r="P24" s="811"/>
      <c r="Q24" s="805"/>
      <c r="R24" s="61">
        <f>SUM(R12:R23)</f>
        <v>3966.02</v>
      </c>
      <c r="S24" s="51" t="str">
        <f>L24</f>
        <v>kg</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VLOOKUP(A26,DEZ!$A$2:$S$731,8,FALSE)</f>
        <v>0</v>
      </c>
      <c r="S25" s="52" t="str">
        <f>L24</f>
        <v>kg</v>
      </c>
      <c r="T25" s="22"/>
      <c r="U25" s="23"/>
    </row>
    <row r="26" spans="1:28" ht="21" customHeight="1">
      <c r="A26" s="10" t="s">
        <v>466</v>
      </c>
      <c r="B26" s="165"/>
      <c r="C26" s="164"/>
      <c r="D26" s="820"/>
      <c r="E26" s="821"/>
      <c r="F26" s="821"/>
      <c r="G26" s="821"/>
      <c r="H26" s="821"/>
      <c r="I26" s="822"/>
      <c r="J26" s="825"/>
      <c r="K26" s="826"/>
      <c r="L26" s="828"/>
      <c r="M26" s="803" t="s">
        <v>14</v>
      </c>
      <c r="N26" s="804"/>
      <c r="O26" s="804"/>
      <c r="P26" s="804"/>
      <c r="Q26" s="805"/>
      <c r="R26" s="62">
        <f>R24-R25</f>
        <v>3966.02</v>
      </c>
      <c r="S26" s="53" t="str">
        <f>L24</f>
        <v>kg</v>
      </c>
      <c r="T26" s="54"/>
      <c r="U26" s="24"/>
    </row>
    <row r="27" spans="1:28" ht="21" customHeight="1">
      <c r="B27" s="218"/>
      <c r="C27" s="217"/>
      <c r="M27" s="803" t="s">
        <v>53</v>
      </c>
      <c r="N27" s="804"/>
      <c r="O27" s="804"/>
      <c r="P27" s="804"/>
      <c r="Q27" s="805"/>
      <c r="R27" s="62">
        <f>VLOOKUP(A26,DEZ!$A$2:$S$731,5,FALSE)</f>
        <v>7.33</v>
      </c>
      <c r="S27" s="53"/>
      <c r="T27" s="54"/>
      <c r="U27" s="24"/>
    </row>
    <row r="28" spans="1:28" ht="21" customHeight="1">
      <c r="B28" s="163"/>
      <c r="C28" s="219"/>
      <c r="M28" s="803" t="s">
        <v>54</v>
      </c>
      <c r="N28" s="804"/>
      <c r="O28" s="804"/>
      <c r="P28" s="804"/>
      <c r="Q28" s="805"/>
      <c r="R28" s="62">
        <f>TRUNC(R27*R26,2)</f>
        <v>29070.92</v>
      </c>
      <c r="S28" s="53" t="s">
        <v>55</v>
      </c>
      <c r="T28" s="54"/>
      <c r="U28" s="24"/>
    </row>
  </sheetData>
  <mergeCells count="37">
    <mergeCell ref="M28:Q28"/>
    <mergeCell ref="D25:I26"/>
    <mergeCell ref="J25:K26"/>
    <mergeCell ref="L25:L26"/>
    <mergeCell ref="M25:Q25"/>
    <mergeCell ref="M26:Q26"/>
    <mergeCell ref="M27:Q27"/>
    <mergeCell ref="D24:I24"/>
    <mergeCell ref="J24:K24"/>
    <mergeCell ref="M24:Q24"/>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5:K28">
    <cfRule type="cellIs" dxfId="61" priority="1" operator="greaterThanOrEqual">
      <formula>1</formula>
    </cfRule>
    <cfRule type="cellIs" dxfId="6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ilha87">
    <tabColor rgb="FF0000FF"/>
    <pageSetUpPr fitToPage="1"/>
  </sheetPr>
  <dimension ref="A1:AJ28"/>
  <sheetViews>
    <sheetView view="pageBreakPreview" zoomScale="60" zoomScaleNormal="55" workbookViewId="0">
      <selection activeCell="C13" sqref="C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A26</f>
        <v>3.4.1.4</v>
      </c>
      <c r="C10" s="845" t="str">
        <f>CONCATENATE(VLOOKUP(A26,DEZ!$A$2:$S$731,2,FALSE)," - ",VLOOKUP(A26,DEZ!$A$2:$S$731,3,FALSE))</f>
        <v>COMP18 - Cordoalha CP 190 RB D = 15,2 mm - fornecimento, preparo e colocação</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923</v>
      </c>
      <c r="D12" s="854">
        <v>73</v>
      </c>
      <c r="E12" s="855"/>
      <c r="F12" s="856"/>
      <c r="G12" s="860"/>
      <c r="H12" s="861"/>
      <c r="I12" s="862"/>
      <c r="J12" s="80"/>
      <c r="K12" s="81"/>
      <c r="L12" s="82"/>
      <c r="M12" s="83"/>
      <c r="N12" s="105"/>
      <c r="O12" s="84"/>
      <c r="P12" s="82"/>
      <c r="Q12" s="93"/>
      <c r="R12" s="85">
        <f>D12</f>
        <v>73</v>
      </c>
      <c r="S12" s="154" t="s">
        <v>29</v>
      </c>
      <c r="T12" s="215">
        <v>2</v>
      </c>
      <c r="U12" s="94"/>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VLOOKUP(A26,DEZ!$A$2:$S$731,6,FALSE)</f>
        <v>73</v>
      </c>
      <c r="K24" s="810"/>
      <c r="L24" s="50" t="str">
        <f>VLOOKUP(A26,DEZ!$A$2:$S$731,4,FALSE)</f>
        <v>kg</v>
      </c>
      <c r="M24" s="803" t="s">
        <v>12</v>
      </c>
      <c r="N24" s="811"/>
      <c r="O24" s="811"/>
      <c r="P24" s="811"/>
      <c r="Q24" s="805"/>
      <c r="R24" s="61">
        <f>SUM(R12:R23)</f>
        <v>73</v>
      </c>
      <c r="S24" s="51" t="str">
        <f>L24</f>
        <v>kg</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VLOOKUP(A26,DEZ!$A$2:$S$731,8,FALSE)</f>
        <v>0</v>
      </c>
      <c r="S25" s="52" t="str">
        <f>L24</f>
        <v>kg</v>
      </c>
      <c r="T25" s="22"/>
      <c r="U25" s="23"/>
    </row>
    <row r="26" spans="1:28" ht="21" customHeight="1">
      <c r="A26" s="10" t="s">
        <v>468</v>
      </c>
      <c r="B26" s="165"/>
      <c r="C26" s="164"/>
      <c r="D26" s="820"/>
      <c r="E26" s="821"/>
      <c r="F26" s="821"/>
      <c r="G26" s="821"/>
      <c r="H26" s="821"/>
      <c r="I26" s="822"/>
      <c r="J26" s="825"/>
      <c r="K26" s="826"/>
      <c r="L26" s="828"/>
      <c r="M26" s="803" t="s">
        <v>14</v>
      </c>
      <c r="N26" s="804"/>
      <c r="O26" s="804"/>
      <c r="P26" s="804"/>
      <c r="Q26" s="805"/>
      <c r="R26" s="62">
        <f>R24-R25</f>
        <v>73</v>
      </c>
      <c r="S26" s="53" t="str">
        <f>L24</f>
        <v>kg</v>
      </c>
      <c r="T26" s="54"/>
      <c r="U26" s="24"/>
    </row>
    <row r="27" spans="1:28" ht="21" customHeight="1">
      <c r="B27" s="218"/>
      <c r="C27" s="217"/>
      <c r="M27" s="803" t="s">
        <v>53</v>
      </c>
      <c r="N27" s="804"/>
      <c r="O27" s="804"/>
      <c r="P27" s="804"/>
      <c r="Q27" s="805"/>
      <c r="R27" s="62">
        <f>VLOOKUP(A26,DEZ!$A$2:$S$731,5,FALSE)</f>
        <v>11.02</v>
      </c>
      <c r="S27" s="53"/>
      <c r="T27" s="54"/>
      <c r="U27" s="24"/>
    </row>
    <row r="28" spans="1:28" ht="21" customHeight="1">
      <c r="B28" s="163"/>
      <c r="C28" s="219"/>
      <c r="M28" s="803" t="s">
        <v>54</v>
      </c>
      <c r="N28" s="804"/>
      <c r="O28" s="804"/>
      <c r="P28" s="804"/>
      <c r="Q28" s="805"/>
      <c r="R28" s="62">
        <f>TRUNC(R27*R26,2)</f>
        <v>804.46</v>
      </c>
      <c r="S28" s="53" t="s">
        <v>55</v>
      </c>
      <c r="T28" s="54"/>
      <c r="U28" s="24"/>
    </row>
  </sheetData>
  <mergeCells count="37">
    <mergeCell ref="M28:Q28"/>
    <mergeCell ref="D25:I26"/>
    <mergeCell ref="J25:K26"/>
    <mergeCell ref="L25:L26"/>
    <mergeCell ref="M25:Q25"/>
    <mergeCell ref="M26:Q26"/>
    <mergeCell ref="M27:Q27"/>
    <mergeCell ref="D24:I24"/>
    <mergeCell ref="J24:K24"/>
    <mergeCell ref="M24:Q24"/>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5:K28">
    <cfRule type="cellIs" dxfId="59" priority="1" operator="greaterThanOrEqual">
      <formula>1</formula>
    </cfRule>
    <cfRule type="cellIs" dxfId="5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ilha88">
    <tabColor rgb="FF339933"/>
    <pageSetUpPr fitToPage="1"/>
  </sheetPr>
  <dimension ref="A1:AJ28"/>
  <sheetViews>
    <sheetView view="pageBreakPreview" zoomScale="60" zoomScaleNormal="55" workbookViewId="0">
      <selection activeCell="T13" sqref="T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A26</f>
        <v>3.4.1.6</v>
      </c>
      <c r="C10" s="845" t="str">
        <f>CONCATENATE(VLOOKUP(A26,DEZ!$A$2:$S$731,2,FALSE)," - ",VLOOKUP(A26,DEZ!$A$2:$S$731,3,FALSE))</f>
        <v>COMP40 - Poliestireno espandido (EPS) de alta densidade - fornecimento e instalação</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921</v>
      </c>
      <c r="D12" s="854"/>
      <c r="E12" s="855"/>
      <c r="F12" s="856"/>
      <c r="G12" s="860">
        <v>1</v>
      </c>
      <c r="H12" s="861"/>
      <c r="I12" s="862"/>
      <c r="J12" s="80"/>
      <c r="K12" s="81"/>
      <c r="L12" s="82">
        <v>113.84</v>
      </c>
      <c r="M12" s="83"/>
      <c r="N12" s="105"/>
      <c r="O12" s="84"/>
      <c r="P12" s="82"/>
      <c r="Q12" s="93"/>
      <c r="R12" s="85">
        <f>L12*G12</f>
        <v>113.84</v>
      </c>
      <c r="S12" s="154" t="s">
        <v>58</v>
      </c>
      <c r="T12" s="215">
        <v>3</v>
      </c>
      <c r="U12" s="94"/>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VLOOKUP(A26,DEZ!$A$2:$S$731,6,FALSE)</f>
        <v>113.84</v>
      </c>
      <c r="K24" s="810"/>
      <c r="L24" s="50" t="str">
        <f>VLOOKUP(A26,DEZ!$A$2:$S$731,4,FALSE)</f>
        <v>m³</v>
      </c>
      <c r="M24" s="803" t="s">
        <v>12</v>
      </c>
      <c r="N24" s="811"/>
      <c r="O24" s="811"/>
      <c r="P24" s="811"/>
      <c r="Q24" s="805"/>
      <c r="R24" s="61">
        <f>SUM(R12:R23)</f>
        <v>113.84</v>
      </c>
      <c r="S24" s="51" t="str">
        <f>L24</f>
        <v>m³</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VLOOKUP(A26,DEZ!$A$2:$S$731,8,FALSE)</f>
        <v>0</v>
      </c>
      <c r="S25" s="52" t="str">
        <f>L24</f>
        <v>m³</v>
      </c>
      <c r="T25" s="22"/>
      <c r="U25" s="23"/>
    </row>
    <row r="26" spans="1:28" ht="21" customHeight="1">
      <c r="A26" s="10" t="s">
        <v>470</v>
      </c>
      <c r="B26" s="165"/>
      <c r="C26" s="164"/>
      <c r="D26" s="820"/>
      <c r="E26" s="821"/>
      <c r="F26" s="821"/>
      <c r="G26" s="821"/>
      <c r="H26" s="821"/>
      <c r="I26" s="822"/>
      <c r="J26" s="825"/>
      <c r="K26" s="826"/>
      <c r="L26" s="828"/>
      <c r="M26" s="803" t="s">
        <v>14</v>
      </c>
      <c r="N26" s="804"/>
      <c r="O26" s="804"/>
      <c r="P26" s="804"/>
      <c r="Q26" s="805"/>
      <c r="R26" s="62">
        <f>R24-R25</f>
        <v>113.84</v>
      </c>
      <c r="S26" s="53" t="str">
        <f>L24</f>
        <v>m³</v>
      </c>
      <c r="T26" s="54"/>
      <c r="U26" s="24"/>
    </row>
    <row r="27" spans="1:28" ht="21" customHeight="1">
      <c r="B27" s="218"/>
      <c r="C27" s="217"/>
      <c r="M27" s="803" t="s">
        <v>53</v>
      </c>
      <c r="N27" s="804"/>
      <c r="O27" s="804"/>
      <c r="P27" s="804"/>
      <c r="Q27" s="805"/>
      <c r="R27" s="62">
        <f>VLOOKUP(A26,DEZ!$A$2:$S$731,5,FALSE)</f>
        <v>641.15</v>
      </c>
      <c r="S27" s="53"/>
      <c r="T27" s="54"/>
      <c r="U27" s="24"/>
    </row>
    <row r="28" spans="1:28" ht="21" customHeight="1">
      <c r="B28" s="163"/>
      <c r="C28" s="219"/>
      <c r="M28" s="803" t="s">
        <v>54</v>
      </c>
      <c r="N28" s="804"/>
      <c r="O28" s="804"/>
      <c r="P28" s="804"/>
      <c r="Q28" s="805"/>
      <c r="R28" s="62">
        <f>TRUNC(R27*R26,2)</f>
        <v>72988.509999999995</v>
      </c>
      <c r="S28" s="53" t="s">
        <v>55</v>
      </c>
      <c r="T28" s="54"/>
      <c r="U28" s="24"/>
    </row>
  </sheetData>
  <mergeCells count="37">
    <mergeCell ref="M28:Q28"/>
    <mergeCell ref="D25:I26"/>
    <mergeCell ref="J25:K26"/>
    <mergeCell ref="L25:L26"/>
    <mergeCell ref="M25:Q25"/>
    <mergeCell ref="M26:Q26"/>
    <mergeCell ref="M27:Q27"/>
    <mergeCell ref="D24:I24"/>
    <mergeCell ref="J24:K24"/>
    <mergeCell ref="M24:Q24"/>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5:K28">
    <cfRule type="cellIs" dxfId="57" priority="1" operator="greaterThanOrEqual">
      <formula>1</formula>
    </cfRule>
    <cfRule type="cellIs" dxfId="5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ilha89">
    <tabColor rgb="FFFFFF66"/>
    <pageSetUpPr fitToPage="1"/>
  </sheetPr>
  <dimension ref="A1:AJ22"/>
  <sheetViews>
    <sheetView view="pageBreakPreview" topLeftCell="A4" zoomScale="55" zoomScaleNormal="55" zoomScaleSheetLayoutView="55" workbookViewId="0">
      <selection activeCell="R18" sqref="R1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A20</f>
        <v>4.3.2.1</v>
      </c>
      <c r="C10" s="845" t="str">
        <f>CONCATENATE(VLOOKUP(A20,DEZ!$A$2:$S$731,2,FALSE)," - ",VLOOKUP(A20,DEZ!$A$2:$S$731,3,FALSE))</f>
        <v>COT14 - SONDAGEM A PERCUSSÃO COM ENSAIO SPT - INCLUSIVE MOBILIZAÇÃO E DESMOBILIZAÇÃO DE EQUIPAMENTO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220" t="s">
        <v>933</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934</v>
      </c>
      <c r="D13" s="854"/>
      <c r="E13" s="855"/>
      <c r="F13" s="856"/>
      <c r="G13" s="77"/>
      <c r="H13" s="78"/>
      <c r="I13" s="79"/>
      <c r="J13" s="80"/>
      <c r="K13" s="81"/>
      <c r="L13" s="82"/>
      <c r="M13" s="83"/>
      <c r="N13" s="105"/>
      <c r="O13" s="84"/>
      <c r="P13" s="82"/>
      <c r="Q13" s="93"/>
      <c r="R13" s="85">
        <v>17</v>
      </c>
      <c r="S13" s="154" t="s">
        <v>51</v>
      </c>
      <c r="T13" s="215">
        <v>3</v>
      </c>
      <c r="U13" s="866" t="s">
        <v>890</v>
      </c>
      <c r="V13" s="71"/>
      <c r="W13" s="71"/>
      <c r="X13" s="152"/>
      <c r="Y13" s="153"/>
      <c r="Z13" s="72"/>
    </row>
    <row r="14" spans="1:36" s="73" customFormat="1" ht="21" customHeight="1">
      <c r="A14" s="64"/>
      <c r="B14" s="109"/>
      <c r="C14" s="76" t="s">
        <v>935</v>
      </c>
      <c r="D14" s="854"/>
      <c r="E14" s="855"/>
      <c r="F14" s="856"/>
      <c r="G14" s="77"/>
      <c r="H14" s="78"/>
      <c r="I14" s="79"/>
      <c r="J14" s="80"/>
      <c r="K14" s="81"/>
      <c r="L14" s="82"/>
      <c r="M14" s="83"/>
      <c r="N14" s="105"/>
      <c r="O14" s="84"/>
      <c r="P14" s="82"/>
      <c r="Q14" s="93"/>
      <c r="R14" s="85">
        <v>17</v>
      </c>
      <c r="S14" s="154" t="s">
        <v>51</v>
      </c>
      <c r="T14" s="215">
        <v>3</v>
      </c>
      <c r="U14" s="867"/>
      <c r="V14" s="71"/>
      <c r="W14" s="71"/>
      <c r="X14" s="152"/>
      <c r="Y14" s="153"/>
      <c r="Z14" s="72"/>
    </row>
    <row r="15" spans="1:36" s="73" customFormat="1" ht="21" customHeight="1">
      <c r="A15" s="64"/>
      <c r="B15" s="109"/>
      <c r="C15" s="76" t="s">
        <v>936</v>
      </c>
      <c r="D15" s="854"/>
      <c r="E15" s="855"/>
      <c r="F15" s="856"/>
      <c r="G15" s="77"/>
      <c r="H15" s="78"/>
      <c r="I15" s="79"/>
      <c r="J15" s="66"/>
      <c r="K15" s="108"/>
      <c r="L15" s="67"/>
      <c r="M15" s="68"/>
      <c r="N15" s="110"/>
      <c r="O15" s="69"/>
      <c r="P15" s="67"/>
      <c r="Q15" s="106"/>
      <c r="R15" s="85">
        <v>17</v>
      </c>
      <c r="S15" s="154" t="s">
        <v>51</v>
      </c>
      <c r="T15" s="215">
        <v>3</v>
      </c>
      <c r="U15" s="867"/>
      <c r="V15" s="71"/>
      <c r="W15" s="71"/>
      <c r="X15" s="152"/>
      <c r="Y15" s="153"/>
      <c r="Z15" s="72"/>
      <c r="AA15" s="71"/>
      <c r="AB15" s="74"/>
    </row>
    <row r="16" spans="1:36" s="73" customFormat="1" ht="21" customHeight="1">
      <c r="A16" s="64"/>
      <c r="B16" s="109"/>
      <c r="C16" s="76" t="s">
        <v>937</v>
      </c>
      <c r="D16" s="854"/>
      <c r="E16" s="855"/>
      <c r="F16" s="856"/>
      <c r="G16" s="77"/>
      <c r="H16" s="78"/>
      <c r="I16" s="79"/>
      <c r="J16" s="66"/>
      <c r="K16" s="108"/>
      <c r="L16" s="67"/>
      <c r="M16" s="68"/>
      <c r="N16" s="110"/>
      <c r="O16" s="69"/>
      <c r="P16" s="67"/>
      <c r="Q16" s="106"/>
      <c r="R16" s="85">
        <v>17</v>
      </c>
      <c r="S16" s="154" t="s">
        <v>51</v>
      </c>
      <c r="T16" s="215">
        <v>3</v>
      </c>
      <c r="U16" s="867"/>
      <c r="V16" s="71"/>
      <c r="W16" s="71"/>
      <c r="X16" s="152"/>
      <c r="Y16" s="153"/>
      <c r="Z16" s="72"/>
      <c r="AA16" s="71"/>
      <c r="AB16" s="74"/>
    </row>
    <row r="17" spans="1:28" s="73" customFormat="1" ht="21" customHeight="1">
      <c r="A17" s="64"/>
      <c r="B17" s="109"/>
      <c r="C17" s="76" t="s">
        <v>938</v>
      </c>
      <c r="D17" s="854"/>
      <c r="E17" s="855"/>
      <c r="F17" s="856"/>
      <c r="G17" s="77"/>
      <c r="H17" s="78"/>
      <c r="I17" s="79"/>
      <c r="J17" s="66"/>
      <c r="K17" s="108"/>
      <c r="L17" s="67"/>
      <c r="M17" s="68"/>
      <c r="N17" s="110"/>
      <c r="O17" s="69"/>
      <c r="P17" s="67"/>
      <c r="Q17" s="106"/>
      <c r="R17" s="85">
        <v>17</v>
      </c>
      <c r="S17" s="154" t="s">
        <v>51</v>
      </c>
      <c r="T17" s="215">
        <v>3</v>
      </c>
      <c r="U17" s="868"/>
      <c r="V17" s="71"/>
      <c r="W17" s="71"/>
      <c r="X17" s="152"/>
      <c r="Y17" s="153"/>
      <c r="Z17" s="72"/>
      <c r="AA17" s="71"/>
      <c r="AB17" s="74"/>
    </row>
    <row r="18" spans="1:28" ht="39.6" customHeight="1">
      <c r="B18" s="161"/>
      <c r="C18" s="162"/>
      <c r="D18" s="806" t="s">
        <v>11</v>
      </c>
      <c r="E18" s="807"/>
      <c r="F18" s="807"/>
      <c r="G18" s="807"/>
      <c r="H18" s="807"/>
      <c r="I18" s="808"/>
      <c r="J18" s="809">
        <f>VLOOKUP(A20,DEZ!$A$2:$S$731,6,FALSE)</f>
        <v>85</v>
      </c>
      <c r="K18" s="810"/>
      <c r="L18" s="50" t="str">
        <f>VLOOKUP(A20,DEZ!$A$2:$S$731,4,FALSE)</f>
        <v>M</v>
      </c>
      <c r="M18" s="803" t="s">
        <v>12</v>
      </c>
      <c r="N18" s="811"/>
      <c r="O18" s="811"/>
      <c r="P18" s="811"/>
      <c r="Q18" s="805"/>
      <c r="R18" s="61">
        <f>SUM(R12:R17)</f>
        <v>85</v>
      </c>
      <c r="S18" s="51" t="str">
        <f>L18</f>
        <v>M</v>
      </c>
      <c r="T18" s="22"/>
      <c r="U18" s="23"/>
    </row>
    <row r="19" spans="1:28" ht="21" customHeight="1">
      <c r="B19" s="163"/>
      <c r="C19" s="19"/>
      <c r="D19" s="817" t="s">
        <v>13</v>
      </c>
      <c r="E19" s="818"/>
      <c r="F19" s="818"/>
      <c r="G19" s="818"/>
      <c r="H19" s="818"/>
      <c r="I19" s="819"/>
      <c r="J19" s="823">
        <f>R18/J18</f>
        <v>1</v>
      </c>
      <c r="K19" s="824"/>
      <c r="L19" s="827"/>
      <c r="M19" s="803" t="s">
        <v>34</v>
      </c>
      <c r="N19" s="804"/>
      <c r="O19" s="804"/>
      <c r="P19" s="804"/>
      <c r="Q19" s="805"/>
      <c r="R19" s="61">
        <f>VLOOKUP(A20,DEZ!$A$2:$S$731,8,FALSE)</f>
        <v>0</v>
      </c>
      <c r="S19" s="52" t="str">
        <f>L18</f>
        <v>M</v>
      </c>
      <c r="T19" s="22"/>
      <c r="U19" s="23"/>
    </row>
    <row r="20" spans="1:28" ht="21" customHeight="1">
      <c r="A20" s="10" t="s">
        <v>561</v>
      </c>
      <c r="B20" s="165"/>
      <c r="C20" s="164"/>
      <c r="D20" s="820"/>
      <c r="E20" s="821"/>
      <c r="F20" s="821"/>
      <c r="G20" s="821"/>
      <c r="H20" s="821"/>
      <c r="I20" s="822"/>
      <c r="J20" s="825"/>
      <c r="K20" s="826"/>
      <c r="L20" s="828"/>
      <c r="M20" s="803" t="s">
        <v>14</v>
      </c>
      <c r="N20" s="804"/>
      <c r="O20" s="804"/>
      <c r="P20" s="804"/>
      <c r="Q20" s="805"/>
      <c r="R20" s="62">
        <f>R18-R19</f>
        <v>85</v>
      </c>
      <c r="S20" s="53" t="str">
        <f>L18</f>
        <v>M</v>
      </c>
      <c r="T20" s="54"/>
      <c r="U20" s="24"/>
    </row>
    <row r="21" spans="1:28" ht="21" customHeight="1">
      <c r="B21" s="218"/>
      <c r="C21" s="217"/>
      <c r="M21" s="803" t="s">
        <v>53</v>
      </c>
      <c r="N21" s="804"/>
      <c r="O21" s="804"/>
      <c r="P21" s="804"/>
      <c r="Q21" s="805"/>
      <c r="R21" s="62">
        <f>VLOOKUP(A20,DEZ!$A$2:$S$731,5,FALSE)</f>
        <v>462.96</v>
      </c>
      <c r="S21" s="53"/>
      <c r="T21" s="54"/>
      <c r="U21" s="24"/>
    </row>
    <row r="22" spans="1:28" ht="21" customHeight="1">
      <c r="B22" s="163"/>
      <c r="C22" s="219"/>
      <c r="M22" s="803" t="s">
        <v>54</v>
      </c>
      <c r="N22" s="804"/>
      <c r="O22" s="804"/>
      <c r="P22" s="804"/>
      <c r="Q22" s="805"/>
      <c r="R22" s="62">
        <f>TRUNC(R21*R20,2)</f>
        <v>39351.599999999999</v>
      </c>
      <c r="S22" s="53" t="s">
        <v>55</v>
      </c>
      <c r="T22" s="54"/>
      <c r="U22" s="24"/>
    </row>
  </sheetData>
  <mergeCells count="40">
    <mergeCell ref="M21:Q21"/>
    <mergeCell ref="M22:Q22"/>
    <mergeCell ref="D18:I18"/>
    <mergeCell ref="J18:K18"/>
    <mergeCell ref="M18:Q18"/>
    <mergeCell ref="D19:I20"/>
    <mergeCell ref="J19:K20"/>
    <mergeCell ref="L19:L20"/>
    <mergeCell ref="M19:Q19"/>
    <mergeCell ref="M20:Q20"/>
    <mergeCell ref="M10:M11"/>
    <mergeCell ref="D17:F17"/>
    <mergeCell ref="T10:T11"/>
    <mergeCell ref="U10:U11"/>
    <mergeCell ref="D13:F13"/>
    <mergeCell ref="D14:F14"/>
    <mergeCell ref="D15:F15"/>
    <mergeCell ref="D16:F16"/>
    <mergeCell ref="N10:N11"/>
    <mergeCell ref="O10:O11"/>
    <mergeCell ref="P10:P11"/>
    <mergeCell ref="Q10:Q11"/>
    <mergeCell ref="R10:R11"/>
    <mergeCell ref="S10:S11"/>
    <mergeCell ref="T7:U7"/>
    <mergeCell ref="U13:U17"/>
    <mergeCell ref="B1:U4"/>
    <mergeCell ref="V4:AA4"/>
    <mergeCell ref="B5:I5"/>
    <mergeCell ref="J5:O5"/>
    <mergeCell ref="P5:U5"/>
    <mergeCell ref="T8:U8"/>
    <mergeCell ref="T9:U9"/>
    <mergeCell ref="B10:B11"/>
    <mergeCell ref="C10:C11"/>
    <mergeCell ref="D10:F11"/>
    <mergeCell ref="G10:I11"/>
    <mergeCell ref="J10:J11"/>
    <mergeCell ref="K10:K11"/>
    <mergeCell ref="L10:L11"/>
  </mergeCells>
  <phoneticPr fontId="61" type="noConversion"/>
  <conditionalFormatting sqref="J19:K22">
    <cfRule type="cellIs" dxfId="55" priority="1" operator="greaterThanOrEqual">
      <formula>1</formula>
    </cfRule>
    <cfRule type="cellIs" dxfId="5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ilha90">
    <tabColor rgb="FF0000FF"/>
    <pageSetUpPr fitToPage="1"/>
  </sheetPr>
  <dimension ref="A1:AJ28"/>
  <sheetViews>
    <sheetView view="pageBreakPreview" zoomScale="60" zoomScaleNormal="55" workbookViewId="0">
      <selection activeCell="A27" sqref="A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A26</f>
        <v>3.4.1.8</v>
      </c>
      <c r="C10" s="845" t="str">
        <f>CONCATENATE(VLOOKUP(A26,DEZ!$A$2:$S$731,2,FALSE)," - ",VLOOKUP(A26,DEZ!$A$2:$S$731,3,FALSE))</f>
        <v>COMP29 - Cabeço de amarração conforme especificações de projeto - fornecimento e instalação</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922</v>
      </c>
      <c r="D12" s="854"/>
      <c r="E12" s="855"/>
      <c r="F12" s="856"/>
      <c r="G12" s="860"/>
      <c r="H12" s="861"/>
      <c r="I12" s="862"/>
      <c r="J12" s="80"/>
      <c r="K12" s="81"/>
      <c r="L12" s="82"/>
      <c r="M12" s="83">
        <v>2</v>
      </c>
      <c r="N12" s="105"/>
      <c r="O12" s="84"/>
      <c r="P12" s="82"/>
      <c r="Q12" s="93"/>
      <c r="R12" s="85">
        <f>M12</f>
        <v>2</v>
      </c>
      <c r="S12" s="154" t="s">
        <v>59</v>
      </c>
      <c r="T12" s="215">
        <v>2</v>
      </c>
      <c r="U12" s="94"/>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VLOOKUP(A26,DEZ!$A$2:$S$731,6,FALSE)</f>
        <v>2</v>
      </c>
      <c r="K24" s="810"/>
      <c r="L24" s="50" t="str">
        <f>VLOOKUP(A26,DEZ!$A$2:$S$731,4,FALSE)</f>
        <v>un</v>
      </c>
      <c r="M24" s="803" t="s">
        <v>12</v>
      </c>
      <c r="N24" s="811"/>
      <c r="O24" s="811"/>
      <c r="P24" s="811"/>
      <c r="Q24" s="805"/>
      <c r="R24" s="61">
        <f>SUM(R12:R23)</f>
        <v>2</v>
      </c>
      <c r="S24" s="51" t="str">
        <f>L24</f>
        <v>un</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VLOOKUP(A26,DEZ!$A$2:$S$731,8,FALSE)</f>
        <v>0</v>
      </c>
      <c r="S25" s="52" t="str">
        <f>L24</f>
        <v>un</v>
      </c>
      <c r="T25" s="22"/>
      <c r="U25" s="23"/>
    </row>
    <row r="26" spans="1:28" ht="21" customHeight="1">
      <c r="A26" s="10" t="s">
        <v>472</v>
      </c>
      <c r="B26" s="165"/>
      <c r="C26" s="164"/>
      <c r="D26" s="820"/>
      <c r="E26" s="821"/>
      <c r="F26" s="821"/>
      <c r="G26" s="821"/>
      <c r="H26" s="821"/>
      <c r="I26" s="822"/>
      <c r="J26" s="825"/>
      <c r="K26" s="826"/>
      <c r="L26" s="828"/>
      <c r="M26" s="803" t="s">
        <v>14</v>
      </c>
      <c r="N26" s="804"/>
      <c r="O26" s="804"/>
      <c r="P26" s="804"/>
      <c r="Q26" s="805"/>
      <c r="R26" s="62">
        <f>R24-R25</f>
        <v>2</v>
      </c>
      <c r="S26" s="53" t="str">
        <f>L24</f>
        <v>un</v>
      </c>
      <c r="T26" s="54"/>
      <c r="U26" s="24"/>
    </row>
    <row r="27" spans="1:28" ht="21" customHeight="1">
      <c r="B27" s="218"/>
      <c r="C27" s="217"/>
      <c r="M27" s="803" t="s">
        <v>53</v>
      </c>
      <c r="N27" s="804"/>
      <c r="O27" s="804"/>
      <c r="P27" s="804"/>
      <c r="Q27" s="805"/>
      <c r="R27" s="62">
        <f>VLOOKUP(A26,DEZ!$A$2:$S$731,5,FALSE)</f>
        <v>5478.19</v>
      </c>
      <c r="S27" s="53"/>
      <c r="T27" s="54"/>
      <c r="U27" s="24"/>
    </row>
    <row r="28" spans="1:28" ht="21" customHeight="1">
      <c r="B28" s="163"/>
      <c r="C28" s="219"/>
      <c r="M28" s="803" t="s">
        <v>54</v>
      </c>
      <c r="N28" s="804"/>
      <c r="O28" s="804"/>
      <c r="P28" s="804"/>
      <c r="Q28" s="805"/>
      <c r="R28" s="62">
        <f>TRUNC(R27*R26,2)</f>
        <v>10956.38</v>
      </c>
      <c r="S28" s="53" t="s">
        <v>55</v>
      </c>
      <c r="T28" s="54"/>
      <c r="U28" s="24"/>
    </row>
  </sheetData>
  <mergeCells count="37">
    <mergeCell ref="M28:Q28"/>
    <mergeCell ref="D25:I26"/>
    <mergeCell ref="J25:K26"/>
    <mergeCell ref="L25:L26"/>
    <mergeCell ref="M25:Q25"/>
    <mergeCell ref="M26:Q26"/>
    <mergeCell ref="M27:Q27"/>
    <mergeCell ref="D24:I24"/>
    <mergeCell ref="J24:K24"/>
    <mergeCell ref="M24:Q24"/>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5:K28">
    <cfRule type="cellIs" dxfId="53" priority="1" operator="greaterThanOrEqual">
      <formula>1</formula>
    </cfRule>
    <cfRule type="cellIs" dxfId="5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ilha92">
    <tabColor rgb="FF339933"/>
    <pageSetUpPr fitToPage="1"/>
  </sheetPr>
  <dimension ref="A1:AJ32"/>
  <sheetViews>
    <sheetView view="pageBreakPreview" zoomScale="55" zoomScaleNormal="55" zoomScaleSheetLayoutView="55" workbookViewId="0">
      <selection activeCell="R15" sqref="R1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A30</f>
        <v>4.4.3.1</v>
      </c>
      <c r="C10" s="845" t="str">
        <f>CONCATENATE(VLOOKUP(A30,DEZ!$A$2:$S$731,2,FALSE)," - ",VLOOKUP(A30,DEZ!$A$2:$S$731,3,FALSE))</f>
        <v>COT17 - SONDAGEM ROTATIVA EM LÂMINA D'ÁGUA (CENTRO DE VITÓRIA) - INCLUSIVE MOBILIZAÇÃO E DESMOBILIZAÇÃO DE EQUIPAMENTO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220" t="s">
        <v>919</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887</v>
      </c>
      <c r="D13" s="854"/>
      <c r="E13" s="855"/>
      <c r="F13" s="856"/>
      <c r="G13" s="77"/>
      <c r="H13" s="78"/>
      <c r="I13" s="79"/>
      <c r="J13" s="80"/>
      <c r="K13" s="81"/>
      <c r="L13" s="82"/>
      <c r="M13" s="83"/>
      <c r="N13" s="105"/>
      <c r="O13" s="84"/>
      <c r="P13" s="82"/>
      <c r="Q13" s="93"/>
      <c r="R13" s="85">
        <v>1</v>
      </c>
      <c r="S13" s="154" t="s">
        <v>59</v>
      </c>
      <c r="T13" s="215">
        <v>3</v>
      </c>
      <c r="U13" s="94"/>
      <c r="V13" s="71"/>
      <c r="W13" s="71"/>
      <c r="X13" s="152"/>
      <c r="Y13" s="153"/>
      <c r="Z13" s="72"/>
    </row>
    <row r="14" spans="1:36" s="73" customFormat="1" ht="21" customHeight="1">
      <c r="A14" s="64"/>
      <c r="B14" s="109"/>
      <c r="C14" s="76" t="s">
        <v>888</v>
      </c>
      <c r="D14" s="854"/>
      <c r="E14" s="855"/>
      <c r="F14" s="856"/>
      <c r="G14" s="77"/>
      <c r="H14" s="78"/>
      <c r="I14" s="79"/>
      <c r="J14" s="80"/>
      <c r="K14" s="81"/>
      <c r="L14" s="82"/>
      <c r="M14" s="83"/>
      <c r="N14" s="105"/>
      <c r="O14" s="84"/>
      <c r="P14" s="82"/>
      <c r="Q14" s="93"/>
      <c r="R14" s="85">
        <v>1</v>
      </c>
      <c r="S14" s="154" t="s">
        <v>59</v>
      </c>
      <c r="T14" s="215">
        <v>3</v>
      </c>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07"/>
      <c r="C20" s="104"/>
      <c r="D20" s="77"/>
      <c r="E20" s="78"/>
      <c r="F20" s="79"/>
      <c r="G20" s="77"/>
      <c r="H20" s="78"/>
      <c r="I20" s="79"/>
      <c r="J20" s="80"/>
      <c r="K20" s="81"/>
      <c r="L20" s="82"/>
      <c r="M20" s="83"/>
      <c r="N20" s="84"/>
      <c r="O20" s="155"/>
      <c r="P20" s="156"/>
      <c r="Q20" s="85"/>
      <c r="R20" s="85"/>
      <c r="S20" s="154"/>
      <c r="T20" s="215"/>
      <c r="U20" s="92"/>
      <c r="V20" s="86"/>
      <c r="W20" s="86"/>
      <c r="X20" s="86"/>
      <c r="Y20" s="151"/>
      <c r="Z20" s="87"/>
      <c r="AA20" s="88"/>
      <c r="AB20" s="89"/>
    </row>
    <row r="21" spans="1:28" s="90" customFormat="1" ht="21" customHeight="1">
      <c r="A21" s="75"/>
      <c r="B21" s="107"/>
      <c r="C21" s="104"/>
      <c r="D21" s="77"/>
      <c r="E21" s="78"/>
      <c r="F21" s="79"/>
      <c r="G21" s="77"/>
      <c r="H21" s="78"/>
      <c r="I21" s="79"/>
      <c r="J21" s="80"/>
      <c r="K21" s="81"/>
      <c r="L21" s="82"/>
      <c r="M21" s="83"/>
      <c r="N21" s="84"/>
      <c r="O21" s="155"/>
      <c r="P21" s="156"/>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90" customFormat="1" ht="21" customHeight="1">
      <c r="A25" s="75"/>
      <c r="B25" s="157"/>
      <c r="C25" s="76"/>
      <c r="D25" s="77"/>
      <c r="E25" s="78"/>
      <c r="F25" s="79"/>
      <c r="G25" s="77"/>
      <c r="H25" s="78"/>
      <c r="I25" s="79"/>
      <c r="J25" s="80"/>
      <c r="K25" s="81"/>
      <c r="L25" s="82"/>
      <c r="M25" s="83"/>
      <c r="N25" s="84"/>
      <c r="O25" s="84"/>
      <c r="P25" s="82"/>
      <c r="Q25" s="85"/>
      <c r="R25" s="85"/>
      <c r="S25" s="154"/>
      <c r="T25" s="215"/>
      <c r="U25" s="92"/>
      <c r="V25" s="86"/>
      <c r="W25" s="86"/>
      <c r="X25" s="86"/>
      <c r="Y25" s="151"/>
      <c r="Z25" s="87"/>
      <c r="AA25" s="88"/>
      <c r="AB25" s="89"/>
    </row>
    <row r="26" spans="1:28" s="1" customFormat="1" ht="21" customHeight="1">
      <c r="A26" s="11"/>
      <c r="B26" s="25"/>
      <c r="C26" s="20"/>
      <c r="D26" s="26"/>
      <c r="E26" s="159"/>
      <c r="F26" s="27"/>
      <c r="G26" s="26"/>
      <c r="H26" s="159"/>
      <c r="I26" s="27"/>
      <c r="J26" s="28"/>
      <c r="K26" s="49"/>
      <c r="L26" s="40"/>
      <c r="M26" s="41"/>
      <c r="N26" s="160"/>
      <c r="O26" s="160"/>
      <c r="P26" s="40"/>
      <c r="Q26" s="42"/>
      <c r="R26" s="60"/>
      <c r="S26" s="43"/>
      <c r="T26" s="215"/>
      <c r="U26" s="48"/>
      <c r="V26" s="120"/>
      <c r="W26" s="120"/>
      <c r="X26" s="120"/>
      <c r="Y26" s="142"/>
      <c r="Z26" s="15"/>
      <c r="AA26" s="17"/>
      <c r="AB26" s="44"/>
    </row>
    <row r="27" spans="1:28" ht="21" customHeight="1">
      <c r="B27" s="118"/>
      <c r="C27" s="119"/>
      <c r="D27" s="26"/>
      <c r="E27" s="159"/>
      <c r="F27" s="27"/>
      <c r="G27" s="26"/>
      <c r="H27" s="159"/>
      <c r="I27" s="27"/>
      <c r="J27" s="28"/>
      <c r="K27" s="49"/>
      <c r="L27" s="40"/>
      <c r="M27" s="41"/>
      <c r="N27" s="160"/>
      <c r="O27" s="160"/>
      <c r="P27" s="40"/>
      <c r="Q27" s="42"/>
      <c r="R27" s="60"/>
      <c r="S27" s="43"/>
      <c r="T27" s="216"/>
      <c r="U27" s="117"/>
    </row>
    <row r="28" spans="1:28" ht="39.6" customHeight="1">
      <c r="B28" s="161"/>
      <c r="C28" s="162"/>
      <c r="D28" s="806" t="s">
        <v>11</v>
      </c>
      <c r="E28" s="807"/>
      <c r="F28" s="807"/>
      <c r="G28" s="807"/>
      <c r="H28" s="807"/>
      <c r="I28" s="808"/>
      <c r="J28" s="809">
        <f>VLOOKUP(A30,DEZ!$A$2:$S$731,6,FALSE)</f>
        <v>2</v>
      </c>
      <c r="K28" s="810"/>
      <c r="L28" s="50" t="str">
        <f>VLOOKUP(A30,DEZ!$A$2:$S$731,4,FALSE)</f>
        <v>UN</v>
      </c>
      <c r="M28" s="803" t="s">
        <v>12</v>
      </c>
      <c r="N28" s="811"/>
      <c r="O28" s="811"/>
      <c r="P28" s="811"/>
      <c r="Q28" s="805"/>
      <c r="R28" s="61">
        <f>SUM(R12:R27)</f>
        <v>2</v>
      </c>
      <c r="S28" s="51" t="str">
        <f>L28</f>
        <v>UN</v>
      </c>
      <c r="T28" s="22"/>
      <c r="U28" s="23"/>
    </row>
    <row r="29" spans="1:28" ht="21" customHeight="1">
      <c r="B29" s="163"/>
      <c r="C29" s="19"/>
      <c r="D29" s="817" t="s">
        <v>13</v>
      </c>
      <c r="E29" s="818"/>
      <c r="F29" s="818"/>
      <c r="G29" s="818"/>
      <c r="H29" s="818"/>
      <c r="I29" s="819"/>
      <c r="J29" s="823">
        <f>R28/J28</f>
        <v>1</v>
      </c>
      <c r="K29" s="824"/>
      <c r="L29" s="827"/>
      <c r="M29" s="803" t="s">
        <v>34</v>
      </c>
      <c r="N29" s="804"/>
      <c r="O29" s="804"/>
      <c r="P29" s="804"/>
      <c r="Q29" s="805"/>
      <c r="R29" s="61">
        <f>VLOOKUP(A30,DEZ!$A$2:$S$731,8,FALSE)</f>
        <v>0</v>
      </c>
      <c r="S29" s="52" t="str">
        <f>L28</f>
        <v>UN</v>
      </c>
      <c r="T29" s="22"/>
      <c r="U29" s="23"/>
    </row>
    <row r="30" spans="1:28" ht="21" customHeight="1">
      <c r="A30" s="10" t="s">
        <v>638</v>
      </c>
      <c r="B30" s="165"/>
      <c r="C30" s="164"/>
      <c r="D30" s="820"/>
      <c r="E30" s="821"/>
      <c r="F30" s="821"/>
      <c r="G30" s="821"/>
      <c r="H30" s="821"/>
      <c r="I30" s="822"/>
      <c r="J30" s="825"/>
      <c r="K30" s="826"/>
      <c r="L30" s="828"/>
      <c r="M30" s="803" t="s">
        <v>14</v>
      </c>
      <c r="N30" s="804"/>
      <c r="O30" s="804"/>
      <c r="P30" s="804"/>
      <c r="Q30" s="805"/>
      <c r="R30" s="62">
        <f>R28-R29</f>
        <v>2</v>
      </c>
      <c r="S30" s="53" t="str">
        <f>L28</f>
        <v>UN</v>
      </c>
      <c r="T30" s="54"/>
      <c r="U30" s="24"/>
    </row>
    <row r="31" spans="1:28" ht="21" customHeight="1">
      <c r="B31" s="218"/>
      <c r="C31" s="217"/>
      <c r="M31" s="803" t="s">
        <v>53</v>
      </c>
      <c r="N31" s="804"/>
      <c r="O31" s="804"/>
      <c r="P31" s="804"/>
      <c r="Q31" s="805"/>
      <c r="R31" s="62">
        <f>VLOOKUP(A30,DEZ!$A$2:$S$731,5,FALSE)</f>
        <v>16620.009999999998</v>
      </c>
      <c r="S31" s="53"/>
      <c r="T31" s="54"/>
      <c r="U31" s="24"/>
    </row>
    <row r="32" spans="1:28" ht="21" customHeight="1">
      <c r="B32" s="163"/>
      <c r="C32" s="219"/>
      <c r="M32" s="803" t="s">
        <v>54</v>
      </c>
      <c r="N32" s="804"/>
      <c r="O32" s="804"/>
      <c r="P32" s="804"/>
      <c r="Q32" s="805"/>
      <c r="R32" s="62">
        <f>TRUNC(R31*R30,2)</f>
        <v>33240.019999999997</v>
      </c>
      <c r="S32" s="53" t="s">
        <v>55</v>
      </c>
      <c r="T32" s="54"/>
      <c r="U32"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32:Q32"/>
    <mergeCell ref="D29:I30"/>
    <mergeCell ref="J29:K30"/>
    <mergeCell ref="L29:L30"/>
    <mergeCell ref="M29:Q29"/>
    <mergeCell ref="M30:Q30"/>
    <mergeCell ref="M31:Q31"/>
    <mergeCell ref="D13:F13"/>
    <mergeCell ref="D14:F14"/>
    <mergeCell ref="D28:I28"/>
    <mergeCell ref="J28:K28"/>
    <mergeCell ref="M28:Q28"/>
  </mergeCells>
  <conditionalFormatting sqref="J29:K32">
    <cfRule type="cellIs" dxfId="51" priority="1" operator="greaterThanOrEqual">
      <formula>1</formula>
    </cfRule>
    <cfRule type="cellIs" dxfId="5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ilha94">
    <tabColor rgb="FF0000FF"/>
    <pageSetUpPr fitToPage="1"/>
  </sheetPr>
  <dimension ref="A1:AJ27"/>
  <sheetViews>
    <sheetView view="pageBreakPreview" zoomScale="60" zoomScaleNormal="55" workbookViewId="0">
      <selection activeCell="A26" sqref="A26"/>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A25</f>
        <v>5.1.1.1</v>
      </c>
      <c r="C10" s="845" t="str">
        <f>CONCATENATE(VLOOKUP(A25,DEZ!$A$2:$S$731,2,FALSE)," - ",VLOOKUP(A25,DEZ!$A$2:$S$731,3,FALSE))</f>
        <v>20305 - Placa de obra nas dimensões de 2.0 x 4.0 m, padrão IOPES</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917</v>
      </c>
      <c r="D12" s="854">
        <v>4</v>
      </c>
      <c r="E12" s="855"/>
      <c r="F12" s="856"/>
      <c r="G12" s="77"/>
      <c r="H12" s="78"/>
      <c r="I12" s="79"/>
      <c r="J12" s="226">
        <v>2</v>
      </c>
      <c r="K12" s="81"/>
      <c r="L12" s="82"/>
      <c r="M12" s="83"/>
      <c r="N12" s="105"/>
      <c r="O12" s="84"/>
      <c r="P12" s="82"/>
      <c r="Q12" s="93"/>
      <c r="R12" s="85">
        <f>PRODUCT(D12:L12)</f>
        <v>8</v>
      </c>
      <c r="S12" s="154" t="s">
        <v>59</v>
      </c>
      <c r="T12" s="215">
        <v>2</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70"/>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VLOOKUP(A25,DEZ!$A$2:$S$731,6,FALSE)</f>
        <v>8</v>
      </c>
      <c r="K23" s="810"/>
      <c r="L23" s="50" t="str">
        <f>VLOOKUP(A25,DEZ!$A$2:$S$731,4,FALSE)</f>
        <v>m2</v>
      </c>
      <c r="M23" s="803" t="s">
        <v>12</v>
      </c>
      <c r="N23" s="811"/>
      <c r="O23" s="811"/>
      <c r="P23" s="811"/>
      <c r="Q23" s="805"/>
      <c r="R23" s="61">
        <f>SUM(R12:R22)</f>
        <v>8</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VLOOKUP(A25,DEZ!$A$2:$S$731,8,FALSE)</f>
        <v>0</v>
      </c>
      <c r="S24" s="52" t="str">
        <f>L23</f>
        <v>m2</v>
      </c>
      <c r="T24" s="22"/>
      <c r="U24" s="23"/>
    </row>
    <row r="25" spans="1:28" ht="21" customHeight="1">
      <c r="A25" s="10" t="s">
        <v>699</v>
      </c>
      <c r="B25" s="165"/>
      <c r="C25" s="164"/>
      <c r="D25" s="820"/>
      <c r="E25" s="821"/>
      <c r="F25" s="821"/>
      <c r="G25" s="821"/>
      <c r="H25" s="821"/>
      <c r="I25" s="822"/>
      <c r="J25" s="825"/>
      <c r="K25" s="826"/>
      <c r="L25" s="828"/>
      <c r="M25" s="803" t="s">
        <v>14</v>
      </c>
      <c r="N25" s="804"/>
      <c r="O25" s="804"/>
      <c r="P25" s="804"/>
      <c r="Q25" s="805"/>
      <c r="R25" s="62">
        <f>R23-R24</f>
        <v>8</v>
      </c>
      <c r="S25" s="53" t="str">
        <f>L23</f>
        <v>m2</v>
      </c>
      <c r="T25" s="54"/>
      <c r="U25" s="24"/>
    </row>
    <row r="26" spans="1:28" ht="21" customHeight="1">
      <c r="B26" s="218"/>
      <c r="C26" s="217"/>
      <c r="M26" s="803" t="s">
        <v>53</v>
      </c>
      <c r="N26" s="804"/>
      <c r="O26" s="804"/>
      <c r="P26" s="804"/>
      <c r="Q26" s="805"/>
      <c r="R26" s="62">
        <f>VLOOKUP(A25,DEZ!$A$2:$S$731,5,FALSE)</f>
        <v>222.96</v>
      </c>
      <c r="S26" s="53"/>
      <c r="T26" s="54"/>
      <c r="U26" s="24"/>
    </row>
    <row r="27" spans="1:28" ht="21" customHeight="1">
      <c r="B27" s="163"/>
      <c r="C27" s="219"/>
      <c r="M27" s="803" t="s">
        <v>54</v>
      </c>
      <c r="N27" s="804"/>
      <c r="O27" s="804"/>
      <c r="P27" s="804"/>
      <c r="Q27" s="805"/>
      <c r="R27" s="62">
        <f>TRUNC(R26*R25,2)</f>
        <v>1783.68</v>
      </c>
      <c r="S27" s="53" t="s">
        <v>55</v>
      </c>
      <c r="T27" s="54"/>
      <c r="U27" s="24"/>
    </row>
  </sheetData>
  <mergeCells count="35">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49" priority="1" operator="greaterThanOrEqual">
      <formula>1</formula>
    </cfRule>
    <cfRule type="cellIs" dxfId="4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Planilha95">
    <tabColor rgb="FF339933"/>
    <pageSetUpPr fitToPage="1"/>
  </sheetPr>
  <dimension ref="A1:AJ28"/>
  <sheetViews>
    <sheetView view="pageBreakPreview" topLeftCell="A8" zoomScale="60" zoomScaleNormal="55" workbookViewId="0">
      <selection activeCell="A14" sqref="A14:XFD1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A26</f>
        <v>5.4.1.2</v>
      </c>
      <c r="C10" s="845" t="str">
        <f>CONCATENATE(VLOOKUP(A26,DEZ!$A$2:$S$731,2,FALSE)," - ",VLOOKUP(A26,DEZ!$A$2:$S$731,3,FALSE))</f>
        <v>COMP3 - ARMAÇÃO DO SISTEMA DE PAREDES DE CONCRETO COM TELA Q785</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09"/>
      <c r="C12" s="76" t="s">
        <v>939</v>
      </c>
      <c r="D12" s="854">
        <v>3966.02</v>
      </c>
      <c r="E12" s="855"/>
      <c r="F12" s="856"/>
      <c r="G12" s="860">
        <v>0.9</v>
      </c>
      <c r="H12" s="861"/>
      <c r="I12" s="862"/>
      <c r="J12" s="80"/>
      <c r="K12" s="81"/>
      <c r="L12" s="82"/>
      <c r="M12" s="83"/>
      <c r="N12" s="105"/>
      <c r="O12" s="84"/>
      <c r="P12" s="82"/>
      <c r="Q12" s="93"/>
      <c r="R12" s="85">
        <f>D12*G12</f>
        <v>3569.4180000000001</v>
      </c>
      <c r="S12" s="154" t="s">
        <v>29</v>
      </c>
      <c r="T12" s="215">
        <v>3</v>
      </c>
      <c r="U12" s="94"/>
      <c r="V12" s="71"/>
      <c r="W12" s="71"/>
      <c r="X12" s="152"/>
      <c r="Y12" s="153"/>
      <c r="Z12" s="72"/>
    </row>
    <row r="13" spans="1:36" s="73" customFormat="1" ht="15">
      <c r="A13" s="64"/>
      <c r="B13" s="109"/>
      <c r="C13" s="76" t="s">
        <v>939</v>
      </c>
      <c r="D13" s="854">
        <v>3966.02</v>
      </c>
      <c r="E13" s="855"/>
      <c r="F13" s="856"/>
      <c r="G13" s="860">
        <v>0.1</v>
      </c>
      <c r="H13" s="861"/>
      <c r="I13" s="862"/>
      <c r="J13" s="80"/>
      <c r="K13" s="81"/>
      <c r="L13" s="82"/>
      <c r="M13" s="83"/>
      <c r="N13" s="105"/>
      <c r="O13" s="84"/>
      <c r="P13" s="82"/>
      <c r="Q13" s="93"/>
      <c r="R13" s="85">
        <f>D13*G13</f>
        <v>396.60200000000003</v>
      </c>
      <c r="S13" s="154" t="s">
        <v>29</v>
      </c>
      <c r="T13" s="215">
        <v>4</v>
      </c>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VLOOKUP(A26,DEZ!$A$2:$S$731,6,FALSE)</f>
        <v>3966.02</v>
      </c>
      <c r="K24" s="810"/>
      <c r="L24" s="50" t="str">
        <f>VLOOKUP(A26,DEZ!$A$2:$S$731,4,FALSE)</f>
        <v>kg</v>
      </c>
      <c r="M24" s="803" t="s">
        <v>12</v>
      </c>
      <c r="N24" s="811"/>
      <c r="O24" s="811"/>
      <c r="P24" s="811"/>
      <c r="Q24" s="805"/>
      <c r="R24" s="61">
        <f>SUM(R12:R23)</f>
        <v>3966.02</v>
      </c>
      <c r="S24" s="51" t="str">
        <f>L24</f>
        <v>kg</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VLOOKUP(A26,DEZ!$A$2:$S$731,8,FALSE)</f>
        <v>0</v>
      </c>
      <c r="S25" s="52" t="str">
        <f>L24</f>
        <v>kg</v>
      </c>
      <c r="T25" s="22"/>
      <c r="U25" s="23"/>
    </row>
    <row r="26" spans="1:28" ht="21" customHeight="1">
      <c r="A26" s="10" t="s">
        <v>774</v>
      </c>
      <c r="B26" s="165"/>
      <c r="C26" s="164"/>
      <c r="D26" s="820"/>
      <c r="E26" s="821"/>
      <c r="F26" s="821"/>
      <c r="G26" s="821"/>
      <c r="H26" s="821"/>
      <c r="I26" s="822"/>
      <c r="J26" s="825"/>
      <c r="K26" s="826"/>
      <c r="L26" s="828"/>
      <c r="M26" s="803" t="s">
        <v>14</v>
      </c>
      <c r="N26" s="804"/>
      <c r="O26" s="804"/>
      <c r="P26" s="804"/>
      <c r="Q26" s="805"/>
      <c r="R26" s="62">
        <f>R24-R25</f>
        <v>3966.02</v>
      </c>
      <c r="S26" s="53" t="str">
        <f>L24</f>
        <v>kg</v>
      </c>
      <c r="T26" s="54"/>
      <c r="U26" s="24"/>
    </row>
    <row r="27" spans="1:28" ht="21" customHeight="1">
      <c r="B27" s="218"/>
      <c r="C27" s="217"/>
      <c r="M27" s="803" t="s">
        <v>53</v>
      </c>
      <c r="N27" s="804"/>
      <c r="O27" s="804"/>
      <c r="P27" s="804"/>
      <c r="Q27" s="805"/>
      <c r="R27" s="62">
        <f>VLOOKUP(A26,DEZ!$A$2:$S$731,5,FALSE)</f>
        <v>7.33</v>
      </c>
      <c r="S27" s="53"/>
      <c r="T27" s="54"/>
      <c r="U27" s="24"/>
    </row>
    <row r="28" spans="1:28" ht="21" customHeight="1">
      <c r="B28" s="163"/>
      <c r="C28" s="219"/>
      <c r="M28" s="803" t="s">
        <v>54</v>
      </c>
      <c r="N28" s="804"/>
      <c r="O28" s="804"/>
      <c r="P28" s="804"/>
      <c r="Q28" s="805"/>
      <c r="R28" s="62">
        <f>TRUNC(R27*R26,2)</f>
        <v>29070.92</v>
      </c>
      <c r="S28" s="53" t="s">
        <v>55</v>
      </c>
      <c r="T28" s="54"/>
      <c r="U28" s="24"/>
    </row>
  </sheetData>
  <mergeCells count="38">
    <mergeCell ref="M28:Q28"/>
    <mergeCell ref="D25:I26"/>
    <mergeCell ref="J25:K26"/>
    <mergeCell ref="L25:L26"/>
    <mergeCell ref="M25:Q25"/>
    <mergeCell ref="M26:Q26"/>
    <mergeCell ref="M27:Q27"/>
    <mergeCell ref="D24:I24"/>
    <mergeCell ref="J24:K24"/>
    <mergeCell ref="M24:Q24"/>
    <mergeCell ref="N10:N11"/>
    <mergeCell ref="O10:O11"/>
    <mergeCell ref="P10:P11"/>
    <mergeCell ref="Q10:Q11"/>
    <mergeCell ref="D12:F12"/>
    <mergeCell ref="G12:I12"/>
    <mergeCell ref="D13:F13"/>
    <mergeCell ref="G13:I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5:K28">
    <cfRule type="cellIs" dxfId="47" priority="1" operator="greaterThanOrEqual">
      <formula>1</formula>
    </cfRule>
    <cfRule type="cellIs" dxfId="4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Planilha96">
    <tabColor rgb="FF339933"/>
    <pageSetUpPr fitToPage="1"/>
  </sheetPr>
  <dimension ref="A1:AJ28"/>
  <sheetViews>
    <sheetView view="pageBreakPreview" zoomScale="60" zoomScaleNormal="55" workbookViewId="0">
      <selection sqref="A1:XFD1048576"/>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A26</f>
        <v>5.4.1.3</v>
      </c>
      <c r="C10" s="845" t="str">
        <f>CONCATENATE(VLOOKUP(A26,DEZ!$A$2:$S$731,2,FALSE)," - ",VLOOKUP(A26,DEZ!$A$2:$S$731,3,FALSE))</f>
        <v>40328 - Fornecimento, dobragem e colocação em fôrma, de armadura CA-50 A média, diâmetro de 6.3 a 10.0 mm</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918</v>
      </c>
      <c r="D12" s="854">
        <v>1880</v>
      </c>
      <c r="E12" s="855"/>
      <c r="F12" s="856"/>
      <c r="G12" s="860">
        <v>1</v>
      </c>
      <c r="H12" s="861"/>
      <c r="I12" s="862"/>
      <c r="J12" s="80"/>
      <c r="K12" s="81"/>
      <c r="L12" s="82"/>
      <c r="M12" s="83"/>
      <c r="N12" s="105"/>
      <c r="O12" s="84"/>
      <c r="P12" s="82"/>
      <c r="Q12" s="93"/>
      <c r="R12" s="85">
        <f>D12*G12</f>
        <v>1880</v>
      </c>
      <c r="S12" s="154" t="s">
        <v>29</v>
      </c>
      <c r="T12" s="215">
        <v>3</v>
      </c>
      <c r="U12" s="94"/>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VLOOKUP(A26,DEZ!$A$2:$S$731,6,FALSE)</f>
        <v>1880</v>
      </c>
      <c r="K24" s="810"/>
      <c r="L24" s="50" t="str">
        <f>VLOOKUP(A26,DEZ!$A$2:$S$731,4,FALSE)</f>
        <v>kg</v>
      </c>
      <c r="M24" s="803" t="s">
        <v>12</v>
      </c>
      <c r="N24" s="811"/>
      <c r="O24" s="811"/>
      <c r="P24" s="811"/>
      <c r="Q24" s="805"/>
      <c r="R24" s="61">
        <f>SUM(R12:R23)</f>
        <v>1880</v>
      </c>
      <c r="S24" s="51" t="str">
        <f>L24</f>
        <v>kg</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VLOOKUP(A26,DEZ!$A$2:$S$731,8,FALSE)</f>
        <v>0</v>
      </c>
      <c r="S25" s="52" t="str">
        <f>L24</f>
        <v>kg</v>
      </c>
      <c r="T25" s="22"/>
      <c r="U25" s="23"/>
    </row>
    <row r="26" spans="1:28" ht="21" customHeight="1">
      <c r="A26" s="10" t="s">
        <v>775</v>
      </c>
      <c r="B26" s="165"/>
      <c r="C26" s="164"/>
      <c r="D26" s="820"/>
      <c r="E26" s="821"/>
      <c r="F26" s="821"/>
      <c r="G26" s="821"/>
      <c r="H26" s="821"/>
      <c r="I26" s="822"/>
      <c r="J26" s="825"/>
      <c r="K26" s="826"/>
      <c r="L26" s="828"/>
      <c r="M26" s="803" t="s">
        <v>14</v>
      </c>
      <c r="N26" s="804"/>
      <c r="O26" s="804"/>
      <c r="P26" s="804"/>
      <c r="Q26" s="805"/>
      <c r="R26" s="62">
        <f>R24-R25</f>
        <v>1880</v>
      </c>
      <c r="S26" s="53" t="str">
        <f>L24</f>
        <v>kg</v>
      </c>
      <c r="T26" s="54"/>
      <c r="U26" s="24"/>
    </row>
    <row r="27" spans="1:28" ht="21" customHeight="1">
      <c r="B27" s="218"/>
      <c r="C27" s="217"/>
      <c r="M27" s="803" t="s">
        <v>53</v>
      </c>
      <c r="N27" s="804"/>
      <c r="O27" s="804"/>
      <c r="P27" s="804"/>
      <c r="Q27" s="805"/>
      <c r="R27" s="62">
        <f>VLOOKUP(A26,DEZ!$A$2:$S$731,5,FALSE)</f>
        <v>7.98</v>
      </c>
      <c r="S27" s="53"/>
      <c r="T27" s="54"/>
      <c r="U27" s="24"/>
    </row>
    <row r="28" spans="1:28" ht="21" customHeight="1">
      <c r="B28" s="163"/>
      <c r="C28" s="219"/>
      <c r="M28" s="803" t="s">
        <v>54</v>
      </c>
      <c r="N28" s="804"/>
      <c r="O28" s="804"/>
      <c r="P28" s="804"/>
      <c r="Q28" s="805"/>
      <c r="R28" s="62">
        <f>TRUNC(R27*R26,2)</f>
        <v>15002.4</v>
      </c>
      <c r="S28" s="53" t="s">
        <v>55</v>
      </c>
      <c r="T28" s="54"/>
      <c r="U28" s="24"/>
    </row>
  </sheetData>
  <mergeCells count="37">
    <mergeCell ref="M28:Q28"/>
    <mergeCell ref="D25:I26"/>
    <mergeCell ref="J25:K26"/>
    <mergeCell ref="L25:L26"/>
    <mergeCell ref="M25:Q25"/>
    <mergeCell ref="M26:Q26"/>
    <mergeCell ref="M27:Q27"/>
    <mergeCell ref="D24:I24"/>
    <mergeCell ref="J24:K24"/>
    <mergeCell ref="M24:Q24"/>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5:K28">
    <cfRule type="cellIs" dxfId="45" priority="1" operator="greaterThanOrEqual">
      <formula>1</formula>
    </cfRule>
    <cfRule type="cellIs" dxfId="4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tabColor rgb="FF339933"/>
    <pageSetUpPr fitToPage="1"/>
  </sheetPr>
  <dimension ref="A1:AJ32"/>
  <sheetViews>
    <sheetView view="pageBreakPreview" zoomScale="60" zoomScaleNormal="100" workbookViewId="0">
      <selection activeCell="A13" sqref="A13:XFD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A30</f>
        <v>1.1.2.1</v>
      </c>
      <c r="C10" s="845" t="str">
        <f>CONCATENATE(VLOOKUP(A30,DEZ!$A$2:$S$731,2,FALSE)," - ",VLOOKUP(A30,DEZ!$A$2:$S$731,3,FALSE))</f>
        <v>20350 - Tapume Telha Metálica Ondulada 0,50mm Branca h=2,20m, incl. montagem estr. mad. 8"x8", c/adesivo "IOPES" 60x60cm a cada 10m, incl. faixas pint. esmalte sint. cores azul c/ h=30cm e rosa c/ h=10cm (Reaproveitamento 2x)</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6" customHeight="1">
      <c r="A12" s="64"/>
      <c r="B12" s="112"/>
      <c r="C12" s="76" t="s">
        <v>867</v>
      </c>
      <c r="D12" s="851">
        <v>140.08000000000001</v>
      </c>
      <c r="E12" s="852"/>
      <c r="F12" s="853"/>
      <c r="G12" s="77"/>
      <c r="H12" s="78"/>
      <c r="I12" s="79"/>
      <c r="J12" s="80"/>
      <c r="K12" s="81"/>
      <c r="L12" s="82"/>
      <c r="M12" s="83"/>
      <c r="N12" s="105"/>
      <c r="O12" s="84"/>
      <c r="P12" s="82"/>
      <c r="Q12" s="93"/>
      <c r="R12" s="85">
        <f>D12</f>
        <v>140.08000000000001</v>
      </c>
      <c r="S12" s="111" t="s">
        <v>51</v>
      </c>
      <c r="T12" s="215">
        <v>1</v>
      </c>
      <c r="U12" s="91"/>
      <c r="V12" s="71"/>
      <c r="W12" s="71"/>
      <c r="X12" s="152"/>
      <c r="Y12" s="153"/>
      <c r="Z12" s="72"/>
    </row>
    <row r="13" spans="1:36" s="73" customFormat="1" ht="15">
      <c r="A13" s="64"/>
      <c r="B13" s="109"/>
      <c r="C13" s="76"/>
      <c r="D13" s="185"/>
      <c r="E13" s="187"/>
      <c r="F13" s="186"/>
      <c r="G13" s="185"/>
      <c r="H13" s="187"/>
      <c r="I13" s="186"/>
      <c r="J13" s="184"/>
      <c r="K13" s="177"/>
      <c r="L13" s="178"/>
      <c r="M13" s="179"/>
      <c r="N13" s="180"/>
      <c r="O13" s="181"/>
      <c r="P13" s="178"/>
      <c r="Q13" s="182"/>
      <c r="R13" s="188"/>
      <c r="S13" s="183"/>
      <c r="T13" s="215"/>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07"/>
      <c r="C20" s="104"/>
      <c r="D20" s="77"/>
      <c r="E20" s="78"/>
      <c r="F20" s="79"/>
      <c r="G20" s="77"/>
      <c r="H20" s="78"/>
      <c r="I20" s="79"/>
      <c r="J20" s="80"/>
      <c r="K20" s="81"/>
      <c r="L20" s="82"/>
      <c r="M20" s="83"/>
      <c r="N20" s="84"/>
      <c r="O20" s="155"/>
      <c r="P20" s="156"/>
      <c r="Q20" s="85"/>
      <c r="R20" s="85"/>
      <c r="S20" s="154"/>
      <c r="T20" s="215"/>
      <c r="U20" s="92"/>
      <c r="V20" s="86"/>
      <c r="W20" s="86"/>
      <c r="X20" s="86"/>
      <c r="Y20" s="151"/>
      <c r="Z20" s="87"/>
      <c r="AA20" s="88"/>
      <c r="AB20" s="89"/>
    </row>
    <row r="21" spans="1:28" s="90" customFormat="1" ht="21" customHeight="1">
      <c r="A21" s="75"/>
      <c r="B21" s="107"/>
      <c r="C21" s="104"/>
      <c r="D21" s="77"/>
      <c r="E21" s="78"/>
      <c r="F21" s="79"/>
      <c r="G21" s="77"/>
      <c r="H21" s="78"/>
      <c r="I21" s="79"/>
      <c r="J21" s="80"/>
      <c r="K21" s="81"/>
      <c r="L21" s="82"/>
      <c r="M21" s="83"/>
      <c r="N21" s="84"/>
      <c r="O21" s="155"/>
      <c r="P21" s="156"/>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90" customFormat="1" ht="21" customHeight="1">
      <c r="A25" s="75"/>
      <c r="B25" s="157"/>
      <c r="C25" s="76"/>
      <c r="D25" s="77"/>
      <c r="E25" s="78"/>
      <c r="F25" s="79"/>
      <c r="G25" s="77"/>
      <c r="H25" s="78"/>
      <c r="I25" s="79"/>
      <c r="J25" s="80"/>
      <c r="K25" s="81"/>
      <c r="L25" s="82"/>
      <c r="M25" s="83"/>
      <c r="N25" s="84"/>
      <c r="O25" s="84"/>
      <c r="P25" s="82"/>
      <c r="Q25" s="85"/>
      <c r="R25" s="85"/>
      <c r="S25" s="154"/>
      <c r="T25" s="215"/>
      <c r="U25" s="92"/>
      <c r="V25" s="86"/>
      <c r="W25" s="86"/>
      <c r="X25" s="86"/>
      <c r="Y25" s="151"/>
      <c r="Z25" s="87"/>
      <c r="AA25" s="88"/>
      <c r="AB25" s="89"/>
    </row>
    <row r="26" spans="1:28" s="1" customFormat="1" ht="21" customHeight="1">
      <c r="A26" s="11"/>
      <c r="B26" s="25"/>
      <c r="C26" s="20"/>
      <c r="D26" s="26"/>
      <c r="E26" s="159"/>
      <c r="F26" s="27"/>
      <c r="G26" s="26"/>
      <c r="H26" s="159"/>
      <c r="I26" s="27"/>
      <c r="J26" s="28"/>
      <c r="K26" s="49"/>
      <c r="L26" s="40"/>
      <c r="M26" s="41"/>
      <c r="N26" s="160"/>
      <c r="O26" s="160"/>
      <c r="P26" s="40"/>
      <c r="Q26" s="42"/>
      <c r="R26" s="60"/>
      <c r="S26" s="43"/>
      <c r="T26" s="215"/>
      <c r="U26" s="48"/>
      <c r="V26" s="120"/>
      <c r="W26" s="120"/>
      <c r="X26" s="120"/>
      <c r="Y26" s="142"/>
      <c r="Z26" s="15"/>
      <c r="AA26" s="17"/>
      <c r="AB26" s="44"/>
    </row>
    <row r="27" spans="1:28" ht="21" customHeight="1">
      <c r="B27" s="118"/>
      <c r="C27" s="119"/>
      <c r="D27" s="26"/>
      <c r="E27" s="159"/>
      <c r="F27" s="27"/>
      <c r="G27" s="26"/>
      <c r="H27" s="159"/>
      <c r="I27" s="27"/>
      <c r="J27" s="28"/>
      <c r="K27" s="49"/>
      <c r="L27" s="40"/>
      <c r="M27" s="41"/>
      <c r="N27" s="160"/>
      <c r="O27" s="160"/>
      <c r="P27" s="40"/>
      <c r="Q27" s="42"/>
      <c r="R27" s="60"/>
      <c r="S27" s="43"/>
      <c r="T27" s="216"/>
      <c r="U27" s="117"/>
    </row>
    <row r="28" spans="1:28" ht="39.6" customHeight="1">
      <c r="B28" s="161"/>
      <c r="C28" s="162"/>
      <c r="D28" s="806" t="s">
        <v>11</v>
      </c>
      <c r="E28" s="807"/>
      <c r="F28" s="807"/>
      <c r="G28" s="807"/>
      <c r="H28" s="807"/>
      <c r="I28" s="808"/>
      <c r="J28" s="809">
        <f>VLOOKUP(A30,DEZ!$A$2:$S$731,6,FALSE)</f>
        <v>140.08000000000001</v>
      </c>
      <c r="K28" s="810"/>
      <c r="L28" s="50" t="str">
        <f>VLOOKUP(A30,DEZ!$A$2:$S$731,4,FALSE)</f>
        <v>m</v>
      </c>
      <c r="M28" s="803" t="s">
        <v>12</v>
      </c>
      <c r="N28" s="811"/>
      <c r="O28" s="811"/>
      <c r="P28" s="811"/>
      <c r="Q28" s="805"/>
      <c r="R28" s="61">
        <f>SUM(R12:R27)</f>
        <v>140.08000000000001</v>
      </c>
      <c r="S28" s="51" t="str">
        <f>L28</f>
        <v>m</v>
      </c>
      <c r="T28" s="22"/>
      <c r="U28" s="23"/>
    </row>
    <row r="29" spans="1:28" ht="21" customHeight="1">
      <c r="B29" s="163"/>
      <c r="C29" s="19"/>
      <c r="D29" s="817" t="s">
        <v>13</v>
      </c>
      <c r="E29" s="818"/>
      <c r="F29" s="818"/>
      <c r="G29" s="818"/>
      <c r="H29" s="818"/>
      <c r="I29" s="819"/>
      <c r="J29" s="823">
        <f>R28/J28</f>
        <v>1</v>
      </c>
      <c r="K29" s="824"/>
      <c r="L29" s="827"/>
      <c r="M29" s="803" t="s">
        <v>34</v>
      </c>
      <c r="N29" s="804"/>
      <c r="O29" s="804"/>
      <c r="P29" s="804"/>
      <c r="Q29" s="805"/>
      <c r="R29" s="61">
        <f>VLOOKUP(A30,DEZ!$A$2:$S$731,8,FALSE)</f>
        <v>0</v>
      </c>
      <c r="S29" s="52" t="str">
        <f>L28</f>
        <v>m</v>
      </c>
      <c r="T29" s="22"/>
      <c r="U29" s="23"/>
    </row>
    <row r="30" spans="1:28" ht="21" customHeight="1">
      <c r="A30" s="10" t="s">
        <v>74</v>
      </c>
      <c r="B30" s="165"/>
      <c r="C30" s="164"/>
      <c r="D30" s="820"/>
      <c r="E30" s="821"/>
      <c r="F30" s="821"/>
      <c r="G30" s="821"/>
      <c r="H30" s="821"/>
      <c r="I30" s="822"/>
      <c r="J30" s="825"/>
      <c r="K30" s="826"/>
      <c r="L30" s="828"/>
      <c r="M30" s="803" t="s">
        <v>14</v>
      </c>
      <c r="N30" s="804"/>
      <c r="O30" s="804"/>
      <c r="P30" s="804"/>
      <c r="Q30" s="805"/>
      <c r="R30" s="62">
        <f>R28-R29</f>
        <v>140.08000000000001</v>
      </c>
      <c r="S30" s="53" t="str">
        <f>L28</f>
        <v>m</v>
      </c>
      <c r="T30" s="54"/>
      <c r="U30" s="24"/>
    </row>
    <row r="31" spans="1:28" ht="21" customHeight="1">
      <c r="B31" s="218"/>
      <c r="C31" s="217"/>
      <c r="M31" s="803" t="s">
        <v>53</v>
      </c>
      <c r="N31" s="804"/>
      <c r="O31" s="804"/>
      <c r="P31" s="804"/>
      <c r="Q31" s="805"/>
      <c r="R31" s="62">
        <f>VLOOKUP(A30,DEZ!$A$2:$S$731,5,FALSE)</f>
        <v>138.65</v>
      </c>
      <c r="S31" s="53"/>
      <c r="T31" s="54"/>
      <c r="U31" s="24"/>
    </row>
    <row r="32" spans="1:28" ht="21" customHeight="1">
      <c r="B32" s="163"/>
      <c r="C32" s="219"/>
      <c r="M32" s="803" t="s">
        <v>54</v>
      </c>
      <c r="N32" s="804"/>
      <c r="O32" s="804"/>
      <c r="P32" s="804"/>
      <c r="Q32" s="805"/>
      <c r="R32" s="62">
        <f>TRUNC(R31*R30,2)</f>
        <v>19422.09</v>
      </c>
      <c r="S32" s="53" t="s">
        <v>55</v>
      </c>
      <c r="T32" s="54"/>
      <c r="U32" s="24"/>
    </row>
  </sheetData>
  <mergeCells count="35">
    <mergeCell ref="V4:AA4"/>
    <mergeCell ref="B5:I5"/>
    <mergeCell ref="J5:O5"/>
    <mergeCell ref="P5:U5"/>
    <mergeCell ref="R10:R11"/>
    <mergeCell ref="S10:S11"/>
    <mergeCell ref="T8:U8"/>
    <mergeCell ref="T9:U9"/>
    <mergeCell ref="B10:B11"/>
    <mergeCell ref="C10:C11"/>
    <mergeCell ref="D10:F11"/>
    <mergeCell ref="G10:I11"/>
    <mergeCell ref="J10:J11"/>
    <mergeCell ref="M10:M11"/>
    <mergeCell ref="M31:Q31"/>
    <mergeCell ref="M32:Q32"/>
    <mergeCell ref="T7:U7"/>
    <mergeCell ref="D12:F12"/>
    <mergeCell ref="B1:U4"/>
    <mergeCell ref="T10:T11"/>
    <mergeCell ref="U10:U11"/>
    <mergeCell ref="D28:I28"/>
    <mergeCell ref="J28:K28"/>
    <mergeCell ref="M28:Q28"/>
    <mergeCell ref="N10:N11"/>
    <mergeCell ref="O10:O11"/>
    <mergeCell ref="P10:P11"/>
    <mergeCell ref="Q10:Q11"/>
    <mergeCell ref="K10:K11"/>
    <mergeCell ref="L10:L11"/>
    <mergeCell ref="D29:I30"/>
    <mergeCell ref="J29:K30"/>
    <mergeCell ref="L29:L30"/>
    <mergeCell ref="M29:Q29"/>
    <mergeCell ref="M30:Q30"/>
  </mergeCells>
  <conditionalFormatting sqref="J29:K32">
    <cfRule type="cellIs" dxfId="429" priority="1" operator="greaterThanOrEqual">
      <formula>1</formula>
    </cfRule>
    <cfRule type="cellIs" dxfId="42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1">
    <tabColor rgb="FF0000FF"/>
    <pageSetUpPr fitToPage="1"/>
  </sheetPr>
  <dimension ref="A1:AJ27"/>
  <sheetViews>
    <sheetView view="pageBreakPreview" zoomScale="55" zoomScaleNormal="55" zoomScaleSheetLayoutView="55" workbookViewId="0">
      <selection activeCell="J22" sqref="J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A25</f>
        <v>3.1.1.1</v>
      </c>
      <c r="C10" s="845" t="str">
        <f>CONCATENATE(VLOOKUP(A25,DEZ!$A$2:$S$731,2,FALSE)," - ",VLOOKUP(A25,DEZ!$A$2:$S$731,3,FALSE))</f>
        <v>20305 - Placa de obra nas dimensões de 2.0 x 4.0 m, padrão IOPES</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917</v>
      </c>
      <c r="D12" s="854">
        <v>4</v>
      </c>
      <c r="E12" s="855"/>
      <c r="F12" s="856"/>
      <c r="G12" s="77"/>
      <c r="H12" s="78"/>
      <c r="I12" s="79"/>
      <c r="J12" s="226">
        <v>2</v>
      </c>
      <c r="K12" s="81"/>
      <c r="L12" s="82"/>
      <c r="M12" s="83"/>
      <c r="N12" s="105"/>
      <c r="O12" s="84"/>
      <c r="P12" s="82"/>
      <c r="Q12" s="93"/>
      <c r="R12" s="85">
        <f>PRODUCT(D12:L12)</f>
        <v>8</v>
      </c>
      <c r="S12" s="154" t="s">
        <v>59</v>
      </c>
      <c r="T12" s="215">
        <v>2</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70"/>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VLOOKUP(A25,DEZ!$A$2:$S$731,6,FALSE)</f>
        <v>8</v>
      </c>
      <c r="K23" s="810"/>
      <c r="L23" s="50" t="str">
        <f>VLOOKUP(A25,DEZ!$A$2:$S$731,4,FALSE)</f>
        <v>m2</v>
      </c>
      <c r="M23" s="803" t="s">
        <v>12</v>
      </c>
      <c r="N23" s="811"/>
      <c r="O23" s="811"/>
      <c r="P23" s="811"/>
      <c r="Q23" s="805"/>
      <c r="R23" s="61">
        <f>SUM(R12:R22)</f>
        <v>8</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VLOOKUP(A25,DEZ!$A$2:$S$731,8,FALSE)</f>
        <v>0</v>
      </c>
      <c r="S24" s="52" t="str">
        <f>L23</f>
        <v>m2</v>
      </c>
      <c r="T24" s="22"/>
      <c r="U24" s="23"/>
    </row>
    <row r="25" spans="1:28" ht="21" customHeight="1">
      <c r="A25" s="10" t="s">
        <v>393</v>
      </c>
      <c r="B25" s="165"/>
      <c r="C25" s="164"/>
      <c r="D25" s="820"/>
      <c r="E25" s="821"/>
      <c r="F25" s="821"/>
      <c r="G25" s="821"/>
      <c r="H25" s="821"/>
      <c r="I25" s="822"/>
      <c r="J25" s="825"/>
      <c r="K25" s="826"/>
      <c r="L25" s="828"/>
      <c r="M25" s="803" t="s">
        <v>14</v>
      </c>
      <c r="N25" s="804"/>
      <c r="O25" s="804"/>
      <c r="P25" s="804"/>
      <c r="Q25" s="805"/>
      <c r="R25" s="62">
        <f>R23-R24</f>
        <v>8</v>
      </c>
      <c r="S25" s="53" t="str">
        <f>L23</f>
        <v>m2</v>
      </c>
      <c r="T25" s="54"/>
      <c r="U25" s="24"/>
    </row>
    <row r="26" spans="1:28" ht="21" customHeight="1">
      <c r="B26" s="218"/>
      <c r="C26" s="217"/>
      <c r="M26" s="803" t="s">
        <v>53</v>
      </c>
      <c r="N26" s="804"/>
      <c r="O26" s="804"/>
      <c r="P26" s="804"/>
      <c r="Q26" s="805"/>
      <c r="R26" s="62">
        <f>VLOOKUP(A25,DEZ!$A$2:$S$731,5,FALSE)</f>
        <v>222.96</v>
      </c>
      <c r="S26" s="53"/>
      <c r="T26" s="54"/>
      <c r="U26" s="24"/>
    </row>
    <row r="27" spans="1:28" ht="21" customHeight="1">
      <c r="B27" s="163"/>
      <c r="C27" s="219"/>
      <c r="M27" s="803" t="s">
        <v>54</v>
      </c>
      <c r="N27" s="804"/>
      <c r="O27" s="804"/>
      <c r="P27" s="804"/>
      <c r="Q27" s="805"/>
      <c r="R27" s="62">
        <f>TRUNC(R26*R25,2)</f>
        <v>1783.68</v>
      </c>
      <c r="S27" s="53" t="s">
        <v>55</v>
      </c>
      <c r="T27" s="54"/>
      <c r="U27" s="24"/>
    </row>
  </sheetData>
  <mergeCells count="35">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393" priority="1" operator="greaterThanOrEqual">
      <formula>1</formula>
    </cfRule>
    <cfRule type="cellIs" dxfId="39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Planilha97">
    <tabColor rgb="FF339933"/>
    <pageSetUpPr fitToPage="1"/>
  </sheetPr>
  <dimension ref="A1:AJ28"/>
  <sheetViews>
    <sheetView view="pageBreakPreview" zoomScale="60" zoomScaleNormal="55" workbookViewId="0">
      <selection activeCell="S12" sqref="S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A26</f>
        <v>5.4.1.4</v>
      </c>
      <c r="C10" s="845" t="str">
        <f>CONCATENATE(VLOOKUP(A26,DEZ!$A$2:$S$731,2,FALSE)," - ",VLOOKUP(A26,DEZ!$A$2:$S$731,3,FALSE))</f>
        <v>COMP18 - Cordoalha CP 190 RB D = 15,2 mm - fornecimento, preparo e colocação</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940</v>
      </c>
      <c r="D12" s="854">
        <v>73</v>
      </c>
      <c r="E12" s="855"/>
      <c r="F12" s="856"/>
      <c r="G12" s="860"/>
      <c r="H12" s="861"/>
      <c r="I12" s="862"/>
      <c r="J12" s="80"/>
      <c r="K12" s="81"/>
      <c r="L12" s="82"/>
      <c r="M12" s="83"/>
      <c r="N12" s="105"/>
      <c r="O12" s="84"/>
      <c r="P12" s="82"/>
      <c r="Q12" s="93"/>
      <c r="R12" s="85">
        <f>D12</f>
        <v>73</v>
      </c>
      <c r="S12" s="154" t="s">
        <v>29</v>
      </c>
      <c r="T12" s="215">
        <v>3</v>
      </c>
      <c r="U12" s="94"/>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VLOOKUP(A26,DEZ!$A$2:$S$731,6,FALSE)</f>
        <v>73</v>
      </c>
      <c r="K24" s="810"/>
      <c r="L24" s="50" t="str">
        <f>VLOOKUP(A26,DEZ!$A$2:$S$731,4,FALSE)</f>
        <v>kg</v>
      </c>
      <c r="M24" s="803" t="s">
        <v>12</v>
      </c>
      <c r="N24" s="811"/>
      <c r="O24" s="811"/>
      <c r="P24" s="811"/>
      <c r="Q24" s="805"/>
      <c r="R24" s="61">
        <f>SUM(R12:R23)</f>
        <v>73</v>
      </c>
      <c r="S24" s="51" t="str">
        <f>L24</f>
        <v>kg</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VLOOKUP(A26,DEZ!$A$2:$S$731,8,FALSE)</f>
        <v>0</v>
      </c>
      <c r="S25" s="52" t="str">
        <f>L24</f>
        <v>kg</v>
      </c>
      <c r="T25" s="22"/>
      <c r="U25" s="23"/>
    </row>
    <row r="26" spans="1:28" ht="21" customHeight="1">
      <c r="A26" s="10" t="s">
        <v>776</v>
      </c>
      <c r="B26" s="165"/>
      <c r="C26" s="164"/>
      <c r="D26" s="820"/>
      <c r="E26" s="821"/>
      <c r="F26" s="821"/>
      <c r="G26" s="821"/>
      <c r="H26" s="821"/>
      <c r="I26" s="822"/>
      <c r="J26" s="825"/>
      <c r="K26" s="826"/>
      <c r="L26" s="828"/>
      <c r="M26" s="803" t="s">
        <v>14</v>
      </c>
      <c r="N26" s="804"/>
      <c r="O26" s="804"/>
      <c r="P26" s="804"/>
      <c r="Q26" s="805"/>
      <c r="R26" s="62">
        <f>R24-R25</f>
        <v>73</v>
      </c>
      <c r="S26" s="53" t="str">
        <f>L24</f>
        <v>kg</v>
      </c>
      <c r="T26" s="54"/>
      <c r="U26" s="24"/>
    </row>
    <row r="27" spans="1:28" ht="21" customHeight="1">
      <c r="B27" s="218"/>
      <c r="C27" s="217"/>
      <c r="M27" s="803" t="s">
        <v>53</v>
      </c>
      <c r="N27" s="804"/>
      <c r="O27" s="804"/>
      <c r="P27" s="804"/>
      <c r="Q27" s="805"/>
      <c r="R27" s="62">
        <f>VLOOKUP(A26,DEZ!$A$2:$S$731,5,FALSE)</f>
        <v>11.02</v>
      </c>
      <c r="S27" s="53"/>
      <c r="T27" s="54"/>
      <c r="U27" s="24"/>
    </row>
    <row r="28" spans="1:28" ht="21" customHeight="1">
      <c r="B28" s="163"/>
      <c r="C28" s="219"/>
      <c r="M28" s="803" t="s">
        <v>54</v>
      </c>
      <c r="N28" s="804"/>
      <c r="O28" s="804"/>
      <c r="P28" s="804"/>
      <c r="Q28" s="805"/>
      <c r="R28" s="62">
        <f>TRUNC(R27*R26,2)</f>
        <v>804.46</v>
      </c>
      <c r="S28" s="53" t="s">
        <v>55</v>
      </c>
      <c r="T28" s="54"/>
      <c r="U28" s="24"/>
    </row>
  </sheetData>
  <mergeCells count="37">
    <mergeCell ref="M28:Q28"/>
    <mergeCell ref="D25:I26"/>
    <mergeCell ref="J25:K26"/>
    <mergeCell ref="L25:L26"/>
    <mergeCell ref="M25:Q25"/>
    <mergeCell ref="M26:Q26"/>
    <mergeCell ref="M27:Q27"/>
    <mergeCell ref="D24:I24"/>
    <mergeCell ref="J24:K24"/>
    <mergeCell ref="M24:Q24"/>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5:K28">
    <cfRule type="cellIs" dxfId="43" priority="1" operator="greaterThanOrEqual">
      <formula>1</formula>
    </cfRule>
    <cfRule type="cellIs" dxfId="42" priority="2" operator="greaterThan">
      <formula>100%</formula>
    </cfRule>
  </conditionalFormatting>
  <pageMargins left="0.511811024" right="0.511811024" top="0.78740157499999996" bottom="0.78740157499999996" header="0.31496062000000002" footer="0.31496062000000002"/>
  <pageSetup paperSize="9" scale="44" fitToHeight="0" orientation="landscape"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Planilha98">
    <tabColor rgb="FF339933"/>
    <pageSetUpPr fitToPage="1"/>
  </sheetPr>
  <dimension ref="A1:AJ31"/>
  <sheetViews>
    <sheetView view="pageBreakPreview" topLeftCell="I8"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DEZ!A569</f>
        <v>5.2.1.1</v>
      </c>
      <c r="C10" s="845" t="str">
        <f>DEZ!C569</f>
        <v>Escavação mecânica em material de 1a. categoria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968</v>
      </c>
      <c r="D12" s="854"/>
      <c r="E12" s="855"/>
      <c r="F12" s="856"/>
      <c r="G12" s="77"/>
      <c r="H12" s="78"/>
      <c r="I12" s="79"/>
      <c r="J12" s="226"/>
      <c r="K12" s="81"/>
      <c r="L12" s="82">
        <v>0.88</v>
      </c>
      <c r="M12" s="83"/>
      <c r="N12" s="105"/>
      <c r="O12" s="84"/>
      <c r="P12" s="82"/>
      <c r="Q12" s="93"/>
      <c r="R12" s="85">
        <f>L12</f>
        <v>0.88</v>
      </c>
      <c r="S12" s="154" t="s">
        <v>58</v>
      </c>
      <c r="T12" s="215">
        <v>5</v>
      </c>
      <c r="U12" s="94"/>
      <c r="V12" s="71"/>
      <c r="W12" s="71"/>
      <c r="X12" s="152"/>
      <c r="Y12" s="153"/>
      <c r="Z12" s="72"/>
    </row>
    <row r="13" spans="1:36" s="73" customFormat="1" ht="26.25" customHeight="1">
      <c r="A13" s="64"/>
      <c r="B13" s="109"/>
      <c r="C13" s="237" t="s">
        <v>968</v>
      </c>
      <c r="D13" s="854"/>
      <c r="E13" s="855"/>
      <c r="F13" s="856"/>
      <c r="G13" s="77"/>
      <c r="H13" s="78"/>
      <c r="I13" s="79"/>
      <c r="J13" s="226"/>
      <c r="K13" s="81"/>
      <c r="L13" s="82">
        <f>366-0.88</f>
        <v>365.12</v>
      </c>
      <c r="M13" s="83"/>
      <c r="N13" s="105"/>
      <c r="O13" s="84"/>
      <c r="P13" s="82"/>
      <c r="Q13" s="93"/>
      <c r="R13" s="85">
        <f>L13</f>
        <v>365.12</v>
      </c>
      <c r="S13" s="154" t="s">
        <v>58</v>
      </c>
      <c r="T13" s="215">
        <v>8</v>
      </c>
      <c r="U13" s="94"/>
      <c r="V13" s="71"/>
      <c r="W13" s="71"/>
      <c r="X13" s="152"/>
      <c r="Y13" s="153"/>
      <c r="Z13" s="72"/>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DEZ!I569</f>
        <v>366</v>
      </c>
      <c r="K23" s="810"/>
      <c r="L23" s="50" t="str">
        <f>DEZ!D569</f>
        <v>m3</v>
      </c>
      <c r="M23" s="803" t="s">
        <v>12</v>
      </c>
      <c r="N23" s="811"/>
      <c r="O23" s="811"/>
      <c r="P23" s="811"/>
      <c r="Q23" s="805"/>
      <c r="R23" s="61">
        <f>SUM(R12:R22)</f>
        <v>366</v>
      </c>
      <c r="S23" s="51" t="str">
        <f>L23</f>
        <v>m3</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SUM(R12:R13)</f>
        <v>366</v>
      </c>
      <c r="S24" s="52" t="str">
        <f>L23</f>
        <v>m3</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m3</v>
      </c>
      <c r="T25" s="54"/>
      <c r="U25" s="24"/>
    </row>
    <row r="26" spans="1:28" ht="21" customHeight="1">
      <c r="B26" s="218"/>
      <c r="C26" s="217"/>
      <c r="M26" s="803" t="s">
        <v>53</v>
      </c>
      <c r="N26" s="804"/>
      <c r="O26" s="804"/>
      <c r="P26" s="804"/>
      <c r="Q26" s="805"/>
      <c r="R26" s="62">
        <f>DEZ!E569</f>
        <v>9.81</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D13:F13"/>
    <mergeCell ref="M27:Q27"/>
    <mergeCell ref="D24:I25"/>
    <mergeCell ref="J24:K25"/>
    <mergeCell ref="L24:L25"/>
    <mergeCell ref="M24:Q24"/>
    <mergeCell ref="M25:Q25"/>
    <mergeCell ref="M26:Q26"/>
  </mergeCells>
  <conditionalFormatting sqref="J24:K27">
    <cfRule type="cellIs" dxfId="41" priority="1" operator="greaterThanOrEqual">
      <formula>1</formula>
    </cfRule>
    <cfRule type="cellIs" dxfId="4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CBA9F-A27F-41F0-BD92-B91D986FBDC2}">
  <sheetPr codeName="Planilha183">
    <tabColor rgb="FF339933"/>
    <pageSetUpPr fitToPage="1"/>
  </sheetPr>
  <dimension ref="A1:AJ25"/>
  <sheetViews>
    <sheetView view="pageBreakPreview" topLeftCell="L6" zoomScale="60" zoomScaleNormal="55" workbookViewId="0">
      <selection activeCell="R19" sqref="R1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1" width="21.425781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DEZ!A485</f>
        <v>4.4.1.8</v>
      </c>
      <c r="C10" s="845" t="str">
        <f>DEZ!C485</f>
        <v>Cabeço de amarração conforme especificações de projeto - fornecimento e instalação</v>
      </c>
      <c r="D10" s="816" t="s">
        <v>854</v>
      </c>
      <c r="E10" s="816"/>
      <c r="F10" s="816"/>
      <c r="G10" s="816" t="s">
        <v>33</v>
      </c>
      <c r="H10" s="816"/>
      <c r="I10" s="816"/>
      <c r="J10" s="812" t="s">
        <v>853</v>
      </c>
      <c r="K10" s="812" t="s">
        <v>897</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0.25" customHeight="1">
      <c r="A12" s="64"/>
      <c r="B12" s="109"/>
      <c r="C12" s="237" t="s">
        <v>1298</v>
      </c>
      <c r="D12" s="854"/>
      <c r="E12" s="855"/>
      <c r="F12" s="856"/>
      <c r="G12" s="851"/>
      <c r="H12" s="852"/>
      <c r="I12" s="853"/>
      <c r="J12" s="226"/>
      <c r="K12" s="81"/>
      <c r="L12" s="82"/>
      <c r="M12" s="83">
        <v>2</v>
      </c>
      <c r="N12" s="105"/>
      <c r="O12" s="84"/>
      <c r="P12" s="82"/>
      <c r="Q12" s="93"/>
      <c r="R12" s="85">
        <f>M12</f>
        <v>2</v>
      </c>
      <c r="S12" s="154" t="s">
        <v>59</v>
      </c>
      <c r="T12" s="215">
        <v>9</v>
      </c>
      <c r="U12" s="94"/>
      <c r="V12" s="71"/>
      <c r="W12" s="71"/>
      <c r="X12" s="152"/>
      <c r="Y12" s="153"/>
      <c r="Z12" s="72"/>
    </row>
    <row r="13" spans="1:36" s="90" customFormat="1" ht="21" customHeight="1">
      <c r="A13" s="75"/>
      <c r="B13" s="157"/>
      <c r="C13" s="76"/>
      <c r="D13" s="77"/>
      <c r="E13" s="78"/>
      <c r="F13" s="79"/>
      <c r="G13" s="77"/>
      <c r="H13" s="78"/>
      <c r="I13" s="79"/>
      <c r="J13" s="80"/>
      <c r="K13" s="81"/>
      <c r="L13" s="82"/>
      <c r="M13" s="83"/>
      <c r="N13" s="84"/>
      <c r="O13" s="84"/>
      <c r="P13" s="82"/>
      <c r="Q13" s="85"/>
      <c r="R13" s="85"/>
      <c r="S13" s="154"/>
      <c r="T13" s="215"/>
      <c r="U13" s="92"/>
      <c r="V13" s="86"/>
      <c r="W13" s="86"/>
      <c r="X13" s="86"/>
      <c r="Y13" s="151"/>
      <c r="Z13" s="87"/>
      <c r="AA13" s="88"/>
      <c r="AB13" s="89"/>
    </row>
    <row r="14" spans="1:36" s="90" customFormat="1" ht="21" customHeight="1">
      <c r="A14" s="75"/>
      <c r="B14" s="157"/>
      <c r="C14" s="76"/>
      <c r="D14" s="77"/>
      <c r="E14" s="78"/>
      <c r="F14" s="79"/>
      <c r="G14" s="77"/>
      <c r="H14" s="78"/>
      <c r="I14" s="79"/>
      <c r="J14" s="80"/>
      <c r="K14" s="81"/>
      <c r="L14" s="82"/>
      <c r="M14" s="83"/>
      <c r="N14" s="84"/>
      <c r="O14" s="84"/>
      <c r="P14" s="82"/>
      <c r="Q14" s="85"/>
      <c r="R14" s="85"/>
      <c r="S14" s="154"/>
      <c r="T14" s="215"/>
      <c r="U14" s="92"/>
      <c r="V14" s="86"/>
      <c r="W14" s="86"/>
      <c r="X14" s="86"/>
      <c r="Y14" s="151"/>
      <c r="Z14" s="87"/>
      <c r="AA14" s="88"/>
      <c r="AB14" s="89"/>
    </row>
    <row r="15" spans="1:36" s="1" customFormat="1" ht="21" customHeight="1">
      <c r="A15" s="11"/>
      <c r="B15" s="25"/>
      <c r="C15" s="20"/>
      <c r="D15" s="26"/>
      <c r="E15" s="159"/>
      <c r="F15" s="27"/>
      <c r="G15" s="26"/>
      <c r="H15" s="159"/>
      <c r="I15" s="27"/>
      <c r="J15" s="28"/>
      <c r="K15" s="49"/>
      <c r="L15" s="40"/>
      <c r="M15" s="41"/>
      <c r="N15" s="160"/>
      <c r="O15" s="160"/>
      <c r="P15" s="40"/>
      <c r="Q15" s="42"/>
      <c r="R15" s="60"/>
      <c r="S15" s="43"/>
      <c r="T15" s="215"/>
      <c r="U15" s="48"/>
      <c r="V15" s="120"/>
      <c r="W15" s="120"/>
      <c r="X15" s="120"/>
      <c r="Y15" s="142"/>
      <c r="Z15" s="15"/>
      <c r="AA15" s="17"/>
      <c r="AB15" s="44"/>
    </row>
    <row r="16" spans="1:36" ht="21" customHeight="1">
      <c r="B16" s="118"/>
      <c r="C16" s="119"/>
      <c r="D16" s="26"/>
      <c r="E16" s="159"/>
      <c r="F16" s="27"/>
      <c r="G16" s="26"/>
      <c r="H16" s="159"/>
      <c r="I16" s="27"/>
      <c r="J16" s="28"/>
      <c r="K16" s="49"/>
      <c r="L16" s="40"/>
      <c r="M16" s="41"/>
      <c r="N16" s="160"/>
      <c r="O16" s="160"/>
      <c r="P16" s="40"/>
      <c r="Q16" s="42"/>
      <c r="R16" s="60"/>
      <c r="S16" s="43"/>
      <c r="T16" s="216"/>
      <c r="U16" s="117"/>
    </row>
    <row r="17" spans="1:21" ht="39.6" customHeight="1">
      <c r="B17" s="161"/>
      <c r="C17" s="162"/>
      <c r="D17" s="806" t="s">
        <v>11</v>
      </c>
      <c r="E17" s="807"/>
      <c r="F17" s="807"/>
      <c r="G17" s="807"/>
      <c r="H17" s="807"/>
      <c r="I17" s="808"/>
      <c r="J17" s="809">
        <f>DEZ!F485</f>
        <v>2</v>
      </c>
      <c r="K17" s="810"/>
      <c r="L17" s="50" t="s">
        <v>1368</v>
      </c>
      <c r="M17" s="803" t="s">
        <v>12</v>
      </c>
      <c r="N17" s="811"/>
      <c r="O17" s="811"/>
      <c r="P17" s="811"/>
      <c r="Q17" s="805"/>
      <c r="R17" s="61">
        <f>SUM(R12:R16)</f>
        <v>2</v>
      </c>
      <c r="S17" s="51" t="str">
        <f>L17</f>
        <v>um</v>
      </c>
      <c r="T17" s="22"/>
      <c r="U17" s="23"/>
    </row>
    <row r="18" spans="1:21" ht="21" customHeight="1">
      <c r="B18" s="163"/>
      <c r="C18" s="19"/>
      <c r="D18" s="817" t="s">
        <v>13</v>
      </c>
      <c r="E18" s="818"/>
      <c r="F18" s="818"/>
      <c r="G18" s="818"/>
      <c r="H18" s="818"/>
      <c r="I18" s="819"/>
      <c r="J18" s="823">
        <f>R17/J17</f>
        <v>1</v>
      </c>
      <c r="K18" s="824"/>
      <c r="L18" s="827"/>
      <c r="M18" s="803" t="s">
        <v>34</v>
      </c>
      <c r="N18" s="804"/>
      <c r="O18" s="804"/>
      <c r="P18" s="804"/>
      <c r="Q18" s="805"/>
      <c r="R18" s="61">
        <f>R12</f>
        <v>2</v>
      </c>
      <c r="S18" s="52" t="str">
        <f>L17</f>
        <v>um</v>
      </c>
      <c r="T18" s="22"/>
      <c r="U18" s="23"/>
    </row>
    <row r="19" spans="1:21" ht="21" customHeight="1">
      <c r="A19" s="10" t="s">
        <v>469</v>
      </c>
      <c r="B19" s="165"/>
      <c r="C19" s="164"/>
      <c r="D19" s="820"/>
      <c r="E19" s="821"/>
      <c r="F19" s="821"/>
      <c r="G19" s="821"/>
      <c r="H19" s="821"/>
      <c r="I19" s="822"/>
      <c r="J19" s="825"/>
      <c r="K19" s="826"/>
      <c r="L19" s="828"/>
      <c r="M19" s="803" t="s">
        <v>14</v>
      </c>
      <c r="N19" s="804"/>
      <c r="O19" s="804"/>
      <c r="P19" s="804"/>
      <c r="Q19" s="805"/>
      <c r="R19" s="62">
        <f>R17-R18</f>
        <v>0</v>
      </c>
      <c r="S19" s="53" t="str">
        <f>L17</f>
        <v>um</v>
      </c>
      <c r="T19" s="54"/>
      <c r="U19" s="24"/>
    </row>
    <row r="20" spans="1:21" ht="21" customHeight="1">
      <c r="B20" s="218"/>
      <c r="C20" s="217"/>
      <c r="M20" s="803" t="s">
        <v>53</v>
      </c>
      <c r="N20" s="804"/>
      <c r="O20" s="804"/>
      <c r="P20" s="804"/>
      <c r="Q20" s="805"/>
      <c r="R20" s="62">
        <f>DEZ!E485</f>
        <v>5478.19</v>
      </c>
      <c r="S20" s="53"/>
      <c r="T20" s="54"/>
      <c r="U20" s="24"/>
    </row>
    <row r="21" spans="1:21" ht="21" customHeight="1">
      <c r="B21" s="163"/>
      <c r="C21" s="219"/>
      <c r="M21" s="803" t="s">
        <v>54</v>
      </c>
      <c r="N21" s="804"/>
      <c r="O21" s="804"/>
      <c r="P21" s="804"/>
      <c r="Q21" s="805"/>
      <c r="R21" s="62">
        <f>TRUNC(R20*R19,2)</f>
        <v>0</v>
      </c>
      <c r="S21" s="53" t="s">
        <v>55</v>
      </c>
      <c r="T21" s="54"/>
      <c r="U21" s="24"/>
    </row>
    <row r="24" spans="1:21">
      <c r="C24" s="2">
        <f>18*5</f>
        <v>90</v>
      </c>
    </row>
    <row r="25" spans="1:21">
      <c r="C25" s="2">
        <f>C24*0.09</f>
        <v>8.1</v>
      </c>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Q10:Q11"/>
    <mergeCell ref="R10:R11"/>
    <mergeCell ref="S10:S11"/>
    <mergeCell ref="D12:F12"/>
    <mergeCell ref="G12:I12"/>
    <mergeCell ref="N10:N11"/>
    <mergeCell ref="O10:O11"/>
    <mergeCell ref="P10:P11"/>
    <mergeCell ref="M20:Q20"/>
    <mergeCell ref="M21:Q21"/>
    <mergeCell ref="D17:I17"/>
    <mergeCell ref="J17:K17"/>
    <mergeCell ref="M17:Q17"/>
    <mergeCell ref="D18:I19"/>
    <mergeCell ref="J18:K19"/>
    <mergeCell ref="L18:L19"/>
    <mergeCell ref="M18:Q18"/>
    <mergeCell ref="M19:Q19"/>
  </mergeCells>
  <conditionalFormatting sqref="J18:K21">
    <cfRule type="cellIs" dxfId="39" priority="1" operator="greaterThanOrEqual">
      <formula>1</formula>
    </cfRule>
    <cfRule type="cellIs" dxfId="38" priority="2" operator="greaterThan">
      <formula>100%</formula>
    </cfRule>
  </conditionalFormatting>
  <pageMargins left="0.51181102362204722" right="0.51181102362204722" top="0.78740157480314965" bottom="0.78740157480314965" header="0.31496062992125984" footer="0.31496062992125984"/>
  <pageSetup paperSize="9" scale="42" fitToHeight="0" orientation="landscape" r:id="rId1"/>
  <headerFooter>
    <oddFooter>Página &amp;P de &amp;N</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5B755-D686-4327-B0E7-FA1E4CDCB221}">
  <sheetPr codeName="Planilha184">
    <tabColor rgb="FF339933"/>
    <pageSetUpPr fitToPage="1"/>
  </sheetPr>
  <dimension ref="A1:AJ25"/>
  <sheetViews>
    <sheetView view="pageBreakPreview" topLeftCell="A3" zoomScale="60" zoomScaleNormal="55" workbookViewId="0">
      <selection activeCell="R12" sqref="R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1" width="21.425781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DEZ!A489</f>
        <v>4.4.1.12</v>
      </c>
      <c r="C10" s="845" t="str">
        <f>DEZ!C489</f>
        <v>Chapa dobrada #8 400x700 mm, incl. chumbadores e solda.</v>
      </c>
      <c r="D10" s="816" t="s">
        <v>854</v>
      </c>
      <c r="E10" s="816"/>
      <c r="F10" s="816"/>
      <c r="G10" s="816" t="s">
        <v>33</v>
      </c>
      <c r="H10" s="816"/>
      <c r="I10" s="816"/>
      <c r="J10" s="812" t="s">
        <v>853</v>
      </c>
      <c r="K10" s="812" t="s">
        <v>897</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0.25" customHeight="1">
      <c r="A12" s="64"/>
      <c r="B12" s="109"/>
      <c r="C12" s="237" t="s">
        <v>1298</v>
      </c>
      <c r="D12" s="854"/>
      <c r="E12" s="855"/>
      <c r="F12" s="856"/>
      <c r="G12" s="851"/>
      <c r="H12" s="852"/>
      <c r="I12" s="853"/>
      <c r="J12" s="226"/>
      <c r="K12" s="81"/>
      <c r="L12" s="82"/>
      <c r="M12" s="83">
        <v>2</v>
      </c>
      <c r="N12" s="105"/>
      <c r="O12" s="84"/>
      <c r="P12" s="82"/>
      <c r="Q12" s="93"/>
      <c r="R12" s="85"/>
      <c r="S12" s="154" t="s">
        <v>59</v>
      </c>
      <c r="T12" s="215"/>
      <c r="U12" s="94"/>
      <c r="V12" s="71"/>
      <c r="W12" s="71"/>
      <c r="X12" s="152"/>
      <c r="Y12" s="153"/>
      <c r="Z12" s="72"/>
    </row>
    <row r="13" spans="1:36" s="90" customFormat="1" ht="21" customHeight="1">
      <c r="A13" s="75"/>
      <c r="B13" s="157"/>
      <c r="C13" s="76"/>
      <c r="D13" s="77"/>
      <c r="E13" s="78"/>
      <c r="F13" s="79"/>
      <c r="G13" s="77"/>
      <c r="H13" s="78"/>
      <c r="I13" s="79"/>
      <c r="J13" s="80"/>
      <c r="K13" s="81"/>
      <c r="L13" s="82"/>
      <c r="M13" s="83"/>
      <c r="N13" s="84"/>
      <c r="O13" s="84"/>
      <c r="P13" s="82"/>
      <c r="Q13" s="85"/>
      <c r="R13" s="85"/>
      <c r="S13" s="154"/>
      <c r="T13" s="215"/>
      <c r="U13" s="92"/>
      <c r="V13" s="86"/>
      <c r="W13" s="86"/>
      <c r="X13" s="86"/>
      <c r="Y13" s="151"/>
      <c r="Z13" s="87"/>
      <c r="AA13" s="88"/>
      <c r="AB13" s="89"/>
    </row>
    <row r="14" spans="1:36" s="90" customFormat="1" ht="21" customHeight="1">
      <c r="A14" s="75"/>
      <c r="B14" s="157"/>
      <c r="C14" s="76"/>
      <c r="D14" s="77"/>
      <c r="E14" s="78"/>
      <c r="F14" s="79"/>
      <c r="G14" s="77"/>
      <c r="H14" s="78"/>
      <c r="I14" s="79"/>
      <c r="J14" s="80"/>
      <c r="K14" s="81"/>
      <c r="L14" s="82"/>
      <c r="M14" s="83"/>
      <c r="N14" s="84"/>
      <c r="O14" s="84"/>
      <c r="P14" s="82"/>
      <c r="Q14" s="85"/>
      <c r="R14" s="85"/>
      <c r="S14" s="154"/>
      <c r="T14" s="215"/>
      <c r="U14" s="92"/>
      <c r="V14" s="86"/>
      <c r="W14" s="86"/>
      <c r="X14" s="86"/>
      <c r="Y14" s="151"/>
      <c r="Z14" s="87"/>
      <c r="AA14" s="88"/>
      <c r="AB14" s="89"/>
    </row>
    <row r="15" spans="1:36" s="1" customFormat="1" ht="21" customHeight="1">
      <c r="A15" s="11"/>
      <c r="B15" s="25"/>
      <c r="C15" s="20"/>
      <c r="D15" s="26"/>
      <c r="E15" s="159"/>
      <c r="F15" s="27"/>
      <c r="G15" s="26"/>
      <c r="H15" s="159"/>
      <c r="I15" s="27"/>
      <c r="J15" s="28"/>
      <c r="K15" s="49"/>
      <c r="L15" s="40"/>
      <c r="M15" s="41"/>
      <c r="N15" s="160"/>
      <c r="O15" s="160"/>
      <c r="P15" s="40"/>
      <c r="Q15" s="42"/>
      <c r="R15" s="60"/>
      <c r="S15" s="43"/>
      <c r="T15" s="215"/>
      <c r="U15" s="48"/>
      <c r="V15" s="120"/>
      <c r="W15" s="120"/>
      <c r="X15" s="120"/>
      <c r="Y15" s="142"/>
      <c r="Z15" s="15"/>
      <c r="AA15" s="17"/>
      <c r="AB15" s="44"/>
    </row>
    <row r="16" spans="1:36" ht="21" customHeight="1">
      <c r="B16" s="118"/>
      <c r="C16" s="119"/>
      <c r="D16" s="26"/>
      <c r="E16" s="159"/>
      <c r="F16" s="27"/>
      <c r="G16" s="26"/>
      <c r="H16" s="159"/>
      <c r="I16" s="27"/>
      <c r="J16" s="28"/>
      <c r="K16" s="49"/>
      <c r="L16" s="40"/>
      <c r="M16" s="41"/>
      <c r="N16" s="160"/>
      <c r="O16" s="160"/>
      <c r="P16" s="40"/>
      <c r="Q16" s="42"/>
      <c r="R16" s="60"/>
      <c r="S16" s="43"/>
      <c r="T16" s="216"/>
      <c r="U16" s="117"/>
    </row>
    <row r="17" spans="1:21" ht="39.6" customHeight="1">
      <c r="B17" s="161"/>
      <c r="C17" s="162"/>
      <c r="D17" s="806" t="s">
        <v>11</v>
      </c>
      <c r="E17" s="807"/>
      <c r="F17" s="807"/>
      <c r="G17" s="807"/>
      <c r="H17" s="807"/>
      <c r="I17" s="808"/>
      <c r="J17" s="809">
        <f>DEZ!F489</f>
        <v>2</v>
      </c>
      <c r="K17" s="810"/>
      <c r="L17" s="50" t="str">
        <f>DEZ!D489</f>
        <v>un</v>
      </c>
      <c r="M17" s="803" t="s">
        <v>12</v>
      </c>
      <c r="N17" s="811"/>
      <c r="O17" s="811"/>
      <c r="P17" s="811"/>
      <c r="Q17" s="805"/>
      <c r="R17" s="61">
        <f>SUM(R12:R16)</f>
        <v>0</v>
      </c>
      <c r="S17" s="51" t="str">
        <f>L17</f>
        <v>un</v>
      </c>
      <c r="T17" s="22"/>
      <c r="U17" s="23"/>
    </row>
    <row r="18" spans="1:21" ht="21" customHeight="1">
      <c r="B18" s="163"/>
      <c r="C18" s="19"/>
      <c r="D18" s="817" t="s">
        <v>13</v>
      </c>
      <c r="E18" s="818"/>
      <c r="F18" s="818"/>
      <c r="G18" s="818"/>
      <c r="H18" s="818"/>
      <c r="I18" s="819"/>
      <c r="J18" s="823">
        <f>R17/J17</f>
        <v>0</v>
      </c>
      <c r="K18" s="824"/>
      <c r="L18" s="827"/>
      <c r="M18" s="803" t="s">
        <v>34</v>
      </c>
      <c r="N18" s="804"/>
      <c r="O18" s="804"/>
      <c r="P18" s="804"/>
      <c r="Q18" s="805"/>
      <c r="R18" s="61">
        <v>0</v>
      </c>
      <c r="S18" s="52" t="str">
        <f>L17</f>
        <v>un</v>
      </c>
      <c r="T18" s="22"/>
      <c r="U18" s="23"/>
    </row>
    <row r="19" spans="1:21" ht="21" customHeight="1">
      <c r="A19" s="10" t="s">
        <v>469</v>
      </c>
      <c r="B19" s="165"/>
      <c r="C19" s="164"/>
      <c r="D19" s="820"/>
      <c r="E19" s="821"/>
      <c r="F19" s="821"/>
      <c r="G19" s="821"/>
      <c r="H19" s="821"/>
      <c r="I19" s="822"/>
      <c r="J19" s="825"/>
      <c r="K19" s="826"/>
      <c r="L19" s="828"/>
      <c r="M19" s="803" t="s">
        <v>14</v>
      </c>
      <c r="N19" s="804"/>
      <c r="O19" s="804"/>
      <c r="P19" s="804"/>
      <c r="Q19" s="805"/>
      <c r="R19" s="62">
        <f>R17-R18</f>
        <v>0</v>
      </c>
      <c r="S19" s="53" t="str">
        <f>L17</f>
        <v>un</v>
      </c>
      <c r="T19" s="54"/>
      <c r="U19" s="24"/>
    </row>
    <row r="20" spans="1:21" ht="21" customHeight="1">
      <c r="B20" s="218"/>
      <c r="C20" s="217"/>
      <c r="M20" s="803" t="s">
        <v>53</v>
      </c>
      <c r="N20" s="804"/>
      <c r="O20" s="804"/>
      <c r="P20" s="804"/>
      <c r="Q20" s="805"/>
      <c r="R20" s="62">
        <f>DEZ!E489</f>
        <v>340.73</v>
      </c>
      <c r="S20" s="53"/>
      <c r="T20" s="54"/>
      <c r="U20" s="24"/>
    </row>
    <row r="21" spans="1:21" ht="21" customHeight="1">
      <c r="B21" s="163"/>
      <c r="C21" s="219"/>
      <c r="M21" s="803" t="s">
        <v>54</v>
      </c>
      <c r="N21" s="804"/>
      <c r="O21" s="804"/>
      <c r="P21" s="804"/>
      <c r="Q21" s="805"/>
      <c r="R21" s="62">
        <f>TRUNC(R20*R19,2)</f>
        <v>0</v>
      </c>
      <c r="S21" s="53" t="s">
        <v>55</v>
      </c>
      <c r="T21" s="54"/>
      <c r="U21" s="24"/>
    </row>
    <row r="24" spans="1:21">
      <c r="C24" s="2">
        <f>18*5</f>
        <v>90</v>
      </c>
    </row>
    <row r="25" spans="1:21">
      <c r="C25" s="2">
        <f>C24*0.09</f>
        <v>8.1</v>
      </c>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1:Q21"/>
    <mergeCell ref="D18:I19"/>
    <mergeCell ref="J18:K19"/>
    <mergeCell ref="L18:L19"/>
    <mergeCell ref="M18:Q18"/>
    <mergeCell ref="M19:Q19"/>
    <mergeCell ref="M20:Q20"/>
    <mergeCell ref="D12:F12"/>
    <mergeCell ref="G12:I12"/>
    <mergeCell ref="D17:I17"/>
    <mergeCell ref="J17:K17"/>
    <mergeCell ref="M17:Q17"/>
  </mergeCells>
  <conditionalFormatting sqref="J18:K21">
    <cfRule type="cellIs" dxfId="37" priority="1" operator="greaterThanOrEqual">
      <formula>1</formula>
    </cfRule>
    <cfRule type="cellIs" dxfId="36" priority="2" operator="greaterThan">
      <formula>100%</formula>
    </cfRule>
  </conditionalFormatting>
  <pageMargins left="0.51181102362204722" right="0.51181102362204722" top="0.78740157480314965" bottom="0.78740157480314965" header="0.31496062992125984" footer="0.31496062992125984"/>
  <pageSetup paperSize="9" scale="42" fitToHeight="0" orientation="landscape" r:id="rId1"/>
  <headerFooter>
    <oddFooter>Página &amp;P de &amp;N</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ilha85">
    <tabColor rgb="FF339933"/>
    <pageSetUpPr fitToPage="1"/>
  </sheetPr>
  <dimension ref="A1:AJ31"/>
  <sheetViews>
    <sheetView view="pageBreakPreview" topLeftCell="G6"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DEZ!A583</f>
        <v>5.3.2.6</v>
      </c>
      <c r="C10" s="845" t="str">
        <f>DEZ!C583</f>
        <v>Forma de chapas madeira compensada resinada, esp. 12mm, levando-se em conta a utilização 3 vezes, reforçadas com sarrafos de madeira de 2.5 x 10.0cm (incl material, corte, montagem,
escoras em eucalipto e desforma)</v>
      </c>
      <c r="D10" s="816" t="s">
        <v>854</v>
      </c>
      <c r="E10" s="816"/>
      <c r="F10" s="816"/>
      <c r="G10" s="816" t="s">
        <v>33</v>
      </c>
      <c r="H10" s="816"/>
      <c r="I10" s="816"/>
      <c r="J10" s="812" t="s">
        <v>62</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90" customFormat="1" ht="21" customHeight="1">
      <c r="A12" s="75"/>
      <c r="B12" s="107"/>
      <c r="C12" s="104" t="s">
        <v>1005</v>
      </c>
      <c r="D12" s="854">
        <v>21.2</v>
      </c>
      <c r="E12" s="855"/>
      <c r="F12" s="856"/>
      <c r="G12" s="851">
        <v>10.35</v>
      </c>
      <c r="H12" s="852"/>
      <c r="I12" s="853"/>
      <c r="J12" s="226"/>
      <c r="K12" s="81">
        <v>122.6</v>
      </c>
      <c r="L12" s="82"/>
      <c r="M12" s="83"/>
      <c r="N12" s="84"/>
      <c r="O12" s="155"/>
      <c r="P12" s="156"/>
      <c r="Q12" s="85"/>
      <c r="R12" s="85">
        <f>K12</f>
        <v>122.6</v>
      </c>
      <c r="S12" s="154" t="s">
        <v>57</v>
      </c>
      <c r="T12" s="215">
        <v>7</v>
      </c>
      <c r="U12" s="92"/>
      <c r="V12" s="86"/>
      <c r="W12" s="86"/>
      <c r="X12" s="86"/>
      <c r="Y12" s="151"/>
      <c r="Z12" s="87"/>
      <c r="AA12" s="88"/>
      <c r="AB12" s="89"/>
    </row>
    <row r="13" spans="1:36" s="90" customFormat="1" ht="21" customHeight="1">
      <c r="A13" s="75"/>
      <c r="B13" s="107"/>
      <c r="C13" s="104" t="s">
        <v>1356</v>
      </c>
      <c r="D13" s="854">
        <v>21.2</v>
      </c>
      <c r="E13" s="855"/>
      <c r="F13" s="856"/>
      <c r="G13" s="851">
        <v>1.5</v>
      </c>
      <c r="H13" s="852"/>
      <c r="I13" s="853"/>
      <c r="J13" s="226">
        <f>5</f>
        <v>5</v>
      </c>
      <c r="K13" s="81">
        <f>D13*G13*J13*2</f>
        <v>318</v>
      </c>
      <c r="L13" s="82"/>
      <c r="M13" s="83"/>
      <c r="N13" s="84"/>
      <c r="O13" s="155"/>
      <c r="P13" s="156"/>
      <c r="Q13" s="85"/>
      <c r="R13" s="85">
        <f>K13</f>
        <v>318</v>
      </c>
      <c r="S13" s="154" t="s">
        <v>57</v>
      </c>
      <c r="T13" s="215">
        <v>8</v>
      </c>
      <c r="U13" s="92"/>
      <c r="V13" s="86"/>
      <c r="W13" s="86"/>
      <c r="X13" s="86"/>
      <c r="Y13" s="151"/>
      <c r="Z13" s="87"/>
      <c r="AA13" s="88"/>
      <c r="AB13" s="89"/>
    </row>
    <row r="14" spans="1:36" s="90" customFormat="1" ht="21" customHeight="1">
      <c r="A14" s="75"/>
      <c r="B14" s="107"/>
      <c r="C14" s="104" t="s">
        <v>1357</v>
      </c>
      <c r="D14" s="854">
        <v>10.35</v>
      </c>
      <c r="E14" s="855"/>
      <c r="F14" s="856"/>
      <c r="G14" s="851">
        <v>1.5</v>
      </c>
      <c r="H14" s="852"/>
      <c r="I14" s="853"/>
      <c r="J14" s="226">
        <f>11</f>
        <v>11</v>
      </c>
      <c r="K14" s="81">
        <f>D14*G14*J14*2</f>
        <v>341.54999999999995</v>
      </c>
      <c r="L14" s="82"/>
      <c r="M14" s="83"/>
      <c r="N14" s="84"/>
      <c r="O14" s="155"/>
      <c r="P14" s="156"/>
      <c r="Q14" s="85"/>
      <c r="R14" s="85">
        <f>K14</f>
        <v>341.54999999999995</v>
      </c>
      <c r="S14" s="154" t="s">
        <v>57</v>
      </c>
      <c r="T14" s="215">
        <v>9</v>
      </c>
      <c r="U14" s="92"/>
      <c r="V14" s="86"/>
      <c r="W14" s="86"/>
      <c r="X14" s="86"/>
      <c r="Y14" s="151"/>
      <c r="Z14" s="87"/>
      <c r="AA14" s="88"/>
      <c r="AB14" s="89"/>
    </row>
    <row r="15" spans="1:36" s="90" customFormat="1" ht="21" customHeight="1">
      <c r="A15" s="75"/>
      <c r="B15" s="107"/>
      <c r="C15" s="104" t="s">
        <v>1358</v>
      </c>
      <c r="D15" s="854"/>
      <c r="E15" s="855"/>
      <c r="F15" s="856"/>
      <c r="G15" s="851"/>
      <c r="H15" s="852"/>
      <c r="I15" s="853"/>
      <c r="J15" s="226"/>
      <c r="K15" s="81">
        <v>96.82000000000005</v>
      </c>
      <c r="L15" s="82"/>
      <c r="M15" s="83"/>
      <c r="N15" s="84"/>
      <c r="O15" s="155"/>
      <c r="P15" s="156"/>
      <c r="Q15" s="85"/>
      <c r="R15" s="85">
        <f>K15</f>
        <v>96.82000000000005</v>
      </c>
      <c r="S15" s="154" t="s">
        <v>57</v>
      </c>
      <c r="T15" s="215">
        <v>9</v>
      </c>
      <c r="U15" s="92"/>
      <c r="V15" s="86"/>
      <c r="W15" s="86"/>
      <c r="X15" s="86"/>
      <c r="Y15" s="151"/>
      <c r="Z15" s="87"/>
      <c r="AA15" s="88"/>
      <c r="AB15" s="89"/>
    </row>
    <row r="16" spans="1:36" s="90" customFormat="1" ht="21" customHeight="1">
      <c r="A16" s="75"/>
      <c r="B16" s="107"/>
      <c r="C16" s="104"/>
      <c r="D16" s="854"/>
      <c r="E16" s="855"/>
      <c r="F16" s="856"/>
      <c r="G16" s="851"/>
      <c r="H16" s="852"/>
      <c r="I16" s="853"/>
      <c r="J16" s="226"/>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854"/>
      <c r="E17" s="855"/>
      <c r="F17" s="856"/>
      <c r="G17" s="851"/>
      <c r="H17" s="852"/>
      <c r="I17" s="853"/>
      <c r="J17" s="226"/>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854"/>
      <c r="E18" s="855"/>
      <c r="F18" s="856"/>
      <c r="G18" s="851"/>
      <c r="H18" s="852"/>
      <c r="I18" s="853"/>
      <c r="J18" s="226"/>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07"/>
      <c r="C19" s="104"/>
      <c r="D19" s="854"/>
      <c r="E19" s="855"/>
      <c r="F19" s="856"/>
      <c r="G19" s="851"/>
      <c r="H19" s="852"/>
      <c r="I19" s="853"/>
      <c r="J19" s="226"/>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DEZ!I583</f>
        <v>878.97</v>
      </c>
      <c r="K23" s="810"/>
      <c r="L23" s="50" t="str">
        <f>DEZ!D583</f>
        <v>m2</v>
      </c>
      <c r="M23" s="803" t="s">
        <v>12</v>
      </c>
      <c r="N23" s="811"/>
      <c r="O23" s="811"/>
      <c r="P23" s="811"/>
      <c r="Q23" s="805"/>
      <c r="R23" s="61">
        <f>SUM(R12:R22)</f>
        <v>878.97</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SUM(R12:R15)</f>
        <v>878.97</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DEZ!E583</f>
        <v>91.04</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50">
    <mergeCell ref="D19:F19"/>
    <mergeCell ref="G19:I19"/>
    <mergeCell ref="G16:I16"/>
    <mergeCell ref="D17:F17"/>
    <mergeCell ref="G17:I17"/>
    <mergeCell ref="D18:F18"/>
    <mergeCell ref="G18:I18"/>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G12:I12"/>
    <mergeCell ref="D13:F13"/>
    <mergeCell ref="G13:I13"/>
    <mergeCell ref="D14:F14"/>
    <mergeCell ref="G14:I14"/>
    <mergeCell ref="D15:F15"/>
    <mergeCell ref="G15:I15"/>
    <mergeCell ref="D16:F16"/>
    <mergeCell ref="M27:Q27"/>
    <mergeCell ref="D24:I25"/>
    <mergeCell ref="J24:K25"/>
    <mergeCell ref="L24:L25"/>
    <mergeCell ref="M24:Q24"/>
    <mergeCell ref="M25:Q25"/>
    <mergeCell ref="M26:Q26"/>
  </mergeCells>
  <conditionalFormatting sqref="J24:K27">
    <cfRule type="cellIs" dxfId="35" priority="1" operator="greaterThanOrEqual">
      <formula>1</formula>
    </cfRule>
    <cfRule type="cellIs" dxfId="3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Planilha99">
    <tabColor rgb="FF339933"/>
    <pageSetUpPr fitToPage="1"/>
  </sheetPr>
  <dimension ref="A1:AJ26"/>
  <sheetViews>
    <sheetView view="pageBreakPreview" topLeftCell="I5" zoomScale="60" zoomScaleNormal="55" workbookViewId="0">
      <selection activeCell="R24" sqref="R24"/>
    </sheetView>
  </sheetViews>
  <sheetFormatPr defaultColWidth="9.140625" defaultRowHeight="12.75"/>
  <cols>
    <col min="1" max="1" width="9.140625" style="10"/>
    <col min="2" max="2" width="12.28515625" style="18" customWidth="1"/>
    <col min="3" max="3" width="75.7109375" style="2" customWidth="1"/>
    <col min="4" max="4" width="12.14062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DEZ!A584</f>
        <v>5.3.2.7</v>
      </c>
      <c r="C10" s="845" t="str">
        <f>DEZ!C584</f>
        <v>Fornecimento, dobragem e colocação em fôrma, de armadura CA-50 A média, diâmetro de 6.3 a 10.0 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990</v>
      </c>
      <c r="D12" s="854"/>
      <c r="E12" s="855"/>
      <c r="F12" s="856"/>
      <c r="G12" s="77"/>
      <c r="H12" s="78"/>
      <c r="I12" s="79"/>
      <c r="J12" s="226"/>
      <c r="K12" s="81"/>
      <c r="L12" s="82"/>
      <c r="M12" s="83">
        <v>233.60000000000002</v>
      </c>
      <c r="N12" s="105"/>
      <c r="O12" s="84"/>
      <c r="P12" s="82"/>
      <c r="Q12" s="93"/>
      <c r="R12" s="85">
        <f t="shared" ref="R12:R17" si="0">M12</f>
        <v>233.60000000000002</v>
      </c>
      <c r="S12" s="154" t="s">
        <v>29</v>
      </c>
      <c r="T12" s="215">
        <v>5</v>
      </c>
      <c r="U12" s="94"/>
      <c r="V12" s="71"/>
      <c r="W12" s="71"/>
      <c r="X12" s="152"/>
      <c r="Y12" s="153"/>
      <c r="Z12" s="72"/>
    </row>
    <row r="13" spans="1:36" s="73" customFormat="1" ht="21" customHeight="1">
      <c r="A13" s="64"/>
      <c r="B13" s="109"/>
      <c r="C13" s="237" t="s">
        <v>991</v>
      </c>
      <c r="D13" s="77"/>
      <c r="E13" s="78"/>
      <c r="F13" s="79"/>
      <c r="G13" s="77"/>
      <c r="H13" s="78"/>
      <c r="I13" s="79"/>
      <c r="J13" s="66"/>
      <c r="K13" s="108"/>
      <c r="L13" s="67"/>
      <c r="M13" s="68">
        <v>350.4</v>
      </c>
      <c r="N13" s="110"/>
      <c r="O13" s="69"/>
      <c r="P13" s="67"/>
      <c r="Q13" s="106"/>
      <c r="R13" s="85">
        <f t="shared" si="0"/>
        <v>350.4</v>
      </c>
      <c r="S13" s="111" t="s">
        <v>29</v>
      </c>
      <c r="T13" s="215">
        <v>6</v>
      </c>
      <c r="U13" s="94"/>
      <c r="V13" s="71"/>
      <c r="W13" s="71"/>
      <c r="X13" s="152"/>
      <c r="Y13" s="153"/>
      <c r="Z13" s="72"/>
      <c r="AA13" s="71"/>
      <c r="AB13" s="74"/>
    </row>
    <row r="14" spans="1:36" s="90" customFormat="1" ht="21" customHeight="1">
      <c r="A14" s="75"/>
      <c r="B14" s="107"/>
      <c r="C14" s="104" t="s">
        <v>1285</v>
      </c>
      <c r="D14" s="612">
        <v>4526.5</v>
      </c>
      <c r="E14" s="78"/>
      <c r="F14" s="79"/>
      <c r="G14" s="77"/>
      <c r="H14" s="78"/>
      <c r="I14" s="79"/>
      <c r="J14" s="80"/>
      <c r="K14" s="81"/>
      <c r="L14" s="82"/>
      <c r="M14" s="83">
        <v>1109</v>
      </c>
      <c r="N14" s="84"/>
      <c r="O14" s="155"/>
      <c r="P14" s="156"/>
      <c r="Q14" s="85"/>
      <c r="R14" s="85">
        <f t="shared" si="0"/>
        <v>1109</v>
      </c>
      <c r="S14" s="111" t="s">
        <v>29</v>
      </c>
      <c r="T14" s="215">
        <v>8</v>
      </c>
      <c r="U14" s="92"/>
      <c r="V14" s="86"/>
      <c r="W14" s="86"/>
      <c r="X14" s="86"/>
      <c r="Y14" s="151"/>
      <c r="Z14" s="87"/>
      <c r="AA14" s="88"/>
      <c r="AB14" s="89"/>
    </row>
    <row r="15" spans="1:36" s="90" customFormat="1" ht="21" customHeight="1">
      <c r="A15" s="75"/>
      <c r="B15" s="107"/>
      <c r="C15" s="104" t="s">
        <v>1286</v>
      </c>
      <c r="D15" s="612">
        <v>6562.27</v>
      </c>
      <c r="E15" s="78"/>
      <c r="F15" s="79"/>
      <c r="G15" s="77"/>
      <c r="H15" s="78"/>
      <c r="I15" s="79"/>
      <c r="J15" s="80"/>
      <c r="K15" s="81"/>
      <c r="L15" s="82"/>
      <c r="M15" s="83">
        <v>2592</v>
      </c>
      <c r="N15" s="84"/>
      <c r="O15" s="155"/>
      <c r="P15" s="156"/>
      <c r="Q15" s="85"/>
      <c r="R15" s="85">
        <f t="shared" si="0"/>
        <v>2592</v>
      </c>
      <c r="S15" s="111" t="s">
        <v>29</v>
      </c>
      <c r="T15" s="215">
        <v>8</v>
      </c>
      <c r="U15" s="92"/>
      <c r="V15" s="86"/>
      <c r="W15" s="86"/>
      <c r="X15" s="86"/>
      <c r="Y15" s="151"/>
      <c r="Z15" s="87"/>
      <c r="AA15" s="88"/>
      <c r="AB15" s="89"/>
    </row>
    <row r="16" spans="1:36" s="90" customFormat="1" ht="21" customHeight="1">
      <c r="A16" s="75"/>
      <c r="B16" s="107"/>
      <c r="C16" s="104" t="s">
        <v>1287</v>
      </c>
      <c r="D16" s="612">
        <v>5209.3100000000004</v>
      </c>
      <c r="E16" s="78"/>
      <c r="F16" s="79"/>
      <c r="G16" s="77"/>
      <c r="H16" s="78"/>
      <c r="I16" s="79"/>
      <c r="J16" s="80"/>
      <c r="K16" s="81"/>
      <c r="L16" s="82"/>
      <c r="M16" s="83">
        <v>3214</v>
      </c>
      <c r="N16" s="84"/>
      <c r="O16" s="155"/>
      <c r="P16" s="156"/>
      <c r="Q16" s="85"/>
      <c r="R16" s="85">
        <f t="shared" si="0"/>
        <v>3214</v>
      </c>
      <c r="S16" s="111" t="s">
        <v>29</v>
      </c>
      <c r="T16" s="215">
        <v>8</v>
      </c>
      <c r="U16" s="92"/>
      <c r="V16" s="86"/>
      <c r="W16" s="86"/>
      <c r="X16" s="86"/>
      <c r="Y16" s="151"/>
      <c r="Z16" s="87"/>
      <c r="AA16" s="88"/>
      <c r="AB16" s="89"/>
    </row>
    <row r="17" spans="1:28" s="90" customFormat="1" ht="21" customHeight="1">
      <c r="A17" s="75"/>
      <c r="B17" s="157"/>
      <c r="C17" s="104" t="s">
        <v>1355</v>
      </c>
      <c r="D17" s="612">
        <v>3856.81</v>
      </c>
      <c r="E17" s="78"/>
      <c r="F17" s="79"/>
      <c r="G17" s="77"/>
      <c r="H17" s="78"/>
      <c r="I17" s="79"/>
      <c r="J17" s="80"/>
      <c r="K17" s="81"/>
      <c r="L17" s="82"/>
      <c r="M17" s="83">
        <v>4964</v>
      </c>
      <c r="N17" s="84"/>
      <c r="O17" s="84"/>
      <c r="P17" s="82"/>
      <c r="Q17" s="85"/>
      <c r="R17" s="85">
        <f t="shared" si="0"/>
        <v>4964</v>
      </c>
      <c r="S17" s="111" t="s">
        <v>29</v>
      </c>
      <c r="T17" s="215">
        <v>9</v>
      </c>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DEZ!I584</f>
        <v>12463</v>
      </c>
      <c r="K22" s="810"/>
      <c r="L22" s="50" t="s">
        <v>29</v>
      </c>
      <c r="M22" s="803" t="s">
        <v>12</v>
      </c>
      <c r="N22" s="811"/>
      <c r="O22" s="811"/>
      <c r="P22" s="811"/>
      <c r="Q22" s="805"/>
      <c r="R22" s="61">
        <f>SUM(R12:R21)</f>
        <v>12463</v>
      </c>
      <c r="S22" s="51" t="str">
        <f>L22</f>
        <v>kg</v>
      </c>
      <c r="T22" s="22"/>
      <c r="U22" s="23"/>
    </row>
    <row r="23" spans="1:28" ht="21" customHeight="1">
      <c r="B23" s="163"/>
      <c r="C23" s="19"/>
      <c r="D23" s="817" t="s">
        <v>13</v>
      </c>
      <c r="E23" s="818"/>
      <c r="F23" s="818"/>
      <c r="G23" s="818"/>
      <c r="H23" s="818"/>
      <c r="I23" s="819"/>
      <c r="J23" s="823">
        <f>R22/J22</f>
        <v>1</v>
      </c>
      <c r="K23" s="824"/>
      <c r="L23" s="827"/>
      <c r="M23" s="803" t="s">
        <v>34</v>
      </c>
      <c r="N23" s="804"/>
      <c r="O23" s="804"/>
      <c r="P23" s="804"/>
      <c r="Q23" s="805"/>
      <c r="R23" s="61">
        <f>SUM(R12:R17)</f>
        <v>12463</v>
      </c>
      <c r="S23" s="52" t="str">
        <f>L22</f>
        <v>kg</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kg</v>
      </c>
      <c r="T24" s="54"/>
      <c r="U24" s="24"/>
    </row>
    <row r="25" spans="1:28" ht="21" customHeight="1">
      <c r="B25" s="218"/>
      <c r="C25" s="217"/>
      <c r="M25" s="803" t="s">
        <v>53</v>
      </c>
      <c r="N25" s="804"/>
      <c r="O25" s="804"/>
      <c r="P25" s="804"/>
      <c r="Q25" s="805"/>
      <c r="R25" s="62">
        <f>DEZ!E584</f>
        <v>7.98</v>
      </c>
      <c r="S25" s="53"/>
      <c r="T25" s="54"/>
      <c r="U25" s="24"/>
    </row>
    <row r="26" spans="1:28" ht="21" customHeight="1">
      <c r="B26" s="163"/>
      <c r="C26" s="219"/>
      <c r="M26" s="803" t="s">
        <v>54</v>
      </c>
      <c r="N26" s="804"/>
      <c r="O26" s="804"/>
      <c r="P26" s="804"/>
      <c r="Q26" s="805"/>
      <c r="R26" s="62">
        <f>TRUNC(R25*R24,2)</f>
        <v>0</v>
      </c>
      <c r="S26" s="53" t="s">
        <v>55</v>
      </c>
      <c r="T26" s="54"/>
      <c r="U26"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2:I22"/>
    <mergeCell ref="J22:K22"/>
    <mergeCell ref="M22:Q22"/>
    <mergeCell ref="N10:N11"/>
    <mergeCell ref="O10:O11"/>
    <mergeCell ref="P10:P11"/>
    <mergeCell ref="Q10:Q11"/>
    <mergeCell ref="M26:Q26"/>
    <mergeCell ref="D23:I24"/>
    <mergeCell ref="J23:K24"/>
    <mergeCell ref="L23:L24"/>
    <mergeCell ref="M23:Q23"/>
    <mergeCell ref="M24:Q24"/>
    <mergeCell ref="M25:Q25"/>
  </mergeCells>
  <conditionalFormatting sqref="J23:K26">
    <cfRule type="cellIs" dxfId="33" priority="1" operator="greaterThanOrEqual">
      <formula>1</formula>
    </cfRule>
    <cfRule type="cellIs" dxfId="3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DC6DF-16C4-4CA2-BC50-25955D8D1FE6}">
  <sheetPr codeName="Planilha139">
    <pageSetUpPr fitToPage="1"/>
  </sheetPr>
  <dimension ref="B1:W55"/>
  <sheetViews>
    <sheetView showGridLines="0" topLeftCell="A7" workbookViewId="0">
      <selection activeCell="I15" sqref="I15"/>
    </sheetView>
  </sheetViews>
  <sheetFormatPr defaultColWidth="7.5703125" defaultRowHeight="12.75"/>
  <cols>
    <col min="1" max="1" width="7.5703125" style="688"/>
    <col min="2" max="2" width="2.5703125" style="686" customWidth="1"/>
    <col min="3" max="3" width="12.7109375" style="686" customWidth="1"/>
    <col min="4" max="4" width="12.28515625" style="686" customWidth="1"/>
    <col min="5" max="5" width="7" style="686" customWidth="1"/>
    <col min="6" max="6" width="10.28515625" style="686" customWidth="1"/>
    <col min="7" max="7" width="9.5703125" style="686" customWidth="1"/>
    <col min="8" max="8" width="7.5703125" style="686"/>
    <col min="9" max="9" width="9.42578125" style="686" customWidth="1"/>
    <col min="10" max="10" width="2.85546875" style="686" customWidth="1"/>
    <col min="11" max="18" width="7.5703125" style="686"/>
    <col min="19" max="23" width="7.5703125" style="687"/>
    <col min="24" max="16384" width="7.5703125" style="688"/>
  </cols>
  <sheetData>
    <row r="1" spans="2:23" ht="13.9" customHeight="1"/>
    <row r="2" spans="2:23" ht="13.9" customHeight="1"/>
    <row r="3" spans="2:23" ht="13.9" customHeight="1"/>
    <row r="4" spans="2:23" ht="13.9" customHeight="1">
      <c r="C4" s="976" t="s">
        <v>1315</v>
      </c>
      <c r="D4" s="976"/>
      <c r="E4" s="976"/>
      <c r="F4" s="976"/>
      <c r="G4" s="976"/>
      <c r="H4" s="976"/>
      <c r="I4" s="976"/>
    </row>
    <row r="5" spans="2:23" s="692" customFormat="1" ht="22.5">
      <c r="B5" s="689"/>
      <c r="C5" s="690" t="s">
        <v>1316</v>
      </c>
      <c r="D5" s="690" t="s">
        <v>1317</v>
      </c>
      <c r="E5" s="690" t="s">
        <v>853</v>
      </c>
      <c r="F5" s="690" t="s">
        <v>1318</v>
      </c>
      <c r="G5" s="690" t="s">
        <v>897</v>
      </c>
      <c r="H5" s="690" t="s">
        <v>9</v>
      </c>
      <c r="I5" s="690" t="s">
        <v>1319</v>
      </c>
      <c r="J5" s="689"/>
      <c r="K5" s="689"/>
      <c r="L5" s="689"/>
      <c r="M5" s="689"/>
      <c r="N5" s="689"/>
      <c r="O5" s="689"/>
      <c r="P5" s="689"/>
      <c r="Q5" s="689"/>
      <c r="R5" s="689"/>
      <c r="S5" s="691"/>
      <c r="T5" s="691"/>
      <c r="U5" s="691"/>
      <c r="V5" s="691"/>
      <c r="W5" s="691"/>
    </row>
    <row r="6" spans="2:23" ht="13.9" customHeight="1">
      <c r="C6" s="693" t="s">
        <v>1320</v>
      </c>
      <c r="D6" s="694">
        <v>21.2</v>
      </c>
      <c r="E6" s="694">
        <v>1.5</v>
      </c>
      <c r="F6" s="694">
        <v>0.32</v>
      </c>
      <c r="G6" s="694">
        <v>0.3</v>
      </c>
      <c r="H6" s="695">
        <v>1</v>
      </c>
      <c r="I6" s="694">
        <f>ROUND(D6*(E6-F6)*G6*H6,2)</f>
        <v>7.5</v>
      </c>
    </row>
    <row r="7" spans="2:23" ht="13.9" customHeight="1">
      <c r="C7" s="693" t="s">
        <v>1321</v>
      </c>
      <c r="D7" s="694">
        <v>1.45</v>
      </c>
      <c r="E7" s="694">
        <v>1.5</v>
      </c>
      <c r="F7" s="694">
        <v>0.32</v>
      </c>
      <c r="G7" s="694">
        <v>0.2</v>
      </c>
      <c r="H7" s="695">
        <v>2</v>
      </c>
      <c r="I7" s="694">
        <f>ROUND(D7*(E7-F7)*G7*H7,2)</f>
        <v>0.68</v>
      </c>
    </row>
    <row r="8" spans="2:23" ht="13.9" customHeight="1">
      <c r="C8" s="693" t="s">
        <v>1322</v>
      </c>
      <c r="D8" s="694">
        <f>21.2-2.9</f>
        <v>18.3</v>
      </c>
      <c r="E8" s="694">
        <v>1.85</v>
      </c>
      <c r="F8" s="694">
        <v>0.32</v>
      </c>
      <c r="G8" s="694">
        <v>0.2</v>
      </c>
      <c r="H8" s="695">
        <v>1</v>
      </c>
      <c r="I8" s="694">
        <f>ROUND(D8*(E8-F8)*G8*H8,2)</f>
        <v>5.6</v>
      </c>
    </row>
    <row r="9" spans="2:23" ht="13.9" customHeight="1">
      <c r="C9" s="693" t="s">
        <v>1323</v>
      </c>
      <c r="D9" s="694">
        <v>1.6</v>
      </c>
      <c r="E9" s="694">
        <v>1.5</v>
      </c>
      <c r="F9" s="694">
        <v>0.32</v>
      </c>
      <c r="G9" s="694">
        <v>0.3</v>
      </c>
      <c r="H9" s="695">
        <v>1</v>
      </c>
      <c r="I9" s="694">
        <f>ROUND(D9*(E9-F9)*G9*H9,2)</f>
        <v>0.56999999999999995</v>
      </c>
    </row>
    <row r="10" spans="2:23" ht="13.9" customHeight="1">
      <c r="C10" s="693" t="s">
        <v>1324</v>
      </c>
      <c r="D10" s="694">
        <v>19.75</v>
      </c>
      <c r="E10" s="694">
        <v>1.5</v>
      </c>
      <c r="F10" s="694">
        <v>0.32</v>
      </c>
      <c r="G10" s="694">
        <v>0.2</v>
      </c>
      <c r="H10" s="695">
        <v>1</v>
      </c>
      <c r="I10" s="694">
        <f t="shared" ref="I10:I30" si="0">ROUND(D10*(E10-F10)*G10*H10,2)</f>
        <v>4.66</v>
      </c>
    </row>
    <row r="11" spans="2:23" ht="13.9" customHeight="1">
      <c r="C11" s="693" t="s">
        <v>1325</v>
      </c>
      <c r="D11" s="694">
        <v>19.75</v>
      </c>
      <c r="E11" s="694">
        <v>1.5</v>
      </c>
      <c r="F11" s="694">
        <v>0.32</v>
      </c>
      <c r="G11" s="694">
        <v>0.2</v>
      </c>
      <c r="H11" s="695">
        <v>1</v>
      </c>
      <c r="I11" s="694">
        <f t="shared" si="0"/>
        <v>4.66</v>
      </c>
    </row>
    <row r="12" spans="2:23" ht="13.9" customHeight="1">
      <c r="C12" s="693" t="s">
        <v>1326</v>
      </c>
      <c r="D12" s="694">
        <v>3.35</v>
      </c>
      <c r="E12" s="694">
        <v>1.5</v>
      </c>
      <c r="F12" s="694">
        <v>0.32</v>
      </c>
      <c r="G12" s="694">
        <v>0.2</v>
      </c>
      <c r="H12" s="695">
        <v>1</v>
      </c>
      <c r="I12" s="694">
        <f t="shared" si="0"/>
        <v>0.79</v>
      </c>
    </row>
    <row r="13" spans="2:23" ht="13.9" customHeight="1">
      <c r="C13" s="693" t="s">
        <v>1327</v>
      </c>
      <c r="D13" s="694">
        <v>19.75</v>
      </c>
      <c r="E13" s="694">
        <v>1.5</v>
      </c>
      <c r="F13" s="694">
        <v>0.32</v>
      </c>
      <c r="G13" s="694">
        <v>0.3</v>
      </c>
      <c r="H13" s="695">
        <v>1</v>
      </c>
      <c r="I13" s="694">
        <f t="shared" si="0"/>
        <v>6.99</v>
      </c>
    </row>
    <row r="14" spans="2:23" ht="13.9" customHeight="1">
      <c r="C14" s="696"/>
      <c r="D14" s="697"/>
      <c r="E14" s="698"/>
      <c r="F14" s="699"/>
      <c r="G14" s="697"/>
      <c r="H14" s="700" t="s">
        <v>1328</v>
      </c>
      <c r="I14" s="701">
        <f>SUM(I6:I13)</f>
        <v>31.449999999999996</v>
      </c>
    </row>
    <row r="15" spans="2:23" ht="13.9" customHeight="1">
      <c r="C15" s="693" t="s">
        <v>1329</v>
      </c>
      <c r="D15" s="694">
        <v>10.35</v>
      </c>
      <c r="E15" s="694">
        <v>1.5</v>
      </c>
      <c r="F15" s="694">
        <v>0.32</v>
      </c>
      <c r="G15" s="694">
        <v>0.3</v>
      </c>
      <c r="H15" s="695">
        <v>1</v>
      </c>
      <c r="I15" s="694">
        <f>ROUND(D15*(E15-F15)*G15*H15,2)</f>
        <v>3.66</v>
      </c>
    </row>
    <row r="16" spans="2:23" ht="27.6" customHeight="1">
      <c r="C16" s="693" t="s">
        <v>1330</v>
      </c>
      <c r="D16" s="694">
        <v>1.45</v>
      </c>
      <c r="E16" s="694">
        <v>1.5</v>
      </c>
      <c r="F16" s="694">
        <v>0.32</v>
      </c>
      <c r="G16" s="694">
        <v>0.2</v>
      </c>
      <c r="H16" s="695">
        <v>4</v>
      </c>
      <c r="I16" s="694">
        <f t="shared" si="0"/>
        <v>1.37</v>
      </c>
    </row>
    <row r="17" spans="2:23" ht="13.9" customHeight="1">
      <c r="C17" s="693" t="s">
        <v>1331</v>
      </c>
      <c r="D17" s="694">
        <v>7.45</v>
      </c>
      <c r="E17" s="694">
        <v>1.85</v>
      </c>
      <c r="F17" s="694">
        <v>0.32</v>
      </c>
      <c r="G17" s="694">
        <v>0.2</v>
      </c>
      <c r="H17" s="695">
        <v>1</v>
      </c>
      <c r="I17" s="694">
        <f t="shared" si="0"/>
        <v>2.2799999999999998</v>
      </c>
    </row>
    <row r="18" spans="2:23" ht="25.5">
      <c r="C18" s="693" t="s">
        <v>1332</v>
      </c>
      <c r="D18" s="694">
        <v>7.45</v>
      </c>
      <c r="E18" s="694">
        <v>1.5</v>
      </c>
      <c r="F18" s="694">
        <v>0.32</v>
      </c>
      <c r="G18" s="694">
        <v>0.2</v>
      </c>
      <c r="H18" s="695">
        <v>4</v>
      </c>
      <c r="I18" s="694">
        <f t="shared" si="0"/>
        <v>7.03</v>
      </c>
    </row>
    <row r="19" spans="2:23" ht="25.5">
      <c r="C19" s="693" t="s">
        <v>1333</v>
      </c>
      <c r="D19" s="694">
        <v>10.35</v>
      </c>
      <c r="E19" s="694">
        <v>1.5</v>
      </c>
      <c r="F19" s="694">
        <v>0.32</v>
      </c>
      <c r="G19" s="694">
        <v>0.2</v>
      </c>
      <c r="H19" s="695">
        <v>4</v>
      </c>
      <c r="I19" s="694">
        <f t="shared" si="0"/>
        <v>9.77</v>
      </c>
    </row>
    <row r="20" spans="2:23" ht="13.9" customHeight="1">
      <c r="C20" s="693" t="s">
        <v>1334</v>
      </c>
      <c r="D20" s="694">
        <v>3.73</v>
      </c>
      <c r="E20" s="694">
        <v>1.5</v>
      </c>
      <c r="F20" s="694">
        <v>0.32</v>
      </c>
      <c r="G20" s="694">
        <v>0.2</v>
      </c>
      <c r="H20" s="695">
        <v>1</v>
      </c>
      <c r="I20" s="694">
        <f t="shared" si="0"/>
        <v>0.88</v>
      </c>
    </row>
    <row r="21" spans="2:23" ht="13.9" customHeight="1">
      <c r="C21" s="693" t="s">
        <v>1335</v>
      </c>
      <c r="D21" s="694">
        <v>3.73</v>
      </c>
      <c r="E21" s="694">
        <v>1.85</v>
      </c>
      <c r="F21" s="694">
        <v>0.32</v>
      </c>
      <c r="G21" s="694">
        <v>0.2</v>
      </c>
      <c r="H21" s="695">
        <v>1</v>
      </c>
      <c r="I21" s="694">
        <f t="shared" si="0"/>
        <v>1.1399999999999999</v>
      </c>
    </row>
    <row r="22" spans="2:23" ht="13.9" customHeight="1">
      <c r="C22" s="693" t="s">
        <v>1336</v>
      </c>
      <c r="D22" s="694">
        <f>3.05+1.55</f>
        <v>4.5999999999999996</v>
      </c>
      <c r="E22" s="694">
        <v>1.5</v>
      </c>
      <c r="F22" s="694">
        <v>0.32</v>
      </c>
      <c r="G22" s="694">
        <v>0.3</v>
      </c>
      <c r="H22" s="695">
        <v>1</v>
      </c>
      <c r="I22" s="694">
        <f t="shared" si="0"/>
        <v>1.63</v>
      </c>
    </row>
    <row r="23" spans="2:23" ht="13.9" customHeight="1">
      <c r="C23" s="693" t="s">
        <v>1337</v>
      </c>
      <c r="D23" s="694">
        <v>2.7</v>
      </c>
      <c r="E23" s="694">
        <v>1.5</v>
      </c>
      <c r="F23" s="694">
        <v>0.32</v>
      </c>
      <c r="G23" s="694">
        <v>0.2</v>
      </c>
      <c r="H23" s="695">
        <v>1</v>
      </c>
      <c r="I23" s="694">
        <f t="shared" si="0"/>
        <v>0.64</v>
      </c>
    </row>
    <row r="24" spans="2:23" ht="13.9" customHeight="1">
      <c r="C24" s="702"/>
      <c r="D24" s="697"/>
      <c r="E24" s="698"/>
      <c r="F24" s="699"/>
      <c r="G24" s="697"/>
      <c r="H24" s="700" t="s">
        <v>1338</v>
      </c>
      <c r="I24" s="703">
        <f>SUM(I15:I23)</f>
        <v>28.4</v>
      </c>
    </row>
    <row r="25" spans="2:23" ht="13.9" customHeight="1">
      <c r="C25" s="693" t="s">
        <v>1339</v>
      </c>
      <c r="D25" s="694">
        <v>1.8</v>
      </c>
      <c r="E25" s="694">
        <v>1.1000000000000001</v>
      </c>
      <c r="F25" s="694">
        <v>0.32</v>
      </c>
      <c r="G25" s="694">
        <v>0.3</v>
      </c>
      <c r="H25" s="695">
        <v>1</v>
      </c>
      <c r="I25" s="694">
        <f t="shared" si="0"/>
        <v>0.42</v>
      </c>
    </row>
    <row r="26" spans="2:23" ht="13.9" customHeight="1">
      <c r="C26" s="693" t="s">
        <v>1340</v>
      </c>
      <c r="D26" s="694">
        <v>1.5</v>
      </c>
      <c r="E26" s="694">
        <v>1.1000000000000001</v>
      </c>
      <c r="F26" s="694">
        <v>0.32</v>
      </c>
      <c r="G26" s="694">
        <v>0.2</v>
      </c>
      <c r="H26" s="695">
        <v>1</v>
      </c>
      <c r="I26" s="694">
        <f t="shared" si="0"/>
        <v>0.23</v>
      </c>
    </row>
    <row r="27" spans="2:23" ht="13.9" customHeight="1">
      <c r="C27" s="693" t="s">
        <v>1341</v>
      </c>
      <c r="D27" s="694">
        <v>3.3</v>
      </c>
      <c r="E27" s="694">
        <v>1.1000000000000001</v>
      </c>
      <c r="F27" s="694">
        <v>0.32</v>
      </c>
      <c r="G27" s="694">
        <v>0.45</v>
      </c>
      <c r="H27" s="695">
        <v>1</v>
      </c>
      <c r="I27" s="694">
        <f t="shared" si="0"/>
        <v>1.1599999999999999</v>
      </c>
    </row>
    <row r="28" spans="2:23" ht="13.9" customHeight="1">
      <c r="C28" s="693" t="s">
        <v>1342</v>
      </c>
      <c r="D28" s="694">
        <f>1.35+4.95</f>
        <v>6.3000000000000007</v>
      </c>
      <c r="E28" s="694">
        <v>1.1000000000000001</v>
      </c>
      <c r="F28" s="694">
        <v>0.32</v>
      </c>
      <c r="G28" s="694">
        <v>0.3</v>
      </c>
      <c r="H28" s="695">
        <v>1</v>
      </c>
      <c r="I28" s="694">
        <f t="shared" si="0"/>
        <v>1.47</v>
      </c>
    </row>
    <row r="29" spans="2:23" ht="13.9" customHeight="1">
      <c r="C29" s="693" t="s">
        <v>1343</v>
      </c>
      <c r="D29" s="694">
        <v>1.9</v>
      </c>
      <c r="E29" s="694">
        <v>1.1000000000000001</v>
      </c>
      <c r="F29" s="694">
        <v>0.32</v>
      </c>
      <c r="G29" s="694">
        <v>0.2</v>
      </c>
      <c r="H29" s="695">
        <v>1</v>
      </c>
      <c r="I29" s="694">
        <f t="shared" si="0"/>
        <v>0.3</v>
      </c>
    </row>
    <row r="30" spans="2:23" ht="13.9" customHeight="1">
      <c r="C30" s="693" t="s">
        <v>1344</v>
      </c>
      <c r="D30" s="694">
        <v>3.3</v>
      </c>
      <c r="E30" s="694">
        <v>1.1000000000000001</v>
      </c>
      <c r="F30" s="694">
        <v>0.32</v>
      </c>
      <c r="G30" s="694">
        <v>0.3</v>
      </c>
      <c r="H30" s="695">
        <v>1</v>
      </c>
      <c r="I30" s="694">
        <f t="shared" si="0"/>
        <v>0.77</v>
      </c>
    </row>
    <row r="31" spans="2:23" ht="13.9" customHeight="1">
      <c r="C31" s="702"/>
      <c r="D31" s="697"/>
      <c r="E31" s="698"/>
      <c r="F31" s="699"/>
      <c r="G31" s="697"/>
      <c r="H31" s="700" t="s">
        <v>1345</v>
      </c>
      <c r="I31" s="701">
        <f>SUM(I25:I30)</f>
        <v>4.3499999999999996</v>
      </c>
    </row>
    <row r="32" spans="2:23" s="692" customFormat="1" ht="22.5">
      <c r="B32" s="689"/>
      <c r="C32" s="690" t="s">
        <v>1316</v>
      </c>
      <c r="D32" s="690" t="s">
        <v>1317</v>
      </c>
      <c r="E32" s="690" t="s">
        <v>33</v>
      </c>
      <c r="F32" s="690" t="s">
        <v>1346</v>
      </c>
      <c r="G32" s="690" t="s">
        <v>897</v>
      </c>
      <c r="H32" s="690" t="s">
        <v>9</v>
      </c>
      <c r="I32" s="690" t="s">
        <v>1319</v>
      </c>
      <c r="J32" s="689"/>
      <c r="K32" s="689"/>
      <c r="L32" s="689"/>
      <c r="M32" s="689"/>
      <c r="N32" s="689"/>
      <c r="O32" s="689"/>
      <c r="P32" s="689"/>
      <c r="Q32" s="689"/>
      <c r="R32" s="689"/>
      <c r="S32" s="691"/>
      <c r="T32" s="691"/>
      <c r="U32" s="691"/>
      <c r="V32" s="691"/>
      <c r="W32" s="691"/>
    </row>
    <row r="33" spans="3:9" ht="13.9" customHeight="1">
      <c r="C33" s="693" t="s">
        <v>1347</v>
      </c>
      <c r="D33" s="694">
        <f>21.2+0.675</f>
        <v>21.875</v>
      </c>
      <c r="E33" s="694">
        <v>10.35</v>
      </c>
      <c r="F33" s="694">
        <v>226.42</v>
      </c>
      <c r="G33" s="694">
        <v>0.2</v>
      </c>
      <c r="H33" s="695">
        <v>1</v>
      </c>
      <c r="I33" s="694">
        <f>ROUND(F33*G33*H33,2)</f>
        <v>45.28</v>
      </c>
    </row>
    <row r="34" spans="3:9" ht="13.9" customHeight="1">
      <c r="C34" s="693" t="s">
        <v>1348</v>
      </c>
      <c r="D34" s="694">
        <f>21.2+0.675</f>
        <v>21.875</v>
      </c>
      <c r="E34" s="694">
        <v>10.35</v>
      </c>
      <c r="F34" s="694">
        <v>226.42</v>
      </c>
      <c r="G34" s="694">
        <v>0.12</v>
      </c>
      <c r="H34" s="695">
        <v>1</v>
      </c>
      <c r="I34" s="694">
        <f>ROUND(F34*G34*H34,2)</f>
        <v>27.17</v>
      </c>
    </row>
    <row r="35" spans="3:9" ht="13.9" customHeight="1">
      <c r="C35" s="704"/>
      <c r="D35" s="705"/>
      <c r="E35" s="705"/>
      <c r="F35" s="705"/>
      <c r="G35" s="705"/>
      <c r="H35" s="700" t="s">
        <v>1349</v>
      </c>
      <c r="I35" s="701">
        <f>SUM(I33:I34)</f>
        <v>72.45</v>
      </c>
    </row>
    <row r="36" spans="3:9" ht="13.9" customHeight="1">
      <c r="C36" s="704"/>
      <c r="D36" s="705"/>
      <c r="E36" s="705"/>
      <c r="F36" s="705"/>
      <c r="G36" s="705"/>
      <c r="H36" s="706" t="s">
        <v>3</v>
      </c>
      <c r="I36" s="707">
        <f>I14+I24+I31+I35</f>
        <v>136.64999999999998</v>
      </c>
    </row>
    <row r="37" spans="3:9" ht="13.9" customHeight="1">
      <c r="C37" s="708" t="s">
        <v>1350</v>
      </c>
      <c r="I37" s="709"/>
    </row>
    <row r="38" spans="3:9" ht="13.9" customHeight="1">
      <c r="I38" s="709"/>
    </row>
    <row r="39" spans="3:9" ht="13.9" customHeight="1">
      <c r="I39" s="709"/>
    </row>
    <row r="40" spans="3:9" ht="13.9" customHeight="1">
      <c r="I40" s="709"/>
    </row>
    <row r="41" spans="3:9" ht="13.9" customHeight="1">
      <c r="I41" s="709"/>
    </row>
    <row r="42" spans="3:9" ht="13.9" customHeight="1">
      <c r="I42" s="709"/>
    </row>
    <row r="43" spans="3:9" ht="13.9" customHeight="1">
      <c r="I43" s="709"/>
    </row>
    <row r="44" spans="3:9" ht="13.9" customHeight="1">
      <c r="I44" s="709"/>
    </row>
    <row r="45" spans="3:9" ht="13.9" customHeight="1">
      <c r="I45" s="709"/>
    </row>
    <row r="46" spans="3:9" ht="13.9" customHeight="1">
      <c r="I46" s="709"/>
    </row>
    <row r="47" spans="3:9" ht="13.9" customHeight="1">
      <c r="I47" s="709"/>
    </row>
    <row r="48" spans="3:9" ht="13.9" customHeight="1">
      <c r="I48" s="709"/>
    </row>
    <row r="49" spans="9:9" ht="13.9" customHeight="1">
      <c r="I49" s="709"/>
    </row>
    <row r="50" spans="9:9" ht="13.9" customHeight="1">
      <c r="I50" s="709"/>
    </row>
    <row r="51" spans="9:9" ht="13.9" customHeight="1">
      <c r="I51" s="709"/>
    </row>
    <row r="52" spans="9:9" ht="13.9" customHeight="1">
      <c r="I52" s="709"/>
    </row>
    <row r="53" spans="9:9" ht="13.9" customHeight="1">
      <c r="I53" s="709"/>
    </row>
    <row r="54" spans="9:9" ht="13.9" customHeight="1">
      <c r="I54" s="709"/>
    </row>
    <row r="55" spans="9:9" ht="13.9" customHeight="1">
      <c r="I55" s="709"/>
    </row>
  </sheetData>
  <mergeCells count="1">
    <mergeCell ref="C4:I4"/>
  </mergeCells>
  <printOptions horizontalCentered="1"/>
  <pageMargins left="0.7" right="0.7" top="0.75" bottom="0.75" header="0.3" footer="0.3"/>
  <pageSetup paperSize="9" fitToHeight="0" orientation="portrait"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48E39-4FF9-4529-A7EA-CB868B358DC5}">
  <sheetPr codeName="Planilha109">
    <tabColor rgb="FF339933"/>
    <pageSetUpPr fitToPage="1"/>
  </sheetPr>
  <dimension ref="A1:AJ40"/>
  <sheetViews>
    <sheetView showGridLines="0" view="pageBreakPreview" topLeftCell="A13" zoomScale="50" zoomScaleNormal="55" zoomScaleSheetLayoutView="50" workbookViewId="0">
      <selection activeCell="R38" sqref="R3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20.85546875" style="2" customWidth="1"/>
    <col min="11" max="11" width="18.2851562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DEZ!A587</f>
        <v>5.3.2.10</v>
      </c>
      <c r="C10" s="845" t="str">
        <f>DEZ!C587</f>
        <v>FORNECIMENTO E APLICAÇÃO DE CONCRETO USINADO FCK=40 MPA - CONSIDERANDO BOMBEAMENTO (5% DE PERDAS JÁ INCLUÍDO NO CUSTO) (6% DE TAXA P/CONCR.
BOMBEAVEL)</v>
      </c>
      <c r="D10" s="816" t="s">
        <v>854</v>
      </c>
      <c r="E10" s="816"/>
      <c r="F10" s="816"/>
      <c r="G10" s="816" t="s">
        <v>33</v>
      </c>
      <c r="H10" s="816"/>
      <c r="I10" s="816"/>
      <c r="J10" s="812" t="s">
        <v>1351</v>
      </c>
      <c r="K10" s="812" t="s">
        <v>897</v>
      </c>
      <c r="L10" s="812" t="s">
        <v>62</v>
      </c>
      <c r="M10" s="812" t="s">
        <v>856</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8.5" customHeight="1">
      <c r="A12" s="64"/>
      <c r="B12" s="109"/>
      <c r="C12" s="237" t="s">
        <v>1021</v>
      </c>
      <c r="D12" s="854"/>
      <c r="E12" s="855"/>
      <c r="F12" s="856"/>
      <c r="G12" s="851"/>
      <c r="H12" s="852"/>
      <c r="I12" s="853"/>
      <c r="J12" s="226"/>
      <c r="K12" s="81">
        <f>J35</f>
        <v>0</v>
      </c>
      <c r="L12" s="82"/>
      <c r="M12" s="83">
        <v>14</v>
      </c>
      <c r="N12" s="105"/>
      <c r="O12" s="84"/>
      <c r="P12" s="82"/>
      <c r="Q12" s="93"/>
      <c r="R12" s="85">
        <f>M12</f>
        <v>14</v>
      </c>
      <c r="S12" s="154" t="s">
        <v>58</v>
      </c>
      <c r="T12" s="215">
        <v>7</v>
      </c>
      <c r="U12" s="94"/>
      <c r="V12" s="71"/>
      <c r="W12" s="71"/>
      <c r="X12" s="152"/>
      <c r="Y12" s="153"/>
      <c r="Z12" s="72"/>
    </row>
    <row r="13" spans="1:36" s="73" customFormat="1" ht="28.5" customHeight="1">
      <c r="A13" s="64"/>
      <c r="B13" s="109"/>
      <c r="C13" s="237" t="s">
        <v>1020</v>
      </c>
      <c r="D13" s="854"/>
      <c r="E13" s="855"/>
      <c r="F13" s="856"/>
      <c r="G13" s="851"/>
      <c r="H13" s="852"/>
      <c r="I13" s="853"/>
      <c r="J13" s="226"/>
      <c r="K13" s="81"/>
      <c r="L13" s="82"/>
      <c r="M13" s="83">
        <v>14</v>
      </c>
      <c r="N13" s="105"/>
      <c r="O13" s="84"/>
      <c r="P13" s="82"/>
      <c r="Q13" s="93"/>
      <c r="R13" s="85">
        <v>14</v>
      </c>
      <c r="S13" s="154" t="s">
        <v>58</v>
      </c>
      <c r="T13" s="215">
        <v>7</v>
      </c>
      <c r="U13" s="94"/>
      <c r="V13" s="71"/>
      <c r="W13" s="71"/>
      <c r="X13" s="152"/>
      <c r="Y13" s="153"/>
      <c r="Z13" s="72"/>
    </row>
    <row r="14" spans="1:36" s="73" customFormat="1" ht="28.5" customHeight="1">
      <c r="A14" s="64"/>
      <c r="B14" s="109"/>
      <c r="C14" s="237" t="s">
        <v>1288</v>
      </c>
      <c r="D14" s="854">
        <v>21.88</v>
      </c>
      <c r="E14" s="855"/>
      <c r="F14" s="856"/>
      <c r="G14" s="851">
        <v>10.35</v>
      </c>
      <c r="H14" s="852"/>
      <c r="I14" s="853"/>
      <c r="J14" s="226"/>
      <c r="K14" s="81">
        <v>0.2</v>
      </c>
      <c r="L14" s="82">
        <v>1</v>
      </c>
      <c r="M14" s="83">
        <f>D14*G14*K14*L14</f>
        <v>45.291599999999995</v>
      </c>
      <c r="N14" s="105"/>
      <c r="O14" s="84"/>
      <c r="P14" s="82"/>
      <c r="Q14" s="93"/>
      <c r="R14" s="85">
        <f>M14</f>
        <v>45.291599999999995</v>
      </c>
      <c r="S14" s="154" t="s">
        <v>58</v>
      </c>
      <c r="T14" s="215">
        <v>8</v>
      </c>
      <c r="U14" s="94"/>
      <c r="V14" s="71"/>
      <c r="W14" s="71"/>
      <c r="X14" s="152"/>
      <c r="Y14" s="153"/>
      <c r="Z14" s="72"/>
    </row>
    <row r="15" spans="1:36" s="90" customFormat="1" ht="21" customHeight="1">
      <c r="A15" s="75"/>
      <c r="B15" s="157"/>
      <c r="C15" s="76" t="str">
        <f>'CONCRETO VV'!C15</f>
        <v>V08</v>
      </c>
      <c r="D15" s="854">
        <f>'CONCRETO VV'!D15</f>
        <v>10.35</v>
      </c>
      <c r="E15" s="855"/>
      <c r="F15" s="856"/>
      <c r="G15" s="854">
        <f>'CONCRETO VV'!E15</f>
        <v>1.5</v>
      </c>
      <c r="H15" s="855"/>
      <c r="I15" s="856"/>
      <c r="J15" s="226">
        <f>'CONCRETO VV'!F15</f>
        <v>0.32</v>
      </c>
      <c r="K15" s="81">
        <f>'CONCRETO VV'!G15</f>
        <v>0.3</v>
      </c>
      <c r="L15" s="82">
        <f>'CONCRETO VV'!H15</f>
        <v>1</v>
      </c>
      <c r="M15" s="83">
        <f>ROUND(D15*(G15-J15)*K15*L15,2)</f>
        <v>3.66</v>
      </c>
      <c r="N15" s="84"/>
      <c r="O15" s="84"/>
      <c r="P15" s="82"/>
      <c r="Q15" s="85"/>
      <c r="R15" s="85">
        <f>M15</f>
        <v>3.66</v>
      </c>
      <c r="S15" s="154" t="s">
        <v>58</v>
      </c>
      <c r="T15" s="215">
        <v>9</v>
      </c>
      <c r="U15" s="92"/>
      <c r="V15" s="86"/>
      <c r="W15" s="86"/>
      <c r="X15" s="86"/>
      <c r="Y15" s="151"/>
      <c r="Z15" s="87"/>
      <c r="AA15" s="88"/>
      <c r="AB15" s="89"/>
    </row>
    <row r="16" spans="1:36" s="90" customFormat="1" ht="21" customHeight="1">
      <c r="A16" s="75"/>
      <c r="B16" s="157"/>
      <c r="C16" s="76" t="str">
        <f>'CONCRETO VV'!C16</f>
        <v>V09a, V09c, V17a, V17d</v>
      </c>
      <c r="D16" s="854">
        <f>'CONCRETO VV'!D16</f>
        <v>1.45</v>
      </c>
      <c r="E16" s="855"/>
      <c r="F16" s="856"/>
      <c r="G16" s="854">
        <f>'CONCRETO VV'!E16</f>
        <v>1.5</v>
      </c>
      <c r="H16" s="855"/>
      <c r="I16" s="856"/>
      <c r="J16" s="226">
        <f>'CONCRETO VV'!F16</f>
        <v>0.32</v>
      </c>
      <c r="K16" s="81">
        <f>'CONCRETO VV'!G16</f>
        <v>0.2</v>
      </c>
      <c r="L16" s="82">
        <f>'CONCRETO VV'!H16</f>
        <v>4</v>
      </c>
      <c r="M16" s="83">
        <f t="shared" ref="M16:M18" si="0">ROUND(D16*(G16-J16)*K16*L16,2)</f>
        <v>1.37</v>
      </c>
      <c r="N16" s="84"/>
      <c r="O16" s="84"/>
      <c r="P16" s="82"/>
      <c r="Q16" s="85"/>
      <c r="R16" s="85">
        <f t="shared" ref="R16:R30" si="1">M16</f>
        <v>1.37</v>
      </c>
      <c r="S16" s="154" t="s">
        <v>58</v>
      </c>
      <c r="T16" s="215">
        <v>9</v>
      </c>
      <c r="U16" s="92"/>
      <c r="V16" s="86"/>
      <c r="W16" s="86"/>
      <c r="X16" s="86"/>
      <c r="Y16" s="151"/>
      <c r="Z16" s="87"/>
      <c r="AA16" s="88"/>
      <c r="AB16" s="89"/>
    </row>
    <row r="17" spans="1:28" s="90" customFormat="1" ht="21" customHeight="1">
      <c r="A17" s="75"/>
      <c r="B17" s="157"/>
      <c r="C17" s="76" t="str">
        <f>'CONCRETO VV'!C17</f>
        <v>V09b</v>
      </c>
      <c r="D17" s="854">
        <f>'CONCRETO VV'!D17</f>
        <v>7.45</v>
      </c>
      <c r="E17" s="855"/>
      <c r="F17" s="856"/>
      <c r="G17" s="854">
        <f>'CONCRETO VV'!E17</f>
        <v>1.85</v>
      </c>
      <c r="H17" s="855"/>
      <c r="I17" s="856"/>
      <c r="J17" s="226">
        <f>'CONCRETO VV'!F17</f>
        <v>0.32</v>
      </c>
      <c r="K17" s="81">
        <f>'CONCRETO VV'!G17</f>
        <v>0.2</v>
      </c>
      <c r="L17" s="82">
        <f>'CONCRETO VV'!H17</f>
        <v>1</v>
      </c>
      <c r="M17" s="83">
        <f t="shared" si="0"/>
        <v>2.2799999999999998</v>
      </c>
      <c r="N17" s="84"/>
      <c r="O17" s="84"/>
      <c r="P17" s="82"/>
      <c r="Q17" s="85"/>
      <c r="R17" s="85">
        <f t="shared" si="1"/>
        <v>2.2799999999999998</v>
      </c>
      <c r="S17" s="154" t="s">
        <v>58</v>
      </c>
      <c r="T17" s="215">
        <v>9</v>
      </c>
      <c r="U17" s="92"/>
      <c r="V17" s="86"/>
      <c r="W17" s="86"/>
      <c r="X17" s="86"/>
      <c r="Y17" s="151"/>
      <c r="Z17" s="87"/>
      <c r="AA17" s="88"/>
      <c r="AB17" s="89"/>
    </row>
    <row r="18" spans="1:28" s="1" customFormat="1" ht="21" customHeight="1">
      <c r="A18" s="11"/>
      <c r="B18" s="25"/>
      <c r="C18" s="76" t="str">
        <f>'CONCRETO VV'!C18</f>
        <v>V10, V12, V14, V16</v>
      </c>
      <c r="D18" s="854">
        <f>'CONCRETO VV'!D18</f>
        <v>7.45</v>
      </c>
      <c r="E18" s="855"/>
      <c r="F18" s="856"/>
      <c r="G18" s="854">
        <f>'CONCRETO VV'!E18</f>
        <v>1.5</v>
      </c>
      <c r="H18" s="855"/>
      <c r="I18" s="856"/>
      <c r="J18" s="226">
        <f>'CONCRETO VV'!F18</f>
        <v>0.32</v>
      </c>
      <c r="K18" s="81">
        <f>'CONCRETO VV'!G18</f>
        <v>0.2</v>
      </c>
      <c r="L18" s="82">
        <f>'CONCRETO VV'!H18</f>
        <v>4</v>
      </c>
      <c r="M18" s="83">
        <f t="shared" si="0"/>
        <v>7.03</v>
      </c>
      <c r="N18" s="160"/>
      <c r="O18" s="160"/>
      <c r="P18" s="40"/>
      <c r="Q18" s="42"/>
      <c r="R18" s="85">
        <f t="shared" si="1"/>
        <v>7.03</v>
      </c>
      <c r="S18" s="154" t="s">
        <v>58</v>
      </c>
      <c r="T18" s="215">
        <v>9</v>
      </c>
      <c r="U18" s="48"/>
      <c r="V18" s="120"/>
      <c r="W18" s="120"/>
      <c r="X18" s="120"/>
      <c r="Y18" s="142"/>
      <c r="Z18" s="15"/>
      <c r="AA18" s="17"/>
      <c r="AB18" s="44"/>
    </row>
    <row r="19" spans="1:28" s="1" customFormat="1" ht="21" customHeight="1">
      <c r="A19" s="11"/>
      <c r="B19" s="274"/>
      <c r="C19" s="76" t="str">
        <f>'CONCRETO VV'!C19</f>
        <v>V11, V13, V15</v>
      </c>
      <c r="D19" s="854">
        <f>'CONCRETO VV'!D19</f>
        <v>10.35</v>
      </c>
      <c r="E19" s="855"/>
      <c r="F19" s="856"/>
      <c r="G19" s="854">
        <f>'CONCRETO VV'!E19</f>
        <v>1.5</v>
      </c>
      <c r="H19" s="855"/>
      <c r="I19" s="856"/>
      <c r="J19" s="226">
        <f>'CONCRETO VV'!F19</f>
        <v>0.32</v>
      </c>
      <c r="K19" s="81">
        <f>'CONCRETO VV'!G19</f>
        <v>0.2</v>
      </c>
      <c r="L19" s="82">
        <f>'CONCRETO VV'!H19</f>
        <v>4</v>
      </c>
      <c r="M19" s="83">
        <f t="shared" ref="M19:M23" si="2">ROUND(D19*(G19-J19)*K19*L19,2)</f>
        <v>9.77</v>
      </c>
      <c r="N19" s="160"/>
      <c r="O19" s="160"/>
      <c r="P19" s="40"/>
      <c r="Q19" s="42"/>
      <c r="R19" s="85">
        <f t="shared" si="1"/>
        <v>9.77</v>
      </c>
      <c r="S19" s="154" t="s">
        <v>58</v>
      </c>
      <c r="T19" s="215">
        <v>9</v>
      </c>
      <c r="U19" s="276"/>
      <c r="V19" s="120"/>
      <c r="W19" s="120"/>
      <c r="X19" s="120"/>
      <c r="Y19" s="142"/>
      <c r="Z19" s="15"/>
      <c r="AA19" s="17"/>
      <c r="AB19" s="44"/>
    </row>
    <row r="20" spans="1:28" s="1" customFormat="1" ht="21" customHeight="1">
      <c r="A20" s="11"/>
      <c r="B20" s="274"/>
      <c r="C20" s="76" t="str">
        <f>'CONCRETO VV'!C20</f>
        <v>V17b</v>
      </c>
      <c r="D20" s="854">
        <f>'CONCRETO VV'!D20</f>
        <v>3.73</v>
      </c>
      <c r="E20" s="855"/>
      <c r="F20" s="856"/>
      <c r="G20" s="854">
        <f>'CONCRETO VV'!E20</f>
        <v>1.5</v>
      </c>
      <c r="H20" s="855"/>
      <c r="I20" s="856"/>
      <c r="J20" s="226">
        <f>'CONCRETO VV'!F20</f>
        <v>0.32</v>
      </c>
      <c r="K20" s="81">
        <f>'CONCRETO VV'!G20</f>
        <v>0.2</v>
      </c>
      <c r="L20" s="82">
        <f>'CONCRETO VV'!H20</f>
        <v>1</v>
      </c>
      <c r="M20" s="83">
        <f t="shared" si="2"/>
        <v>0.88</v>
      </c>
      <c r="N20" s="160"/>
      <c r="O20" s="160"/>
      <c r="P20" s="40"/>
      <c r="Q20" s="42"/>
      <c r="R20" s="85">
        <f t="shared" si="1"/>
        <v>0.88</v>
      </c>
      <c r="S20" s="154" t="s">
        <v>58</v>
      </c>
      <c r="T20" s="215">
        <v>9</v>
      </c>
      <c r="U20" s="276"/>
      <c r="V20" s="120"/>
      <c r="W20" s="120"/>
      <c r="X20" s="120"/>
      <c r="Y20" s="142"/>
      <c r="Z20" s="15"/>
      <c r="AA20" s="17"/>
      <c r="AB20" s="44"/>
    </row>
    <row r="21" spans="1:28" s="1" customFormat="1" ht="21" customHeight="1">
      <c r="A21" s="11"/>
      <c r="B21" s="274"/>
      <c r="C21" s="76" t="str">
        <f>'CONCRETO VV'!C21</f>
        <v>V17c</v>
      </c>
      <c r="D21" s="854">
        <f>'CONCRETO VV'!D21</f>
        <v>3.73</v>
      </c>
      <c r="E21" s="855"/>
      <c r="F21" s="856"/>
      <c r="G21" s="854">
        <f>'CONCRETO VV'!E21</f>
        <v>1.85</v>
      </c>
      <c r="H21" s="855"/>
      <c r="I21" s="856"/>
      <c r="J21" s="226">
        <f>'CONCRETO VV'!F21</f>
        <v>0.32</v>
      </c>
      <c r="K21" s="81">
        <f>'CONCRETO VV'!G21</f>
        <v>0.2</v>
      </c>
      <c r="L21" s="82">
        <f>'CONCRETO VV'!H21</f>
        <v>1</v>
      </c>
      <c r="M21" s="83">
        <f t="shared" si="2"/>
        <v>1.1399999999999999</v>
      </c>
      <c r="N21" s="160"/>
      <c r="O21" s="160"/>
      <c r="P21" s="40"/>
      <c r="Q21" s="42"/>
      <c r="R21" s="85">
        <f t="shared" si="1"/>
        <v>1.1399999999999999</v>
      </c>
      <c r="S21" s="154" t="s">
        <v>58</v>
      </c>
      <c r="T21" s="215">
        <v>9</v>
      </c>
      <c r="U21" s="276"/>
      <c r="V21" s="120"/>
      <c r="W21" s="120"/>
      <c r="X21" s="120"/>
      <c r="Y21" s="142"/>
      <c r="Z21" s="15"/>
      <c r="AA21" s="17"/>
      <c r="AB21" s="44"/>
    </row>
    <row r="22" spans="1:28" s="1" customFormat="1" ht="21" customHeight="1">
      <c r="A22" s="11"/>
      <c r="B22" s="274"/>
      <c r="C22" s="76" t="str">
        <f>'CONCRETO VV'!C22</f>
        <v>V18</v>
      </c>
      <c r="D22" s="854">
        <f>'CONCRETO VV'!D22</f>
        <v>4.5999999999999996</v>
      </c>
      <c r="E22" s="855"/>
      <c r="F22" s="856"/>
      <c r="G22" s="854">
        <f>'CONCRETO VV'!E22</f>
        <v>1.5</v>
      </c>
      <c r="H22" s="855"/>
      <c r="I22" s="856"/>
      <c r="J22" s="226">
        <f>'CONCRETO VV'!F22</f>
        <v>0.32</v>
      </c>
      <c r="K22" s="81">
        <f>'CONCRETO VV'!G22</f>
        <v>0.3</v>
      </c>
      <c r="L22" s="82">
        <f>'CONCRETO VV'!H22</f>
        <v>1</v>
      </c>
      <c r="M22" s="83">
        <f t="shared" si="2"/>
        <v>1.63</v>
      </c>
      <c r="N22" s="160"/>
      <c r="O22" s="160"/>
      <c r="P22" s="40"/>
      <c r="Q22" s="42"/>
      <c r="R22" s="85">
        <f t="shared" si="1"/>
        <v>1.63</v>
      </c>
      <c r="S22" s="154" t="s">
        <v>58</v>
      </c>
      <c r="T22" s="215">
        <v>9</v>
      </c>
      <c r="U22" s="276"/>
      <c r="V22" s="120"/>
      <c r="W22" s="120"/>
      <c r="X22" s="120"/>
      <c r="Y22" s="142"/>
      <c r="Z22" s="15"/>
      <c r="AA22" s="17"/>
      <c r="AB22" s="44"/>
    </row>
    <row r="23" spans="1:28" s="1" customFormat="1" ht="21" customHeight="1">
      <c r="A23" s="11"/>
      <c r="B23" s="274"/>
      <c r="C23" s="76" t="str">
        <f>'CONCRETO VV'!C23</f>
        <v>V19a</v>
      </c>
      <c r="D23" s="854">
        <f>'CONCRETO VV'!D23</f>
        <v>2.7</v>
      </c>
      <c r="E23" s="855"/>
      <c r="F23" s="856"/>
      <c r="G23" s="854">
        <f>'CONCRETO VV'!E23</f>
        <v>1.5</v>
      </c>
      <c r="H23" s="855"/>
      <c r="I23" s="856"/>
      <c r="J23" s="226">
        <f>'CONCRETO VV'!F23</f>
        <v>0.32</v>
      </c>
      <c r="K23" s="81">
        <f>'CONCRETO VV'!G23</f>
        <v>0.2</v>
      </c>
      <c r="L23" s="82">
        <f>'CONCRETO VV'!H23</f>
        <v>1</v>
      </c>
      <c r="M23" s="83">
        <f t="shared" si="2"/>
        <v>0.64</v>
      </c>
      <c r="N23" s="160"/>
      <c r="O23" s="160"/>
      <c r="P23" s="40"/>
      <c r="Q23" s="42"/>
      <c r="R23" s="85">
        <f t="shared" si="1"/>
        <v>0.64</v>
      </c>
      <c r="S23" s="154" t="s">
        <v>58</v>
      </c>
      <c r="T23" s="215">
        <v>9</v>
      </c>
      <c r="U23" s="276"/>
      <c r="V23" s="120"/>
      <c r="W23" s="120"/>
      <c r="X23" s="120"/>
      <c r="Y23" s="142"/>
      <c r="Z23" s="15"/>
      <c r="AA23" s="17"/>
      <c r="AB23" s="44"/>
    </row>
    <row r="24" spans="1:28" s="1" customFormat="1" ht="21" customHeight="1">
      <c r="A24" s="11"/>
      <c r="B24" s="274"/>
      <c r="C24" s="710" t="str">
        <f>'CONCRETO VV'!C25</f>
        <v>V03b</v>
      </c>
      <c r="D24" s="854">
        <f>'CONCRETO VV'!D25</f>
        <v>1.8</v>
      </c>
      <c r="E24" s="855"/>
      <c r="F24" s="856"/>
      <c r="G24" s="854">
        <f>'CONCRETO VV'!E25</f>
        <v>1.1000000000000001</v>
      </c>
      <c r="H24" s="855"/>
      <c r="I24" s="856"/>
      <c r="J24" s="226">
        <f>'CONCRETO VV'!F25</f>
        <v>0.32</v>
      </c>
      <c r="K24" s="81">
        <f>'CONCRETO VV'!G25</f>
        <v>0.3</v>
      </c>
      <c r="L24" s="82">
        <f>'CONCRETO VV'!H25</f>
        <v>1</v>
      </c>
      <c r="M24" s="83">
        <f>ROUND(D24*(G24-J24)*K24*L24,2)</f>
        <v>0.42</v>
      </c>
      <c r="N24" s="160"/>
      <c r="O24" s="160"/>
      <c r="P24" s="40"/>
      <c r="Q24" s="42"/>
      <c r="R24" s="85">
        <f t="shared" si="1"/>
        <v>0.42</v>
      </c>
      <c r="S24" s="154" t="s">
        <v>58</v>
      </c>
      <c r="T24" s="215">
        <v>9</v>
      </c>
      <c r="U24" s="276"/>
      <c r="V24" s="120"/>
      <c r="W24" s="120"/>
      <c r="X24" s="120"/>
      <c r="Y24" s="142"/>
      <c r="Z24" s="15"/>
      <c r="AA24" s="17"/>
      <c r="AB24" s="44"/>
    </row>
    <row r="25" spans="1:28" s="1" customFormat="1" ht="21" customHeight="1">
      <c r="A25" s="11"/>
      <c r="B25" s="274"/>
      <c r="C25" s="710" t="str">
        <f>'CONCRETO VV'!C26</f>
        <v>V05b</v>
      </c>
      <c r="D25" s="854">
        <f>'CONCRETO VV'!D26</f>
        <v>1.5</v>
      </c>
      <c r="E25" s="855"/>
      <c r="F25" s="856"/>
      <c r="G25" s="854">
        <f>'CONCRETO VV'!E26</f>
        <v>1.1000000000000001</v>
      </c>
      <c r="H25" s="855"/>
      <c r="I25" s="856"/>
      <c r="J25" s="226">
        <f>'CONCRETO VV'!F26</f>
        <v>0.32</v>
      </c>
      <c r="K25" s="81">
        <f>'CONCRETO VV'!G26</f>
        <v>0.2</v>
      </c>
      <c r="L25" s="82">
        <f>'CONCRETO VV'!H26</f>
        <v>1</v>
      </c>
      <c r="M25" s="83">
        <f t="shared" ref="M25:M28" si="3">ROUND(D25*(G25-J25)*K25*L25,2)</f>
        <v>0.23</v>
      </c>
      <c r="N25" s="160"/>
      <c r="O25" s="160"/>
      <c r="P25" s="40"/>
      <c r="Q25" s="42"/>
      <c r="R25" s="85">
        <f t="shared" si="1"/>
        <v>0.23</v>
      </c>
      <c r="S25" s="154" t="s">
        <v>58</v>
      </c>
      <c r="T25" s="215">
        <v>9</v>
      </c>
      <c r="U25" s="276"/>
      <c r="V25" s="120"/>
      <c r="W25" s="120"/>
      <c r="X25" s="120"/>
      <c r="Y25" s="142"/>
      <c r="Z25" s="15"/>
      <c r="AA25" s="17"/>
      <c r="AB25" s="44"/>
    </row>
    <row r="26" spans="1:28" s="1" customFormat="1" ht="21" customHeight="1">
      <c r="A26" s="11"/>
      <c r="B26" s="274"/>
      <c r="C26" s="710" t="str">
        <f>'CONCRETO VV'!C27</f>
        <v>V06</v>
      </c>
      <c r="D26" s="854">
        <f>'CONCRETO VV'!D27</f>
        <v>3.3</v>
      </c>
      <c r="E26" s="855"/>
      <c r="F26" s="856"/>
      <c r="G26" s="854">
        <f>'CONCRETO VV'!E27</f>
        <v>1.1000000000000001</v>
      </c>
      <c r="H26" s="855"/>
      <c r="I26" s="856"/>
      <c r="J26" s="226">
        <f>'CONCRETO VV'!F27</f>
        <v>0.32</v>
      </c>
      <c r="K26" s="81">
        <f>'CONCRETO VV'!G27</f>
        <v>0.45</v>
      </c>
      <c r="L26" s="82">
        <f>'CONCRETO VV'!H27</f>
        <v>1</v>
      </c>
      <c r="M26" s="83">
        <f t="shared" si="3"/>
        <v>1.1599999999999999</v>
      </c>
      <c r="N26" s="160"/>
      <c r="O26" s="160"/>
      <c r="P26" s="40"/>
      <c r="Q26" s="42"/>
      <c r="R26" s="85">
        <f t="shared" si="1"/>
        <v>1.1599999999999999</v>
      </c>
      <c r="S26" s="154" t="s">
        <v>58</v>
      </c>
      <c r="T26" s="215">
        <v>9</v>
      </c>
      <c r="U26" s="276"/>
      <c r="V26" s="120"/>
      <c r="W26" s="120"/>
      <c r="X26" s="120"/>
      <c r="Y26" s="142"/>
      <c r="Z26" s="15"/>
      <c r="AA26" s="17"/>
      <c r="AB26" s="44"/>
    </row>
    <row r="27" spans="1:28" s="1" customFormat="1" ht="21" customHeight="1">
      <c r="A27" s="11"/>
      <c r="B27" s="274"/>
      <c r="C27" s="710" t="str">
        <f>'CONCRETO VV'!C28</f>
        <v>V07a</v>
      </c>
      <c r="D27" s="854">
        <f>'CONCRETO VV'!D28</f>
        <v>6.3000000000000007</v>
      </c>
      <c r="E27" s="855"/>
      <c r="F27" s="856"/>
      <c r="G27" s="854">
        <f>'CONCRETO VV'!E28</f>
        <v>1.1000000000000001</v>
      </c>
      <c r="H27" s="855"/>
      <c r="I27" s="856"/>
      <c r="J27" s="226">
        <f>'CONCRETO VV'!F28</f>
        <v>0.32</v>
      </c>
      <c r="K27" s="81">
        <f>'CONCRETO VV'!G28</f>
        <v>0.3</v>
      </c>
      <c r="L27" s="82">
        <f>'CONCRETO VV'!H28</f>
        <v>1</v>
      </c>
      <c r="M27" s="83">
        <f t="shared" si="3"/>
        <v>1.47</v>
      </c>
      <c r="N27" s="160"/>
      <c r="O27" s="160"/>
      <c r="P27" s="40"/>
      <c r="Q27" s="42"/>
      <c r="R27" s="85">
        <f t="shared" si="1"/>
        <v>1.47</v>
      </c>
      <c r="S27" s="154" t="s">
        <v>58</v>
      </c>
      <c r="T27" s="215">
        <v>9</v>
      </c>
      <c r="U27" s="276"/>
      <c r="V27" s="120"/>
      <c r="W27" s="120"/>
      <c r="X27" s="120"/>
      <c r="Y27" s="142"/>
      <c r="Z27" s="15"/>
      <c r="AA27" s="17"/>
      <c r="AB27" s="44"/>
    </row>
    <row r="28" spans="1:28" s="1" customFormat="1" ht="21" customHeight="1">
      <c r="A28" s="11"/>
      <c r="B28" s="274"/>
      <c r="C28" s="710" t="str">
        <f>'CONCRETO VV'!C29</f>
        <v>V19b</v>
      </c>
      <c r="D28" s="854">
        <f>'CONCRETO VV'!D29</f>
        <v>1.9</v>
      </c>
      <c r="E28" s="855"/>
      <c r="F28" s="856"/>
      <c r="G28" s="854">
        <f>'CONCRETO VV'!E29</f>
        <v>1.1000000000000001</v>
      </c>
      <c r="H28" s="855"/>
      <c r="I28" s="856"/>
      <c r="J28" s="226">
        <f>'CONCRETO VV'!F29</f>
        <v>0.32</v>
      </c>
      <c r="K28" s="81">
        <f>'CONCRETO VV'!G29</f>
        <v>0.2</v>
      </c>
      <c r="L28" s="82">
        <f>'CONCRETO VV'!H29</f>
        <v>1</v>
      </c>
      <c r="M28" s="83">
        <f t="shared" si="3"/>
        <v>0.3</v>
      </c>
      <c r="N28" s="160"/>
      <c r="O28" s="160"/>
      <c r="P28" s="40"/>
      <c r="Q28" s="42"/>
      <c r="R28" s="85">
        <f t="shared" si="1"/>
        <v>0.3</v>
      </c>
      <c r="S28" s="154" t="s">
        <v>58</v>
      </c>
      <c r="T28" s="215">
        <v>9</v>
      </c>
      <c r="U28" s="276"/>
      <c r="V28" s="120"/>
      <c r="W28" s="120"/>
      <c r="X28" s="120"/>
      <c r="Y28" s="142"/>
      <c r="Z28" s="15"/>
      <c r="AA28" s="17"/>
      <c r="AB28" s="44"/>
    </row>
    <row r="29" spans="1:28" s="1" customFormat="1" ht="21" customHeight="1">
      <c r="A29" s="11"/>
      <c r="B29" s="274"/>
      <c r="C29" s="710" t="str">
        <f>'CONCRETO VV'!C30</f>
        <v>V20</v>
      </c>
      <c r="D29" s="854">
        <f>'CONCRETO VV'!D30</f>
        <v>3.3</v>
      </c>
      <c r="E29" s="855"/>
      <c r="F29" s="856"/>
      <c r="G29" s="854">
        <f>'CONCRETO VV'!E30</f>
        <v>1.1000000000000001</v>
      </c>
      <c r="H29" s="855"/>
      <c r="I29" s="856"/>
      <c r="J29" s="226">
        <f>'CONCRETO VV'!F30</f>
        <v>0.32</v>
      </c>
      <c r="K29" s="81">
        <f>'CONCRETO VV'!G30</f>
        <v>0.3</v>
      </c>
      <c r="L29" s="82">
        <f>'CONCRETO VV'!H30</f>
        <v>1</v>
      </c>
      <c r="M29" s="83">
        <v>4.2034400000000289</v>
      </c>
      <c r="N29" s="160"/>
      <c r="O29" s="160"/>
      <c r="P29" s="40"/>
      <c r="Q29" s="42"/>
      <c r="R29" s="85">
        <f t="shared" si="1"/>
        <v>4.2034400000000289</v>
      </c>
      <c r="S29" s="154" t="s">
        <v>58</v>
      </c>
      <c r="T29" s="215">
        <v>9</v>
      </c>
      <c r="U29" s="276"/>
      <c r="V29" s="120"/>
      <c r="W29" s="120"/>
      <c r="X29" s="120"/>
      <c r="Y29" s="142"/>
      <c r="Z29" s="15"/>
      <c r="AA29" s="17"/>
      <c r="AB29" s="44"/>
    </row>
    <row r="30" spans="1:28" s="73" customFormat="1" ht="28.5" customHeight="1">
      <c r="A30" s="64"/>
      <c r="B30" s="109"/>
      <c r="C30" s="237" t="s">
        <v>1359</v>
      </c>
      <c r="D30" s="854">
        <v>21.88</v>
      </c>
      <c r="E30" s="855"/>
      <c r="F30" s="856"/>
      <c r="G30" s="851">
        <v>10.35</v>
      </c>
      <c r="H30" s="852"/>
      <c r="I30" s="853"/>
      <c r="J30" s="226"/>
      <c r="K30" s="81">
        <v>0.12</v>
      </c>
      <c r="L30" s="82"/>
      <c r="M30" s="83">
        <f>D30*G30*K30</f>
        <v>27.174959999999995</v>
      </c>
      <c r="N30" s="105"/>
      <c r="O30" s="84"/>
      <c r="P30" s="82"/>
      <c r="Q30" s="93"/>
      <c r="R30" s="85">
        <f t="shared" si="1"/>
        <v>27.174959999999995</v>
      </c>
      <c r="S30" s="154" t="s">
        <v>58</v>
      </c>
      <c r="T30" s="215">
        <v>9</v>
      </c>
      <c r="U30" s="94"/>
      <c r="V30" s="71"/>
      <c r="W30" s="71"/>
      <c r="X30" s="152"/>
      <c r="Y30" s="153"/>
      <c r="Z30" s="72"/>
    </row>
    <row r="31" spans="1:28" s="1" customFormat="1" ht="21" customHeight="1">
      <c r="A31" s="11"/>
      <c r="B31" s="274"/>
      <c r="C31" s="710"/>
      <c r="D31" s="681"/>
      <c r="E31" s="682"/>
      <c r="F31" s="683"/>
      <c r="G31" s="681"/>
      <c r="H31" s="682"/>
      <c r="I31" s="683"/>
      <c r="J31" s="226"/>
      <c r="K31" s="81"/>
      <c r="L31" s="82"/>
      <c r="M31" s="83"/>
      <c r="N31" s="160"/>
      <c r="O31" s="160"/>
      <c r="P31" s="40"/>
      <c r="Q31" s="42"/>
      <c r="R31" s="85"/>
      <c r="S31" s="154"/>
      <c r="T31" s="215"/>
      <c r="U31" s="276"/>
      <c r="V31" s="120"/>
      <c r="W31" s="120"/>
      <c r="X31" s="120"/>
      <c r="Y31" s="142"/>
      <c r="Z31" s="15"/>
      <c r="AA31" s="17"/>
      <c r="AB31" s="44"/>
    </row>
    <row r="32" spans="1:28" s="1" customFormat="1" ht="21" customHeight="1">
      <c r="A32" s="11"/>
      <c r="B32" s="274"/>
      <c r="C32" s="710"/>
      <c r="D32" s="681"/>
      <c r="E32" s="682"/>
      <c r="F32" s="683"/>
      <c r="G32" s="681"/>
      <c r="H32" s="682"/>
      <c r="I32" s="683"/>
      <c r="J32" s="226"/>
      <c r="K32" s="81"/>
      <c r="L32" s="82"/>
      <c r="M32" s="83"/>
      <c r="N32" s="160"/>
      <c r="O32" s="160"/>
      <c r="P32" s="40"/>
      <c r="Q32" s="42"/>
      <c r="R32" s="85"/>
      <c r="S32" s="154"/>
      <c r="T32" s="215"/>
      <c r="U32" s="276"/>
      <c r="V32" s="120"/>
      <c r="W32" s="120"/>
      <c r="X32" s="120"/>
      <c r="Y32" s="142"/>
      <c r="Z32" s="15"/>
      <c r="AA32" s="17"/>
      <c r="AB32" s="44"/>
    </row>
    <row r="33" spans="1:28" s="1" customFormat="1" ht="21" customHeight="1">
      <c r="A33" s="11"/>
      <c r="B33" s="274"/>
      <c r="C33" s="710"/>
      <c r="D33" s="681"/>
      <c r="E33" s="682"/>
      <c r="F33" s="683"/>
      <c r="G33" s="681"/>
      <c r="H33" s="682"/>
      <c r="I33" s="683"/>
      <c r="J33" s="226"/>
      <c r="K33" s="81"/>
      <c r="L33" s="82"/>
      <c r="M33" s="83"/>
      <c r="N33" s="160"/>
      <c r="O33" s="160"/>
      <c r="P33" s="40"/>
      <c r="Q33" s="42"/>
      <c r="R33" s="85"/>
      <c r="S33" s="154"/>
      <c r="T33" s="215"/>
      <c r="U33" s="276"/>
      <c r="V33" s="120"/>
      <c r="W33" s="120"/>
      <c r="X33" s="120"/>
      <c r="Y33" s="142"/>
      <c r="Z33" s="15"/>
      <c r="AA33" s="17"/>
      <c r="AB33" s="44"/>
    </row>
    <row r="34" spans="1:28" s="1" customFormat="1" ht="21" customHeight="1">
      <c r="A34" s="11"/>
      <c r="B34" s="274"/>
      <c r="C34" s="710"/>
      <c r="D34" s="854"/>
      <c r="E34" s="855"/>
      <c r="F34" s="856"/>
      <c r="G34" s="854"/>
      <c r="H34" s="855"/>
      <c r="I34" s="856"/>
      <c r="J34" s="226"/>
      <c r="K34" s="81"/>
      <c r="L34" s="82"/>
      <c r="M34" s="83"/>
      <c r="N34" s="160"/>
      <c r="O34" s="160"/>
      <c r="P34" s="40"/>
      <c r="Q34" s="42"/>
      <c r="R34" s="60"/>
      <c r="S34" s="43"/>
      <c r="T34" s="275"/>
      <c r="U34" s="276"/>
      <c r="V34" s="120"/>
      <c r="W34" s="120"/>
      <c r="X34" s="120"/>
      <c r="Y34" s="142"/>
      <c r="Z34" s="15"/>
      <c r="AA34" s="17"/>
      <c r="AB34" s="44"/>
    </row>
    <row r="35" spans="1:28" ht="21" customHeight="1">
      <c r="B35" s="118"/>
      <c r="C35" s="119"/>
      <c r="D35" s="26"/>
      <c r="E35" s="159"/>
      <c r="F35" s="27"/>
      <c r="G35" s="26"/>
      <c r="H35" s="159"/>
      <c r="I35" s="27"/>
      <c r="J35" s="28"/>
      <c r="K35" s="49"/>
      <c r="L35" s="40"/>
      <c r="M35" s="41"/>
      <c r="N35" s="160"/>
      <c r="O35" s="160"/>
      <c r="P35" s="40"/>
      <c r="Q35" s="42"/>
      <c r="R35" s="60"/>
      <c r="S35" s="43"/>
      <c r="T35" s="216"/>
      <c r="U35" s="117"/>
    </row>
    <row r="36" spans="1:28" ht="39.6" customHeight="1">
      <c r="B36" s="161"/>
      <c r="C36" s="162"/>
      <c r="D36" s="806" t="s">
        <v>11</v>
      </c>
      <c r="E36" s="807"/>
      <c r="F36" s="807"/>
      <c r="G36" s="807"/>
      <c r="H36" s="807"/>
      <c r="I36" s="808"/>
      <c r="J36" s="809">
        <f>DEZ!I587</f>
        <v>136.65</v>
      </c>
      <c r="K36" s="810"/>
      <c r="L36" s="50" t="s">
        <v>58</v>
      </c>
      <c r="M36" s="803" t="s">
        <v>12</v>
      </c>
      <c r="N36" s="811"/>
      <c r="O36" s="811"/>
      <c r="P36" s="811"/>
      <c r="Q36" s="805"/>
      <c r="R36" s="61">
        <f>SUM(R12:R35)</f>
        <v>136.65</v>
      </c>
      <c r="S36" s="51" t="str">
        <f>L36</f>
        <v>m3</v>
      </c>
      <c r="T36" s="22"/>
      <c r="U36" s="23"/>
    </row>
    <row r="37" spans="1:28" ht="21" customHeight="1">
      <c r="B37" s="163"/>
      <c r="C37" s="19"/>
      <c r="D37" s="817" t="s">
        <v>13</v>
      </c>
      <c r="E37" s="818"/>
      <c r="F37" s="818"/>
      <c r="G37" s="818"/>
      <c r="H37" s="818"/>
      <c r="I37" s="819"/>
      <c r="J37" s="823">
        <f>R36/J36</f>
        <v>1</v>
      </c>
      <c r="K37" s="824"/>
      <c r="L37" s="827"/>
      <c r="M37" s="803" t="s">
        <v>34</v>
      </c>
      <c r="N37" s="804"/>
      <c r="O37" s="804"/>
      <c r="P37" s="804"/>
      <c r="Q37" s="805"/>
      <c r="R37" s="61">
        <f>SUM(R12:R30)</f>
        <v>136.65</v>
      </c>
      <c r="S37" s="52" t="str">
        <f>L36</f>
        <v>m3</v>
      </c>
      <c r="T37" s="22"/>
      <c r="U37" s="23"/>
    </row>
    <row r="38" spans="1:28" ht="21" customHeight="1">
      <c r="A38" s="10" t="s">
        <v>469</v>
      </c>
      <c r="B38" s="165"/>
      <c r="C38" s="164"/>
      <c r="D38" s="820"/>
      <c r="E38" s="821"/>
      <c r="F38" s="821"/>
      <c r="G38" s="821"/>
      <c r="H38" s="821"/>
      <c r="I38" s="822"/>
      <c r="J38" s="825"/>
      <c r="K38" s="826"/>
      <c r="L38" s="828"/>
      <c r="M38" s="803" t="s">
        <v>14</v>
      </c>
      <c r="N38" s="804"/>
      <c r="O38" s="804"/>
      <c r="P38" s="804"/>
      <c r="Q38" s="805"/>
      <c r="R38" s="62">
        <f>R36-R37</f>
        <v>0</v>
      </c>
      <c r="S38" s="53" t="str">
        <f>L36</f>
        <v>m3</v>
      </c>
      <c r="T38" s="54"/>
      <c r="U38" s="24"/>
    </row>
    <row r="39" spans="1:28" ht="21" customHeight="1">
      <c r="B39" s="218"/>
      <c r="C39" s="217"/>
      <c r="M39" s="803" t="s">
        <v>53</v>
      </c>
      <c r="N39" s="804"/>
      <c r="O39" s="804"/>
      <c r="P39" s="804"/>
      <c r="Q39" s="805"/>
      <c r="R39" s="62">
        <f>DEZ!E587</f>
        <v>486.08</v>
      </c>
      <c r="S39" s="53"/>
      <c r="T39" s="54"/>
      <c r="U39" s="24"/>
    </row>
    <row r="40" spans="1:28" ht="21" customHeight="1">
      <c r="B40" s="163"/>
      <c r="C40" s="219"/>
      <c r="M40" s="803" t="s">
        <v>54</v>
      </c>
      <c r="N40" s="804"/>
      <c r="O40" s="804"/>
      <c r="P40" s="804"/>
      <c r="Q40" s="805"/>
      <c r="R40" s="62">
        <f>TRUNC(R39*R38,2)</f>
        <v>0</v>
      </c>
      <c r="S40" s="53" t="s">
        <v>55</v>
      </c>
      <c r="T40" s="54"/>
      <c r="U40" s="24"/>
    </row>
  </sheetData>
  <mergeCells count="74">
    <mergeCell ref="D34:F34"/>
    <mergeCell ref="G34:I34"/>
    <mergeCell ref="D24:F24"/>
    <mergeCell ref="G24:I24"/>
    <mergeCell ref="D25:F25"/>
    <mergeCell ref="G25:I25"/>
    <mergeCell ref="D26:F26"/>
    <mergeCell ref="G26:I26"/>
    <mergeCell ref="D27:F27"/>
    <mergeCell ref="G27:I27"/>
    <mergeCell ref="D28:F28"/>
    <mergeCell ref="G28:I28"/>
    <mergeCell ref="D30:F30"/>
    <mergeCell ref="G30:I30"/>
    <mergeCell ref="D29:F29"/>
    <mergeCell ref="G29:I29"/>
    <mergeCell ref="D23:F23"/>
    <mergeCell ref="G23:I23"/>
    <mergeCell ref="D17:F17"/>
    <mergeCell ref="G17:I17"/>
    <mergeCell ref="D18:F18"/>
    <mergeCell ref="G18:I18"/>
    <mergeCell ref="D19:F19"/>
    <mergeCell ref="G19:I19"/>
    <mergeCell ref="D20:F20"/>
    <mergeCell ref="G20:I20"/>
    <mergeCell ref="D21:F21"/>
    <mergeCell ref="G21:I21"/>
    <mergeCell ref="D22:F22"/>
    <mergeCell ref="G22:I22"/>
    <mergeCell ref="R10:R11"/>
    <mergeCell ref="S10:S11"/>
    <mergeCell ref="D15:F15"/>
    <mergeCell ref="G15:I15"/>
    <mergeCell ref="D16:F16"/>
    <mergeCell ref="G16:I16"/>
    <mergeCell ref="M40:Q40"/>
    <mergeCell ref="D12:F12"/>
    <mergeCell ref="G12:I12"/>
    <mergeCell ref="D13:F13"/>
    <mergeCell ref="G13:I13"/>
    <mergeCell ref="D14:F14"/>
    <mergeCell ref="G14:I14"/>
    <mergeCell ref="D37:I38"/>
    <mergeCell ref="J37:K38"/>
    <mergeCell ref="L37:L38"/>
    <mergeCell ref="M37:Q37"/>
    <mergeCell ref="D36:I36"/>
    <mergeCell ref="J36:K36"/>
    <mergeCell ref="M36:Q36"/>
    <mergeCell ref="M38:Q38"/>
    <mergeCell ref="M39:Q39"/>
    <mergeCell ref="T8:U8"/>
    <mergeCell ref="T9:U9"/>
    <mergeCell ref="B10:B11"/>
    <mergeCell ref="C10:C11"/>
    <mergeCell ref="D10:F11"/>
    <mergeCell ref="G10:I11"/>
    <mergeCell ref="J10:J11"/>
    <mergeCell ref="K10:K11"/>
    <mergeCell ref="M10:M11"/>
    <mergeCell ref="L10:L11"/>
    <mergeCell ref="T10:T11"/>
    <mergeCell ref="U10:U11"/>
    <mergeCell ref="N10:N11"/>
    <mergeCell ref="O10:O11"/>
    <mergeCell ref="P10:P11"/>
    <mergeCell ref="Q10:Q11"/>
    <mergeCell ref="T7:U7"/>
    <mergeCell ref="B1:U4"/>
    <mergeCell ref="V4:AA4"/>
    <mergeCell ref="B5:I5"/>
    <mergeCell ref="J5:O5"/>
    <mergeCell ref="P5:U5"/>
  </mergeCells>
  <conditionalFormatting sqref="J37:K40">
    <cfRule type="cellIs" dxfId="31" priority="1" operator="greaterThanOrEqual">
      <formula>1</formula>
    </cfRule>
    <cfRule type="cellIs" dxfId="30"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756B3-BAF8-405B-8A31-44610E126508}">
  <sheetPr codeName="Planilha185">
    <tabColor rgb="FF339933"/>
    <pageSetUpPr fitToPage="1"/>
  </sheetPr>
  <dimension ref="A1:AJ37"/>
  <sheetViews>
    <sheetView showGridLines="0" view="pageBreakPreview" topLeftCell="H1" zoomScale="50" zoomScaleNormal="55" zoomScaleSheetLayoutView="50" workbookViewId="0">
      <selection activeCell="R19" sqref="R1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20.85546875" style="2" customWidth="1"/>
    <col min="11" max="11" width="18.28515625" style="2" customWidth="1"/>
    <col min="12" max="12" width="16.42578125" style="2" customWidth="1"/>
    <col min="13" max="13" width="15.140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DEZ!A709</f>
        <v>5.6.1.14</v>
      </c>
      <c r="C10" s="845" t="str">
        <f>DEZ!C709</f>
        <v>Eletroduto flexível corrugado 3/4" , marca de referência TIGRE</v>
      </c>
      <c r="D10" s="816" t="s">
        <v>854</v>
      </c>
      <c r="E10" s="816"/>
      <c r="F10" s="816"/>
      <c r="G10" s="816" t="s">
        <v>33</v>
      </c>
      <c r="H10" s="816"/>
      <c r="I10" s="816"/>
      <c r="J10" s="812" t="s">
        <v>1351</v>
      </c>
      <c r="K10" s="812" t="s">
        <v>897</v>
      </c>
      <c r="L10" s="812" t="s">
        <v>62</v>
      </c>
      <c r="M10" s="812" t="s">
        <v>856</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1360</v>
      </c>
      <c r="D12" s="854">
        <v>28</v>
      </c>
      <c r="E12" s="855"/>
      <c r="F12" s="856"/>
      <c r="G12" s="851"/>
      <c r="H12" s="852"/>
      <c r="I12" s="853"/>
      <c r="J12" s="226"/>
      <c r="K12" s="81">
        <f>J16</f>
        <v>0</v>
      </c>
      <c r="L12" s="82"/>
      <c r="M12" s="83"/>
      <c r="N12" s="105"/>
      <c r="O12" s="84"/>
      <c r="P12" s="82"/>
      <c r="Q12" s="93"/>
      <c r="R12" s="85">
        <f>D12</f>
        <v>28</v>
      </c>
      <c r="S12" s="154" t="s">
        <v>51</v>
      </c>
      <c r="T12" s="215">
        <v>9</v>
      </c>
      <c r="U12" s="94"/>
      <c r="V12" s="71"/>
      <c r="W12" s="71"/>
      <c r="X12" s="152"/>
      <c r="Y12" s="153"/>
      <c r="Z12" s="72"/>
    </row>
    <row r="13" spans="1:36" s="73" customFormat="1" ht="28.5" customHeight="1">
      <c r="A13" s="64"/>
      <c r="B13" s="109"/>
      <c r="C13" s="237"/>
      <c r="D13" s="854"/>
      <c r="E13" s="855"/>
      <c r="F13" s="856"/>
      <c r="G13" s="851"/>
      <c r="H13" s="852"/>
      <c r="I13" s="853"/>
      <c r="J13" s="226"/>
      <c r="K13" s="81"/>
      <c r="L13" s="82"/>
      <c r="M13" s="83"/>
      <c r="N13" s="105"/>
      <c r="O13" s="84"/>
      <c r="P13" s="82"/>
      <c r="Q13" s="93"/>
      <c r="R13" s="85"/>
      <c r="S13" s="154"/>
      <c r="T13" s="215"/>
      <c r="U13" s="94"/>
      <c r="V13" s="71"/>
      <c r="W13" s="71"/>
      <c r="X13" s="152"/>
      <c r="Y13" s="153"/>
      <c r="Z13" s="72"/>
    </row>
    <row r="14" spans="1:36" s="90" customFormat="1" ht="21" customHeight="1">
      <c r="A14" s="75"/>
      <c r="B14" s="157"/>
      <c r="C14" s="76"/>
      <c r="D14" s="854"/>
      <c r="E14" s="855"/>
      <c r="F14" s="856"/>
      <c r="G14" s="854"/>
      <c r="H14" s="855"/>
      <c r="I14" s="856"/>
      <c r="J14" s="226"/>
      <c r="K14" s="81"/>
      <c r="L14" s="82"/>
      <c r="M14" s="83"/>
      <c r="N14" s="84"/>
      <c r="O14" s="84"/>
      <c r="P14" s="82"/>
      <c r="Q14" s="85"/>
      <c r="R14" s="85"/>
      <c r="S14" s="154"/>
      <c r="T14" s="215"/>
      <c r="U14" s="92"/>
      <c r="V14" s="86"/>
      <c r="W14" s="86"/>
      <c r="X14" s="86"/>
      <c r="Y14" s="151"/>
      <c r="Z14" s="87"/>
      <c r="AA14" s="88"/>
      <c r="AB14" s="89"/>
    </row>
    <row r="15" spans="1:36" s="1" customFormat="1" ht="21" customHeight="1">
      <c r="A15" s="11"/>
      <c r="B15" s="274"/>
      <c r="C15" s="710"/>
      <c r="D15" s="854"/>
      <c r="E15" s="855"/>
      <c r="F15" s="856"/>
      <c r="G15" s="854"/>
      <c r="H15" s="855"/>
      <c r="I15" s="856"/>
      <c r="J15" s="226"/>
      <c r="K15" s="81"/>
      <c r="L15" s="82"/>
      <c r="M15" s="83"/>
      <c r="N15" s="160"/>
      <c r="O15" s="160"/>
      <c r="P15" s="40"/>
      <c r="Q15" s="42"/>
      <c r="R15" s="60"/>
      <c r="S15" s="43"/>
      <c r="T15" s="275"/>
      <c r="U15" s="276"/>
      <c r="V15" s="120"/>
      <c r="W15" s="120"/>
      <c r="X15" s="120"/>
      <c r="Y15" s="142"/>
      <c r="Z15" s="15"/>
      <c r="AA15" s="17"/>
      <c r="AB15" s="44"/>
    </row>
    <row r="16" spans="1:36" ht="21" customHeight="1">
      <c r="B16" s="118"/>
      <c r="C16" s="119"/>
      <c r="D16" s="26"/>
      <c r="E16" s="159"/>
      <c r="F16" s="27"/>
      <c r="G16" s="26"/>
      <c r="H16" s="159"/>
      <c r="I16" s="27"/>
      <c r="J16" s="28"/>
      <c r="K16" s="49"/>
      <c r="L16" s="40"/>
      <c r="M16" s="41"/>
      <c r="N16" s="160"/>
      <c r="O16" s="160"/>
      <c r="P16" s="40"/>
      <c r="Q16" s="42"/>
      <c r="R16" s="60"/>
      <c r="S16" s="43"/>
      <c r="T16" s="216"/>
      <c r="U16" s="117"/>
    </row>
    <row r="17" spans="1:21" ht="39.6" customHeight="1">
      <c r="B17" s="161"/>
      <c r="C17" s="162"/>
      <c r="D17" s="806" t="s">
        <v>11</v>
      </c>
      <c r="E17" s="807"/>
      <c r="F17" s="807"/>
      <c r="G17" s="807"/>
      <c r="H17" s="807"/>
      <c r="I17" s="808"/>
      <c r="J17" s="809">
        <f>DEZ!I709</f>
        <v>78.400000000000006</v>
      </c>
      <c r="K17" s="810"/>
      <c r="L17" s="50" t="str">
        <f>DEZ!D680</f>
        <v>m</v>
      </c>
      <c r="M17" s="803" t="s">
        <v>12</v>
      </c>
      <c r="N17" s="811"/>
      <c r="O17" s="811"/>
      <c r="P17" s="811"/>
      <c r="Q17" s="805"/>
      <c r="R17" s="61">
        <f>SUM(R12:R16)</f>
        <v>28</v>
      </c>
      <c r="S17" s="51" t="str">
        <f>L17</f>
        <v>m</v>
      </c>
      <c r="T17" s="22"/>
      <c r="U17" s="23"/>
    </row>
    <row r="18" spans="1:21" ht="21" customHeight="1">
      <c r="B18" s="163"/>
      <c r="C18" s="19"/>
      <c r="D18" s="817" t="s">
        <v>13</v>
      </c>
      <c r="E18" s="818"/>
      <c r="F18" s="818"/>
      <c r="G18" s="818"/>
      <c r="H18" s="818"/>
      <c r="I18" s="819"/>
      <c r="J18" s="823">
        <f>R17/J17</f>
        <v>0.3571428571428571</v>
      </c>
      <c r="K18" s="824"/>
      <c r="L18" s="827"/>
      <c r="M18" s="803" t="s">
        <v>34</v>
      </c>
      <c r="N18" s="804"/>
      <c r="O18" s="804"/>
      <c r="P18" s="804"/>
      <c r="Q18" s="805"/>
      <c r="R18" s="61">
        <f>R12</f>
        <v>28</v>
      </c>
      <c r="S18" s="52" t="str">
        <f>L17</f>
        <v>m</v>
      </c>
      <c r="T18" s="22"/>
      <c r="U18" s="23"/>
    </row>
    <row r="19" spans="1:21" ht="21" customHeight="1">
      <c r="A19" s="10" t="s">
        <v>469</v>
      </c>
      <c r="B19" s="165"/>
      <c r="C19" s="164"/>
      <c r="D19" s="820"/>
      <c r="E19" s="821"/>
      <c r="F19" s="821"/>
      <c r="G19" s="821"/>
      <c r="H19" s="821"/>
      <c r="I19" s="822"/>
      <c r="J19" s="825"/>
      <c r="K19" s="826"/>
      <c r="L19" s="828"/>
      <c r="M19" s="803" t="s">
        <v>14</v>
      </c>
      <c r="N19" s="804"/>
      <c r="O19" s="804"/>
      <c r="P19" s="804"/>
      <c r="Q19" s="805"/>
      <c r="R19" s="62">
        <f>R17-R18</f>
        <v>0</v>
      </c>
      <c r="S19" s="53" t="str">
        <f>L17</f>
        <v>m</v>
      </c>
      <c r="T19" s="54"/>
      <c r="U19" s="24"/>
    </row>
    <row r="20" spans="1:21" ht="21" customHeight="1">
      <c r="B20" s="218"/>
      <c r="C20" s="217"/>
      <c r="M20" s="803" t="s">
        <v>53</v>
      </c>
      <c r="N20" s="804"/>
      <c r="O20" s="804"/>
      <c r="P20" s="804"/>
      <c r="Q20" s="805"/>
      <c r="R20" s="62">
        <f>DEZ!E709</f>
        <v>7.5</v>
      </c>
      <c r="S20" s="53"/>
      <c r="T20" s="54"/>
      <c r="U20" s="24"/>
    </row>
    <row r="21" spans="1:21" ht="21" customHeight="1">
      <c r="B21" s="163"/>
      <c r="C21" s="219"/>
      <c r="M21" s="803" t="s">
        <v>54</v>
      </c>
      <c r="N21" s="804"/>
      <c r="O21" s="804"/>
      <c r="P21" s="804"/>
      <c r="Q21" s="805"/>
      <c r="R21" s="62">
        <f>TRUNC(R20*R19,2)</f>
        <v>0</v>
      </c>
      <c r="S21" s="53" t="s">
        <v>55</v>
      </c>
      <c r="T21" s="54"/>
      <c r="U21" s="24"/>
    </row>
    <row r="37" spans="2:36" s="10" customFormat="1" ht="15.75" customHeight="1">
      <c r="B37" s="18"/>
      <c r="C37" s="2"/>
      <c r="D37" s="2"/>
      <c r="E37" s="2"/>
      <c r="F37" s="2"/>
      <c r="G37" s="2"/>
      <c r="H37" s="2"/>
      <c r="I37" s="2"/>
      <c r="J37" s="2"/>
      <c r="K37" s="2"/>
      <c r="L37" s="2"/>
      <c r="M37" s="2"/>
      <c r="N37" s="2"/>
      <c r="O37" s="2"/>
      <c r="P37" s="2"/>
      <c r="Q37" s="2"/>
      <c r="R37" s="63"/>
      <c r="S37" s="2"/>
      <c r="T37" s="2"/>
      <c r="U37" s="2"/>
      <c r="V37" s="2"/>
      <c r="W37" s="2"/>
      <c r="X37" s="2"/>
      <c r="Y37" s="140"/>
      <c r="Z37" s="2"/>
      <c r="AA37" s="2"/>
      <c r="AB37" s="13"/>
      <c r="AC37" s="2"/>
      <c r="AD37" s="2"/>
      <c r="AE37" s="2"/>
      <c r="AF37" s="2"/>
      <c r="AG37" s="2"/>
      <c r="AH37" s="2"/>
      <c r="AI37" s="2"/>
      <c r="AJ37" s="2"/>
    </row>
  </sheetData>
  <mergeCells count="42">
    <mergeCell ref="M20:Q20"/>
    <mergeCell ref="M21:Q21"/>
    <mergeCell ref="D17:I17"/>
    <mergeCell ref="J17:K17"/>
    <mergeCell ref="M17:Q17"/>
    <mergeCell ref="D18:I19"/>
    <mergeCell ref="J18:K19"/>
    <mergeCell ref="L18:L19"/>
    <mergeCell ref="M18:Q18"/>
    <mergeCell ref="M19:Q19"/>
    <mergeCell ref="D13:F13"/>
    <mergeCell ref="G13:I13"/>
    <mergeCell ref="D14:F14"/>
    <mergeCell ref="G14:I14"/>
    <mergeCell ref="D15:F15"/>
    <mergeCell ref="G15:I15"/>
    <mergeCell ref="D12:F12"/>
    <mergeCell ref="G12:I12"/>
    <mergeCell ref="N10:N11"/>
    <mergeCell ref="O10:O11"/>
    <mergeCell ref="P10:P11"/>
    <mergeCell ref="T8:U8"/>
    <mergeCell ref="T9:U9"/>
    <mergeCell ref="B10:B11"/>
    <mergeCell ref="C10:C11"/>
    <mergeCell ref="D10:F11"/>
    <mergeCell ref="G10:I11"/>
    <mergeCell ref="J10:J11"/>
    <mergeCell ref="K10:K11"/>
    <mergeCell ref="L10:L11"/>
    <mergeCell ref="M10:M11"/>
    <mergeCell ref="T10:T11"/>
    <mergeCell ref="U10:U11"/>
    <mergeCell ref="Q10:Q11"/>
    <mergeCell ref="R10:R11"/>
    <mergeCell ref="S10:S11"/>
    <mergeCell ref="T7:U7"/>
    <mergeCell ref="B1:U4"/>
    <mergeCell ref="V4:AA4"/>
    <mergeCell ref="B5:I5"/>
    <mergeCell ref="J5:O5"/>
    <mergeCell ref="P5:U5"/>
  </mergeCells>
  <conditionalFormatting sqref="J18:K21">
    <cfRule type="cellIs" dxfId="29" priority="1" operator="greaterThanOrEqual">
      <formula>1</formula>
    </cfRule>
    <cfRule type="cellIs" dxfId="28"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94C63-3FF4-454B-89F0-E96C1C4A6C1D}">
  <sheetPr codeName="Planilha140">
    <tabColor rgb="FF339933"/>
    <pageSetUpPr fitToPage="1"/>
  </sheetPr>
  <dimension ref="A1:AJ26"/>
  <sheetViews>
    <sheetView showGridLines="0" view="pageBreakPreview" topLeftCell="I8"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1" width="18.28515625" style="2" customWidth="1"/>
    <col min="12" max="12" width="13.5703125" style="2" customWidth="1"/>
    <col min="13" max="13" width="15.8554687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DEZ!A589</f>
        <v>5.3.2.12</v>
      </c>
      <c r="C10" s="845" t="str">
        <f>DEZ!C589</f>
        <v>Lastro regularizado de concreto não estrutural, espessura de 8 cm (máximo de 100m3)</v>
      </c>
      <c r="D10" s="816" t="s">
        <v>854</v>
      </c>
      <c r="E10" s="816"/>
      <c r="F10" s="816"/>
      <c r="G10" s="816" t="s">
        <v>33</v>
      </c>
      <c r="H10" s="816"/>
      <c r="I10" s="816"/>
      <c r="J10" s="812" t="s">
        <v>855</v>
      </c>
      <c r="K10" s="812" t="s">
        <v>897</v>
      </c>
      <c r="L10" s="812" t="s">
        <v>62</v>
      </c>
      <c r="M10" s="812" t="s">
        <v>856</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8.5" customHeight="1">
      <c r="A12" s="64"/>
      <c r="B12" s="109"/>
      <c r="C12" s="237" t="s">
        <v>1297</v>
      </c>
      <c r="D12" s="977">
        <v>21.88</v>
      </c>
      <c r="E12" s="978"/>
      <c r="F12" s="979"/>
      <c r="G12" s="851">
        <v>10.35</v>
      </c>
      <c r="H12" s="852"/>
      <c r="I12" s="853"/>
      <c r="J12" s="226">
        <f>D12*G12</f>
        <v>226.45799999999997</v>
      </c>
      <c r="K12" s="81">
        <f>J21</f>
        <v>0</v>
      </c>
      <c r="L12" s="83"/>
      <c r="M12" s="82"/>
      <c r="N12" s="84"/>
      <c r="O12" s="84"/>
      <c r="P12" s="82"/>
      <c r="Q12" s="93"/>
      <c r="R12" s="93">
        <v>226.42</v>
      </c>
      <c r="S12" s="154" t="s">
        <v>57</v>
      </c>
      <c r="T12" s="215">
        <v>8</v>
      </c>
      <c r="U12" s="94"/>
      <c r="V12" s="71"/>
      <c r="W12" s="71"/>
      <c r="X12" s="152"/>
      <c r="Y12" s="153"/>
      <c r="Z12" s="72"/>
    </row>
    <row r="13" spans="1:36" s="73" customFormat="1" ht="28.5" customHeight="1">
      <c r="A13" s="64"/>
      <c r="B13" s="109"/>
      <c r="C13" s="237"/>
      <c r="D13" s="854"/>
      <c r="E13" s="855"/>
      <c r="F13" s="856"/>
      <c r="G13" s="851"/>
      <c r="H13" s="852"/>
      <c r="I13" s="853"/>
      <c r="J13" s="226"/>
      <c r="K13" s="81"/>
      <c r="L13" s="82"/>
      <c r="M13" s="83"/>
      <c r="N13" s="105"/>
      <c r="O13" s="84"/>
      <c r="P13" s="82"/>
      <c r="Q13" s="93"/>
      <c r="R13" s="85">
        <f t="shared" ref="R13:R16" si="0">L13</f>
        <v>0</v>
      </c>
      <c r="S13" s="154"/>
      <c r="T13" s="215"/>
      <c r="U13" s="94"/>
      <c r="V13" s="71"/>
      <c r="W13" s="71"/>
      <c r="X13" s="152"/>
      <c r="Y13" s="153"/>
      <c r="Z13" s="72"/>
    </row>
    <row r="14" spans="1:36" s="73" customFormat="1" ht="28.5" customHeight="1">
      <c r="A14" s="64"/>
      <c r="B14" s="109"/>
      <c r="C14" s="237"/>
      <c r="D14" s="854"/>
      <c r="E14" s="855"/>
      <c r="F14" s="856"/>
      <c r="G14" s="851"/>
      <c r="H14" s="852"/>
      <c r="I14" s="853"/>
      <c r="J14" s="226"/>
      <c r="K14" s="81"/>
      <c r="L14" s="82"/>
      <c r="M14" s="83"/>
      <c r="N14" s="105"/>
      <c r="O14" s="84"/>
      <c r="P14" s="82"/>
      <c r="Q14" s="93"/>
      <c r="R14" s="85">
        <f t="shared" si="0"/>
        <v>0</v>
      </c>
      <c r="S14" s="154"/>
      <c r="T14" s="215"/>
      <c r="U14" s="94"/>
      <c r="V14" s="71"/>
      <c r="W14" s="71"/>
      <c r="X14" s="152"/>
      <c r="Y14" s="153"/>
      <c r="Z14" s="72"/>
    </row>
    <row r="15" spans="1:36" s="73" customFormat="1" ht="28.5" customHeight="1">
      <c r="A15" s="64"/>
      <c r="B15" s="109"/>
      <c r="C15" s="237"/>
      <c r="D15" s="854"/>
      <c r="E15" s="855"/>
      <c r="F15" s="856"/>
      <c r="G15" s="851"/>
      <c r="H15" s="852"/>
      <c r="I15" s="853"/>
      <c r="J15" s="226"/>
      <c r="K15" s="81"/>
      <c r="L15" s="82"/>
      <c r="M15" s="83"/>
      <c r="N15" s="105"/>
      <c r="O15" s="84"/>
      <c r="P15" s="82"/>
      <c r="Q15" s="93"/>
      <c r="R15" s="85">
        <f t="shared" si="0"/>
        <v>0</v>
      </c>
      <c r="S15" s="154"/>
      <c r="T15" s="215"/>
      <c r="U15" s="94"/>
      <c r="V15" s="71"/>
      <c r="W15" s="71"/>
      <c r="X15" s="152"/>
      <c r="Y15" s="153"/>
      <c r="Z15" s="72"/>
    </row>
    <row r="16" spans="1:36" s="90" customFormat="1" ht="21" customHeight="1">
      <c r="A16" s="75"/>
      <c r="B16" s="157"/>
      <c r="C16" s="76"/>
      <c r="D16" s="77"/>
      <c r="E16" s="78"/>
      <c r="F16" s="79"/>
      <c r="G16" s="77"/>
      <c r="H16" s="78"/>
      <c r="I16" s="79"/>
      <c r="J16" s="80"/>
      <c r="K16" s="81"/>
      <c r="L16" s="82"/>
      <c r="M16" s="83"/>
      <c r="N16" s="84"/>
      <c r="O16" s="84"/>
      <c r="P16" s="82"/>
      <c r="Q16" s="85"/>
      <c r="R16" s="85">
        <f t="shared" si="0"/>
        <v>0</v>
      </c>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DEZ!I589</f>
        <v>226.42</v>
      </c>
      <c r="K22" s="810"/>
      <c r="L22" s="50" t="s">
        <v>57</v>
      </c>
      <c r="M22" s="803" t="s">
        <v>12</v>
      </c>
      <c r="N22" s="811"/>
      <c r="O22" s="811"/>
      <c r="P22" s="811"/>
      <c r="Q22" s="805"/>
      <c r="R22" s="61">
        <f>SUM(R12:R21)</f>
        <v>226.42</v>
      </c>
      <c r="S22" s="51" t="str">
        <f>L22</f>
        <v>m2</v>
      </c>
      <c r="T22" s="22"/>
      <c r="U22" s="23"/>
    </row>
    <row r="23" spans="1:28" ht="21" customHeight="1">
      <c r="B23" s="163"/>
      <c r="C23" s="19"/>
      <c r="D23" s="817" t="s">
        <v>13</v>
      </c>
      <c r="E23" s="818"/>
      <c r="F23" s="818"/>
      <c r="G23" s="818"/>
      <c r="H23" s="818"/>
      <c r="I23" s="819"/>
      <c r="J23" s="823">
        <f>R22/J22</f>
        <v>1</v>
      </c>
      <c r="K23" s="824"/>
      <c r="L23" s="827"/>
      <c r="M23" s="803" t="s">
        <v>34</v>
      </c>
      <c r="N23" s="804"/>
      <c r="O23" s="804"/>
      <c r="P23" s="804"/>
      <c r="Q23" s="805"/>
      <c r="R23" s="61">
        <f>SUM(R12:R12)</f>
        <v>226.42</v>
      </c>
      <c r="S23" s="52" t="str">
        <f>L22</f>
        <v>m2</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m2</v>
      </c>
      <c r="T24" s="54"/>
      <c r="U24" s="24"/>
    </row>
    <row r="25" spans="1:28" ht="21" customHeight="1">
      <c r="B25" s="218"/>
      <c r="C25" s="217"/>
      <c r="M25" s="803" t="s">
        <v>53</v>
      </c>
      <c r="N25" s="804"/>
      <c r="O25" s="804"/>
      <c r="P25" s="804"/>
      <c r="Q25" s="805"/>
      <c r="R25" s="62">
        <f>DEZ!E589</f>
        <v>51.84</v>
      </c>
      <c r="S25" s="53"/>
      <c r="T25" s="54"/>
      <c r="U25" s="24"/>
    </row>
    <row r="26" spans="1:28" ht="21" customHeight="1">
      <c r="B26" s="163"/>
      <c r="C26" s="219"/>
      <c r="M26" s="803" t="s">
        <v>54</v>
      </c>
      <c r="N26" s="804"/>
      <c r="O26" s="804"/>
      <c r="P26" s="804"/>
      <c r="Q26" s="805"/>
      <c r="R26" s="62">
        <f>TRUNC(R25*R24,2)</f>
        <v>0</v>
      </c>
      <c r="S26" s="53" t="s">
        <v>55</v>
      </c>
      <c r="T26" s="54"/>
      <c r="U26" s="24"/>
    </row>
  </sheetData>
  <mergeCells count="42">
    <mergeCell ref="M25:Q25"/>
    <mergeCell ref="M26:Q26"/>
    <mergeCell ref="D15:F15"/>
    <mergeCell ref="G15:I15"/>
    <mergeCell ref="D22:I22"/>
    <mergeCell ref="J22:K22"/>
    <mergeCell ref="M22:Q22"/>
    <mergeCell ref="D23:I24"/>
    <mergeCell ref="J23:K24"/>
    <mergeCell ref="L23:L24"/>
    <mergeCell ref="M23:Q23"/>
    <mergeCell ref="M24:Q24"/>
    <mergeCell ref="D13:F13"/>
    <mergeCell ref="G13:I13"/>
    <mergeCell ref="D14:F14"/>
    <mergeCell ref="G14:I14"/>
    <mergeCell ref="T10:T11"/>
    <mergeCell ref="D12:F12"/>
    <mergeCell ref="G12:I12"/>
    <mergeCell ref="N10:N11"/>
    <mergeCell ref="O10:O11"/>
    <mergeCell ref="P10:P11"/>
    <mergeCell ref="T8:U8"/>
    <mergeCell ref="T9:U9"/>
    <mergeCell ref="B10:B11"/>
    <mergeCell ref="C10:C11"/>
    <mergeCell ref="D10:F11"/>
    <mergeCell ref="G10:I11"/>
    <mergeCell ref="J10:J11"/>
    <mergeCell ref="K10:K11"/>
    <mergeCell ref="L10:L11"/>
    <mergeCell ref="M10:M11"/>
    <mergeCell ref="U10:U11"/>
    <mergeCell ref="Q10:Q11"/>
    <mergeCell ref="R10:R11"/>
    <mergeCell ref="S10:S11"/>
    <mergeCell ref="T7:U7"/>
    <mergeCell ref="B1:U4"/>
    <mergeCell ref="V4:AA4"/>
    <mergeCell ref="B5:I5"/>
    <mergeCell ref="J5:O5"/>
    <mergeCell ref="P5:U5"/>
  </mergeCells>
  <conditionalFormatting sqref="J23:K26">
    <cfRule type="cellIs" dxfId="27" priority="1" operator="greaterThanOrEqual">
      <formula>1</formula>
    </cfRule>
    <cfRule type="cellIs" dxfId="26"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ilha22">
    <tabColor rgb="FF339933"/>
    <pageSetUpPr fitToPage="1"/>
  </sheetPr>
  <dimension ref="A1:AJ31"/>
  <sheetViews>
    <sheetView view="pageBreakPreview" topLeftCell="A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DEZ!A52</f>
        <v>2.1.1.1</v>
      </c>
      <c r="C10" s="845" t="str">
        <f>DEZ!C392</f>
        <v>Placa de obra nas dimensões de 2.0 x 4.0 m, padrão IOPES</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977</v>
      </c>
      <c r="D12" s="854"/>
      <c r="E12" s="855"/>
      <c r="F12" s="856"/>
      <c r="G12" s="77"/>
      <c r="H12" s="78"/>
      <c r="I12" s="79"/>
      <c r="J12" s="226"/>
      <c r="K12" s="81"/>
      <c r="L12" s="82">
        <v>8</v>
      </c>
      <c r="M12" s="83"/>
      <c r="N12" s="105"/>
      <c r="O12" s="84"/>
      <c r="P12" s="82"/>
      <c r="Q12" s="93"/>
      <c r="R12" s="85">
        <f>L12</f>
        <v>8</v>
      </c>
      <c r="S12" s="154" t="s">
        <v>57</v>
      </c>
      <c r="T12" s="215">
        <v>6</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DEZ!F392</f>
        <v>8</v>
      </c>
      <c r="K23" s="810"/>
      <c r="L23" s="50" t="s">
        <v>57</v>
      </c>
      <c r="M23" s="803" t="s">
        <v>12</v>
      </c>
      <c r="N23" s="811"/>
      <c r="O23" s="811"/>
      <c r="P23" s="811"/>
      <c r="Q23" s="805"/>
      <c r="R23" s="61">
        <f>SUM(R12:R22)</f>
        <v>8</v>
      </c>
      <c r="S23" s="51" t="s">
        <v>57</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SUM(R12)</f>
        <v>8</v>
      </c>
      <c r="S24" s="52" t="s">
        <v>57</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
        <v>57</v>
      </c>
      <c r="T25" s="54"/>
      <c r="U25" s="24"/>
    </row>
    <row r="26" spans="1:28" ht="21" customHeight="1">
      <c r="B26" s="218"/>
      <c r="C26" s="217"/>
      <c r="M26" s="803" t="s">
        <v>53</v>
      </c>
      <c r="N26" s="804"/>
      <c r="O26" s="804"/>
      <c r="P26" s="804"/>
      <c r="Q26" s="805"/>
      <c r="R26" s="62">
        <f>DEZ!E392</f>
        <v>222.96</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M27:Q27"/>
    <mergeCell ref="D24:I25"/>
    <mergeCell ref="J24:K25"/>
    <mergeCell ref="L24:L25"/>
    <mergeCell ref="M24:Q24"/>
    <mergeCell ref="M25:Q25"/>
    <mergeCell ref="M26:Q26"/>
  </mergeCells>
  <conditionalFormatting sqref="J24:K27">
    <cfRule type="cellIs" dxfId="391" priority="1" operator="greaterThanOrEqual">
      <formula>1</formula>
    </cfRule>
    <cfRule type="cellIs" dxfId="39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ilha93">
    <tabColor rgb="FF339933"/>
    <pageSetUpPr fitToPage="1"/>
  </sheetPr>
  <dimension ref="A1:AJ27"/>
  <sheetViews>
    <sheetView view="pageBreakPreview" topLeftCell="G9"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A25</f>
        <v>5.4.1.1</v>
      </c>
      <c r="C10" s="845" t="str">
        <f>CONCATENATE(VLOOKUP(A25,DEZ!$A$2:$S$731,2,FALSE)," - ",VLOOKUP(A25,DEZ!$A$2:$S$731,3,FALSE))</f>
        <v>40405 - Fôrma com chapa compensada plastificada esp. 12mm, utização 5 vezes</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930</v>
      </c>
      <c r="D12" s="854"/>
      <c r="E12" s="855"/>
      <c r="F12" s="856"/>
      <c r="G12" s="77"/>
      <c r="H12" s="78"/>
      <c r="I12" s="79"/>
      <c r="J12" s="226"/>
      <c r="K12" s="81">
        <v>341</v>
      </c>
      <c r="L12" s="82"/>
      <c r="M12" s="83"/>
      <c r="N12" s="105"/>
      <c r="O12" s="84"/>
      <c r="P12" s="82"/>
      <c r="Q12" s="93"/>
      <c r="R12" s="85">
        <f>PRODUCT(D12:L12)</f>
        <v>341</v>
      </c>
      <c r="S12" s="154" t="s">
        <v>57</v>
      </c>
      <c r="T12" s="215">
        <v>3</v>
      </c>
      <c r="U12" s="94"/>
      <c r="V12" s="71"/>
      <c r="W12" s="71"/>
      <c r="X12" s="152"/>
      <c r="Y12" s="153"/>
      <c r="Z12" s="72"/>
    </row>
    <row r="13" spans="1:36" s="73" customFormat="1" ht="21" customHeight="1">
      <c r="A13" s="64"/>
      <c r="B13" s="109"/>
      <c r="C13" s="76" t="s">
        <v>1289</v>
      </c>
      <c r="D13" s="77">
        <v>18</v>
      </c>
      <c r="E13" s="78">
        <v>18</v>
      </c>
      <c r="F13" s="79"/>
      <c r="G13" s="77">
        <v>5</v>
      </c>
      <c r="H13" s="78"/>
      <c r="I13" s="79"/>
      <c r="J13" s="66"/>
      <c r="K13" s="108">
        <f>D13*G13</f>
        <v>90</v>
      </c>
      <c r="L13" s="67"/>
      <c r="M13" s="68"/>
      <c r="N13" s="110"/>
      <c r="O13" s="69"/>
      <c r="P13" s="67"/>
      <c r="Q13" s="106"/>
      <c r="R13" s="70">
        <f>K13</f>
        <v>90</v>
      </c>
      <c r="S13" s="111" t="s">
        <v>57</v>
      </c>
      <c r="T13" s="215">
        <v>8</v>
      </c>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v>431</v>
      </c>
      <c r="K23" s="810"/>
      <c r="L23" s="50" t="str">
        <f>VLOOKUP(A25,DEZ!$A$2:$S$731,4,FALSE)</f>
        <v>m2</v>
      </c>
      <c r="M23" s="803" t="s">
        <v>12</v>
      </c>
      <c r="N23" s="811"/>
      <c r="O23" s="811"/>
      <c r="P23" s="811"/>
      <c r="Q23" s="805"/>
      <c r="R23" s="61">
        <f>SUM(R12:R22)</f>
        <v>431</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SUM(R12:R13)</f>
        <v>431</v>
      </c>
      <c r="S24" s="52" t="str">
        <f>L23</f>
        <v>m2</v>
      </c>
      <c r="T24" s="22"/>
      <c r="U24" s="23"/>
    </row>
    <row r="25" spans="1:28" ht="21" customHeight="1">
      <c r="A25" s="10" t="s">
        <v>773</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VLOOKUP(A25,DEZ!$A$2:$S$731,5,FALSE)</f>
        <v>86.33</v>
      </c>
      <c r="S26" s="53"/>
      <c r="T26" s="54"/>
      <c r="U26" s="24"/>
    </row>
    <row r="27" spans="1:28" ht="21" customHeight="1">
      <c r="B27" s="163"/>
      <c r="C27" s="219"/>
      <c r="M27" s="803" t="s">
        <v>54</v>
      </c>
      <c r="N27" s="804"/>
      <c r="O27" s="804"/>
      <c r="P27" s="804"/>
      <c r="Q27" s="805"/>
      <c r="R27" s="62">
        <f>TRUNC(R26*R25,2)</f>
        <v>0</v>
      </c>
      <c r="S27" s="53" t="s">
        <v>55</v>
      </c>
      <c r="T27" s="54"/>
      <c r="U27" s="24"/>
    </row>
  </sheetData>
  <mergeCells count="35">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25" priority="1" operator="greaterThanOrEqual">
      <formula>1</formula>
    </cfRule>
    <cfRule type="cellIs" dxfId="2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Planilha100">
    <tabColor rgb="FF339933"/>
    <pageSetUpPr fitToPage="1"/>
  </sheetPr>
  <dimension ref="A1:AJ31"/>
  <sheetViews>
    <sheetView view="pageBreakPreview" topLeftCell="A2" zoomScale="60" zoomScaleNormal="55" workbookViewId="0">
      <selection activeCell="L20" sqref="L2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DEZ!A584</f>
        <v>5.3.2.7</v>
      </c>
      <c r="C10" s="845" t="str">
        <f>DEZ!C581</f>
        <v>Montagem de armadura longitudinal/transversal de estacas de seção circular, diâmetro = 12,5 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979</v>
      </c>
      <c r="D12" s="854"/>
      <c r="E12" s="855"/>
      <c r="F12" s="856"/>
      <c r="G12" s="77"/>
      <c r="H12" s="78"/>
      <c r="I12" s="79"/>
      <c r="J12" s="226"/>
      <c r="K12" s="81"/>
      <c r="L12" s="82"/>
      <c r="M12" s="83">
        <v>4554</v>
      </c>
      <c r="N12" s="105"/>
      <c r="O12" s="84"/>
      <c r="P12" s="82"/>
      <c r="Q12" s="93"/>
      <c r="R12" s="85">
        <f>M12</f>
        <v>4554</v>
      </c>
      <c r="S12" s="154" t="s">
        <v>29</v>
      </c>
      <c r="T12" s="215">
        <v>5</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DEZ!F581</f>
        <v>4554</v>
      </c>
      <c r="K23" s="810"/>
      <c r="L23" s="50" t="s">
        <v>29</v>
      </c>
      <c r="M23" s="803" t="s">
        <v>12</v>
      </c>
      <c r="N23" s="811"/>
      <c r="O23" s="811"/>
      <c r="P23" s="811"/>
      <c r="Q23" s="805"/>
      <c r="R23" s="61">
        <f>SUM(R12:R22)</f>
        <v>4554</v>
      </c>
      <c r="S23" s="51" t="str">
        <f>L23</f>
        <v>kg</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v>0</v>
      </c>
      <c r="S24" s="52" t="str">
        <f>L23</f>
        <v>kg</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4554</v>
      </c>
      <c r="S25" s="53" t="str">
        <f>L23</f>
        <v>kg</v>
      </c>
      <c r="T25" s="54"/>
      <c r="U25" s="24"/>
    </row>
    <row r="26" spans="1:28" ht="21" customHeight="1">
      <c r="B26" s="218"/>
      <c r="C26" s="217"/>
      <c r="M26" s="803" t="s">
        <v>53</v>
      </c>
      <c r="N26" s="804"/>
      <c r="O26" s="804"/>
      <c r="P26" s="804"/>
      <c r="Q26" s="805"/>
      <c r="R26" s="62">
        <f>DEZ!E581</f>
        <v>6.12</v>
      </c>
      <c r="S26" s="53"/>
      <c r="T26" s="54"/>
      <c r="U26" s="24"/>
    </row>
    <row r="27" spans="1:28" ht="21" customHeight="1">
      <c r="B27" s="163"/>
      <c r="C27" s="219"/>
      <c r="M27" s="803" t="s">
        <v>54</v>
      </c>
      <c r="N27" s="804"/>
      <c r="O27" s="804"/>
      <c r="P27" s="804"/>
      <c r="Q27" s="805"/>
      <c r="R27" s="62">
        <f>TRUNC(R26*R25,2)</f>
        <v>27870.48</v>
      </c>
      <c r="S27" s="53" t="s">
        <v>55</v>
      </c>
      <c r="T27" s="54"/>
      <c r="U27" s="24"/>
    </row>
    <row r="30" spans="1:28">
      <c r="C30" s="2">
        <f>18*5</f>
        <v>90</v>
      </c>
    </row>
    <row r="31" spans="1:28">
      <c r="C31" s="2">
        <f>C30*0.09</f>
        <v>8.1</v>
      </c>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M27:Q27"/>
    <mergeCell ref="D24:I25"/>
    <mergeCell ref="J24:K25"/>
    <mergeCell ref="L24:L25"/>
    <mergeCell ref="M24:Q24"/>
    <mergeCell ref="M25:Q25"/>
    <mergeCell ref="M26:Q26"/>
  </mergeCells>
  <conditionalFormatting sqref="J24:K27">
    <cfRule type="cellIs" dxfId="23" priority="1" operator="greaterThanOrEqual">
      <formula>1</formula>
    </cfRule>
    <cfRule type="cellIs" dxfId="2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Planilha101">
    <tabColor rgb="FF339933"/>
    <pageSetUpPr fitToPage="1"/>
  </sheetPr>
  <dimension ref="A1:AJ31"/>
  <sheetViews>
    <sheetView view="pageBreakPreview" topLeftCell="A2" zoomScale="60" zoomScaleNormal="55" workbookViewId="0">
      <selection activeCell="A12" sqref="A12:XFD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DEZ!A585</f>
        <v>5.3.2.8</v>
      </c>
      <c r="C10" s="845" t="str">
        <f>DEZ!C585</f>
        <v>Fornecimento, dobragem e colocação em fôrma, de armadura CA-50 A grossa diâmetro de 12.5 a 25.0 mm (1/2 a 1")</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c r="D12" s="854"/>
      <c r="E12" s="855"/>
      <c r="F12" s="856"/>
      <c r="G12" s="77"/>
      <c r="H12" s="78"/>
      <c r="I12" s="79"/>
      <c r="J12" s="226"/>
      <c r="K12" s="81"/>
      <c r="L12" s="82"/>
      <c r="M12" s="83"/>
      <c r="N12" s="105"/>
      <c r="O12" s="84"/>
      <c r="P12" s="82"/>
      <c r="Q12" s="93"/>
      <c r="R12" s="85"/>
      <c r="S12" s="154"/>
      <c r="T12" s="215"/>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DEZ!F585</f>
        <v>144</v>
      </c>
      <c r="K23" s="810"/>
      <c r="L23" s="50" t="s">
        <v>29</v>
      </c>
      <c r="M23" s="803" t="s">
        <v>12</v>
      </c>
      <c r="N23" s="811"/>
      <c r="O23" s="811"/>
      <c r="P23" s="811"/>
      <c r="Q23" s="805"/>
      <c r="R23" s="61">
        <f>SUM(R12:R22)</f>
        <v>0</v>
      </c>
      <c r="S23" s="51" t="str">
        <f>L23</f>
        <v>kg</v>
      </c>
      <c r="T23" s="22"/>
      <c r="U23" s="23"/>
    </row>
    <row r="24" spans="1:28" ht="21" customHeight="1">
      <c r="B24" s="163"/>
      <c r="C24" s="19"/>
      <c r="D24" s="817" t="s">
        <v>13</v>
      </c>
      <c r="E24" s="818"/>
      <c r="F24" s="818"/>
      <c r="G24" s="818"/>
      <c r="H24" s="818"/>
      <c r="I24" s="819"/>
      <c r="J24" s="823">
        <f>R23/J23</f>
        <v>0</v>
      </c>
      <c r="K24" s="824"/>
      <c r="L24" s="827"/>
      <c r="M24" s="803" t="s">
        <v>34</v>
      </c>
      <c r="N24" s="804"/>
      <c r="O24" s="804"/>
      <c r="P24" s="804"/>
      <c r="Q24" s="805"/>
      <c r="R24" s="61">
        <v>0</v>
      </c>
      <c r="S24" s="52" t="str">
        <f>L23</f>
        <v>kg</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kg</v>
      </c>
      <c r="T25" s="54"/>
      <c r="U25" s="24"/>
    </row>
    <row r="26" spans="1:28" ht="21" customHeight="1">
      <c r="B26" s="218"/>
      <c r="C26" s="217"/>
      <c r="M26" s="803" t="s">
        <v>53</v>
      </c>
      <c r="N26" s="804"/>
      <c r="O26" s="804"/>
      <c r="P26" s="804"/>
      <c r="Q26" s="805"/>
      <c r="R26" s="62">
        <f>DEZ!E585</f>
        <v>8.41</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M27:Q27"/>
    <mergeCell ref="D24:I25"/>
    <mergeCell ref="J24:K25"/>
    <mergeCell ref="L24:L25"/>
    <mergeCell ref="M24:Q24"/>
    <mergeCell ref="M25:Q25"/>
    <mergeCell ref="M26:Q26"/>
  </mergeCells>
  <conditionalFormatting sqref="J24:K27">
    <cfRule type="cellIs" dxfId="21" priority="1" operator="greaterThanOrEqual">
      <formula>1</formula>
    </cfRule>
    <cfRule type="cellIs" dxfId="2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Planilha102">
    <tabColor rgb="FF339933"/>
    <pageSetUpPr fitToPage="1"/>
  </sheetPr>
  <dimension ref="A1:AJ31"/>
  <sheetViews>
    <sheetView view="pageBreakPreview" topLeftCell="A2" zoomScale="60" zoomScaleNormal="55" workbookViewId="0">
      <selection activeCell="M13" sqref="M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DEZ!A586</f>
        <v>5.3.2.9</v>
      </c>
      <c r="C10" s="845" t="str">
        <f>DEZ!C586</f>
        <v>Fornecimento, dobragem e colocação em fôrma, de armadura CA-60 B fina, diâmetro de 4.0 a 7.0mm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978</v>
      </c>
      <c r="D12" s="854"/>
      <c r="E12" s="855"/>
      <c r="F12" s="856"/>
      <c r="G12" s="77"/>
      <c r="H12" s="78"/>
      <c r="I12" s="79"/>
      <c r="J12" s="226"/>
      <c r="K12" s="81"/>
      <c r="L12" s="82"/>
      <c r="M12" s="83">
        <v>37</v>
      </c>
      <c r="N12" s="105"/>
      <c r="O12" s="84"/>
      <c r="P12" s="82"/>
      <c r="Q12" s="93"/>
      <c r="R12" s="85">
        <f>M12</f>
        <v>37</v>
      </c>
      <c r="S12" s="154" t="s">
        <v>29</v>
      </c>
      <c r="T12" s="215">
        <v>5</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DEZ!F586</f>
        <v>37</v>
      </c>
      <c r="K23" s="810"/>
      <c r="L23" s="50" t="s">
        <v>29</v>
      </c>
      <c r="M23" s="803" t="s">
        <v>12</v>
      </c>
      <c r="N23" s="811"/>
      <c r="O23" s="811"/>
      <c r="P23" s="811"/>
      <c r="Q23" s="805"/>
      <c r="R23" s="61">
        <f>SUM(R12:R22)</f>
        <v>37</v>
      </c>
      <c r="S23" s="51" t="str">
        <f>L23</f>
        <v>kg</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v>0</v>
      </c>
      <c r="S24" s="52" t="str">
        <f>L23</f>
        <v>kg</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37</v>
      </c>
      <c r="S25" s="53" t="str">
        <f>L23</f>
        <v>kg</v>
      </c>
      <c r="T25" s="54"/>
      <c r="U25" s="24"/>
    </row>
    <row r="26" spans="1:28" ht="21" customHeight="1">
      <c r="B26" s="218"/>
      <c r="C26" s="217"/>
      <c r="M26" s="803" t="s">
        <v>53</v>
      </c>
      <c r="N26" s="804"/>
      <c r="O26" s="804"/>
      <c r="P26" s="804"/>
      <c r="Q26" s="805"/>
      <c r="R26" s="62">
        <f>DEZ!E586</f>
        <v>8.08</v>
      </c>
      <c r="S26" s="53"/>
      <c r="T26" s="54"/>
      <c r="U26" s="24"/>
    </row>
    <row r="27" spans="1:28" ht="21" customHeight="1">
      <c r="B27" s="163"/>
      <c r="C27" s="219"/>
      <c r="M27" s="803" t="s">
        <v>54</v>
      </c>
      <c r="N27" s="804"/>
      <c r="O27" s="804"/>
      <c r="P27" s="804"/>
      <c r="Q27" s="805"/>
      <c r="R27" s="62">
        <f>TRUNC(R26*R25,2)</f>
        <v>298.95999999999998</v>
      </c>
      <c r="S27" s="53" t="s">
        <v>55</v>
      </c>
      <c r="T27" s="54"/>
      <c r="U27" s="24"/>
    </row>
    <row r="30" spans="1:28">
      <c r="C30" s="2">
        <f>18*5</f>
        <v>90</v>
      </c>
    </row>
    <row r="31" spans="1:28">
      <c r="C31" s="2">
        <f>C30*0.09</f>
        <v>8.1</v>
      </c>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M27:Q27"/>
    <mergeCell ref="D24:I25"/>
    <mergeCell ref="J24:K25"/>
    <mergeCell ref="L24:L25"/>
    <mergeCell ref="M24:Q24"/>
    <mergeCell ref="M25:Q25"/>
    <mergeCell ref="M26:Q26"/>
  </mergeCells>
  <conditionalFormatting sqref="J24:K27">
    <cfRule type="cellIs" dxfId="19" priority="1" operator="greaterThanOrEqual">
      <formula>1</formula>
    </cfRule>
    <cfRule type="cellIs" dxfId="1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Planilha103">
    <tabColor rgb="FF339933"/>
    <pageSetUpPr fitToPage="1"/>
  </sheetPr>
  <dimension ref="A1:AJ31"/>
  <sheetViews>
    <sheetView view="pageBreakPreview" zoomScale="60" zoomScaleNormal="55" workbookViewId="0">
      <selection activeCell="R15" sqref="R1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A25</f>
        <v>5.4.1.5</v>
      </c>
      <c r="C10" s="845" t="str">
        <f>CONCATENATE(VLOOKUP(A25,DEZ!$A$2:$S$731,2,FALSE)," - ",VLOOKUP(A25,DEZ!$A$2:$S$731,3,FALSE))</f>
        <v>COMP6 - FORNECIMENTO E APLICAÇÃO DE CONCRETO USINADO FCK=50 MPA COM ADITIVO LIQUIDO IMPERMEABILIZANTE E SÍLICA ATIVA - CONSIDERANDO BOMBEAMENTO (5% DE PERDAS JÁ INCLUÍDO NO CUSTO) (6% DE TAXA P/CONCR. BOMBEAVEL)</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944</v>
      </c>
      <c r="D12" s="854"/>
      <c r="E12" s="855"/>
      <c r="F12" s="856"/>
      <c r="G12" s="77"/>
      <c r="H12" s="78"/>
      <c r="I12" s="79"/>
      <c r="J12" s="226"/>
      <c r="K12" s="81"/>
      <c r="L12" s="82">
        <v>9</v>
      </c>
      <c r="M12" s="83"/>
      <c r="N12" s="105"/>
      <c r="O12" s="84"/>
      <c r="P12" s="82"/>
      <c r="Q12" s="93"/>
      <c r="R12" s="85">
        <f>PRODUCT(D12:L12)</f>
        <v>9</v>
      </c>
      <c r="S12" s="154" t="s">
        <v>58</v>
      </c>
      <c r="T12" s="215">
        <v>3</v>
      </c>
      <c r="U12" s="94"/>
      <c r="V12" s="71"/>
      <c r="W12" s="71"/>
      <c r="X12" s="152"/>
      <c r="Y12" s="153"/>
      <c r="Z12" s="72"/>
    </row>
    <row r="13" spans="1:36" s="73" customFormat="1" ht="21" customHeight="1">
      <c r="A13" s="64"/>
      <c r="B13" s="109"/>
      <c r="C13" s="237" t="s">
        <v>945</v>
      </c>
      <c r="D13" s="854"/>
      <c r="E13" s="855"/>
      <c r="F13" s="856"/>
      <c r="G13" s="77"/>
      <c r="H13" s="78"/>
      <c r="I13" s="79"/>
      <c r="J13" s="226"/>
      <c r="K13" s="81"/>
      <c r="L13" s="82">
        <v>10.95</v>
      </c>
      <c r="M13" s="83"/>
      <c r="N13" s="105"/>
      <c r="O13" s="84"/>
      <c r="P13" s="82"/>
      <c r="Q13" s="93"/>
      <c r="R13" s="85">
        <f>PRODUCT(D13:L13)</f>
        <v>10.95</v>
      </c>
      <c r="S13" s="154" t="s">
        <v>58</v>
      </c>
      <c r="T13" s="215">
        <v>4</v>
      </c>
      <c r="U13" s="94"/>
      <c r="V13" s="71"/>
      <c r="W13" s="71"/>
      <c r="X13" s="152"/>
      <c r="Y13" s="153"/>
      <c r="Z13" s="72"/>
      <c r="AA13" s="71"/>
      <c r="AB13" s="74"/>
    </row>
    <row r="14" spans="1:36" s="90" customFormat="1" ht="21" customHeight="1">
      <c r="A14" s="75"/>
      <c r="B14" s="107"/>
      <c r="C14" s="104" t="s">
        <v>967</v>
      </c>
      <c r="D14" s="77"/>
      <c r="E14" s="78"/>
      <c r="F14" s="79"/>
      <c r="G14" s="77"/>
      <c r="H14" s="78"/>
      <c r="I14" s="79"/>
      <c r="J14" s="80"/>
      <c r="K14" s="81"/>
      <c r="L14" s="82">
        <v>8.1</v>
      </c>
      <c r="M14" s="83"/>
      <c r="N14" s="84"/>
      <c r="O14" s="155"/>
      <c r="P14" s="156"/>
      <c r="Q14" s="85"/>
      <c r="R14" s="85">
        <f>L14</f>
        <v>8.1</v>
      </c>
      <c r="S14" s="154" t="s">
        <v>58</v>
      </c>
      <c r="T14" s="215">
        <v>5</v>
      </c>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VLOOKUP(A25,DEZ!$A$2:$S$731,6,FALSE)</f>
        <v>28.05</v>
      </c>
      <c r="K23" s="810"/>
      <c r="L23" s="50" t="str">
        <f>VLOOKUP(A25,DEZ!$A$2:$S$731,4,FALSE)</f>
        <v>m3</v>
      </c>
      <c r="M23" s="803" t="s">
        <v>12</v>
      </c>
      <c r="N23" s="811"/>
      <c r="O23" s="811"/>
      <c r="P23" s="811"/>
      <c r="Q23" s="805"/>
      <c r="R23" s="61">
        <f>SUM(R12:R22)</f>
        <v>28.049999999999997</v>
      </c>
      <c r="S23" s="51" t="str">
        <f>L23</f>
        <v>m3</v>
      </c>
      <c r="T23" s="22"/>
      <c r="U23" s="23"/>
    </row>
    <row r="24" spans="1:28" ht="21" customHeight="1">
      <c r="B24" s="163"/>
      <c r="C24" s="19"/>
      <c r="D24" s="817" t="s">
        <v>13</v>
      </c>
      <c r="E24" s="818"/>
      <c r="F24" s="818"/>
      <c r="G24" s="818"/>
      <c r="H24" s="818"/>
      <c r="I24" s="819"/>
      <c r="J24" s="823">
        <f>R23/J23</f>
        <v>0.99999999999999989</v>
      </c>
      <c r="K24" s="824"/>
      <c r="L24" s="827"/>
      <c r="M24" s="803" t="s">
        <v>34</v>
      </c>
      <c r="N24" s="804"/>
      <c r="O24" s="804"/>
      <c r="P24" s="804"/>
      <c r="Q24" s="805"/>
      <c r="R24" s="61">
        <f>VLOOKUP(A25,DEZ!$A$2:$S$731,8,FALSE)</f>
        <v>0</v>
      </c>
      <c r="S24" s="52" t="str">
        <f>L23</f>
        <v>m3</v>
      </c>
      <c r="T24" s="22"/>
      <c r="U24" s="23"/>
    </row>
    <row r="25" spans="1:28" ht="21" customHeight="1">
      <c r="A25" s="10" t="s">
        <v>777</v>
      </c>
      <c r="B25" s="165"/>
      <c r="C25" s="164"/>
      <c r="D25" s="820"/>
      <c r="E25" s="821"/>
      <c r="F25" s="821"/>
      <c r="G25" s="821"/>
      <c r="H25" s="821"/>
      <c r="I25" s="822"/>
      <c r="J25" s="825"/>
      <c r="K25" s="826"/>
      <c r="L25" s="828"/>
      <c r="M25" s="803" t="s">
        <v>14</v>
      </c>
      <c r="N25" s="804"/>
      <c r="O25" s="804"/>
      <c r="P25" s="804"/>
      <c r="Q25" s="805"/>
      <c r="R25" s="62">
        <f>R23-R24</f>
        <v>28.049999999999997</v>
      </c>
      <c r="S25" s="53" t="str">
        <f>L23</f>
        <v>m3</v>
      </c>
      <c r="T25" s="54"/>
      <c r="U25" s="24"/>
    </row>
    <row r="26" spans="1:28" ht="21" customHeight="1">
      <c r="B26" s="218"/>
      <c r="C26" s="217"/>
      <c r="M26" s="803" t="s">
        <v>53</v>
      </c>
      <c r="N26" s="804"/>
      <c r="O26" s="804"/>
      <c r="P26" s="804"/>
      <c r="Q26" s="805"/>
      <c r="R26" s="62">
        <f>VLOOKUP(A25,DEZ!$A$2:$S$731,5,FALSE)</f>
        <v>777.83</v>
      </c>
      <c r="S26" s="53"/>
      <c r="T26" s="54"/>
      <c r="U26" s="24"/>
    </row>
    <row r="27" spans="1:28" ht="21" customHeight="1">
      <c r="B27" s="163"/>
      <c r="C27" s="219"/>
      <c r="M27" s="803" t="s">
        <v>54</v>
      </c>
      <c r="N27" s="804"/>
      <c r="O27" s="804"/>
      <c r="P27" s="804"/>
      <c r="Q27" s="805"/>
      <c r="R27" s="62">
        <f>TRUNC(R26*R25,2)</f>
        <v>21818.13</v>
      </c>
      <c r="S27" s="53" t="s">
        <v>55</v>
      </c>
      <c r="T27" s="54"/>
      <c r="U27" s="24"/>
    </row>
    <row r="30" spans="1:28">
      <c r="C30" s="2">
        <f>18*5</f>
        <v>90</v>
      </c>
    </row>
    <row r="31" spans="1:28">
      <c r="C31" s="2">
        <f>C30*0.09</f>
        <v>8.1</v>
      </c>
    </row>
  </sheetData>
  <mergeCells count="36">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17" priority="1" operator="greaterThanOrEqual">
      <formula>1</formula>
    </cfRule>
    <cfRule type="cellIs" dxfId="1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Planilha104">
    <tabColor rgb="FF339933"/>
    <pageSetUpPr fitToPage="1"/>
  </sheetPr>
  <dimension ref="A1:AJ31"/>
  <sheetViews>
    <sheetView view="pageBreakPreview" zoomScale="60" zoomScaleNormal="55" workbookViewId="0">
      <selection activeCell="L12" sqref="L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DEZ!A658</f>
        <v>5.4.1.11</v>
      </c>
      <c r="C10" s="845" t="str">
        <f>DEZ!C658</f>
        <v>Içamento de flutuante para a água com guindaste rodoviário de 500t - incluso mobilização e desmobilização de equipamento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944</v>
      </c>
      <c r="D12" s="854"/>
      <c r="E12" s="855"/>
      <c r="F12" s="856"/>
      <c r="G12" s="77"/>
      <c r="H12" s="78"/>
      <c r="I12" s="79"/>
      <c r="J12" s="226"/>
      <c r="K12" s="81"/>
      <c r="L12" s="82"/>
      <c r="M12" s="83">
        <v>1</v>
      </c>
      <c r="N12" s="105"/>
      <c r="O12" s="84"/>
      <c r="P12" s="82"/>
      <c r="Q12" s="93"/>
      <c r="R12" s="85">
        <f>M12</f>
        <v>1</v>
      </c>
      <c r="S12" s="154" t="s">
        <v>59</v>
      </c>
      <c r="T12" s="215">
        <v>5</v>
      </c>
      <c r="U12" s="94"/>
      <c r="V12" s="71"/>
      <c r="W12" s="71"/>
      <c r="X12" s="152"/>
      <c r="Y12" s="153"/>
      <c r="Z12" s="72"/>
    </row>
    <row r="13" spans="1:36" s="73" customFormat="1" ht="21" customHeight="1">
      <c r="A13" s="64"/>
      <c r="B13" s="109"/>
      <c r="C13" s="237"/>
      <c r="D13" s="854"/>
      <c r="E13" s="855"/>
      <c r="F13" s="856"/>
      <c r="G13" s="77"/>
      <c r="H13" s="78"/>
      <c r="I13" s="79"/>
      <c r="J13" s="226"/>
      <c r="K13" s="81"/>
      <c r="L13" s="82"/>
      <c r="M13" s="83"/>
      <c r="N13" s="105"/>
      <c r="O13" s="84"/>
      <c r="P13" s="82"/>
      <c r="Q13" s="93"/>
      <c r="R13" s="85"/>
      <c r="S13" s="154"/>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DEZ!F658</f>
        <v>1</v>
      </c>
      <c r="K23" s="810"/>
      <c r="L23" s="50" t="str">
        <f>DEZ!D658</f>
        <v>un</v>
      </c>
      <c r="M23" s="803" t="s">
        <v>12</v>
      </c>
      <c r="N23" s="811"/>
      <c r="O23" s="811"/>
      <c r="P23" s="811"/>
      <c r="Q23" s="805"/>
      <c r="R23" s="61">
        <f>SUM(R12:R22)</f>
        <v>1</v>
      </c>
      <c r="S23" s="51" t="str">
        <f>L23</f>
        <v>un</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VLOOKUP(A25,DEZ!$A$2:$S$731,8,FALSE)</f>
        <v>0</v>
      </c>
      <c r="S24" s="52" t="str">
        <f>L23</f>
        <v>un</v>
      </c>
      <c r="T24" s="22"/>
      <c r="U24" s="23"/>
    </row>
    <row r="25" spans="1:28" ht="21" customHeight="1">
      <c r="A25" s="10" t="s">
        <v>777</v>
      </c>
      <c r="B25" s="165"/>
      <c r="C25" s="164"/>
      <c r="D25" s="820"/>
      <c r="E25" s="821"/>
      <c r="F25" s="821"/>
      <c r="G25" s="821"/>
      <c r="H25" s="821"/>
      <c r="I25" s="822"/>
      <c r="J25" s="825"/>
      <c r="K25" s="826"/>
      <c r="L25" s="828"/>
      <c r="M25" s="803" t="s">
        <v>14</v>
      </c>
      <c r="N25" s="804"/>
      <c r="O25" s="804"/>
      <c r="P25" s="804"/>
      <c r="Q25" s="805"/>
      <c r="R25" s="62">
        <f>R23-R24</f>
        <v>1</v>
      </c>
      <c r="S25" s="53" t="str">
        <f>L23</f>
        <v>un</v>
      </c>
      <c r="T25" s="54"/>
      <c r="U25" s="24"/>
    </row>
    <row r="26" spans="1:28" ht="21" customHeight="1">
      <c r="B26" s="218"/>
      <c r="C26" s="217"/>
      <c r="M26" s="803" t="s">
        <v>53</v>
      </c>
      <c r="N26" s="804"/>
      <c r="O26" s="804"/>
      <c r="P26" s="804"/>
      <c r="Q26" s="805"/>
      <c r="R26" s="62">
        <f>DEZ!E658</f>
        <v>28185.33</v>
      </c>
      <c r="S26" s="53"/>
      <c r="T26" s="54"/>
      <c r="U26" s="24"/>
    </row>
    <row r="27" spans="1:28" ht="21" customHeight="1">
      <c r="B27" s="163"/>
      <c r="C27" s="219"/>
      <c r="M27" s="803" t="s">
        <v>54</v>
      </c>
      <c r="N27" s="804"/>
      <c r="O27" s="804"/>
      <c r="P27" s="804"/>
      <c r="Q27" s="805"/>
      <c r="R27" s="62">
        <f>TRUNC(R26*R25,2)</f>
        <v>28185.33</v>
      </c>
      <c r="S27" s="53" t="s">
        <v>55</v>
      </c>
      <c r="T27" s="54"/>
      <c r="U27" s="24"/>
    </row>
    <row r="30" spans="1:28">
      <c r="C30" s="2">
        <f>18*5</f>
        <v>90</v>
      </c>
    </row>
    <row r="31" spans="1:28">
      <c r="C31" s="2">
        <f>C30*0.09</f>
        <v>8.1</v>
      </c>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7:Q27"/>
    <mergeCell ref="D24:I25"/>
    <mergeCell ref="J24:K25"/>
    <mergeCell ref="L24:L25"/>
    <mergeCell ref="M24:Q24"/>
    <mergeCell ref="M25:Q25"/>
    <mergeCell ref="M26:Q26"/>
    <mergeCell ref="D12:F12"/>
    <mergeCell ref="D13:F13"/>
    <mergeCell ref="D23:I23"/>
    <mergeCell ref="J23:K23"/>
    <mergeCell ref="M23:Q23"/>
  </mergeCells>
  <conditionalFormatting sqref="J24:K27">
    <cfRule type="cellIs" dxfId="15" priority="1" operator="greaterThanOrEqual">
      <formula>1</formula>
    </cfRule>
    <cfRule type="cellIs" dxfId="1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Planilha105">
    <tabColor rgb="FF339933"/>
    <pageSetUpPr fitToPage="1"/>
  </sheetPr>
  <dimension ref="A1:AJ31"/>
  <sheetViews>
    <sheetView view="pageBreakPreview"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DEZ!A659</f>
        <v>5.4.1.12</v>
      </c>
      <c r="C10" s="845" t="str">
        <f>DEZ!C659</f>
        <v>Chapa dobrada #8 400x700 mm, incl. chumbadores e solda.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973</v>
      </c>
      <c r="D12" s="854"/>
      <c r="E12" s="855"/>
      <c r="F12" s="856"/>
      <c r="G12" s="77"/>
      <c r="H12" s="78"/>
      <c r="I12" s="79"/>
      <c r="J12" s="226"/>
      <c r="K12" s="81"/>
      <c r="L12" s="82"/>
      <c r="M12" s="83">
        <v>2</v>
      </c>
      <c r="N12" s="105"/>
      <c r="O12" s="84"/>
      <c r="P12" s="82"/>
      <c r="Q12" s="93"/>
      <c r="R12" s="85">
        <f>M12</f>
        <v>2</v>
      </c>
      <c r="S12" s="154" t="s">
        <v>59</v>
      </c>
      <c r="T12" s="215">
        <v>5</v>
      </c>
      <c r="U12" s="94"/>
      <c r="V12" s="71"/>
      <c r="W12" s="71"/>
      <c r="X12" s="152"/>
      <c r="Y12" s="153"/>
      <c r="Z12" s="72"/>
    </row>
    <row r="13" spans="1:36" s="73" customFormat="1" ht="21" customHeight="1">
      <c r="A13" s="64"/>
      <c r="B13" s="109"/>
      <c r="C13" s="237"/>
      <c r="D13" s="854"/>
      <c r="E13" s="855"/>
      <c r="F13" s="856"/>
      <c r="G13" s="77"/>
      <c r="H13" s="78"/>
      <c r="I13" s="79"/>
      <c r="J13" s="226"/>
      <c r="K13" s="81"/>
      <c r="L13" s="82"/>
      <c r="M13" s="83"/>
      <c r="N13" s="105"/>
      <c r="O13" s="84"/>
      <c r="P13" s="82"/>
      <c r="Q13" s="93"/>
      <c r="R13" s="85"/>
      <c r="S13" s="154"/>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DEZ!F659</f>
        <v>2</v>
      </c>
      <c r="K23" s="810"/>
      <c r="L23" s="50" t="str">
        <f>DEZ!D658</f>
        <v>un</v>
      </c>
      <c r="M23" s="803" t="s">
        <v>12</v>
      </c>
      <c r="N23" s="811"/>
      <c r="O23" s="811"/>
      <c r="P23" s="811"/>
      <c r="Q23" s="805"/>
      <c r="R23" s="61">
        <f>SUM(R12:R22)</f>
        <v>2</v>
      </c>
      <c r="S23" s="51" t="str">
        <f>L23</f>
        <v>un</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v>0</v>
      </c>
      <c r="S24" s="52" t="str">
        <f>L23</f>
        <v>un</v>
      </c>
      <c r="T24" s="22"/>
      <c r="U24" s="23"/>
    </row>
    <row r="25" spans="1:28" ht="21" customHeight="1">
      <c r="A25" s="10" t="s">
        <v>777</v>
      </c>
      <c r="B25" s="165"/>
      <c r="C25" s="164"/>
      <c r="D25" s="820"/>
      <c r="E25" s="821"/>
      <c r="F25" s="821"/>
      <c r="G25" s="821"/>
      <c r="H25" s="821"/>
      <c r="I25" s="822"/>
      <c r="J25" s="825"/>
      <c r="K25" s="826"/>
      <c r="L25" s="828"/>
      <c r="M25" s="803" t="s">
        <v>14</v>
      </c>
      <c r="N25" s="804"/>
      <c r="O25" s="804"/>
      <c r="P25" s="804"/>
      <c r="Q25" s="805"/>
      <c r="R25" s="62">
        <f>R23-R24</f>
        <v>2</v>
      </c>
      <c r="S25" s="53" t="str">
        <f>L23</f>
        <v>un</v>
      </c>
      <c r="T25" s="54"/>
      <c r="U25" s="24"/>
    </row>
    <row r="26" spans="1:28" ht="21" customHeight="1">
      <c r="B26" s="218"/>
      <c r="C26" s="217"/>
      <c r="M26" s="803" t="s">
        <v>53</v>
      </c>
      <c r="N26" s="804"/>
      <c r="O26" s="804"/>
      <c r="P26" s="804"/>
      <c r="Q26" s="805"/>
      <c r="R26" s="62">
        <f>DEZ!I659</f>
        <v>2</v>
      </c>
      <c r="S26" s="53"/>
      <c r="T26" s="54"/>
      <c r="U26" s="24"/>
    </row>
    <row r="27" spans="1:28" ht="21" customHeight="1">
      <c r="B27" s="163"/>
      <c r="C27" s="219"/>
      <c r="M27" s="803" t="s">
        <v>54</v>
      </c>
      <c r="N27" s="804"/>
      <c r="O27" s="804"/>
      <c r="P27" s="804"/>
      <c r="Q27" s="805"/>
      <c r="R27" s="62">
        <f>TRUNC(R26*R25,2)</f>
        <v>4</v>
      </c>
      <c r="S27" s="53" t="s">
        <v>55</v>
      </c>
      <c r="T27" s="54"/>
      <c r="U27" s="24"/>
    </row>
    <row r="30" spans="1:28">
      <c r="C30" s="2">
        <f>18*5</f>
        <v>90</v>
      </c>
    </row>
    <row r="31" spans="1:28">
      <c r="C31" s="2">
        <f>C30*0.09</f>
        <v>8.1</v>
      </c>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7:Q27"/>
    <mergeCell ref="D24:I25"/>
    <mergeCell ref="J24:K25"/>
    <mergeCell ref="L24:L25"/>
    <mergeCell ref="M24:Q24"/>
    <mergeCell ref="M25:Q25"/>
    <mergeCell ref="M26:Q26"/>
    <mergeCell ref="D12:F12"/>
    <mergeCell ref="D13:F13"/>
    <mergeCell ref="D23:I23"/>
    <mergeCell ref="J23:K23"/>
    <mergeCell ref="M23:Q23"/>
  </mergeCells>
  <conditionalFormatting sqref="J24:K27">
    <cfRule type="cellIs" dxfId="13" priority="1" operator="greaterThanOrEqual">
      <formula>1</formula>
    </cfRule>
    <cfRule type="cellIs" dxfId="1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Planilha106">
    <tabColor rgb="FF339933"/>
    <pageSetUpPr fitToPage="1"/>
  </sheetPr>
  <dimension ref="A1:AJ30"/>
  <sheetViews>
    <sheetView view="pageBreakPreview" topLeftCell="A7" zoomScale="60" zoomScaleNormal="55" workbookViewId="0">
      <selection activeCell="G12" sqref="G12:I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11" style="2"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6.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
        <v>778</v>
      </c>
      <c r="C10" s="845" t="str">
        <f>DEZ!C653</f>
        <v>Poliestireno espandido (EPS) de alta densidade - fornecimento e instalação</v>
      </c>
      <c r="D10" s="816" t="s">
        <v>900</v>
      </c>
      <c r="E10" s="816"/>
      <c r="F10" s="816"/>
      <c r="G10" s="816" t="s">
        <v>901</v>
      </c>
      <c r="H10" s="816"/>
      <c r="I10" s="816"/>
      <c r="J10" s="981" t="s">
        <v>853</v>
      </c>
      <c r="K10" s="981" t="s">
        <v>855</v>
      </c>
      <c r="L10" s="981" t="s">
        <v>856</v>
      </c>
      <c r="M10" s="981" t="s">
        <v>62</v>
      </c>
      <c r="N10" s="981"/>
      <c r="O10" s="981"/>
      <c r="P10" s="814"/>
      <c r="Q10" s="981"/>
      <c r="R10" s="980" t="s">
        <v>857</v>
      </c>
      <c r="S10" s="981" t="s">
        <v>10</v>
      </c>
      <c r="T10" s="981" t="s">
        <v>858</v>
      </c>
      <c r="U10" s="982"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237" t="s">
        <v>946</v>
      </c>
      <c r="D12" s="854"/>
      <c r="E12" s="855"/>
      <c r="F12" s="856"/>
      <c r="G12" s="860">
        <v>1</v>
      </c>
      <c r="H12" s="861"/>
      <c r="I12" s="862" t="e">
        <f>1-#REF!</f>
        <v>#REF!</v>
      </c>
      <c r="J12" s="226"/>
      <c r="K12" s="81"/>
      <c r="L12" s="82">
        <f>J22</f>
        <v>113.84</v>
      </c>
      <c r="M12" s="83"/>
      <c r="N12" s="105"/>
      <c r="O12" s="84"/>
      <c r="P12" s="82"/>
      <c r="Q12" s="93"/>
      <c r="R12" s="85">
        <f>G12*L12</f>
        <v>113.84</v>
      </c>
      <c r="S12" s="154" t="s">
        <v>58</v>
      </c>
      <c r="T12" s="215">
        <v>4</v>
      </c>
      <c r="U12" s="94"/>
      <c r="V12" s="71"/>
      <c r="W12" s="71"/>
      <c r="X12" s="152"/>
      <c r="Y12" s="153"/>
      <c r="Z12" s="72"/>
      <c r="AA12" s="71"/>
      <c r="AB12" s="74"/>
    </row>
    <row r="13" spans="1:36" s="90" customFormat="1" ht="21" customHeight="1">
      <c r="A13" s="75"/>
      <c r="B13" s="107"/>
      <c r="C13" s="104"/>
      <c r="D13" s="77"/>
      <c r="E13" s="78"/>
      <c r="F13" s="79"/>
      <c r="G13" s="77"/>
      <c r="H13" s="78"/>
      <c r="I13" s="79"/>
      <c r="J13" s="80"/>
      <c r="K13" s="81"/>
      <c r="L13" s="82"/>
      <c r="M13" s="83"/>
      <c r="N13" s="84"/>
      <c r="O13" s="155"/>
      <c r="P13" s="156"/>
      <c r="Q13" s="85"/>
      <c r="R13" s="85"/>
      <c r="S13" s="154"/>
      <c r="T13" s="215"/>
      <c r="U13" s="92"/>
      <c r="V13" s="86"/>
      <c r="W13" s="86"/>
      <c r="X13" s="86"/>
      <c r="Y13" s="151"/>
      <c r="Z13" s="87"/>
      <c r="AA13" s="88"/>
      <c r="AB13" s="89"/>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DEZ!F653</f>
        <v>113.84</v>
      </c>
      <c r="K22" s="810"/>
      <c r="L22" s="50" t="str">
        <f>VLOOKUP(A24,DEZ!$A$2:$S$731,4,FALSE)</f>
        <v>m3</v>
      </c>
      <c r="M22" s="803" t="s">
        <v>12</v>
      </c>
      <c r="N22" s="811"/>
      <c r="O22" s="811"/>
      <c r="P22" s="811"/>
      <c r="Q22" s="805"/>
      <c r="R22" s="61">
        <f>SUM(R12:R21)</f>
        <v>113.84</v>
      </c>
      <c r="S22" s="51" t="str">
        <f>L22</f>
        <v>m3</v>
      </c>
      <c r="T22" s="22"/>
      <c r="U22" s="23"/>
    </row>
    <row r="23" spans="1:28" ht="21" customHeight="1">
      <c r="B23" s="163"/>
      <c r="C23" s="19"/>
      <c r="D23" s="817" t="s">
        <v>13</v>
      </c>
      <c r="E23" s="818"/>
      <c r="F23" s="818"/>
      <c r="G23" s="818"/>
      <c r="H23" s="818"/>
      <c r="I23" s="819"/>
      <c r="J23" s="823">
        <f>R22/J22</f>
        <v>1</v>
      </c>
      <c r="K23" s="824"/>
      <c r="L23" s="827"/>
      <c r="M23" s="803" t="s">
        <v>34</v>
      </c>
      <c r="N23" s="804"/>
      <c r="O23" s="804"/>
      <c r="P23" s="804"/>
      <c r="Q23" s="805"/>
      <c r="R23" s="61">
        <f>DEZ!N653</f>
        <v>113.84</v>
      </c>
      <c r="S23" s="52" t="str">
        <f>L22</f>
        <v>m3</v>
      </c>
      <c r="T23" s="22"/>
      <c r="U23" s="23"/>
    </row>
    <row r="24" spans="1:28" ht="21" customHeight="1">
      <c r="A24" s="10" t="s">
        <v>777</v>
      </c>
      <c r="B24" s="165"/>
      <c r="C24" s="164"/>
      <c r="D24" s="820"/>
      <c r="E24" s="821"/>
      <c r="F24" s="821"/>
      <c r="G24" s="821"/>
      <c r="H24" s="821"/>
      <c r="I24" s="822"/>
      <c r="J24" s="825"/>
      <c r="K24" s="826"/>
      <c r="L24" s="828"/>
      <c r="M24" s="803" t="s">
        <v>14</v>
      </c>
      <c r="N24" s="804"/>
      <c r="O24" s="804"/>
      <c r="P24" s="804"/>
      <c r="Q24" s="805"/>
      <c r="R24" s="62">
        <f>R22-R23</f>
        <v>0</v>
      </c>
      <c r="S24" s="53" t="str">
        <f>L22</f>
        <v>m3</v>
      </c>
      <c r="T24" s="54"/>
      <c r="U24" s="24"/>
    </row>
    <row r="25" spans="1:28" ht="21" customHeight="1">
      <c r="B25" s="218"/>
      <c r="C25" s="217"/>
      <c r="M25" s="803" t="s">
        <v>53</v>
      </c>
      <c r="N25" s="804"/>
      <c r="O25" s="804"/>
      <c r="P25" s="804"/>
      <c r="Q25" s="805"/>
      <c r="R25" s="62">
        <f>DEZ!E653</f>
        <v>641.15</v>
      </c>
      <c r="S25" s="53"/>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6:Q26"/>
    <mergeCell ref="D23:I24"/>
    <mergeCell ref="J23:K24"/>
    <mergeCell ref="L23:L24"/>
    <mergeCell ref="M23:Q23"/>
    <mergeCell ref="M24:Q24"/>
    <mergeCell ref="M25:Q25"/>
    <mergeCell ref="D12:F12"/>
    <mergeCell ref="D22:I22"/>
    <mergeCell ref="J22:K22"/>
    <mergeCell ref="M22:Q22"/>
    <mergeCell ref="G12:I12"/>
  </mergeCells>
  <conditionalFormatting sqref="J23:K26">
    <cfRule type="cellIs" dxfId="11" priority="1" operator="greaterThanOrEqual">
      <formula>1</formula>
    </cfRule>
    <cfRule type="cellIs" dxfId="10"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Planilha107">
    <tabColor rgb="FF339933"/>
    <pageSetUpPr fitToPage="1"/>
  </sheetPr>
  <dimension ref="A1:AJ32"/>
  <sheetViews>
    <sheetView view="pageBreakPreview" zoomScale="60" zoomScaleNormal="55" workbookViewId="0">
      <selection activeCell="U13" sqref="U13:U1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A30</f>
        <v>5.3.2.1</v>
      </c>
      <c r="C10" s="845" t="str">
        <f>CONCATENATE(VLOOKUP(A30,DEZ!$A$2:$S$731,2,FALSE)," - ",VLOOKUP(A30,DEZ!$A$2:$S$731,3,FALSE))</f>
        <v>COT14 - SONDAGEM A PERCUSSÃO COM ENSAIO SPT - INCLUSIVE MOBILIZAÇÃO E DESMOBILIZAÇÃO DE EQUIPAMENTO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220" t="s">
        <v>889</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881</v>
      </c>
      <c r="D13" s="854">
        <v>27.45</v>
      </c>
      <c r="E13" s="855"/>
      <c r="F13" s="856"/>
      <c r="G13" s="77"/>
      <c r="H13" s="78"/>
      <c r="I13" s="79"/>
      <c r="J13" s="80"/>
      <c r="K13" s="81"/>
      <c r="L13" s="82"/>
      <c r="M13" s="83"/>
      <c r="N13" s="105"/>
      <c r="O13" s="84"/>
      <c r="P13" s="82"/>
      <c r="Q13" s="93"/>
      <c r="R13" s="85">
        <v>17</v>
      </c>
      <c r="S13" s="154" t="s">
        <v>51</v>
      </c>
      <c r="T13" s="215">
        <v>1</v>
      </c>
      <c r="U13" s="866" t="s">
        <v>890</v>
      </c>
      <c r="V13" s="71"/>
      <c r="W13" s="71"/>
      <c r="X13" s="152"/>
      <c r="Y13" s="153"/>
      <c r="Z13" s="72"/>
    </row>
    <row r="14" spans="1:36" s="73" customFormat="1" ht="21" customHeight="1">
      <c r="A14" s="64"/>
      <c r="B14" s="109"/>
      <c r="C14" s="76" t="s">
        <v>882</v>
      </c>
      <c r="D14" s="854">
        <v>17.45</v>
      </c>
      <c r="E14" s="855"/>
      <c r="F14" s="856"/>
      <c r="G14" s="77"/>
      <c r="H14" s="78"/>
      <c r="I14" s="79"/>
      <c r="J14" s="80"/>
      <c r="K14" s="81"/>
      <c r="L14" s="82"/>
      <c r="M14" s="83"/>
      <c r="N14" s="105"/>
      <c r="O14" s="84"/>
      <c r="P14" s="82"/>
      <c r="Q14" s="93"/>
      <c r="R14" s="85">
        <v>17</v>
      </c>
      <c r="S14" s="154" t="s">
        <v>51</v>
      </c>
      <c r="T14" s="215">
        <v>1</v>
      </c>
      <c r="U14" s="867"/>
      <c r="V14" s="71"/>
      <c r="W14" s="71"/>
      <c r="X14" s="152"/>
      <c r="Y14" s="153"/>
      <c r="Z14" s="72"/>
    </row>
    <row r="15" spans="1:36" s="73" customFormat="1" ht="21" customHeight="1">
      <c r="A15" s="64"/>
      <c r="B15" s="109"/>
      <c r="C15" s="76" t="s">
        <v>883</v>
      </c>
      <c r="D15" s="854">
        <v>26.45</v>
      </c>
      <c r="E15" s="855"/>
      <c r="F15" s="856"/>
      <c r="G15" s="77"/>
      <c r="H15" s="78"/>
      <c r="I15" s="79"/>
      <c r="J15" s="66"/>
      <c r="K15" s="108"/>
      <c r="L15" s="67"/>
      <c r="M15" s="68"/>
      <c r="N15" s="110"/>
      <c r="O15" s="69"/>
      <c r="P15" s="67"/>
      <c r="Q15" s="106"/>
      <c r="R15" s="85">
        <v>17</v>
      </c>
      <c r="S15" s="154" t="s">
        <v>51</v>
      </c>
      <c r="T15" s="215">
        <v>1</v>
      </c>
      <c r="U15" s="867"/>
      <c r="V15" s="71"/>
      <c r="W15" s="71"/>
      <c r="X15" s="152"/>
      <c r="Y15" s="153"/>
      <c r="Z15" s="72"/>
      <c r="AA15" s="71"/>
      <c r="AB15" s="74"/>
    </row>
    <row r="16" spans="1:36" s="73" customFormat="1" ht="21" customHeight="1">
      <c r="A16" s="64"/>
      <c r="B16" s="109"/>
      <c r="C16" s="76" t="s">
        <v>884</v>
      </c>
      <c r="D16" s="854">
        <v>25.45</v>
      </c>
      <c r="E16" s="855"/>
      <c r="F16" s="856"/>
      <c r="G16" s="77"/>
      <c r="H16" s="78"/>
      <c r="I16" s="79"/>
      <c r="J16" s="66"/>
      <c r="K16" s="108"/>
      <c r="L16" s="67"/>
      <c r="M16" s="68"/>
      <c r="N16" s="110"/>
      <c r="O16" s="69"/>
      <c r="P16" s="67"/>
      <c r="Q16" s="106"/>
      <c r="R16" s="85">
        <v>17</v>
      </c>
      <c r="S16" s="154" t="s">
        <v>51</v>
      </c>
      <c r="T16" s="215">
        <v>1</v>
      </c>
      <c r="U16" s="867"/>
      <c r="V16" s="71"/>
      <c r="W16" s="71"/>
      <c r="X16" s="152"/>
      <c r="Y16" s="153"/>
      <c r="Z16" s="72"/>
      <c r="AA16" s="71"/>
      <c r="AB16" s="74"/>
    </row>
    <row r="17" spans="1:28" s="73" customFormat="1" ht="21" customHeight="1">
      <c r="A17" s="64"/>
      <c r="B17" s="109"/>
      <c r="C17" s="76" t="s">
        <v>885</v>
      </c>
      <c r="D17" s="854">
        <v>27.45</v>
      </c>
      <c r="E17" s="855"/>
      <c r="F17" s="856"/>
      <c r="G17" s="77"/>
      <c r="H17" s="78"/>
      <c r="I17" s="79"/>
      <c r="J17" s="66"/>
      <c r="K17" s="108"/>
      <c r="L17" s="67"/>
      <c r="M17" s="68"/>
      <c r="N17" s="110"/>
      <c r="O17" s="69"/>
      <c r="P17" s="67"/>
      <c r="Q17" s="106"/>
      <c r="R17" s="85">
        <v>17</v>
      </c>
      <c r="S17" s="154" t="s">
        <v>51</v>
      </c>
      <c r="T17" s="215">
        <v>1</v>
      </c>
      <c r="U17" s="868"/>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07"/>
      <c r="C20" s="104"/>
      <c r="D20" s="77"/>
      <c r="E20" s="78"/>
      <c r="F20" s="79"/>
      <c r="G20" s="77"/>
      <c r="H20" s="78"/>
      <c r="I20" s="79"/>
      <c r="J20" s="80"/>
      <c r="K20" s="81"/>
      <c r="L20" s="82"/>
      <c r="M20" s="83"/>
      <c r="N20" s="84"/>
      <c r="O20" s="155"/>
      <c r="P20" s="156"/>
      <c r="Q20" s="85"/>
      <c r="R20" s="85"/>
      <c r="S20" s="154"/>
      <c r="T20" s="215"/>
      <c r="U20" s="92"/>
      <c r="V20" s="86"/>
      <c r="W20" s="86"/>
      <c r="X20" s="86"/>
      <c r="Y20" s="151"/>
      <c r="Z20" s="87"/>
      <c r="AA20" s="88"/>
      <c r="AB20" s="89"/>
    </row>
    <row r="21" spans="1:28" s="90" customFormat="1" ht="21" customHeight="1">
      <c r="A21" s="75"/>
      <c r="B21" s="107"/>
      <c r="C21" s="104"/>
      <c r="D21" s="77"/>
      <c r="E21" s="78"/>
      <c r="F21" s="79"/>
      <c r="G21" s="77"/>
      <c r="H21" s="78"/>
      <c r="I21" s="79"/>
      <c r="J21" s="80"/>
      <c r="K21" s="81"/>
      <c r="L21" s="82"/>
      <c r="M21" s="83"/>
      <c r="N21" s="84"/>
      <c r="O21" s="155"/>
      <c r="P21" s="156"/>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90" customFormat="1" ht="21" customHeight="1">
      <c r="A25" s="75"/>
      <c r="B25" s="157"/>
      <c r="C25" s="76"/>
      <c r="D25" s="77"/>
      <c r="E25" s="78"/>
      <c r="F25" s="79"/>
      <c r="G25" s="77"/>
      <c r="H25" s="78"/>
      <c r="I25" s="79"/>
      <c r="J25" s="80"/>
      <c r="K25" s="81"/>
      <c r="L25" s="82"/>
      <c r="M25" s="83"/>
      <c r="N25" s="84"/>
      <c r="O25" s="84"/>
      <c r="P25" s="82"/>
      <c r="Q25" s="85"/>
      <c r="R25" s="85"/>
      <c r="S25" s="154"/>
      <c r="T25" s="215"/>
      <c r="U25" s="92"/>
      <c r="V25" s="86"/>
      <c r="W25" s="86"/>
      <c r="X25" s="86"/>
      <c r="Y25" s="151"/>
      <c r="Z25" s="87"/>
      <c r="AA25" s="88"/>
      <c r="AB25" s="89"/>
    </row>
    <row r="26" spans="1:28" s="1" customFormat="1" ht="21" customHeight="1">
      <c r="A26" s="11"/>
      <c r="B26" s="25"/>
      <c r="C26" s="20"/>
      <c r="D26" s="26"/>
      <c r="E26" s="159"/>
      <c r="F26" s="27"/>
      <c r="G26" s="26"/>
      <c r="H26" s="159"/>
      <c r="I26" s="27"/>
      <c r="J26" s="28"/>
      <c r="K26" s="49"/>
      <c r="L26" s="40"/>
      <c r="M26" s="41"/>
      <c r="N26" s="160"/>
      <c r="O26" s="160"/>
      <c r="P26" s="40"/>
      <c r="Q26" s="42"/>
      <c r="R26" s="60"/>
      <c r="S26" s="43"/>
      <c r="T26" s="215"/>
      <c r="U26" s="48"/>
      <c r="V26" s="120"/>
      <c r="W26" s="120"/>
      <c r="X26" s="120"/>
      <c r="Y26" s="142"/>
      <c r="Z26" s="15"/>
      <c r="AA26" s="17"/>
      <c r="AB26" s="44"/>
    </row>
    <row r="27" spans="1:28" ht="21" customHeight="1">
      <c r="B27" s="118"/>
      <c r="C27" s="119"/>
      <c r="D27" s="26"/>
      <c r="E27" s="159"/>
      <c r="F27" s="27"/>
      <c r="G27" s="26"/>
      <c r="H27" s="159"/>
      <c r="I27" s="27"/>
      <c r="J27" s="28"/>
      <c r="K27" s="49"/>
      <c r="L27" s="40"/>
      <c r="M27" s="41"/>
      <c r="N27" s="160"/>
      <c r="O27" s="160"/>
      <c r="P27" s="40"/>
      <c r="Q27" s="42"/>
      <c r="R27" s="60"/>
      <c r="S27" s="43"/>
      <c r="T27" s="216"/>
      <c r="U27" s="117"/>
    </row>
    <row r="28" spans="1:28" ht="39.6" customHeight="1">
      <c r="B28" s="161"/>
      <c r="C28" s="162"/>
      <c r="D28" s="806" t="s">
        <v>11</v>
      </c>
      <c r="E28" s="807"/>
      <c r="F28" s="807"/>
      <c r="G28" s="807"/>
      <c r="H28" s="807"/>
      <c r="I28" s="808"/>
      <c r="J28" s="809">
        <f>VLOOKUP(A30,DEZ!$A$2:$S$731,6,FALSE)</f>
        <v>85</v>
      </c>
      <c r="K28" s="810"/>
      <c r="L28" s="50" t="str">
        <f>VLOOKUP(A30,DEZ!$A$2:$S$731,4,FALSE)</f>
        <v>M</v>
      </c>
      <c r="M28" s="803" t="s">
        <v>12</v>
      </c>
      <c r="N28" s="811"/>
      <c r="O28" s="811"/>
      <c r="P28" s="811"/>
      <c r="Q28" s="805"/>
      <c r="R28" s="61">
        <f>SUM(R12:R27)</f>
        <v>85</v>
      </c>
      <c r="S28" s="51" t="str">
        <f>L28</f>
        <v>M</v>
      </c>
      <c r="T28" s="22"/>
      <c r="U28" s="23"/>
    </row>
    <row r="29" spans="1:28" ht="21" customHeight="1">
      <c r="B29" s="163"/>
      <c r="C29" s="19"/>
      <c r="D29" s="817" t="s">
        <v>13</v>
      </c>
      <c r="E29" s="818"/>
      <c r="F29" s="818"/>
      <c r="G29" s="818"/>
      <c r="H29" s="818"/>
      <c r="I29" s="819"/>
      <c r="J29" s="823">
        <f>R28/J28</f>
        <v>1</v>
      </c>
      <c r="K29" s="824"/>
      <c r="L29" s="827"/>
      <c r="M29" s="803" t="s">
        <v>34</v>
      </c>
      <c r="N29" s="804"/>
      <c r="O29" s="804"/>
      <c r="P29" s="804"/>
      <c r="Q29" s="805"/>
      <c r="R29" s="61">
        <f>VLOOKUP(A30,DEZ!$A$2:$S$731,8,FALSE)</f>
        <v>0</v>
      </c>
      <c r="S29" s="52" t="str">
        <f>L28</f>
        <v>M</v>
      </c>
      <c r="T29" s="22"/>
      <c r="U29" s="23"/>
    </row>
    <row r="30" spans="1:28" ht="21" customHeight="1">
      <c r="A30" s="10" t="s">
        <v>714</v>
      </c>
      <c r="B30" s="165"/>
      <c r="C30" s="164"/>
      <c r="D30" s="820"/>
      <c r="E30" s="821"/>
      <c r="F30" s="821"/>
      <c r="G30" s="821"/>
      <c r="H30" s="821"/>
      <c r="I30" s="822"/>
      <c r="J30" s="825"/>
      <c r="K30" s="826"/>
      <c r="L30" s="828"/>
      <c r="M30" s="803" t="s">
        <v>14</v>
      </c>
      <c r="N30" s="804"/>
      <c r="O30" s="804"/>
      <c r="P30" s="804"/>
      <c r="Q30" s="805"/>
      <c r="R30" s="62">
        <f>R28-R29</f>
        <v>85</v>
      </c>
      <c r="S30" s="53" t="str">
        <f>L28</f>
        <v>M</v>
      </c>
      <c r="T30" s="54"/>
      <c r="U30" s="24"/>
    </row>
    <row r="31" spans="1:28" ht="21" customHeight="1">
      <c r="B31" s="218"/>
      <c r="C31" s="217"/>
      <c r="M31" s="803" t="s">
        <v>53</v>
      </c>
      <c r="N31" s="804"/>
      <c r="O31" s="804"/>
      <c r="P31" s="804"/>
      <c r="Q31" s="805"/>
      <c r="R31" s="62">
        <f>VLOOKUP(A30,DEZ!$A$2:$S$731,5,FALSE)</f>
        <v>462.96</v>
      </c>
      <c r="S31" s="53"/>
      <c r="T31" s="54"/>
      <c r="U31" s="24"/>
    </row>
    <row r="32" spans="1:28" ht="21" customHeight="1">
      <c r="B32" s="163"/>
      <c r="C32" s="219"/>
      <c r="M32" s="803" t="s">
        <v>54</v>
      </c>
      <c r="N32" s="804"/>
      <c r="O32" s="804"/>
      <c r="P32" s="804"/>
      <c r="Q32" s="805"/>
      <c r="R32" s="62">
        <f>TRUNC(R31*R30,2)</f>
        <v>39351.599999999999</v>
      </c>
      <c r="S32" s="53" t="s">
        <v>55</v>
      </c>
      <c r="T32" s="54"/>
      <c r="U32" s="24"/>
    </row>
  </sheetData>
  <mergeCells count="40">
    <mergeCell ref="D17:F17"/>
    <mergeCell ref="U13:U17"/>
    <mergeCell ref="T7:U7"/>
    <mergeCell ref="D13:F13"/>
    <mergeCell ref="D14:F14"/>
    <mergeCell ref="D15:F15"/>
    <mergeCell ref="D16:F16"/>
    <mergeCell ref="R10:R11"/>
    <mergeCell ref="S10:S11"/>
    <mergeCell ref="T8:U8"/>
    <mergeCell ref="T9:U9"/>
    <mergeCell ref="K10:K11"/>
    <mergeCell ref="L10:L11"/>
    <mergeCell ref="M10:M11"/>
    <mergeCell ref="B1:U4"/>
    <mergeCell ref="V4:AA4"/>
    <mergeCell ref="B5:I5"/>
    <mergeCell ref="J5:O5"/>
    <mergeCell ref="P5:U5"/>
    <mergeCell ref="B10:B11"/>
    <mergeCell ref="C10:C11"/>
    <mergeCell ref="D10:F11"/>
    <mergeCell ref="G10:I11"/>
    <mergeCell ref="J10:J11"/>
    <mergeCell ref="M31:Q31"/>
    <mergeCell ref="M32:Q32"/>
    <mergeCell ref="T10:T11"/>
    <mergeCell ref="U10:U11"/>
    <mergeCell ref="D28:I28"/>
    <mergeCell ref="J28:K28"/>
    <mergeCell ref="M28:Q28"/>
    <mergeCell ref="D29:I30"/>
    <mergeCell ref="J29:K30"/>
    <mergeCell ref="L29:L30"/>
    <mergeCell ref="M29:Q29"/>
    <mergeCell ref="M30:Q30"/>
    <mergeCell ref="N10:N11"/>
    <mergeCell ref="O10:O11"/>
    <mergeCell ref="P10:P11"/>
    <mergeCell ref="Q10:Q11"/>
  </mergeCells>
  <conditionalFormatting sqref="J29:K32">
    <cfRule type="cellIs" dxfId="9" priority="1" operator="greaterThanOrEqual">
      <formula>1</formula>
    </cfRule>
    <cfRule type="cellIs" dxfId="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15F02-935E-4CAC-B66B-745ED53CB6D7}">
  <sheetPr codeName="Planilha186">
    <tabColor rgb="FF339933"/>
    <pageSetUpPr fitToPage="1"/>
  </sheetPr>
  <dimension ref="A1:AJ29"/>
  <sheetViews>
    <sheetView view="pageBreakPreview" topLeftCell="A7" zoomScale="50" zoomScaleNormal="55" zoomScaleSheetLayoutView="50" workbookViewId="0">
      <selection activeCell="S7" sqref="S1:S1048576"/>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21.8554687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DEZ!A617</f>
        <v>5.3.7.4</v>
      </c>
      <c r="C10" s="845" t="str">
        <f>DEZ!C617</f>
        <v>Laje pré-fabricada treliçada, sobrecarga 300 Kg/m2, vão de 3.5m a 4.3m, capeamento 4cm, esp. 12cm, Fck = 150 Kg/cm2</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1378</v>
      </c>
      <c r="D12" s="77"/>
      <c r="E12" s="78"/>
      <c r="F12" s="79"/>
      <c r="G12" s="77"/>
      <c r="H12" s="78"/>
      <c r="I12" s="79"/>
      <c r="J12" s="80"/>
      <c r="K12" s="81">
        <v>169</v>
      </c>
      <c r="L12" s="82"/>
      <c r="M12" s="83"/>
      <c r="N12" s="105"/>
      <c r="O12" s="84"/>
      <c r="P12" s="82"/>
      <c r="Q12" s="93"/>
      <c r="R12" s="85">
        <f>K12</f>
        <v>169</v>
      </c>
      <c r="S12" s="111" t="s">
        <v>57</v>
      </c>
      <c r="T12" s="215">
        <v>10</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DEZ!I617</f>
        <v>169</v>
      </c>
      <c r="K25" s="810"/>
      <c r="L25" s="50" t="str">
        <f>DEZ!D617</f>
        <v>m2</v>
      </c>
      <c r="M25" s="803" t="s">
        <v>12</v>
      </c>
      <c r="N25" s="811"/>
      <c r="O25" s="811"/>
      <c r="P25" s="811"/>
      <c r="Q25" s="805"/>
      <c r="R25" s="61">
        <f>R12</f>
        <v>169</v>
      </c>
      <c r="S25" s="51" t="str">
        <f>L25</f>
        <v>m2</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169</v>
      </c>
      <c r="S26" s="52" t="str">
        <f>L25</f>
        <v>m2</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m2</v>
      </c>
      <c r="T27" s="54"/>
      <c r="U27" s="24"/>
    </row>
    <row r="28" spans="1:28" ht="21" customHeight="1">
      <c r="B28" s="218"/>
      <c r="C28" s="217"/>
      <c r="M28" s="803" t="s">
        <v>53</v>
      </c>
      <c r="N28" s="804"/>
      <c r="O28" s="804"/>
      <c r="P28" s="804"/>
      <c r="Q28" s="805"/>
      <c r="R28" s="62">
        <f>DEZ!E617</f>
        <v>79.41</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7" priority="1" operator="greaterThanOrEqual">
      <formula>1</formula>
    </cfRule>
    <cfRule type="cellIs" dxfId="6"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22C9D-9D05-4BBD-9E30-5A95E1487974}">
  <sheetPr codeName="Planilha30">
    <tabColor rgb="FF339933"/>
    <pageSetUpPr fitToPage="1"/>
  </sheetPr>
  <dimension ref="A1:AJ28"/>
  <sheetViews>
    <sheetView view="pageBreakPreview" topLeftCell="I1" zoomScale="50" zoomScaleNormal="55" zoomScaleSheetLayoutView="50" workbookViewId="0">
      <selection activeCell="R26" sqref="R26"/>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0" style="2" customWidth="1"/>
    <col min="11" max="11" width="21.7109375" style="2" customWidth="1"/>
    <col min="12" max="12" width="20.140625" style="2" customWidth="1"/>
    <col min="13" max="13" width="20.140625" style="2" bestFit="1"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DEZ!A143</f>
        <v>2.4.1.5</v>
      </c>
      <c r="C10" s="845" t="str">
        <f>DEZ!C143</f>
        <v>FORNECIMENTO E APLICAÇÃO DE CONCRETO USINADO FCK=50 MPA COM ADITIVO LIQUIDO IMPERMEABILIZANTE E SÍLICA ATIVA - CONSIDERANDO BOMBEAMENTO (5% DE PERDAS JÁ INCLUÍDO NO CUSTO) (6% DE TAXA P/CONCR. BOMBEAVEL)</v>
      </c>
      <c r="D10" s="816" t="s">
        <v>900</v>
      </c>
      <c r="E10" s="816"/>
      <c r="F10" s="816"/>
      <c r="G10" s="816" t="s">
        <v>901</v>
      </c>
      <c r="H10" s="816"/>
      <c r="I10" s="816"/>
      <c r="J10" s="812" t="s">
        <v>985</v>
      </c>
      <c r="K10" s="812" t="s">
        <v>984</v>
      </c>
      <c r="L10" s="812" t="s">
        <v>983</v>
      </c>
      <c r="M10" s="812" t="s">
        <v>856</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51.75"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1002</v>
      </c>
      <c r="D12" s="854"/>
      <c r="E12" s="855"/>
      <c r="F12" s="856"/>
      <c r="G12" s="860"/>
      <c r="H12" s="861"/>
      <c r="I12" s="862"/>
      <c r="J12" s="80">
        <v>18</v>
      </c>
      <c r="K12" s="81">
        <v>5</v>
      </c>
      <c r="L12" s="82">
        <v>0.1</v>
      </c>
      <c r="M12" s="83">
        <f>J12*K12*L12</f>
        <v>9</v>
      </c>
      <c r="N12" s="105"/>
      <c r="O12" s="84"/>
      <c r="P12" s="82"/>
      <c r="Q12" s="93"/>
      <c r="R12" s="85">
        <f>M12</f>
        <v>9</v>
      </c>
      <c r="S12" s="154" t="s">
        <v>58</v>
      </c>
      <c r="T12" s="215">
        <v>6</v>
      </c>
      <c r="U12" s="94"/>
      <c r="V12" s="71"/>
      <c r="W12" s="71"/>
      <c r="X12" s="152"/>
      <c r="Y12" s="153"/>
      <c r="Z12" s="72"/>
    </row>
    <row r="13" spans="1:36" s="73" customFormat="1" ht="21" customHeight="1">
      <c r="A13" s="64"/>
      <c r="B13" s="109"/>
      <c r="C13" s="76" t="s">
        <v>1001</v>
      </c>
      <c r="D13" s="854"/>
      <c r="E13" s="855"/>
      <c r="F13" s="856"/>
      <c r="G13" s="77"/>
      <c r="H13" s="78"/>
      <c r="I13" s="79"/>
      <c r="J13" s="80"/>
      <c r="K13" s="81"/>
      <c r="L13" s="82"/>
      <c r="M13" s="83">
        <f>J24-M12-10</f>
        <v>9.0500000000000007</v>
      </c>
      <c r="N13" s="105"/>
      <c r="O13" s="84"/>
      <c r="P13" s="82"/>
      <c r="Q13" s="93"/>
      <c r="R13" s="85">
        <f>M13</f>
        <v>9.0500000000000007</v>
      </c>
      <c r="S13" s="154" t="s">
        <v>58</v>
      </c>
      <c r="T13" s="215">
        <v>7</v>
      </c>
      <c r="U13" s="94"/>
      <c r="V13" s="71"/>
      <c r="W13" s="71"/>
      <c r="X13" s="152"/>
      <c r="Y13" s="153"/>
      <c r="Z13" s="72"/>
    </row>
    <row r="14" spans="1:36" s="73" customFormat="1" ht="21" customHeight="1">
      <c r="A14" s="64"/>
      <c r="B14" s="109"/>
      <c r="C14" s="76" t="s">
        <v>1365</v>
      </c>
      <c r="D14" s="854"/>
      <c r="E14" s="855"/>
      <c r="F14" s="856"/>
      <c r="G14" s="77"/>
      <c r="H14" s="78"/>
      <c r="I14" s="79"/>
      <c r="J14" s="80"/>
      <c r="K14" s="81"/>
      <c r="L14" s="82"/>
      <c r="M14" s="83">
        <v>10</v>
      </c>
      <c r="N14" s="105"/>
      <c r="O14" s="84"/>
      <c r="P14" s="82"/>
      <c r="Q14" s="93"/>
      <c r="R14" s="85">
        <f>M14</f>
        <v>10</v>
      </c>
      <c r="S14" s="154" t="s">
        <v>58</v>
      </c>
      <c r="T14" s="215">
        <v>9</v>
      </c>
      <c r="U14" s="94"/>
      <c r="V14" s="71"/>
      <c r="W14" s="71"/>
      <c r="X14" s="152"/>
      <c r="Y14" s="153"/>
      <c r="Z14" s="72"/>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DEZ!F143</f>
        <v>28.05</v>
      </c>
      <c r="K24" s="810"/>
      <c r="L24" s="50" t="str">
        <f>VLOOKUP(A26,DEZ!$A$2:$S$731,4,FALSE)</f>
        <v>kg</v>
      </c>
      <c r="M24" s="803" t="s">
        <v>12</v>
      </c>
      <c r="N24" s="811"/>
      <c r="O24" s="811"/>
      <c r="P24" s="811"/>
      <c r="Q24" s="805"/>
      <c r="R24" s="61">
        <f>SUM(R12:R23)</f>
        <v>28.05</v>
      </c>
      <c r="S24" s="51" t="str">
        <f>L24</f>
        <v>kg</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SUM(R12:R14)</f>
        <v>28.05</v>
      </c>
      <c r="S25" s="52" t="str">
        <f>L24</f>
        <v>kg</v>
      </c>
      <c r="T25" s="22"/>
      <c r="U25" s="23"/>
    </row>
    <row r="26" spans="1:28" ht="21" customHeight="1">
      <c r="A26" s="10" t="s">
        <v>467</v>
      </c>
      <c r="B26" s="165"/>
      <c r="C26" s="164"/>
      <c r="D26" s="820"/>
      <c r="E26" s="821"/>
      <c r="F26" s="821"/>
      <c r="G26" s="821"/>
      <c r="H26" s="821"/>
      <c r="I26" s="822"/>
      <c r="J26" s="825"/>
      <c r="K26" s="826"/>
      <c r="L26" s="828"/>
      <c r="M26" s="803" t="s">
        <v>14</v>
      </c>
      <c r="N26" s="804"/>
      <c r="O26" s="804"/>
      <c r="P26" s="804"/>
      <c r="Q26" s="805"/>
      <c r="R26" s="62">
        <f>R24-R25</f>
        <v>0</v>
      </c>
      <c r="S26" s="53" t="str">
        <f>L24</f>
        <v>kg</v>
      </c>
      <c r="T26" s="54"/>
      <c r="U26" s="24"/>
    </row>
    <row r="27" spans="1:28" ht="21" customHeight="1">
      <c r="B27" s="218"/>
      <c r="C27" s="217"/>
      <c r="M27" s="803" t="s">
        <v>53</v>
      </c>
      <c r="N27" s="804"/>
      <c r="O27" s="804"/>
      <c r="P27" s="804"/>
      <c r="Q27" s="805"/>
      <c r="R27" s="62">
        <f>VLOOKUP(A26,DEZ!$A$2:$S$731,5,FALSE)</f>
        <v>7.98</v>
      </c>
      <c r="S27" s="53"/>
      <c r="T27" s="54"/>
      <c r="U27" s="24"/>
    </row>
    <row r="28" spans="1:28" ht="21" customHeight="1">
      <c r="B28" s="163"/>
      <c r="C28" s="219"/>
      <c r="M28" s="803" t="s">
        <v>54</v>
      </c>
      <c r="N28" s="804"/>
      <c r="O28" s="804"/>
      <c r="P28" s="804"/>
      <c r="Q28" s="805"/>
      <c r="R28" s="62">
        <f>TRUNC(R27*R26,2)</f>
        <v>0</v>
      </c>
      <c r="S28" s="53" t="s">
        <v>55</v>
      </c>
      <c r="T28" s="54"/>
      <c r="U28" s="24"/>
    </row>
  </sheetData>
  <mergeCells count="38">
    <mergeCell ref="T7:U7"/>
    <mergeCell ref="B1:U4"/>
    <mergeCell ref="V4:AA4"/>
    <mergeCell ref="B5:I5"/>
    <mergeCell ref="J5:O5"/>
    <mergeCell ref="P5:U5"/>
    <mergeCell ref="O10:O11"/>
    <mergeCell ref="T8:U8"/>
    <mergeCell ref="T9:U9"/>
    <mergeCell ref="B10:B11"/>
    <mergeCell ref="C10:C11"/>
    <mergeCell ref="D10:F11"/>
    <mergeCell ref="G10:I11"/>
    <mergeCell ref="J10:J11"/>
    <mergeCell ref="K10:K11"/>
    <mergeCell ref="M10:M11"/>
    <mergeCell ref="T10:T11"/>
    <mergeCell ref="U10:U11"/>
    <mergeCell ref="P10:P11"/>
    <mergeCell ref="Q10:Q11"/>
    <mergeCell ref="R10:R11"/>
    <mergeCell ref="S10:S11"/>
    <mergeCell ref="D14:F14"/>
    <mergeCell ref="M28:Q28"/>
    <mergeCell ref="L10:L11"/>
    <mergeCell ref="D25:I26"/>
    <mergeCell ref="J25:K26"/>
    <mergeCell ref="L25:L26"/>
    <mergeCell ref="M25:Q25"/>
    <mergeCell ref="M26:Q26"/>
    <mergeCell ref="M27:Q27"/>
    <mergeCell ref="D24:I24"/>
    <mergeCell ref="J24:K24"/>
    <mergeCell ref="M24:Q24"/>
    <mergeCell ref="D12:F12"/>
    <mergeCell ref="G12:I12"/>
    <mergeCell ref="D13:F13"/>
    <mergeCell ref="N10:N11"/>
  </mergeCells>
  <conditionalFormatting sqref="J25:K28">
    <cfRule type="cellIs" dxfId="389" priority="1" operator="greaterThanOrEqual">
      <formula>1</formula>
    </cfRule>
    <cfRule type="cellIs" dxfId="388" priority="2" operator="greaterThan">
      <formula>100%</formula>
    </cfRule>
  </conditionalFormatting>
  <pageMargins left="0.51181102362204722" right="0.51181102362204722" top="0.78740157480314965" bottom="0.78740157480314965" header="0.31496062992125984" footer="0.31496062992125984"/>
  <pageSetup paperSize="9" scale="40" fitToHeight="0" orientation="landscape" r:id="rId1"/>
  <headerFooter>
    <oddFooter>Página &amp;P de &amp;N</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0CE87-6138-4F20-862D-3E6AFEA080E5}">
  <sheetPr codeName="Planilha187">
    <tabColor rgb="FF339933"/>
    <pageSetUpPr fitToPage="1"/>
  </sheetPr>
  <dimension ref="A1:AJ38"/>
  <sheetViews>
    <sheetView showGridLines="0" view="pageBreakPreview" topLeftCell="C2" zoomScale="50" zoomScaleNormal="55" zoomScaleSheetLayoutView="50" workbookViewId="0">
      <selection activeCell="R20" sqref="R20"/>
    </sheetView>
  </sheetViews>
  <sheetFormatPr defaultColWidth="9.140625" defaultRowHeight="12.75"/>
  <cols>
    <col min="1" max="1" width="9.140625" style="10"/>
    <col min="2" max="2" width="11.28515625" style="18"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20.85546875" style="2" customWidth="1"/>
    <col min="11" max="11" width="18.28515625" style="2" customWidth="1"/>
    <col min="12" max="12" width="16.42578125" style="2" customWidth="1"/>
    <col min="13" max="13" width="15.140625" style="2" customWidth="1"/>
    <col min="14" max="15" width="13.5703125" style="2" customWidth="1"/>
    <col min="16" max="16" width="15.140625" style="2" bestFit="1" customWidth="1"/>
    <col min="17" max="17" width="7.42578125" style="2" customWidth="1"/>
    <col min="18" max="18" width="18"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DEZ!A680</f>
        <v>5.4.3.15</v>
      </c>
      <c r="C10" s="845" t="str">
        <f>DEZ!C680</f>
        <v>Camisa metálica com espessura de 12.7 mm, D = 355 mm, cravada, exclusive escavação e concretagem</v>
      </c>
      <c r="D10" s="816" t="s">
        <v>854</v>
      </c>
      <c r="E10" s="816"/>
      <c r="F10" s="816"/>
      <c r="G10" s="816" t="s">
        <v>62</v>
      </c>
      <c r="H10" s="816"/>
      <c r="I10" s="816"/>
      <c r="J10" s="812" t="s">
        <v>1351</v>
      </c>
      <c r="K10" s="812" t="s">
        <v>897</v>
      </c>
      <c r="L10" s="812" t="s">
        <v>1375</v>
      </c>
      <c r="M10" s="812" t="s">
        <v>856</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90" customFormat="1" ht="30">
      <c r="A12" s="75"/>
      <c r="B12" s="157"/>
      <c r="C12" s="76" t="s">
        <v>1353</v>
      </c>
      <c r="D12" s="854">
        <v>23.5</v>
      </c>
      <c r="E12" s="855"/>
      <c r="F12" s="856"/>
      <c r="G12" s="854">
        <v>6</v>
      </c>
      <c r="H12" s="855"/>
      <c r="I12" s="856"/>
      <c r="J12" s="226"/>
      <c r="K12" s="81">
        <f>J17</f>
        <v>0</v>
      </c>
      <c r="L12" s="82">
        <v>0.4</v>
      </c>
      <c r="M12" s="83"/>
      <c r="N12" s="84"/>
      <c r="O12" s="84"/>
      <c r="P12" s="82"/>
      <c r="Q12" s="85"/>
      <c r="R12" s="85">
        <f>D12*G12*L12</f>
        <v>56.400000000000006</v>
      </c>
      <c r="S12" s="154" t="s">
        <v>51</v>
      </c>
      <c r="T12" s="215">
        <v>10</v>
      </c>
      <c r="U12" s="92"/>
      <c r="V12" s="86"/>
      <c r="W12" s="86"/>
      <c r="X12" s="86"/>
      <c r="Y12" s="151"/>
      <c r="Z12" s="87"/>
      <c r="AA12" s="88"/>
      <c r="AB12" s="89"/>
    </row>
    <row r="13" spans="1:36" s="90" customFormat="1" ht="30">
      <c r="A13" s="75"/>
      <c r="B13" s="157"/>
      <c r="C13" s="76" t="s">
        <v>1353</v>
      </c>
      <c r="D13" s="854">
        <v>23</v>
      </c>
      <c r="E13" s="855"/>
      <c r="F13" s="856"/>
      <c r="G13" s="854">
        <v>6</v>
      </c>
      <c r="H13" s="855"/>
      <c r="I13" s="856"/>
      <c r="J13" s="226"/>
      <c r="K13" s="81"/>
      <c r="L13" s="82">
        <v>0.4</v>
      </c>
      <c r="M13" s="83"/>
      <c r="N13" s="84"/>
      <c r="O13" s="84"/>
      <c r="P13" s="82"/>
      <c r="Q13" s="85"/>
      <c r="R13" s="85">
        <f>D13*G13*L13</f>
        <v>55.2</v>
      </c>
      <c r="S13" s="154" t="s">
        <v>51</v>
      </c>
      <c r="T13" s="215">
        <v>10</v>
      </c>
      <c r="U13" s="92"/>
      <c r="V13" s="86"/>
      <c r="W13" s="86"/>
      <c r="X13" s="86"/>
      <c r="Y13" s="151"/>
      <c r="Z13" s="87"/>
      <c r="AA13" s="88"/>
      <c r="AB13" s="89"/>
    </row>
    <row r="14" spans="1:36" s="73" customFormat="1" ht="28.5" customHeight="1">
      <c r="A14" s="64"/>
      <c r="B14" s="109"/>
      <c r="C14" s="76" t="s">
        <v>1353</v>
      </c>
      <c r="D14" s="854">
        <v>23</v>
      </c>
      <c r="E14" s="855"/>
      <c r="F14" s="856"/>
      <c r="G14" s="854">
        <v>6</v>
      </c>
      <c r="H14" s="855"/>
      <c r="I14" s="856"/>
      <c r="J14" s="226"/>
      <c r="K14" s="81"/>
      <c r="L14" s="82">
        <v>0.6</v>
      </c>
      <c r="M14" s="83"/>
      <c r="N14" s="105"/>
      <c r="O14" s="84"/>
      <c r="P14" s="82"/>
      <c r="Q14" s="93"/>
      <c r="R14" s="85">
        <f t="shared" ref="R14:R15" si="0">D14*G14*L14</f>
        <v>82.8</v>
      </c>
      <c r="S14" s="154" t="s">
        <v>51</v>
      </c>
      <c r="T14" s="215">
        <v>11</v>
      </c>
      <c r="U14" s="94"/>
      <c r="V14" s="71"/>
      <c r="W14" s="71"/>
      <c r="X14" s="152"/>
      <c r="Y14" s="153"/>
      <c r="Z14" s="72"/>
    </row>
    <row r="15" spans="1:36" s="90" customFormat="1" ht="30">
      <c r="A15" s="75"/>
      <c r="B15" s="157"/>
      <c r="C15" s="76" t="s">
        <v>1353</v>
      </c>
      <c r="D15" s="854">
        <v>23.5</v>
      </c>
      <c r="E15" s="855"/>
      <c r="F15" s="856"/>
      <c r="G15" s="854">
        <v>6</v>
      </c>
      <c r="H15" s="855"/>
      <c r="I15" s="856"/>
      <c r="J15" s="226"/>
      <c r="K15" s="81"/>
      <c r="L15" s="82">
        <v>0.6</v>
      </c>
      <c r="M15" s="83"/>
      <c r="N15" s="84"/>
      <c r="O15" s="84"/>
      <c r="P15" s="82"/>
      <c r="Q15" s="85"/>
      <c r="R15" s="85">
        <f t="shared" si="0"/>
        <v>84.6</v>
      </c>
      <c r="S15" s="154" t="s">
        <v>51</v>
      </c>
      <c r="T15" s="215">
        <v>11</v>
      </c>
      <c r="U15" s="92"/>
      <c r="V15" s="86"/>
      <c r="W15" s="86"/>
      <c r="X15" s="86"/>
      <c r="Y15" s="151"/>
      <c r="Z15" s="87"/>
      <c r="AA15" s="88"/>
      <c r="AB15" s="89"/>
    </row>
    <row r="16" spans="1:36" s="1" customFormat="1" ht="21" customHeight="1">
      <c r="A16" s="11"/>
      <c r="B16" s="274"/>
      <c r="C16" s="710"/>
      <c r="D16" s="854"/>
      <c r="E16" s="855"/>
      <c r="F16" s="856"/>
      <c r="G16" s="854"/>
      <c r="H16" s="855"/>
      <c r="I16" s="856"/>
      <c r="J16" s="226"/>
      <c r="K16" s="81"/>
      <c r="L16" s="82"/>
      <c r="M16" s="83"/>
      <c r="N16" s="160"/>
      <c r="O16" s="160"/>
      <c r="P16" s="40"/>
      <c r="Q16" s="42"/>
      <c r="R16" s="60"/>
      <c r="S16" s="43"/>
      <c r="T16" s="275"/>
      <c r="U16" s="276"/>
      <c r="V16" s="120"/>
      <c r="W16" s="120"/>
      <c r="X16" s="120"/>
      <c r="Y16" s="142"/>
      <c r="Z16" s="15"/>
      <c r="AA16" s="17"/>
      <c r="AB16" s="44"/>
    </row>
    <row r="17" spans="1:21" ht="21" customHeight="1">
      <c r="B17" s="118"/>
      <c r="C17" s="119"/>
      <c r="D17" s="26"/>
      <c r="E17" s="159"/>
      <c r="F17" s="27"/>
      <c r="G17" s="26"/>
      <c r="H17" s="159"/>
      <c r="I17" s="27"/>
      <c r="J17" s="28"/>
      <c r="K17" s="49"/>
      <c r="L17" s="40"/>
      <c r="M17" s="41"/>
      <c r="N17" s="160"/>
      <c r="O17" s="160"/>
      <c r="P17" s="40"/>
      <c r="Q17" s="42"/>
      <c r="R17" s="60"/>
      <c r="S17" s="43"/>
      <c r="T17" s="216"/>
      <c r="U17" s="117"/>
    </row>
    <row r="18" spans="1:21" ht="39.6" customHeight="1">
      <c r="B18" s="161"/>
      <c r="C18" s="162"/>
      <c r="D18" s="806" t="s">
        <v>11</v>
      </c>
      <c r="E18" s="807"/>
      <c r="F18" s="807"/>
      <c r="G18" s="807"/>
      <c r="H18" s="807"/>
      <c r="I18" s="808"/>
      <c r="J18" s="809">
        <f>DEZ!I680</f>
        <v>279</v>
      </c>
      <c r="K18" s="810"/>
      <c r="L18" s="50" t="str">
        <f>DEZ!D680</f>
        <v>m</v>
      </c>
      <c r="M18" s="803" t="s">
        <v>12</v>
      </c>
      <c r="N18" s="811"/>
      <c r="O18" s="811"/>
      <c r="P18" s="811"/>
      <c r="Q18" s="805"/>
      <c r="R18" s="61">
        <f>SUM(R12:R17)</f>
        <v>279</v>
      </c>
      <c r="S18" s="51" t="str">
        <f>L18</f>
        <v>m</v>
      </c>
      <c r="T18" s="22"/>
      <c r="U18" s="23"/>
    </row>
    <row r="19" spans="1:21" ht="21" customHeight="1">
      <c r="B19" s="163"/>
      <c r="C19" s="19"/>
      <c r="D19" s="817" t="s">
        <v>13</v>
      </c>
      <c r="E19" s="818"/>
      <c r="F19" s="818"/>
      <c r="G19" s="818"/>
      <c r="H19" s="818"/>
      <c r="I19" s="819"/>
      <c r="J19" s="823">
        <f>R18/J18</f>
        <v>1</v>
      </c>
      <c r="K19" s="824"/>
      <c r="L19" s="827"/>
      <c r="M19" s="803" t="s">
        <v>34</v>
      </c>
      <c r="N19" s="804"/>
      <c r="O19" s="804"/>
      <c r="P19" s="804"/>
      <c r="Q19" s="805"/>
      <c r="R19" s="61">
        <f>SUM(R12:R15)</f>
        <v>279</v>
      </c>
      <c r="S19" s="52" t="str">
        <f>L18</f>
        <v>m</v>
      </c>
      <c r="T19" s="22"/>
      <c r="U19" s="23"/>
    </row>
    <row r="20" spans="1:21" ht="21" customHeight="1">
      <c r="A20" s="10" t="s">
        <v>469</v>
      </c>
      <c r="B20" s="165"/>
      <c r="C20" s="164"/>
      <c r="D20" s="820"/>
      <c r="E20" s="821"/>
      <c r="F20" s="821"/>
      <c r="G20" s="821"/>
      <c r="H20" s="821"/>
      <c r="I20" s="822"/>
      <c r="J20" s="825"/>
      <c r="K20" s="826"/>
      <c r="L20" s="828"/>
      <c r="M20" s="803" t="s">
        <v>14</v>
      </c>
      <c r="N20" s="804"/>
      <c r="O20" s="804"/>
      <c r="P20" s="804"/>
      <c r="Q20" s="805"/>
      <c r="R20" s="62">
        <f>R18-R19</f>
        <v>0</v>
      </c>
      <c r="S20" s="53" t="str">
        <f>L18</f>
        <v>m</v>
      </c>
      <c r="T20" s="54"/>
      <c r="U20" s="24"/>
    </row>
    <row r="21" spans="1:21" ht="21" customHeight="1">
      <c r="B21" s="218"/>
      <c r="C21" s="217"/>
      <c r="M21" s="803" t="s">
        <v>53</v>
      </c>
      <c r="N21" s="804"/>
      <c r="O21" s="804"/>
      <c r="P21" s="804"/>
      <c r="Q21" s="805"/>
      <c r="R21" s="62">
        <f>DEZ!E680</f>
        <v>742.5</v>
      </c>
      <c r="S21" s="53"/>
      <c r="T21" s="54"/>
      <c r="U21" s="24"/>
    </row>
    <row r="22" spans="1:21" ht="21" customHeight="1">
      <c r="B22" s="163"/>
      <c r="C22" s="219"/>
      <c r="M22" s="803" t="s">
        <v>54</v>
      </c>
      <c r="N22" s="804"/>
      <c r="O22" s="804"/>
      <c r="P22" s="804"/>
      <c r="Q22" s="805"/>
      <c r="R22" s="62">
        <f>TRUNC(R21*R20,2)</f>
        <v>0</v>
      </c>
      <c r="S22" s="53" t="s">
        <v>55</v>
      </c>
      <c r="T22" s="54"/>
      <c r="U22" s="24"/>
    </row>
    <row r="28" spans="1:21">
      <c r="K28" s="63"/>
    </row>
    <row r="38" ht="15.75" customHeight="1"/>
  </sheetData>
  <mergeCells count="44">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S10:S11"/>
    <mergeCell ref="D16:F16"/>
    <mergeCell ref="G16:I16"/>
    <mergeCell ref="D18:I18"/>
    <mergeCell ref="J18:K18"/>
    <mergeCell ref="D14:F14"/>
    <mergeCell ref="G14:I14"/>
    <mergeCell ref="D15:F15"/>
    <mergeCell ref="G15:I15"/>
    <mergeCell ref="D12:F12"/>
    <mergeCell ref="G12:I12"/>
    <mergeCell ref="D13:F13"/>
    <mergeCell ref="G13:I13"/>
    <mergeCell ref="N10:N11"/>
    <mergeCell ref="M21:Q21"/>
    <mergeCell ref="M22:Q22"/>
    <mergeCell ref="M18:Q18"/>
    <mergeCell ref="D19:I20"/>
    <mergeCell ref="J19:K20"/>
    <mergeCell ref="L19:L20"/>
    <mergeCell ref="M19:Q19"/>
    <mergeCell ref="M20:Q20"/>
  </mergeCells>
  <conditionalFormatting sqref="J19:K22">
    <cfRule type="cellIs" dxfId="5" priority="1" operator="greaterThanOrEqual">
      <formula>1</formula>
    </cfRule>
    <cfRule type="cellIs" dxfId="4"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6BB6-E8DF-44AB-A28F-A84C6BC30A53}">
  <sheetPr codeName="Planilha188">
    <tabColor rgb="FF339933"/>
    <pageSetUpPr fitToPage="1"/>
  </sheetPr>
  <dimension ref="A1:AJ22"/>
  <sheetViews>
    <sheetView view="pageBreakPreview" topLeftCell="A3" zoomScale="50" zoomScaleNormal="55" zoomScaleSheetLayoutView="50" workbookViewId="0">
      <selection activeCell="R20" sqref="R2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140625" style="2" customWidth="1"/>
    <col min="11" max="12" width="13.5703125" style="2" customWidth="1"/>
    <col min="13" max="13" width="12.28515625" style="2" customWidth="1"/>
    <col min="14" max="14" width="13.5703125" style="2" hidden="1" customWidth="1"/>
    <col min="15"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DEZ!A692</f>
        <v>5.5.1.4</v>
      </c>
      <c r="C10" s="845" t="str">
        <f>DEZ!C351</f>
        <v>Telha trapezoidal calandrada galvalume - inclusive fornecimento, instalação e pintura</v>
      </c>
      <c r="D10" s="816" t="s">
        <v>901</v>
      </c>
      <c r="E10" s="816"/>
      <c r="F10" s="816"/>
      <c r="G10" s="816" t="s">
        <v>33</v>
      </c>
      <c r="H10" s="816"/>
      <c r="I10" s="816"/>
      <c r="J10" s="812" t="s">
        <v>1373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1419</v>
      </c>
      <c r="D12" s="860"/>
      <c r="E12" s="861"/>
      <c r="F12" s="862"/>
      <c r="G12" s="77"/>
      <c r="H12" s="78"/>
      <c r="I12" s="79"/>
      <c r="J12" s="715">
        <v>0.5</v>
      </c>
      <c r="K12" s="81">
        <v>120.68</v>
      </c>
      <c r="L12" s="82"/>
      <c r="M12" s="83"/>
      <c r="N12" s="105"/>
      <c r="O12" s="84"/>
      <c r="P12" s="82"/>
      <c r="Q12" s="93"/>
      <c r="R12" s="85">
        <f>K12*J12</f>
        <v>60.34</v>
      </c>
      <c r="S12" s="111" t="s">
        <v>57</v>
      </c>
      <c r="T12" s="215">
        <v>11</v>
      </c>
      <c r="U12" s="91"/>
      <c r="V12" s="71"/>
      <c r="W12" s="71"/>
      <c r="X12" s="152"/>
      <c r="Y12" s="153"/>
      <c r="Z12" s="72"/>
    </row>
    <row r="13" spans="1:36" s="73" customFormat="1" ht="21" customHeight="1">
      <c r="A13" s="64"/>
      <c r="B13" s="109"/>
      <c r="C13" s="76"/>
      <c r="D13" s="77"/>
      <c r="E13" s="78"/>
      <c r="F13" s="79"/>
      <c r="G13" s="77"/>
      <c r="H13" s="78"/>
      <c r="I13" s="79"/>
      <c r="J13" s="80"/>
      <c r="K13" s="81"/>
      <c r="L13" s="82"/>
      <c r="M13" s="83"/>
      <c r="N13" s="105"/>
      <c r="O13" s="84"/>
      <c r="P13" s="82"/>
      <c r="Q13" s="93"/>
      <c r="R13" s="85"/>
      <c r="S13" s="111"/>
      <c r="T13" s="215"/>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ht="39.6" customHeight="1">
      <c r="B18" s="161"/>
      <c r="C18" s="162"/>
      <c r="D18" s="806" t="s">
        <v>11</v>
      </c>
      <c r="E18" s="807"/>
      <c r="F18" s="807"/>
      <c r="G18" s="807"/>
      <c r="H18" s="807"/>
      <c r="I18" s="808"/>
      <c r="J18" s="809">
        <f>DEZ!I351</f>
        <v>120.68</v>
      </c>
      <c r="K18" s="810"/>
      <c r="L18" s="50" t="str">
        <f>DEZ!D351</f>
        <v>m²</v>
      </c>
      <c r="M18" s="803" t="s">
        <v>12</v>
      </c>
      <c r="N18" s="811"/>
      <c r="O18" s="811"/>
      <c r="P18" s="811"/>
      <c r="Q18" s="805"/>
      <c r="R18" s="61">
        <f>SUM(R12:R17)</f>
        <v>60.34</v>
      </c>
      <c r="S18" s="51" t="str">
        <f>L18</f>
        <v>m²</v>
      </c>
      <c r="T18" s="22"/>
      <c r="U18" s="23"/>
    </row>
    <row r="19" spans="1:28" ht="21" customHeight="1">
      <c r="B19" s="163"/>
      <c r="C19" s="19"/>
      <c r="D19" s="817" t="s">
        <v>13</v>
      </c>
      <c r="E19" s="818"/>
      <c r="F19" s="818"/>
      <c r="G19" s="818"/>
      <c r="H19" s="818"/>
      <c r="I19" s="819"/>
      <c r="J19" s="823">
        <f>R18/J18</f>
        <v>0.5</v>
      </c>
      <c r="K19" s="824"/>
      <c r="L19" s="827"/>
      <c r="M19" s="803" t="s">
        <v>34</v>
      </c>
      <c r="N19" s="804"/>
      <c r="O19" s="804"/>
      <c r="P19" s="804"/>
      <c r="Q19" s="805"/>
      <c r="R19" s="61">
        <f>R12</f>
        <v>60.34</v>
      </c>
      <c r="S19" s="52" t="str">
        <f>L18</f>
        <v>m²</v>
      </c>
      <c r="T19" s="22"/>
      <c r="U19" s="23"/>
    </row>
    <row r="20" spans="1:28" ht="21" customHeight="1">
      <c r="A20" s="10" t="s">
        <v>506</v>
      </c>
      <c r="B20" s="165"/>
      <c r="C20" s="164"/>
      <c r="D20" s="820"/>
      <c r="E20" s="821"/>
      <c r="F20" s="821"/>
      <c r="G20" s="821"/>
      <c r="H20" s="821"/>
      <c r="I20" s="822"/>
      <c r="J20" s="825"/>
      <c r="K20" s="826"/>
      <c r="L20" s="828"/>
      <c r="M20" s="803" t="s">
        <v>14</v>
      </c>
      <c r="N20" s="804"/>
      <c r="O20" s="804"/>
      <c r="P20" s="804"/>
      <c r="Q20" s="805"/>
      <c r="R20" s="62">
        <f>R18-R19</f>
        <v>0</v>
      </c>
      <c r="S20" s="53" t="str">
        <f>L18</f>
        <v>m²</v>
      </c>
      <c r="T20" s="54"/>
      <c r="U20" s="24"/>
    </row>
    <row r="21" spans="1:28" ht="21" customHeight="1">
      <c r="B21" s="218"/>
      <c r="C21" s="217"/>
      <c r="M21" s="803" t="s">
        <v>53</v>
      </c>
      <c r="N21" s="804"/>
      <c r="O21" s="804"/>
      <c r="P21" s="804"/>
      <c r="Q21" s="805"/>
      <c r="R21" s="62">
        <f>DEZ!E351</f>
        <v>115.83</v>
      </c>
      <c r="S21" s="53"/>
      <c r="T21" s="54"/>
      <c r="U21" s="24"/>
    </row>
    <row r="22" spans="1:28" ht="21" customHeight="1">
      <c r="B22" s="163"/>
      <c r="C22" s="219"/>
      <c r="M22" s="803" t="s">
        <v>54</v>
      </c>
      <c r="N22" s="804"/>
      <c r="O22" s="804"/>
      <c r="P22" s="804"/>
      <c r="Q22" s="805"/>
      <c r="R22" s="62">
        <f>TRUNC(R21*R20,2)</f>
        <v>0</v>
      </c>
      <c r="S22" s="53" t="s">
        <v>55</v>
      </c>
      <c r="T22" s="54"/>
      <c r="U22" s="24"/>
    </row>
  </sheetData>
  <mergeCells count="35">
    <mergeCell ref="M22:Q22"/>
    <mergeCell ref="D19:I20"/>
    <mergeCell ref="J19:K20"/>
    <mergeCell ref="L19:L20"/>
    <mergeCell ref="M19:Q19"/>
    <mergeCell ref="M20:Q20"/>
    <mergeCell ref="M21:Q21"/>
    <mergeCell ref="D12:F12"/>
    <mergeCell ref="D18:I18"/>
    <mergeCell ref="J18:K18"/>
    <mergeCell ref="M18:Q18"/>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19:K22">
    <cfRule type="cellIs" dxfId="3" priority="1" operator="greaterThanOrEqual">
      <formula>1</formula>
    </cfRule>
    <cfRule type="cellIs" dxfId="2"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Planilha108">
    <tabColor rgb="FF339933"/>
    <pageSetUpPr fitToPage="1"/>
  </sheetPr>
  <dimension ref="A1:AJ24"/>
  <sheetViews>
    <sheetView view="pageBreakPreview" zoomScale="50" zoomScaleNormal="55" zoomScaleSheetLayoutView="50"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A22</f>
        <v>5.5.1.1</v>
      </c>
      <c r="C10" s="845" t="str">
        <f>CONCATENATE(VLOOKUP(A22,DEZ!$A$2:$S$731,2,FALSE)," - ",VLOOKUP(A22,DEZ!$A$2:$S$731,3,FALSE))</f>
        <v>COMP22 - Passarela metálica conforme especificações de projeto - fornecimento e instalação</v>
      </c>
      <c r="D10" s="816" t="s">
        <v>901</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76" t="s">
        <v>1374</v>
      </c>
      <c r="D12" s="860">
        <v>0.5</v>
      </c>
      <c r="E12" s="861"/>
      <c r="F12" s="862"/>
      <c r="G12" s="77"/>
      <c r="H12" s="78"/>
      <c r="I12" s="79"/>
      <c r="J12" s="80"/>
      <c r="K12" s="81"/>
      <c r="L12" s="82"/>
      <c r="M12" s="83">
        <v>1</v>
      </c>
      <c r="N12" s="105"/>
      <c r="O12" s="84"/>
      <c r="P12" s="82"/>
      <c r="Q12" s="93"/>
      <c r="R12" s="85">
        <f>M12*D12</f>
        <v>0.5</v>
      </c>
      <c r="S12" s="111" t="s">
        <v>59</v>
      </c>
      <c r="T12" s="215">
        <v>10</v>
      </c>
      <c r="U12" s="91"/>
      <c r="V12" s="71"/>
      <c r="W12" s="71"/>
      <c r="X12" s="152"/>
      <c r="Y12" s="153"/>
      <c r="Z12" s="72"/>
    </row>
    <row r="13" spans="1:36" s="73" customFormat="1" ht="21" customHeight="1">
      <c r="A13" s="64"/>
      <c r="B13" s="112"/>
      <c r="C13" s="76" t="s">
        <v>1435</v>
      </c>
      <c r="D13" s="860">
        <v>0.2</v>
      </c>
      <c r="E13" s="861"/>
      <c r="F13" s="862"/>
      <c r="G13" s="77"/>
      <c r="H13" s="78"/>
      <c r="I13" s="79"/>
      <c r="J13" s="80"/>
      <c r="K13" s="81"/>
      <c r="L13" s="82"/>
      <c r="M13" s="83">
        <v>1</v>
      </c>
      <c r="N13" s="105"/>
      <c r="O13" s="84"/>
      <c r="P13" s="82"/>
      <c r="Q13" s="93"/>
      <c r="R13" s="85">
        <f>M13*D13</f>
        <v>0.2</v>
      </c>
      <c r="S13" s="111" t="s">
        <v>59</v>
      </c>
      <c r="T13" s="215">
        <v>13</v>
      </c>
      <c r="U13" s="91"/>
      <c r="V13" s="71"/>
      <c r="W13" s="71"/>
      <c r="X13" s="152"/>
      <c r="Y13" s="153"/>
      <c r="Z13" s="72"/>
    </row>
    <row r="14" spans="1:36" s="73" customFormat="1" ht="21" customHeight="1">
      <c r="A14" s="64"/>
      <c r="B14" s="112"/>
      <c r="C14" s="76" t="s">
        <v>1435</v>
      </c>
      <c r="D14" s="860">
        <v>0.2</v>
      </c>
      <c r="E14" s="861"/>
      <c r="F14" s="862"/>
      <c r="G14" s="77"/>
      <c r="H14" s="78"/>
      <c r="I14" s="79"/>
      <c r="J14" s="80"/>
      <c r="K14" s="81"/>
      <c r="L14" s="82"/>
      <c r="M14" s="83">
        <v>1</v>
      </c>
      <c r="N14" s="105"/>
      <c r="O14" s="84"/>
      <c r="P14" s="82"/>
      <c r="Q14" s="93"/>
      <c r="R14" s="85">
        <f>M14*D14</f>
        <v>0.2</v>
      </c>
      <c r="S14" s="111" t="s">
        <v>59</v>
      </c>
      <c r="T14" s="215">
        <v>14</v>
      </c>
      <c r="U14" s="91"/>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85">
        <f>M15*D15</f>
        <v>0</v>
      </c>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ht="39.6" customHeight="1">
      <c r="B20" s="161"/>
      <c r="C20" s="162"/>
      <c r="D20" s="806" t="s">
        <v>11</v>
      </c>
      <c r="E20" s="807"/>
      <c r="F20" s="807"/>
      <c r="G20" s="807"/>
      <c r="H20" s="807"/>
      <c r="I20" s="808"/>
      <c r="J20" s="809">
        <f>VLOOKUP(A22,DEZ!$A$2:$S$731,6,FALSE)</f>
        <v>1</v>
      </c>
      <c r="K20" s="810"/>
      <c r="L20" s="50" t="str">
        <f>VLOOKUP(A22,DEZ!$A$2:$S$731,4,FALSE)</f>
        <v>und</v>
      </c>
      <c r="M20" s="803" t="s">
        <v>12</v>
      </c>
      <c r="N20" s="811"/>
      <c r="O20" s="811"/>
      <c r="P20" s="811"/>
      <c r="Q20" s="805"/>
      <c r="R20" s="61">
        <f>SUM(R12:R19)</f>
        <v>0.89999999999999991</v>
      </c>
      <c r="S20" s="51" t="str">
        <f>L20</f>
        <v>und</v>
      </c>
      <c r="T20" s="22"/>
      <c r="U20" s="23"/>
    </row>
    <row r="21" spans="1:28" ht="21" customHeight="1">
      <c r="B21" s="163"/>
      <c r="C21" s="19"/>
      <c r="D21" s="817" t="s">
        <v>13</v>
      </c>
      <c r="E21" s="818"/>
      <c r="F21" s="818"/>
      <c r="G21" s="818"/>
      <c r="H21" s="818"/>
      <c r="I21" s="819"/>
      <c r="J21" s="823">
        <f>R20/J20</f>
        <v>0.89999999999999991</v>
      </c>
      <c r="K21" s="824"/>
      <c r="L21" s="827"/>
      <c r="M21" s="803" t="s">
        <v>34</v>
      </c>
      <c r="N21" s="804"/>
      <c r="O21" s="804"/>
      <c r="P21" s="804"/>
      <c r="Q21" s="805"/>
      <c r="R21" s="61">
        <f>SUM(R12:R14)</f>
        <v>0.89999999999999991</v>
      </c>
      <c r="S21" s="52" t="str">
        <f>L20</f>
        <v>und</v>
      </c>
      <c r="T21" s="22"/>
      <c r="U21" s="23"/>
    </row>
    <row r="22" spans="1:28" ht="21" customHeight="1">
      <c r="A22" s="10" t="s">
        <v>809</v>
      </c>
      <c r="B22" s="165"/>
      <c r="C22" s="164"/>
      <c r="D22" s="820"/>
      <c r="E22" s="821"/>
      <c r="F22" s="821"/>
      <c r="G22" s="821"/>
      <c r="H22" s="821"/>
      <c r="I22" s="822"/>
      <c r="J22" s="825"/>
      <c r="K22" s="826"/>
      <c r="L22" s="828"/>
      <c r="M22" s="803" t="s">
        <v>14</v>
      </c>
      <c r="N22" s="804"/>
      <c r="O22" s="804"/>
      <c r="P22" s="804"/>
      <c r="Q22" s="805"/>
      <c r="R22" s="62">
        <f>R20-R21</f>
        <v>0</v>
      </c>
      <c r="S22" s="53" t="str">
        <f>L20</f>
        <v>und</v>
      </c>
      <c r="T22" s="54"/>
      <c r="U22" s="24"/>
    </row>
    <row r="23" spans="1:28" ht="21" customHeight="1">
      <c r="B23" s="218"/>
      <c r="C23" s="217"/>
      <c r="M23" s="803" t="s">
        <v>53</v>
      </c>
      <c r="N23" s="804"/>
      <c r="O23" s="804"/>
      <c r="P23" s="804"/>
      <c r="Q23" s="805"/>
      <c r="R23" s="62">
        <f>VLOOKUP(A22,DEZ!$A$2:$S$731,5,FALSE)</f>
        <v>409453.83</v>
      </c>
      <c r="S23" s="53"/>
      <c r="T23" s="54"/>
      <c r="U23" s="24"/>
    </row>
    <row r="24" spans="1:28" ht="21" customHeight="1">
      <c r="B24" s="163"/>
      <c r="C24" s="219"/>
      <c r="M24" s="803" t="s">
        <v>54</v>
      </c>
      <c r="N24" s="804"/>
      <c r="O24" s="804"/>
      <c r="P24" s="804"/>
      <c r="Q24" s="805"/>
      <c r="R24" s="62">
        <f>TRUNC(R23*R22,2)</f>
        <v>0</v>
      </c>
      <c r="S24" s="53" t="s">
        <v>55</v>
      </c>
      <c r="T24" s="54"/>
      <c r="U24" s="24"/>
    </row>
  </sheetData>
  <mergeCells count="37">
    <mergeCell ref="D13:F13"/>
    <mergeCell ref="V4:AA4"/>
    <mergeCell ref="B5:I5"/>
    <mergeCell ref="J5:O5"/>
    <mergeCell ref="P5:U5"/>
    <mergeCell ref="R10:R11"/>
    <mergeCell ref="S10:S11"/>
    <mergeCell ref="T8:U8"/>
    <mergeCell ref="T9:U9"/>
    <mergeCell ref="B10:B11"/>
    <mergeCell ref="C10:C11"/>
    <mergeCell ref="D10:F11"/>
    <mergeCell ref="G10:I11"/>
    <mergeCell ref="J10:J11"/>
    <mergeCell ref="M10:M11"/>
    <mergeCell ref="M23:Q23"/>
    <mergeCell ref="M24:Q24"/>
    <mergeCell ref="D12:F12"/>
    <mergeCell ref="T7:U7"/>
    <mergeCell ref="B1:U4"/>
    <mergeCell ref="T10:T11"/>
    <mergeCell ref="U10:U11"/>
    <mergeCell ref="D20:I20"/>
    <mergeCell ref="J20:K20"/>
    <mergeCell ref="M20:Q20"/>
    <mergeCell ref="N10:N11"/>
    <mergeCell ref="O10:O11"/>
    <mergeCell ref="P10:P11"/>
    <mergeCell ref="Q10:Q11"/>
    <mergeCell ref="K10:K11"/>
    <mergeCell ref="L10:L11"/>
    <mergeCell ref="D14:F14"/>
    <mergeCell ref="D21:I22"/>
    <mergeCell ref="J21:K22"/>
    <mergeCell ref="L21:L22"/>
    <mergeCell ref="M21:Q21"/>
    <mergeCell ref="M22:Q22"/>
  </mergeCells>
  <conditionalFormatting sqref="J21:K24">
    <cfRule type="cellIs" dxfId="1" priority="1" operator="greaterThanOrEqual">
      <formula>1</formula>
    </cfRule>
    <cfRule type="cellIs" dxfId="0" priority="2" operator="greaterThan">
      <formula>100%</formula>
    </cfRule>
  </conditionalFormatting>
  <pageMargins left="0.51181102362204722" right="0.51181102362204722" top="0.78740157480314965" bottom="0.78740157480314965" header="0.31496062992125984" footer="0.31496062992125984"/>
  <pageSetup paperSize="9" scale="46" fitToHeight="0" orientation="landscape" r:id="rId1"/>
  <headerFooter>
    <oddFooter>Página &amp;P de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1DF51-A12E-435A-AFA0-2E82FE8743AC}">
  <sheetPr codeName="Planilha142">
    <tabColor rgb="FF339933"/>
    <pageSetUpPr fitToPage="1"/>
  </sheetPr>
  <dimension ref="A1:AJ24"/>
  <sheetViews>
    <sheetView view="pageBreakPreview" topLeftCell="H2" zoomScale="50" zoomScaleNormal="55" zoomScaleSheetLayoutView="50" workbookViewId="0">
      <selection activeCell="T12" sqref="T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0" style="2" customWidth="1"/>
    <col min="11" max="11" width="21.7109375" style="2" customWidth="1"/>
    <col min="12" max="12" width="20.140625" style="2" customWidth="1"/>
    <col min="13" max="13" width="20.140625" style="2" bestFit="1"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DEZ!A150</f>
        <v>2.4.1.12</v>
      </c>
      <c r="C10" s="845" t="str">
        <f>DEZ!C150</f>
        <v>Chapa dobrada #8 400x700 mm, incl. chumbadores e solda.</v>
      </c>
      <c r="D10" s="816" t="s">
        <v>900</v>
      </c>
      <c r="E10" s="816"/>
      <c r="F10" s="816"/>
      <c r="G10" s="816" t="s">
        <v>901</v>
      </c>
      <c r="H10" s="816"/>
      <c r="I10" s="816"/>
      <c r="J10" s="812" t="s">
        <v>1250</v>
      </c>
      <c r="K10" s="812" t="s">
        <v>984</v>
      </c>
      <c r="L10" s="812" t="s">
        <v>983</v>
      </c>
      <c r="M10" s="812" t="s">
        <v>856</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51.75"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1366</v>
      </c>
      <c r="D12" s="854"/>
      <c r="E12" s="855"/>
      <c r="F12" s="856"/>
      <c r="G12" s="860"/>
      <c r="H12" s="861"/>
      <c r="I12" s="862"/>
      <c r="J12" s="80">
        <v>2</v>
      </c>
      <c r="K12" s="81"/>
      <c r="L12" s="82"/>
      <c r="M12" s="83"/>
      <c r="N12" s="105"/>
      <c r="O12" s="84"/>
      <c r="P12" s="82"/>
      <c r="Q12" s="93"/>
      <c r="R12" s="85"/>
      <c r="S12" s="154" t="s">
        <v>58</v>
      </c>
      <c r="T12" s="215"/>
      <c r="U12" s="94"/>
      <c r="V12" s="71"/>
      <c r="W12" s="71"/>
      <c r="X12" s="152"/>
      <c r="Y12" s="153"/>
      <c r="Z12" s="72"/>
    </row>
    <row r="13" spans="1:36" s="90" customFormat="1" ht="21" customHeight="1">
      <c r="A13" s="75"/>
      <c r="B13" s="107"/>
      <c r="C13" s="104"/>
      <c r="D13" s="77"/>
      <c r="E13" s="78"/>
      <c r="F13" s="79"/>
      <c r="G13" s="77"/>
      <c r="H13" s="78"/>
      <c r="I13" s="79"/>
      <c r="J13" s="80"/>
      <c r="K13" s="81"/>
      <c r="L13" s="82"/>
      <c r="M13" s="83"/>
      <c r="N13" s="84"/>
      <c r="O13" s="155"/>
      <c r="P13" s="156"/>
      <c r="Q13" s="85"/>
      <c r="R13" s="85"/>
      <c r="S13" s="154"/>
      <c r="T13" s="215"/>
      <c r="U13" s="92"/>
      <c r="V13" s="86"/>
      <c r="W13" s="86"/>
      <c r="X13" s="86"/>
      <c r="Y13" s="151"/>
      <c r="Z13" s="87"/>
      <c r="AA13" s="88"/>
      <c r="AB13" s="89"/>
    </row>
    <row r="14" spans="1:36" s="90" customFormat="1" ht="21" customHeight="1">
      <c r="A14" s="75"/>
      <c r="B14" s="157"/>
      <c r="C14" s="76"/>
      <c r="D14" s="77"/>
      <c r="E14" s="78"/>
      <c r="F14" s="79"/>
      <c r="G14" s="77"/>
      <c r="H14" s="78"/>
      <c r="I14" s="79"/>
      <c r="J14" s="80"/>
      <c r="K14" s="81"/>
      <c r="L14" s="82"/>
      <c r="M14" s="83"/>
      <c r="N14" s="84"/>
      <c r="O14" s="84"/>
      <c r="P14" s="82"/>
      <c r="Q14" s="85"/>
      <c r="R14" s="85"/>
      <c r="S14" s="154"/>
      <c r="T14" s="215"/>
      <c r="U14" s="92"/>
      <c r="V14" s="86"/>
      <c r="W14" s="86"/>
      <c r="X14" s="86"/>
      <c r="Y14" s="151"/>
      <c r="Z14" s="87"/>
      <c r="AA14" s="88"/>
      <c r="AB14" s="89"/>
    </row>
    <row r="15" spans="1:36" s="90" customFormat="1" ht="21" customHeight="1">
      <c r="A15" s="75"/>
      <c r="B15" s="157"/>
      <c r="C15" s="76"/>
      <c r="D15" s="77"/>
      <c r="E15" s="78"/>
      <c r="F15" s="79"/>
      <c r="G15" s="77"/>
      <c r="H15" s="78"/>
      <c r="I15" s="79"/>
      <c r="J15" s="80"/>
      <c r="K15" s="81"/>
      <c r="L15" s="82"/>
      <c r="M15" s="83"/>
      <c r="N15" s="84"/>
      <c r="O15" s="84"/>
      <c r="P15" s="82"/>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1" customFormat="1" ht="21" customHeight="1">
      <c r="A18" s="11"/>
      <c r="B18" s="25"/>
      <c r="C18" s="20"/>
      <c r="D18" s="26"/>
      <c r="E18" s="159"/>
      <c r="F18" s="27"/>
      <c r="G18" s="26"/>
      <c r="H18" s="159"/>
      <c r="I18" s="27"/>
      <c r="J18" s="28"/>
      <c r="K18" s="49"/>
      <c r="L18" s="40"/>
      <c r="M18" s="41"/>
      <c r="N18" s="160"/>
      <c r="O18" s="160"/>
      <c r="P18" s="40"/>
      <c r="Q18" s="42"/>
      <c r="R18" s="60"/>
      <c r="S18" s="43"/>
      <c r="T18" s="215"/>
      <c r="U18" s="48"/>
      <c r="V18" s="120"/>
      <c r="W18" s="120"/>
      <c r="X18" s="120"/>
      <c r="Y18" s="142"/>
      <c r="Z18" s="15"/>
      <c r="AA18" s="17"/>
      <c r="AB18" s="44"/>
    </row>
    <row r="19" spans="1:28" ht="21" customHeight="1">
      <c r="B19" s="118"/>
      <c r="C19" s="119"/>
      <c r="D19" s="26"/>
      <c r="E19" s="159"/>
      <c r="F19" s="27"/>
      <c r="G19" s="26"/>
      <c r="H19" s="159"/>
      <c r="I19" s="27"/>
      <c r="J19" s="28"/>
      <c r="K19" s="49"/>
      <c r="L19" s="40"/>
      <c r="M19" s="41"/>
      <c r="N19" s="160"/>
      <c r="O19" s="160"/>
      <c r="P19" s="40"/>
      <c r="Q19" s="42"/>
      <c r="R19" s="60"/>
      <c r="S19" s="43"/>
      <c r="T19" s="216"/>
      <c r="U19" s="117"/>
    </row>
    <row r="20" spans="1:28" ht="39.6" customHeight="1">
      <c r="B20" s="161"/>
      <c r="C20" s="162"/>
      <c r="D20" s="806" t="s">
        <v>11</v>
      </c>
      <c r="E20" s="807"/>
      <c r="F20" s="807"/>
      <c r="G20" s="807"/>
      <c r="H20" s="807"/>
      <c r="I20" s="808"/>
      <c r="J20" s="809">
        <f>DEZ!F150</f>
        <v>2</v>
      </c>
      <c r="K20" s="810"/>
      <c r="L20" s="50" t="str">
        <f>DEZ!D150</f>
        <v>un</v>
      </c>
      <c r="M20" s="803" t="s">
        <v>12</v>
      </c>
      <c r="N20" s="811"/>
      <c r="O20" s="811"/>
      <c r="P20" s="811"/>
      <c r="Q20" s="805"/>
      <c r="R20" s="61">
        <f>SUM(R12:R19)</f>
        <v>0</v>
      </c>
      <c r="S20" s="51" t="s">
        <v>58</v>
      </c>
      <c r="T20" s="22"/>
      <c r="U20" s="23"/>
    </row>
    <row r="21" spans="1:28" ht="21" customHeight="1">
      <c r="B21" s="163"/>
      <c r="C21" s="19"/>
      <c r="D21" s="817" t="s">
        <v>13</v>
      </c>
      <c r="E21" s="818"/>
      <c r="F21" s="818"/>
      <c r="G21" s="818"/>
      <c r="H21" s="818"/>
      <c r="I21" s="819"/>
      <c r="J21" s="823">
        <f>R20/J20</f>
        <v>0</v>
      </c>
      <c r="K21" s="824"/>
      <c r="L21" s="827"/>
      <c r="M21" s="803" t="s">
        <v>34</v>
      </c>
      <c r="N21" s="804"/>
      <c r="O21" s="804"/>
      <c r="P21" s="804"/>
      <c r="Q21" s="805"/>
      <c r="R21" s="61">
        <v>0</v>
      </c>
      <c r="S21" s="52" t="s">
        <v>58</v>
      </c>
      <c r="T21" s="22"/>
      <c r="U21" s="23"/>
    </row>
    <row r="22" spans="1:28" ht="21" customHeight="1">
      <c r="A22" s="10" t="s">
        <v>467</v>
      </c>
      <c r="B22" s="165"/>
      <c r="C22" s="164"/>
      <c r="D22" s="820"/>
      <c r="E22" s="821"/>
      <c r="F22" s="821"/>
      <c r="G22" s="821"/>
      <c r="H22" s="821"/>
      <c r="I22" s="822"/>
      <c r="J22" s="825"/>
      <c r="K22" s="826"/>
      <c r="L22" s="828"/>
      <c r="M22" s="803" t="s">
        <v>14</v>
      </c>
      <c r="N22" s="804"/>
      <c r="O22" s="804"/>
      <c r="P22" s="804"/>
      <c r="Q22" s="805"/>
      <c r="R22" s="62">
        <f>R20-R21</f>
        <v>0</v>
      </c>
      <c r="S22" s="53" t="s">
        <v>58</v>
      </c>
      <c r="T22" s="54"/>
      <c r="U22" s="24"/>
    </row>
    <row r="23" spans="1:28" ht="21" customHeight="1">
      <c r="B23" s="218"/>
      <c r="C23" s="217"/>
      <c r="M23" s="803" t="s">
        <v>53</v>
      </c>
      <c r="N23" s="804"/>
      <c r="O23" s="804"/>
      <c r="P23" s="804"/>
      <c r="Q23" s="805"/>
      <c r="R23" s="62">
        <f>DEZ!E150</f>
        <v>340.73</v>
      </c>
      <c r="S23" s="53"/>
      <c r="T23" s="54"/>
      <c r="U23" s="24"/>
    </row>
    <row r="24" spans="1:28" ht="21" customHeight="1">
      <c r="B24" s="163"/>
      <c r="C24" s="219"/>
      <c r="M24" s="803" t="s">
        <v>54</v>
      </c>
      <c r="N24" s="804"/>
      <c r="O24" s="804"/>
      <c r="P24" s="804"/>
      <c r="Q24" s="805"/>
      <c r="R24" s="62">
        <f>TRUNC(R23*R22,2)</f>
        <v>0</v>
      </c>
      <c r="S24" s="53" t="s">
        <v>55</v>
      </c>
      <c r="T24" s="54"/>
      <c r="U24"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Q10:Q11"/>
    <mergeCell ref="R10:R11"/>
    <mergeCell ref="S10:S11"/>
    <mergeCell ref="D12:F12"/>
    <mergeCell ref="G12:I12"/>
    <mergeCell ref="N10:N11"/>
    <mergeCell ref="O10:O11"/>
    <mergeCell ref="P10:P11"/>
    <mergeCell ref="M23:Q23"/>
    <mergeCell ref="M24:Q24"/>
    <mergeCell ref="D20:I20"/>
    <mergeCell ref="J20:K20"/>
    <mergeCell ref="M20:Q20"/>
    <mergeCell ref="D21:I22"/>
    <mergeCell ref="J21:K22"/>
    <mergeCell ref="L21:L22"/>
    <mergeCell ref="M21:Q21"/>
    <mergeCell ref="M22:Q22"/>
  </mergeCells>
  <conditionalFormatting sqref="J21:K24">
    <cfRule type="cellIs" dxfId="387" priority="1" operator="greaterThanOrEqual">
      <formula>1</formula>
    </cfRule>
    <cfRule type="cellIs" dxfId="386" priority="2" operator="greaterThan">
      <formula>100%</formula>
    </cfRule>
  </conditionalFormatting>
  <pageMargins left="0.51181102362204722" right="0.51181102362204722" top="0.78740157480314965" bottom="0.78740157480314965" header="0.31496062992125984" footer="0.31496062992125984"/>
  <pageSetup paperSize="9" scale="40" fitToHeight="0" orientation="landscape" r:id="rId1"/>
  <headerFooter>
    <oddFooter>Página &amp;P de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CF635-362D-4141-8584-1258BB79B5F2}">
  <sheetPr codeName="Planilha123">
    <tabColor rgb="FF339933"/>
    <pageSetUpPr fitToPage="1"/>
  </sheetPr>
  <dimension ref="A1:AJ20"/>
  <sheetViews>
    <sheetView view="pageBreakPreview" topLeftCell="E3" zoomScale="70" zoomScaleNormal="55" zoomScaleSheetLayoutView="70" workbookViewId="0">
      <selection activeCell="R18" sqref="R1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DEZ!A293</f>
        <v>3.3.10.2</v>
      </c>
      <c r="C10" s="845" t="str">
        <f>DEZ!C293</f>
        <v>Portão corrediço de engranzamento soldado - fornecimento e instalação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230</v>
      </c>
      <c r="D12" s="854"/>
      <c r="E12" s="855"/>
      <c r="F12" s="856"/>
      <c r="G12" s="77"/>
      <c r="H12" s="78"/>
      <c r="I12" s="79"/>
      <c r="J12" s="226"/>
      <c r="K12" s="81">
        <v>11.14</v>
      </c>
      <c r="L12" s="82"/>
      <c r="M12" s="83"/>
      <c r="N12" s="105"/>
      <c r="O12" s="84"/>
      <c r="P12" s="82"/>
      <c r="Q12" s="93"/>
      <c r="R12" s="85">
        <f>PRODUCT(D12:L12)</f>
        <v>11.14</v>
      </c>
      <c r="S12" s="154" t="s">
        <v>57</v>
      </c>
      <c r="T12" s="215">
        <v>9</v>
      </c>
      <c r="U12" s="94"/>
      <c r="V12" s="71"/>
      <c r="W12" s="71"/>
      <c r="X12" s="152"/>
      <c r="Y12" s="153"/>
      <c r="Z12" s="72"/>
    </row>
    <row r="13" spans="1:36" s="73" customFormat="1" ht="31.9" customHeight="1">
      <c r="A13" s="64"/>
      <c r="B13" s="109"/>
      <c r="C13" s="76"/>
      <c r="D13" s="681"/>
      <c r="E13" s="682"/>
      <c r="F13" s="683"/>
      <c r="G13" s="77"/>
      <c r="H13" s="78"/>
      <c r="I13" s="79"/>
      <c r="J13" s="226"/>
      <c r="K13" s="81"/>
      <c r="L13" s="82"/>
      <c r="M13" s="83"/>
      <c r="N13" s="105"/>
      <c r="O13" s="84"/>
      <c r="P13" s="82"/>
      <c r="Q13" s="93"/>
      <c r="R13" s="85"/>
      <c r="S13" s="154"/>
      <c r="T13" s="215"/>
      <c r="U13" s="94"/>
      <c r="V13" s="71"/>
      <c r="W13" s="71"/>
      <c r="X13" s="152"/>
      <c r="Y13" s="153"/>
      <c r="Z13" s="72"/>
    </row>
    <row r="14" spans="1:36" s="73" customFormat="1" ht="21" customHeight="1">
      <c r="A14" s="64"/>
      <c r="B14" s="109"/>
      <c r="C14" s="76"/>
      <c r="D14" s="863"/>
      <c r="E14" s="864"/>
      <c r="F14" s="865"/>
      <c r="G14" s="863"/>
      <c r="H14" s="864"/>
      <c r="I14" s="865"/>
      <c r="J14" s="66"/>
      <c r="K14" s="81"/>
      <c r="L14" s="67"/>
      <c r="M14" s="68"/>
      <c r="N14" s="110"/>
      <c r="O14" s="69"/>
      <c r="P14" s="67"/>
      <c r="Q14" s="106"/>
      <c r="R14" s="85"/>
      <c r="S14" s="154"/>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ht="39.6" customHeight="1">
      <c r="B16" s="161"/>
      <c r="C16" s="162"/>
      <c r="D16" s="806" t="s">
        <v>11</v>
      </c>
      <c r="E16" s="807"/>
      <c r="F16" s="807"/>
      <c r="G16" s="807"/>
      <c r="H16" s="807"/>
      <c r="I16" s="808"/>
      <c r="J16" s="809">
        <f>DEZ!I293</f>
        <v>11.14</v>
      </c>
      <c r="K16" s="810"/>
      <c r="L16" s="50" t="str">
        <f>DEZ!D293</f>
        <v>m²</v>
      </c>
      <c r="M16" s="803" t="s">
        <v>12</v>
      </c>
      <c r="N16" s="811"/>
      <c r="O16" s="811"/>
      <c r="P16" s="811"/>
      <c r="Q16" s="805"/>
      <c r="R16" s="61">
        <f>SUM(R12:R15)</f>
        <v>11.14</v>
      </c>
      <c r="S16" s="51" t="str">
        <f>L16</f>
        <v>m²</v>
      </c>
      <c r="T16" s="22"/>
      <c r="U16" s="23"/>
    </row>
    <row r="17" spans="1:21" ht="21" customHeight="1">
      <c r="B17" s="163"/>
      <c r="C17" s="19"/>
      <c r="D17" s="817" t="s">
        <v>13</v>
      </c>
      <c r="E17" s="818"/>
      <c r="F17" s="818"/>
      <c r="G17" s="818"/>
      <c r="H17" s="818"/>
      <c r="I17" s="819"/>
      <c r="J17" s="823">
        <f>R16/J16</f>
        <v>1</v>
      </c>
      <c r="K17" s="824"/>
      <c r="L17" s="827"/>
      <c r="M17" s="803" t="s">
        <v>34</v>
      </c>
      <c r="N17" s="804"/>
      <c r="O17" s="804"/>
      <c r="P17" s="804"/>
      <c r="Q17" s="805"/>
      <c r="R17" s="61">
        <f>R12</f>
        <v>11.14</v>
      </c>
      <c r="S17" s="52" t="str">
        <f>L16</f>
        <v>m²</v>
      </c>
      <c r="T17" s="22"/>
      <c r="U17" s="23"/>
    </row>
    <row r="18" spans="1:21" ht="21" customHeight="1">
      <c r="A18" s="10" t="s">
        <v>465</v>
      </c>
      <c r="B18" s="165"/>
      <c r="C18" s="164"/>
      <c r="D18" s="820"/>
      <c r="E18" s="821"/>
      <c r="F18" s="821"/>
      <c r="G18" s="821"/>
      <c r="H18" s="821"/>
      <c r="I18" s="822"/>
      <c r="J18" s="825"/>
      <c r="K18" s="826"/>
      <c r="L18" s="828"/>
      <c r="M18" s="803" t="s">
        <v>14</v>
      </c>
      <c r="N18" s="804"/>
      <c r="O18" s="804"/>
      <c r="P18" s="804"/>
      <c r="Q18" s="805"/>
      <c r="R18" s="62">
        <f>R16-R17</f>
        <v>0</v>
      </c>
      <c r="S18" s="53" t="str">
        <f>L16</f>
        <v>m²</v>
      </c>
      <c r="T18" s="54"/>
      <c r="U18" s="24"/>
    </row>
    <row r="19" spans="1:21" ht="21" customHeight="1">
      <c r="B19" s="218"/>
      <c r="C19" s="217"/>
      <c r="M19" s="803" t="s">
        <v>53</v>
      </c>
      <c r="N19" s="804"/>
      <c r="O19" s="804"/>
      <c r="P19" s="804"/>
      <c r="Q19" s="805"/>
      <c r="R19" s="62">
        <f>DEZ!E293</f>
        <v>645.84</v>
      </c>
      <c r="S19" s="53"/>
      <c r="T19" s="54"/>
      <c r="U19" s="24"/>
    </row>
    <row r="20" spans="1:21" ht="21" customHeight="1">
      <c r="B20" s="163"/>
      <c r="C20" s="219"/>
      <c r="M20" s="803" t="s">
        <v>54</v>
      </c>
      <c r="N20" s="804"/>
      <c r="O20" s="804"/>
      <c r="P20" s="804"/>
      <c r="Q20" s="805"/>
      <c r="R20" s="62">
        <f>TRUNC(R19*R18,2)</f>
        <v>0</v>
      </c>
      <c r="S20" s="53" t="s">
        <v>55</v>
      </c>
      <c r="T20" s="54"/>
      <c r="U20" s="24"/>
    </row>
  </sheetData>
  <mergeCells count="37">
    <mergeCell ref="M20:Q20"/>
    <mergeCell ref="D17:I18"/>
    <mergeCell ref="J17:K18"/>
    <mergeCell ref="L17:L18"/>
    <mergeCell ref="M17:Q17"/>
    <mergeCell ref="M18:Q18"/>
    <mergeCell ref="M19:Q19"/>
    <mergeCell ref="D16:I16"/>
    <mergeCell ref="J16:K16"/>
    <mergeCell ref="M16:Q16"/>
    <mergeCell ref="N10:N11"/>
    <mergeCell ref="O10:O11"/>
    <mergeCell ref="P10:P11"/>
    <mergeCell ref="Q10:Q11"/>
    <mergeCell ref="D12:F12"/>
    <mergeCell ref="D14:F14"/>
    <mergeCell ref="G14:I14"/>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17:K20">
    <cfRule type="cellIs" dxfId="385" priority="1" operator="greaterThanOrEqual">
      <formula>1</formula>
    </cfRule>
    <cfRule type="cellIs" dxfId="38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D0A44-56E0-4759-BD58-13F48F3ECE06}">
  <sheetPr codeName="Planilha124">
    <tabColor rgb="FF339933"/>
    <pageSetUpPr fitToPage="1"/>
  </sheetPr>
  <dimension ref="A1:AJ20"/>
  <sheetViews>
    <sheetView view="pageBreakPreview" zoomScale="50" zoomScaleNormal="55" zoomScaleSheetLayoutView="50" workbookViewId="0">
      <selection activeCell="R18" sqref="R1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DEZ!A294</f>
        <v>3.3.10.3</v>
      </c>
      <c r="C10" s="845" t="str">
        <f>DEZ!C294</f>
        <v>Portão de dupla abertura de engranzamento soldado - fornecimento e instalação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230</v>
      </c>
      <c r="D12" s="854"/>
      <c r="E12" s="855"/>
      <c r="F12" s="856"/>
      <c r="G12" s="77"/>
      <c r="H12" s="78"/>
      <c r="I12" s="79"/>
      <c r="J12" s="226"/>
      <c r="K12" s="81">
        <v>11.25</v>
      </c>
      <c r="L12" s="82"/>
      <c r="M12" s="83"/>
      <c r="N12" s="105"/>
      <c r="O12" s="84"/>
      <c r="P12" s="82"/>
      <c r="Q12" s="93"/>
      <c r="R12" s="85">
        <f>PRODUCT(D12:L12)</f>
        <v>11.25</v>
      </c>
      <c r="S12" s="154" t="s">
        <v>57</v>
      </c>
      <c r="T12" s="215">
        <v>9</v>
      </c>
      <c r="U12" s="94"/>
      <c r="V12" s="71"/>
      <c r="W12" s="71"/>
      <c r="X12" s="152"/>
      <c r="Y12" s="153"/>
      <c r="Z12" s="72"/>
    </row>
    <row r="13" spans="1:36" s="73" customFormat="1" ht="31.9" customHeight="1">
      <c r="A13" s="64"/>
      <c r="B13" s="109"/>
      <c r="C13" s="76"/>
      <c r="D13" s="681"/>
      <c r="E13" s="682"/>
      <c r="F13" s="683"/>
      <c r="G13" s="77"/>
      <c r="H13" s="78"/>
      <c r="I13" s="79"/>
      <c r="J13" s="226"/>
      <c r="K13" s="81"/>
      <c r="L13" s="82"/>
      <c r="M13" s="83"/>
      <c r="N13" s="105"/>
      <c r="O13" s="84"/>
      <c r="P13" s="82"/>
      <c r="Q13" s="93"/>
      <c r="R13" s="85"/>
      <c r="S13" s="154"/>
      <c r="T13" s="215"/>
      <c r="U13" s="94"/>
      <c r="V13" s="71"/>
      <c r="W13" s="71"/>
      <c r="X13" s="152"/>
      <c r="Y13" s="153"/>
      <c r="Z13" s="72"/>
    </row>
    <row r="14" spans="1:36" s="73" customFormat="1" ht="21" customHeight="1">
      <c r="A14" s="64"/>
      <c r="B14" s="109"/>
      <c r="C14" s="76"/>
      <c r="D14" s="863"/>
      <c r="E14" s="864"/>
      <c r="F14" s="865"/>
      <c r="G14" s="863"/>
      <c r="H14" s="864"/>
      <c r="I14" s="865"/>
      <c r="J14" s="66"/>
      <c r="K14" s="81"/>
      <c r="L14" s="67"/>
      <c r="M14" s="68"/>
      <c r="N14" s="110"/>
      <c r="O14" s="69"/>
      <c r="P14" s="67"/>
      <c r="Q14" s="106"/>
      <c r="R14" s="85"/>
      <c r="S14" s="154"/>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ht="39.6" customHeight="1">
      <c r="B16" s="161"/>
      <c r="C16" s="162"/>
      <c r="D16" s="806" t="s">
        <v>11</v>
      </c>
      <c r="E16" s="807"/>
      <c r="F16" s="807"/>
      <c r="G16" s="807"/>
      <c r="H16" s="807"/>
      <c r="I16" s="808"/>
      <c r="J16" s="809">
        <f>DEZ!I294</f>
        <v>11.25</v>
      </c>
      <c r="K16" s="810"/>
      <c r="L16" s="50" t="str">
        <f>DEZ!D293</f>
        <v>m²</v>
      </c>
      <c r="M16" s="803" t="s">
        <v>12</v>
      </c>
      <c r="N16" s="811"/>
      <c r="O16" s="811"/>
      <c r="P16" s="811"/>
      <c r="Q16" s="805"/>
      <c r="R16" s="61">
        <f>SUM(R12:R15)</f>
        <v>11.25</v>
      </c>
      <c r="S16" s="51" t="str">
        <f>L16</f>
        <v>m²</v>
      </c>
      <c r="T16" s="22"/>
      <c r="U16" s="23"/>
    </row>
    <row r="17" spans="1:21" ht="21" customHeight="1">
      <c r="B17" s="163"/>
      <c r="C17" s="19"/>
      <c r="D17" s="817" t="s">
        <v>13</v>
      </c>
      <c r="E17" s="818"/>
      <c r="F17" s="818"/>
      <c r="G17" s="818"/>
      <c r="H17" s="818"/>
      <c r="I17" s="819"/>
      <c r="J17" s="823">
        <f>R16/J16</f>
        <v>1</v>
      </c>
      <c r="K17" s="824"/>
      <c r="L17" s="827"/>
      <c r="M17" s="803" t="s">
        <v>34</v>
      </c>
      <c r="N17" s="804"/>
      <c r="O17" s="804"/>
      <c r="P17" s="804"/>
      <c r="Q17" s="805"/>
      <c r="R17" s="61">
        <f>R12</f>
        <v>11.25</v>
      </c>
      <c r="S17" s="52" t="str">
        <f>L16</f>
        <v>m²</v>
      </c>
      <c r="T17" s="22"/>
      <c r="U17" s="23"/>
    </row>
    <row r="18" spans="1:21" ht="21" customHeight="1">
      <c r="A18" s="10" t="s">
        <v>465</v>
      </c>
      <c r="B18" s="165"/>
      <c r="C18" s="164"/>
      <c r="D18" s="820"/>
      <c r="E18" s="821"/>
      <c r="F18" s="821"/>
      <c r="G18" s="821"/>
      <c r="H18" s="821"/>
      <c r="I18" s="822"/>
      <c r="J18" s="825"/>
      <c r="K18" s="826"/>
      <c r="L18" s="828"/>
      <c r="M18" s="803" t="s">
        <v>14</v>
      </c>
      <c r="N18" s="804"/>
      <c r="O18" s="804"/>
      <c r="P18" s="804"/>
      <c r="Q18" s="805"/>
      <c r="R18" s="62">
        <f>R16-R17</f>
        <v>0</v>
      </c>
      <c r="S18" s="53" t="str">
        <f>L16</f>
        <v>m²</v>
      </c>
      <c r="T18" s="54"/>
      <c r="U18" s="24"/>
    </row>
    <row r="19" spans="1:21" ht="21" customHeight="1">
      <c r="B19" s="218"/>
      <c r="C19" s="217"/>
      <c r="M19" s="803" t="s">
        <v>53</v>
      </c>
      <c r="N19" s="804"/>
      <c r="O19" s="804"/>
      <c r="P19" s="804"/>
      <c r="Q19" s="805"/>
      <c r="R19" s="62">
        <f>DEZ!E294</f>
        <v>651.87</v>
      </c>
      <c r="S19" s="53"/>
      <c r="T19" s="54"/>
      <c r="U19" s="24"/>
    </row>
    <row r="20" spans="1:21" ht="21" customHeight="1">
      <c r="B20" s="163"/>
      <c r="C20" s="219"/>
      <c r="M20" s="803" t="s">
        <v>54</v>
      </c>
      <c r="N20" s="804"/>
      <c r="O20" s="804"/>
      <c r="P20" s="804"/>
      <c r="Q20" s="805"/>
      <c r="R20" s="62">
        <f>TRUNC(R19*R18,2)</f>
        <v>0</v>
      </c>
      <c r="S20" s="53" t="s">
        <v>55</v>
      </c>
      <c r="T20" s="54"/>
      <c r="U20" s="24"/>
    </row>
  </sheetData>
  <mergeCells count="37">
    <mergeCell ref="M20:Q20"/>
    <mergeCell ref="D17:I18"/>
    <mergeCell ref="J17:K18"/>
    <mergeCell ref="L17:L18"/>
    <mergeCell ref="M17:Q17"/>
    <mergeCell ref="M18:Q18"/>
    <mergeCell ref="M19:Q19"/>
    <mergeCell ref="D16:I16"/>
    <mergeCell ref="J16:K16"/>
    <mergeCell ref="M16:Q16"/>
    <mergeCell ref="N10:N11"/>
    <mergeCell ref="O10:O11"/>
    <mergeCell ref="P10:P11"/>
    <mergeCell ref="Q10:Q11"/>
    <mergeCell ref="D12:F12"/>
    <mergeCell ref="D14:F14"/>
    <mergeCell ref="G14:I14"/>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17:K20">
    <cfRule type="cellIs" dxfId="383" priority="1" operator="greaterThanOrEqual">
      <formula>1</formula>
    </cfRule>
    <cfRule type="cellIs" dxfId="38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56268-503C-41DD-8133-012C9988ABF7}">
  <sheetPr codeName="Planilha125">
    <tabColor rgb="FF339933"/>
    <pageSetUpPr fitToPage="1"/>
  </sheetPr>
  <dimension ref="A1:AJ20"/>
  <sheetViews>
    <sheetView view="pageBreakPreview" topLeftCell="A5" zoomScale="70" zoomScaleNormal="55" zoomScaleSheetLayoutView="70" workbookViewId="0">
      <selection activeCell="R18" sqref="R1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DEZ!A295</f>
        <v>3.3.10.4</v>
      </c>
      <c r="C10" s="845" t="str">
        <f>DEZ!C295</f>
        <v>Corrimão em tubo de ferro galvanizado diam. 2" com chumbadores a cada 1.5m</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1313</v>
      </c>
      <c r="D12" s="854">
        <v>17.55</v>
      </c>
      <c r="E12" s="855"/>
      <c r="F12" s="856"/>
      <c r="G12" s="77"/>
      <c r="H12" s="78"/>
      <c r="I12" s="79"/>
      <c r="J12" s="226"/>
      <c r="K12" s="81"/>
      <c r="L12" s="82"/>
      <c r="M12" s="83"/>
      <c r="N12" s="105"/>
      <c r="O12" s="84"/>
      <c r="P12" s="82"/>
      <c r="Q12" s="93"/>
      <c r="R12" s="85">
        <f>PRODUCT(D12:L12)</f>
        <v>17.55</v>
      </c>
      <c r="S12" s="154" t="s">
        <v>57</v>
      </c>
      <c r="T12" s="215">
        <v>9</v>
      </c>
      <c r="U12" s="94"/>
      <c r="V12" s="71"/>
      <c r="W12" s="71"/>
      <c r="X12" s="152"/>
      <c r="Y12" s="153"/>
      <c r="Z12" s="72"/>
    </row>
    <row r="13" spans="1:36" s="73" customFormat="1" ht="31.9" customHeight="1">
      <c r="A13" s="64"/>
      <c r="B13" s="109"/>
      <c r="C13" s="76"/>
      <c r="D13" s="681"/>
      <c r="E13" s="682"/>
      <c r="F13" s="683"/>
      <c r="G13" s="77"/>
      <c r="H13" s="78"/>
      <c r="I13" s="79"/>
      <c r="J13" s="226"/>
      <c r="K13" s="81"/>
      <c r="L13" s="82"/>
      <c r="M13" s="83"/>
      <c r="N13" s="105"/>
      <c r="O13" s="84"/>
      <c r="P13" s="82"/>
      <c r="Q13" s="93"/>
      <c r="R13" s="85"/>
      <c r="S13" s="154"/>
      <c r="T13" s="215"/>
      <c r="U13" s="94"/>
      <c r="V13" s="71"/>
      <c r="W13" s="71"/>
      <c r="X13" s="152"/>
      <c r="Y13" s="153"/>
      <c r="Z13" s="72"/>
    </row>
    <row r="14" spans="1:36" s="73" customFormat="1" ht="21" customHeight="1">
      <c r="A14" s="64"/>
      <c r="B14" s="109"/>
      <c r="C14" s="76"/>
      <c r="D14" s="863"/>
      <c r="E14" s="864"/>
      <c r="F14" s="865"/>
      <c r="G14" s="863"/>
      <c r="H14" s="864"/>
      <c r="I14" s="865"/>
      <c r="J14" s="66"/>
      <c r="K14" s="81"/>
      <c r="L14" s="67"/>
      <c r="M14" s="68"/>
      <c r="N14" s="110"/>
      <c r="O14" s="69"/>
      <c r="P14" s="67"/>
      <c r="Q14" s="106"/>
      <c r="R14" s="85"/>
      <c r="S14" s="154"/>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ht="39.6" customHeight="1">
      <c r="B16" s="161"/>
      <c r="C16" s="162"/>
      <c r="D16" s="806" t="s">
        <v>11</v>
      </c>
      <c r="E16" s="807"/>
      <c r="F16" s="807"/>
      <c r="G16" s="807"/>
      <c r="H16" s="807"/>
      <c r="I16" s="808"/>
      <c r="J16" s="809">
        <f>DEZ!I295</f>
        <v>17.55</v>
      </c>
      <c r="K16" s="810"/>
      <c r="L16" s="50" t="s">
        <v>51</v>
      </c>
      <c r="M16" s="803" t="s">
        <v>12</v>
      </c>
      <c r="N16" s="811"/>
      <c r="O16" s="811"/>
      <c r="P16" s="811"/>
      <c r="Q16" s="805"/>
      <c r="R16" s="61">
        <f>SUM(R12:R15)</f>
        <v>17.55</v>
      </c>
      <c r="S16" s="51" t="str">
        <f>L16</f>
        <v>m</v>
      </c>
      <c r="T16" s="22"/>
      <c r="U16" s="23"/>
    </row>
    <row r="17" spans="1:21" ht="21" customHeight="1">
      <c r="B17" s="163"/>
      <c r="C17" s="19"/>
      <c r="D17" s="817" t="s">
        <v>13</v>
      </c>
      <c r="E17" s="818"/>
      <c r="F17" s="818"/>
      <c r="G17" s="818"/>
      <c r="H17" s="818"/>
      <c r="I17" s="819"/>
      <c r="J17" s="823">
        <f>R16/J16</f>
        <v>1</v>
      </c>
      <c r="K17" s="824"/>
      <c r="L17" s="827"/>
      <c r="M17" s="803" t="s">
        <v>34</v>
      </c>
      <c r="N17" s="804"/>
      <c r="O17" s="804"/>
      <c r="P17" s="804"/>
      <c r="Q17" s="805"/>
      <c r="R17" s="61">
        <f>R12</f>
        <v>17.55</v>
      </c>
      <c r="S17" s="52" t="str">
        <f>L16</f>
        <v>m</v>
      </c>
      <c r="T17" s="22"/>
      <c r="U17" s="23"/>
    </row>
    <row r="18" spans="1:21" ht="21" customHeight="1">
      <c r="A18" s="10" t="s">
        <v>465</v>
      </c>
      <c r="B18" s="165"/>
      <c r="C18" s="164"/>
      <c r="D18" s="820"/>
      <c r="E18" s="821"/>
      <c r="F18" s="821"/>
      <c r="G18" s="821"/>
      <c r="H18" s="821"/>
      <c r="I18" s="822"/>
      <c r="J18" s="825"/>
      <c r="K18" s="826"/>
      <c r="L18" s="828"/>
      <c r="M18" s="803" t="s">
        <v>14</v>
      </c>
      <c r="N18" s="804"/>
      <c r="O18" s="804"/>
      <c r="P18" s="804"/>
      <c r="Q18" s="805"/>
      <c r="R18" s="62">
        <f>R16-R17</f>
        <v>0</v>
      </c>
      <c r="S18" s="53" t="str">
        <f>L16</f>
        <v>m</v>
      </c>
      <c r="T18" s="54"/>
      <c r="U18" s="24"/>
    </row>
    <row r="19" spans="1:21" ht="21" customHeight="1">
      <c r="B19" s="218"/>
      <c r="C19" s="217"/>
      <c r="M19" s="803" t="s">
        <v>53</v>
      </c>
      <c r="N19" s="804"/>
      <c r="O19" s="804"/>
      <c r="P19" s="804"/>
      <c r="Q19" s="805"/>
      <c r="R19" s="62">
        <f>DEZ!E295</f>
        <v>91.5</v>
      </c>
      <c r="S19" s="53"/>
      <c r="T19" s="54"/>
      <c r="U19" s="24"/>
    </row>
    <row r="20" spans="1:21" ht="21" customHeight="1">
      <c r="B20" s="163"/>
      <c r="C20" s="219"/>
      <c r="M20" s="803" t="s">
        <v>54</v>
      </c>
      <c r="N20" s="804"/>
      <c r="O20" s="804"/>
      <c r="P20" s="804"/>
      <c r="Q20" s="805"/>
      <c r="R20" s="62">
        <f>TRUNC(R19*R18,2)</f>
        <v>0</v>
      </c>
      <c r="S20" s="53" t="s">
        <v>55</v>
      </c>
      <c r="T20" s="54"/>
      <c r="U20" s="24"/>
    </row>
  </sheetData>
  <mergeCells count="37">
    <mergeCell ref="M20:Q20"/>
    <mergeCell ref="D17:I18"/>
    <mergeCell ref="J17:K18"/>
    <mergeCell ref="L17:L18"/>
    <mergeCell ref="M17:Q17"/>
    <mergeCell ref="M18:Q18"/>
    <mergeCell ref="M19:Q19"/>
    <mergeCell ref="D16:I16"/>
    <mergeCell ref="J16:K16"/>
    <mergeCell ref="M16:Q16"/>
    <mergeCell ref="N10:N11"/>
    <mergeCell ref="O10:O11"/>
    <mergeCell ref="P10:P11"/>
    <mergeCell ref="Q10:Q11"/>
    <mergeCell ref="D12:F12"/>
    <mergeCell ref="D14:F14"/>
    <mergeCell ref="G14:I14"/>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17:K20">
    <cfRule type="cellIs" dxfId="381" priority="1" operator="greaterThanOrEqual">
      <formula>1</formula>
    </cfRule>
    <cfRule type="cellIs" dxfId="38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60E0B-BEF0-43FA-A707-A0A898E80901}">
  <sheetPr codeName="Planilha126">
    <tabColor rgb="FF339933"/>
    <pageSetUpPr fitToPage="1"/>
  </sheetPr>
  <dimension ref="A1:AJ20"/>
  <sheetViews>
    <sheetView view="pageBreakPreview" topLeftCell="M5" zoomScale="70" zoomScaleNormal="55" zoomScaleSheetLayoutView="70" workbookViewId="0">
      <selection activeCell="R18" sqref="R1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DEZ!A296</f>
        <v>3.3.10.5</v>
      </c>
      <c r="C10" s="845" t="str">
        <f>DEZ!C296</f>
        <v>Guarda corpo de tubo de ferro galvanizado, diâm. 2" e 1/2", h= 1,1 m inclusive pintura a óleo ou esmalte</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1314</v>
      </c>
      <c r="D12" s="854">
        <v>4.1500000000000004</v>
      </c>
      <c r="E12" s="855"/>
      <c r="F12" s="856"/>
      <c r="G12" s="77"/>
      <c r="H12" s="78"/>
      <c r="I12" s="79"/>
      <c r="J12" s="226"/>
      <c r="K12" s="81"/>
      <c r="L12" s="82"/>
      <c r="M12" s="83"/>
      <c r="N12" s="105"/>
      <c r="O12" s="84"/>
      <c r="P12" s="82"/>
      <c r="Q12" s="93"/>
      <c r="R12" s="85">
        <f>PRODUCT(D12:L12)</f>
        <v>4.1500000000000004</v>
      </c>
      <c r="S12" s="154" t="s">
        <v>57</v>
      </c>
      <c r="T12" s="215">
        <v>9</v>
      </c>
      <c r="U12" s="94"/>
      <c r="V12" s="71"/>
      <c r="W12" s="71"/>
      <c r="X12" s="152"/>
      <c r="Y12" s="153"/>
      <c r="Z12" s="72"/>
    </row>
    <row r="13" spans="1:36" s="73" customFormat="1" ht="31.9" customHeight="1">
      <c r="A13" s="64"/>
      <c r="B13" s="109"/>
      <c r="C13" s="76"/>
      <c r="D13" s="681"/>
      <c r="E13" s="682"/>
      <c r="F13" s="683"/>
      <c r="G13" s="77"/>
      <c r="H13" s="78"/>
      <c r="I13" s="79"/>
      <c r="J13" s="226"/>
      <c r="K13" s="81"/>
      <c r="L13" s="82"/>
      <c r="M13" s="83"/>
      <c r="N13" s="105"/>
      <c r="O13" s="84"/>
      <c r="P13" s="82"/>
      <c r="Q13" s="93"/>
      <c r="R13" s="85"/>
      <c r="S13" s="154"/>
      <c r="T13" s="215"/>
      <c r="U13" s="94"/>
      <c r="V13" s="71"/>
      <c r="W13" s="71"/>
      <c r="X13" s="152"/>
      <c r="Y13" s="153"/>
      <c r="Z13" s="72"/>
    </row>
    <row r="14" spans="1:36" s="73" customFormat="1" ht="21" customHeight="1">
      <c r="A14" s="64"/>
      <c r="B14" s="109"/>
      <c r="C14" s="76"/>
      <c r="D14" s="863"/>
      <c r="E14" s="864"/>
      <c r="F14" s="865"/>
      <c r="G14" s="863"/>
      <c r="H14" s="864"/>
      <c r="I14" s="865"/>
      <c r="J14" s="66"/>
      <c r="K14" s="81"/>
      <c r="L14" s="67"/>
      <c r="M14" s="68"/>
      <c r="N14" s="110"/>
      <c r="O14" s="69"/>
      <c r="P14" s="67"/>
      <c r="Q14" s="106"/>
      <c r="R14" s="85"/>
      <c r="S14" s="154"/>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ht="39.6" customHeight="1">
      <c r="B16" s="161"/>
      <c r="C16" s="162"/>
      <c r="D16" s="806" t="s">
        <v>11</v>
      </c>
      <c r="E16" s="807"/>
      <c r="F16" s="807"/>
      <c r="G16" s="807"/>
      <c r="H16" s="807"/>
      <c r="I16" s="808"/>
      <c r="J16" s="809">
        <f>DEZ!I296</f>
        <v>4.1500000000000004</v>
      </c>
      <c r="K16" s="810"/>
      <c r="L16" s="50" t="s">
        <v>51</v>
      </c>
      <c r="M16" s="803" t="s">
        <v>12</v>
      </c>
      <c r="N16" s="811"/>
      <c r="O16" s="811"/>
      <c r="P16" s="811"/>
      <c r="Q16" s="805"/>
      <c r="R16" s="61">
        <f>SUM(R12:R15)</f>
        <v>4.1500000000000004</v>
      </c>
      <c r="S16" s="51" t="str">
        <f>L16</f>
        <v>m</v>
      </c>
      <c r="T16" s="22"/>
      <c r="U16" s="23"/>
    </row>
    <row r="17" spans="1:21" ht="21" customHeight="1">
      <c r="B17" s="163"/>
      <c r="C17" s="19"/>
      <c r="D17" s="817" t="s">
        <v>13</v>
      </c>
      <c r="E17" s="818"/>
      <c r="F17" s="818"/>
      <c r="G17" s="818"/>
      <c r="H17" s="818"/>
      <c r="I17" s="819"/>
      <c r="J17" s="823">
        <f>R16/J16</f>
        <v>1</v>
      </c>
      <c r="K17" s="824"/>
      <c r="L17" s="827"/>
      <c r="M17" s="803" t="s">
        <v>34</v>
      </c>
      <c r="N17" s="804"/>
      <c r="O17" s="804"/>
      <c r="P17" s="804"/>
      <c r="Q17" s="805"/>
      <c r="R17" s="61">
        <f>R12</f>
        <v>4.1500000000000004</v>
      </c>
      <c r="S17" s="52" t="str">
        <f>L16</f>
        <v>m</v>
      </c>
      <c r="T17" s="22"/>
      <c r="U17" s="23"/>
    </row>
    <row r="18" spans="1:21" ht="21" customHeight="1">
      <c r="A18" s="10" t="s">
        <v>465</v>
      </c>
      <c r="B18" s="165"/>
      <c r="C18" s="164"/>
      <c r="D18" s="820"/>
      <c r="E18" s="821"/>
      <c r="F18" s="821"/>
      <c r="G18" s="821"/>
      <c r="H18" s="821"/>
      <c r="I18" s="822"/>
      <c r="J18" s="825"/>
      <c r="K18" s="826"/>
      <c r="L18" s="828"/>
      <c r="M18" s="803" t="s">
        <v>14</v>
      </c>
      <c r="N18" s="804"/>
      <c r="O18" s="804"/>
      <c r="P18" s="804"/>
      <c r="Q18" s="805"/>
      <c r="R18" s="62">
        <f>R16-R17</f>
        <v>0</v>
      </c>
      <c r="S18" s="53" t="str">
        <f>L16</f>
        <v>m</v>
      </c>
      <c r="T18" s="54"/>
      <c r="U18" s="24"/>
    </row>
    <row r="19" spans="1:21" ht="21" customHeight="1">
      <c r="B19" s="218"/>
      <c r="C19" s="217"/>
      <c r="M19" s="803" t="s">
        <v>53</v>
      </c>
      <c r="N19" s="804"/>
      <c r="O19" s="804"/>
      <c r="P19" s="804"/>
      <c r="Q19" s="805"/>
      <c r="R19" s="62">
        <f>DEZ!E296</f>
        <v>366.23</v>
      </c>
      <c r="S19" s="53"/>
      <c r="T19" s="54"/>
      <c r="U19" s="24"/>
    </row>
    <row r="20" spans="1:21" ht="21" customHeight="1">
      <c r="B20" s="163"/>
      <c r="C20" s="219"/>
      <c r="M20" s="803" t="s">
        <v>54</v>
      </c>
      <c r="N20" s="804"/>
      <c r="O20" s="804"/>
      <c r="P20" s="804"/>
      <c r="Q20" s="805"/>
      <c r="R20" s="62">
        <f>TRUNC(R19*R18,2)</f>
        <v>0</v>
      </c>
      <c r="S20" s="53" t="s">
        <v>55</v>
      </c>
      <c r="T20" s="54"/>
      <c r="U20" s="24"/>
    </row>
  </sheetData>
  <mergeCells count="37">
    <mergeCell ref="M20:Q20"/>
    <mergeCell ref="D17:I18"/>
    <mergeCell ref="J17:K18"/>
    <mergeCell ref="L17:L18"/>
    <mergeCell ref="M17:Q17"/>
    <mergeCell ref="M18:Q18"/>
    <mergeCell ref="M19:Q19"/>
    <mergeCell ref="D16:I16"/>
    <mergeCell ref="J16:K16"/>
    <mergeCell ref="M16:Q16"/>
    <mergeCell ref="N10:N11"/>
    <mergeCell ref="O10:O11"/>
    <mergeCell ref="P10:P11"/>
    <mergeCell ref="Q10:Q11"/>
    <mergeCell ref="D12:F12"/>
    <mergeCell ref="D14:F14"/>
    <mergeCell ref="G14:I14"/>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17:K20">
    <cfRule type="cellIs" dxfId="379" priority="1" operator="greaterThanOrEqual">
      <formula>1</formula>
    </cfRule>
    <cfRule type="cellIs" dxfId="37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92E6C-CD44-436F-92B5-FC0054BE41CA}">
  <sheetPr codeName="Planilha122">
    <tabColor rgb="FF339933"/>
    <pageSetUpPr fitToPage="1"/>
  </sheetPr>
  <dimension ref="A1:AJ21"/>
  <sheetViews>
    <sheetView view="pageBreakPreview" topLeftCell="B2" zoomScale="50" zoomScaleNormal="55" zoomScaleSheetLayoutView="50" workbookViewId="0">
      <selection activeCell="R19" sqref="R1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DEZ!A66</f>
        <v>2.3.1.1</v>
      </c>
      <c r="C10" s="845" t="str">
        <f>DEZ!C66</f>
        <v>Locação de obra com gabarito de madeira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65" t="s">
        <v>1312</v>
      </c>
      <c r="D12" s="77"/>
      <c r="E12" s="78"/>
      <c r="F12" s="79"/>
      <c r="G12" s="77"/>
      <c r="H12" s="78"/>
      <c r="I12" s="79"/>
      <c r="J12" s="66"/>
      <c r="K12" s="108">
        <v>200.9</v>
      </c>
      <c r="L12" s="67"/>
      <c r="M12" s="68"/>
      <c r="N12" s="110"/>
      <c r="O12" s="69"/>
      <c r="P12" s="67"/>
      <c r="Q12" s="106"/>
      <c r="R12" s="85">
        <f>K12</f>
        <v>200.9</v>
      </c>
      <c r="S12" s="111" t="s">
        <v>57</v>
      </c>
      <c r="T12" s="215">
        <v>10</v>
      </c>
      <c r="U12" s="94"/>
      <c r="V12" s="71"/>
      <c r="W12" s="71"/>
      <c r="X12" s="152"/>
      <c r="Y12" s="153"/>
      <c r="Z12" s="72"/>
      <c r="AA12" s="71"/>
      <c r="AB12" s="74"/>
    </row>
    <row r="13" spans="1:36" s="73" customFormat="1" ht="21" customHeight="1">
      <c r="A13" s="64"/>
      <c r="B13" s="109"/>
      <c r="C13" s="65"/>
      <c r="D13" s="77"/>
      <c r="E13" s="78"/>
      <c r="F13" s="79"/>
      <c r="G13" s="77"/>
      <c r="H13" s="78"/>
      <c r="I13" s="79"/>
      <c r="J13" s="66"/>
      <c r="K13" s="108"/>
      <c r="L13" s="67"/>
      <c r="M13" s="68"/>
      <c r="N13" s="110"/>
      <c r="O13" s="69"/>
      <c r="P13" s="67"/>
      <c r="Q13" s="106"/>
      <c r="R13" s="70"/>
      <c r="S13" s="111"/>
      <c r="T13" s="215"/>
      <c r="U13" s="94"/>
      <c r="V13" s="71"/>
      <c r="W13" s="71"/>
      <c r="X13" s="152"/>
      <c r="Y13" s="153"/>
      <c r="Z13" s="72"/>
      <c r="AA13" s="71"/>
      <c r="AB13" s="74"/>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1" ht="39.6" customHeight="1">
      <c r="B17" s="161"/>
      <c r="C17" s="162"/>
      <c r="D17" s="806" t="s">
        <v>11</v>
      </c>
      <c r="E17" s="807"/>
      <c r="F17" s="807"/>
      <c r="G17" s="807"/>
      <c r="H17" s="807"/>
      <c r="I17" s="808"/>
      <c r="J17" s="809">
        <f>DEZ!I66</f>
        <v>200.9</v>
      </c>
      <c r="K17" s="810"/>
      <c r="L17" s="50" t="s">
        <v>57</v>
      </c>
      <c r="M17" s="803" t="s">
        <v>12</v>
      </c>
      <c r="N17" s="811"/>
      <c r="O17" s="811"/>
      <c r="P17" s="811"/>
      <c r="Q17" s="805"/>
      <c r="R17" s="61">
        <f>SUM(R12:R16)</f>
        <v>200.9</v>
      </c>
      <c r="S17" s="51" t="str">
        <f>L17</f>
        <v>m2</v>
      </c>
      <c r="T17" s="22"/>
      <c r="U17" s="23"/>
    </row>
    <row r="18" spans="1:21" ht="21" customHeight="1">
      <c r="B18" s="163"/>
      <c r="C18" s="19"/>
      <c r="D18" s="817" t="s">
        <v>13</v>
      </c>
      <c r="E18" s="818"/>
      <c r="F18" s="818"/>
      <c r="G18" s="818"/>
      <c r="H18" s="818"/>
      <c r="I18" s="819"/>
      <c r="J18" s="823">
        <f>R17/J17</f>
        <v>1</v>
      </c>
      <c r="K18" s="824"/>
      <c r="L18" s="827"/>
      <c r="M18" s="803" t="s">
        <v>34</v>
      </c>
      <c r="N18" s="804"/>
      <c r="O18" s="804"/>
      <c r="P18" s="804"/>
      <c r="Q18" s="805"/>
      <c r="R18" s="61">
        <f>R12</f>
        <v>200.9</v>
      </c>
      <c r="S18" s="52" t="str">
        <f>L17</f>
        <v>m2</v>
      </c>
      <c r="T18" s="22"/>
      <c r="U18" s="23"/>
    </row>
    <row r="19" spans="1:21" ht="21" customHeight="1">
      <c r="A19" s="10" t="s">
        <v>77</v>
      </c>
      <c r="B19" s="165"/>
      <c r="C19" s="164"/>
      <c r="D19" s="820"/>
      <c r="E19" s="821"/>
      <c r="F19" s="821"/>
      <c r="G19" s="821"/>
      <c r="H19" s="821"/>
      <c r="I19" s="822"/>
      <c r="J19" s="825"/>
      <c r="K19" s="826"/>
      <c r="L19" s="828"/>
      <c r="M19" s="803" t="s">
        <v>14</v>
      </c>
      <c r="N19" s="804"/>
      <c r="O19" s="804"/>
      <c r="P19" s="804"/>
      <c r="Q19" s="805"/>
      <c r="R19" s="62">
        <f>R17-R18</f>
        <v>0</v>
      </c>
      <c r="S19" s="53" t="str">
        <f>L17</f>
        <v>m2</v>
      </c>
      <c r="T19" s="54"/>
      <c r="U19" s="24"/>
    </row>
    <row r="20" spans="1:21" ht="21" customHeight="1">
      <c r="B20" s="218"/>
      <c r="C20" s="217"/>
      <c r="M20" s="803" t="s">
        <v>53</v>
      </c>
      <c r="N20" s="804"/>
      <c r="O20" s="804"/>
      <c r="P20" s="804"/>
      <c r="Q20" s="805"/>
      <c r="R20" s="62">
        <f>DEZ!E66</f>
        <v>7.69</v>
      </c>
      <c r="S20" s="53"/>
      <c r="T20" s="54"/>
      <c r="U20" s="24"/>
    </row>
    <row r="21" spans="1:21" ht="21" customHeight="1">
      <c r="B21" s="163"/>
      <c r="C21" s="219"/>
      <c r="M21" s="803" t="s">
        <v>54</v>
      </c>
      <c r="N21" s="804"/>
      <c r="O21" s="804"/>
      <c r="P21" s="804"/>
      <c r="Q21" s="805"/>
      <c r="R21" s="62">
        <f>TRUNC(R20*R19,2)</f>
        <v>0</v>
      </c>
      <c r="S21" s="53" t="s">
        <v>55</v>
      </c>
      <c r="T21" s="54"/>
      <c r="U21" s="24"/>
    </row>
  </sheetData>
  <mergeCells count="34">
    <mergeCell ref="M20:Q20"/>
    <mergeCell ref="M21:Q21"/>
    <mergeCell ref="T10:T11"/>
    <mergeCell ref="U10:U11"/>
    <mergeCell ref="D17:I17"/>
    <mergeCell ref="J17:K17"/>
    <mergeCell ref="M17:Q17"/>
    <mergeCell ref="D18:I19"/>
    <mergeCell ref="J18:K19"/>
    <mergeCell ref="L18:L19"/>
    <mergeCell ref="M18:Q18"/>
    <mergeCell ref="M19:Q19"/>
    <mergeCell ref="N10:N11"/>
    <mergeCell ref="O10:O11"/>
    <mergeCell ref="P10:P11"/>
    <mergeCell ref="Q10:Q11"/>
    <mergeCell ref="R10:R11"/>
    <mergeCell ref="S10:S11"/>
    <mergeCell ref="T8:U8"/>
    <mergeCell ref="T9:U9"/>
    <mergeCell ref="B10:B11"/>
    <mergeCell ref="C10:C11"/>
    <mergeCell ref="D10:F11"/>
    <mergeCell ref="G10:I11"/>
    <mergeCell ref="J10:J11"/>
    <mergeCell ref="K10:K11"/>
    <mergeCell ref="L10:L11"/>
    <mergeCell ref="M10:M11"/>
    <mergeCell ref="T7:U7"/>
    <mergeCell ref="B1:U4"/>
    <mergeCell ref="V4:AA4"/>
    <mergeCell ref="B5:I5"/>
    <mergeCell ref="J5:O5"/>
    <mergeCell ref="P5:U5"/>
  </mergeCells>
  <conditionalFormatting sqref="J18:K21">
    <cfRule type="cellIs" dxfId="377" priority="1" operator="greaterThanOrEqual">
      <formula>1</formula>
    </cfRule>
    <cfRule type="cellIs" dxfId="37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3">
    <tabColor rgb="FF339933"/>
    <pageSetUpPr fitToPage="1"/>
  </sheetPr>
  <dimension ref="A1:AJ32"/>
  <sheetViews>
    <sheetView view="pageBreakPreview" topLeftCell="B8" zoomScale="50" zoomScaleNormal="55" zoomScaleSheetLayoutView="50" workbookViewId="0">
      <selection activeCell="R30" sqref="R3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A30</f>
        <v>1.1.2.2</v>
      </c>
      <c r="C10" s="845" t="str">
        <f>CONCATENATE(VLOOKUP(A30,DEZ!$A$2:$S$731,2,FALSE)," - ",VLOOKUP(A30,DEZ!$A$2:$S$731,3,FALSE))</f>
        <v>20343 - Aluguel mensal container para escritório, sem banheiro, dim. 6.00x2.40m, incl. porta, 2 janelas, abert p/ ar cond., 2 pt iluminação, 2 tomadas elét. e 1 tomada telef. Isolamento térmico (teto e paredes), piso em comp. Naval, cert. NR18, incl. laudo descontaminação.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868</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t="s">
        <v>869</v>
      </c>
      <c r="D13" s="77"/>
      <c r="E13" s="78"/>
      <c r="F13" s="79"/>
      <c r="G13" s="77"/>
      <c r="H13" s="78"/>
      <c r="I13" s="79"/>
      <c r="J13" s="80"/>
      <c r="K13" s="81"/>
      <c r="L13" s="82"/>
      <c r="M13" s="83">
        <v>1</v>
      </c>
      <c r="N13" s="105"/>
      <c r="O13" s="84"/>
      <c r="P13" s="82"/>
      <c r="Q13" s="93"/>
      <c r="R13" s="85">
        <f t="shared" ref="R13:R18" si="0">M13</f>
        <v>1</v>
      </c>
      <c r="S13" s="221" t="s">
        <v>52</v>
      </c>
      <c r="T13" s="215">
        <v>1</v>
      </c>
      <c r="U13" s="94"/>
      <c r="V13" s="71"/>
      <c r="W13" s="71"/>
      <c r="X13" s="152"/>
      <c r="Y13" s="153"/>
      <c r="Z13" s="72"/>
    </row>
    <row r="14" spans="1:36" s="73" customFormat="1" ht="21" customHeight="1">
      <c r="A14" s="64"/>
      <c r="B14" s="109"/>
      <c r="C14" s="65" t="s">
        <v>914</v>
      </c>
      <c r="D14" s="77"/>
      <c r="E14" s="78"/>
      <c r="F14" s="79"/>
      <c r="G14" s="77"/>
      <c r="H14" s="78"/>
      <c r="I14" s="79"/>
      <c r="J14" s="80"/>
      <c r="K14" s="81"/>
      <c r="L14" s="82"/>
      <c r="M14" s="83">
        <v>1</v>
      </c>
      <c r="N14" s="105"/>
      <c r="O14" s="84"/>
      <c r="P14" s="82"/>
      <c r="Q14" s="93"/>
      <c r="R14" s="85">
        <f t="shared" si="0"/>
        <v>1</v>
      </c>
      <c r="S14" s="111" t="s">
        <v>52</v>
      </c>
      <c r="T14" s="215">
        <v>2</v>
      </c>
      <c r="U14" s="94"/>
      <c r="V14" s="71"/>
      <c r="W14" s="71"/>
      <c r="X14" s="152"/>
      <c r="Y14" s="153"/>
      <c r="Z14" s="72"/>
    </row>
    <row r="15" spans="1:36" s="73" customFormat="1" ht="21" customHeight="1">
      <c r="A15" s="64"/>
      <c r="B15" s="109"/>
      <c r="C15" s="65" t="s">
        <v>924</v>
      </c>
      <c r="D15" s="77"/>
      <c r="E15" s="78"/>
      <c r="F15" s="79"/>
      <c r="G15" s="77"/>
      <c r="H15" s="78"/>
      <c r="I15" s="79"/>
      <c r="J15" s="80"/>
      <c r="K15" s="81"/>
      <c r="L15" s="82"/>
      <c r="M15" s="83">
        <v>1</v>
      </c>
      <c r="N15" s="105"/>
      <c r="O15" s="84"/>
      <c r="P15" s="82"/>
      <c r="Q15" s="93"/>
      <c r="R15" s="85">
        <f t="shared" si="0"/>
        <v>1</v>
      </c>
      <c r="S15" s="111" t="s">
        <v>52</v>
      </c>
      <c r="T15" s="215">
        <v>3</v>
      </c>
      <c r="U15" s="94"/>
      <c r="V15" s="71"/>
      <c r="W15" s="71"/>
      <c r="X15" s="152"/>
      <c r="Y15" s="153"/>
      <c r="Z15" s="72"/>
    </row>
    <row r="16" spans="1:36" s="73" customFormat="1" ht="21" customHeight="1">
      <c r="A16" s="64"/>
      <c r="B16" s="109"/>
      <c r="C16" s="65" t="s">
        <v>943</v>
      </c>
      <c r="D16" s="77"/>
      <c r="E16" s="78"/>
      <c r="F16" s="79"/>
      <c r="G16" s="77"/>
      <c r="H16" s="78"/>
      <c r="I16" s="79"/>
      <c r="J16" s="66"/>
      <c r="K16" s="108"/>
      <c r="L16" s="67"/>
      <c r="M16" s="68">
        <v>1</v>
      </c>
      <c r="N16" s="110"/>
      <c r="O16" s="69"/>
      <c r="P16" s="67"/>
      <c r="Q16" s="106"/>
      <c r="R16" s="85">
        <f t="shared" si="0"/>
        <v>1</v>
      </c>
      <c r="S16" s="111" t="s">
        <v>52</v>
      </c>
      <c r="T16" s="215">
        <v>4</v>
      </c>
      <c r="U16" s="94"/>
      <c r="V16" s="71"/>
      <c r="W16" s="71"/>
      <c r="X16" s="152"/>
      <c r="Y16" s="153"/>
      <c r="Z16" s="72"/>
      <c r="AA16" s="71"/>
      <c r="AB16" s="74"/>
    </row>
    <row r="17" spans="1:28" s="73" customFormat="1" ht="21" customHeight="1">
      <c r="A17" s="64"/>
      <c r="B17" s="109"/>
      <c r="C17" s="65" t="s">
        <v>962</v>
      </c>
      <c r="D17" s="77"/>
      <c r="E17" s="78"/>
      <c r="F17" s="79"/>
      <c r="G17" s="77"/>
      <c r="H17" s="78"/>
      <c r="I17" s="79"/>
      <c r="J17" s="66"/>
      <c r="K17" s="108"/>
      <c r="L17" s="67"/>
      <c r="M17" s="68">
        <v>1</v>
      </c>
      <c r="N17" s="110"/>
      <c r="O17" s="69"/>
      <c r="P17" s="67"/>
      <c r="Q17" s="106"/>
      <c r="R17" s="70">
        <f t="shared" si="0"/>
        <v>1</v>
      </c>
      <c r="S17" s="111" t="s">
        <v>52</v>
      </c>
      <c r="T17" s="215">
        <v>5</v>
      </c>
      <c r="U17" s="94"/>
      <c r="V17" s="71"/>
      <c r="W17" s="71"/>
      <c r="X17" s="152"/>
      <c r="Y17" s="153"/>
      <c r="Z17" s="72"/>
      <c r="AA17" s="71"/>
      <c r="AB17" s="74"/>
    </row>
    <row r="18" spans="1:28" s="73" customFormat="1" ht="21" customHeight="1">
      <c r="A18" s="64"/>
      <c r="B18" s="109"/>
      <c r="C18" s="65" t="s">
        <v>982</v>
      </c>
      <c r="D18" s="77"/>
      <c r="E18" s="78"/>
      <c r="F18" s="79"/>
      <c r="G18" s="77"/>
      <c r="H18" s="78"/>
      <c r="I18" s="79"/>
      <c r="J18" s="66"/>
      <c r="K18" s="108"/>
      <c r="L18" s="67"/>
      <c r="M18" s="68">
        <v>1</v>
      </c>
      <c r="N18" s="110"/>
      <c r="O18" s="69"/>
      <c r="P18" s="67"/>
      <c r="Q18" s="106"/>
      <c r="R18" s="70">
        <f t="shared" si="0"/>
        <v>1</v>
      </c>
      <c r="S18" s="111" t="s">
        <v>52</v>
      </c>
      <c r="T18" s="215">
        <v>6</v>
      </c>
      <c r="U18" s="94"/>
      <c r="V18" s="71"/>
      <c r="W18" s="71"/>
      <c r="X18" s="152"/>
      <c r="Y18" s="153"/>
      <c r="Z18" s="72"/>
      <c r="AA18" s="71"/>
      <c r="AB18" s="74"/>
    </row>
    <row r="19" spans="1:28" s="90" customFormat="1" ht="21" customHeight="1">
      <c r="A19" s="75"/>
      <c r="B19" s="107"/>
      <c r="C19" s="104" t="s">
        <v>999</v>
      </c>
      <c r="D19" s="77"/>
      <c r="E19" s="78"/>
      <c r="F19" s="79"/>
      <c r="G19" s="77"/>
      <c r="H19" s="78"/>
      <c r="I19" s="79"/>
      <c r="J19" s="80"/>
      <c r="K19" s="81"/>
      <c r="L19" s="82"/>
      <c r="M19" s="83">
        <v>1</v>
      </c>
      <c r="N19" s="84"/>
      <c r="O19" s="155"/>
      <c r="P19" s="156"/>
      <c r="Q19" s="85"/>
      <c r="R19" s="85">
        <v>1</v>
      </c>
      <c r="S19" s="154" t="s">
        <v>52</v>
      </c>
      <c r="T19" s="215">
        <v>7</v>
      </c>
      <c r="U19" s="92"/>
      <c r="V19" s="86"/>
      <c r="W19" s="86"/>
      <c r="X19" s="86"/>
      <c r="Y19" s="151"/>
      <c r="Z19" s="87"/>
      <c r="AA19" s="88"/>
      <c r="AB19" s="89"/>
    </row>
    <row r="20" spans="1:28" s="90" customFormat="1" ht="21" customHeight="1">
      <c r="A20" s="75"/>
      <c r="B20" s="107"/>
      <c r="C20" s="104" t="s">
        <v>1025</v>
      </c>
      <c r="D20" s="77"/>
      <c r="E20" s="78"/>
      <c r="F20" s="79"/>
      <c r="G20" s="77"/>
      <c r="H20" s="78"/>
      <c r="I20" s="79"/>
      <c r="J20" s="80"/>
      <c r="K20" s="81"/>
      <c r="L20" s="82"/>
      <c r="M20" s="83">
        <v>1</v>
      </c>
      <c r="N20" s="84"/>
      <c r="O20" s="155"/>
      <c r="P20" s="156"/>
      <c r="Q20" s="85"/>
      <c r="R20" s="85">
        <v>1</v>
      </c>
      <c r="S20" s="154" t="s">
        <v>52</v>
      </c>
      <c r="T20" s="215">
        <v>8</v>
      </c>
      <c r="U20" s="92"/>
      <c r="V20" s="86"/>
      <c r="W20" s="86"/>
      <c r="X20" s="86"/>
      <c r="Y20" s="151"/>
      <c r="Z20" s="87"/>
      <c r="AA20" s="88"/>
      <c r="AB20" s="89"/>
    </row>
    <row r="21" spans="1:28" s="90" customFormat="1" ht="21" customHeight="1">
      <c r="A21" s="75"/>
      <c r="B21" s="107"/>
      <c r="C21" s="104" t="s">
        <v>1404</v>
      </c>
      <c r="D21" s="77"/>
      <c r="E21" s="78"/>
      <c r="F21" s="79"/>
      <c r="G21" s="77"/>
      <c r="H21" s="78"/>
      <c r="I21" s="79"/>
      <c r="J21" s="80"/>
      <c r="K21" s="81"/>
      <c r="L21" s="82"/>
      <c r="M21" s="83">
        <v>1</v>
      </c>
      <c r="N21" s="84"/>
      <c r="O21" s="155"/>
      <c r="P21" s="156"/>
      <c r="Q21" s="85"/>
      <c r="R21" s="85">
        <f>M21</f>
        <v>1</v>
      </c>
      <c r="S21" s="154" t="s">
        <v>52</v>
      </c>
      <c r="T21" s="215">
        <v>11</v>
      </c>
      <c r="U21" s="92"/>
      <c r="V21" s="86"/>
      <c r="W21" s="86"/>
      <c r="X21" s="86"/>
      <c r="Y21" s="151"/>
      <c r="Z21" s="87"/>
      <c r="AA21" s="88"/>
      <c r="AB21" s="89"/>
    </row>
    <row r="22" spans="1:28" s="90" customFormat="1" ht="21" customHeight="1">
      <c r="A22" s="75"/>
      <c r="B22" s="157"/>
      <c r="C22" s="104" t="s">
        <v>1405</v>
      </c>
      <c r="D22" s="77"/>
      <c r="E22" s="78"/>
      <c r="F22" s="79"/>
      <c r="G22" s="77"/>
      <c r="H22" s="78"/>
      <c r="I22" s="79"/>
      <c r="J22" s="80"/>
      <c r="K22" s="81"/>
      <c r="L22" s="82"/>
      <c r="M22" s="83">
        <v>1</v>
      </c>
      <c r="N22" s="84"/>
      <c r="O22" s="84"/>
      <c r="P22" s="82"/>
      <c r="Q22" s="85"/>
      <c r="R22" s="85">
        <f>M22</f>
        <v>1</v>
      </c>
      <c r="S22" s="154" t="s">
        <v>52</v>
      </c>
      <c r="T22" s="215">
        <v>11</v>
      </c>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90" customFormat="1" ht="21" customHeight="1">
      <c r="A25" s="75"/>
      <c r="B25" s="157"/>
      <c r="C25" s="76"/>
      <c r="D25" s="77"/>
      <c r="E25" s="78"/>
      <c r="F25" s="79"/>
      <c r="G25" s="77"/>
      <c r="H25" s="78"/>
      <c r="I25" s="79"/>
      <c r="J25" s="80"/>
      <c r="K25" s="81"/>
      <c r="L25" s="82"/>
      <c r="M25" s="83"/>
      <c r="N25" s="84"/>
      <c r="O25" s="84"/>
      <c r="P25" s="82"/>
      <c r="Q25" s="85"/>
      <c r="R25" s="85"/>
      <c r="S25" s="154"/>
      <c r="T25" s="215"/>
      <c r="U25" s="92"/>
      <c r="V25" s="86"/>
      <c r="W25" s="86"/>
      <c r="X25" s="86"/>
      <c r="Y25" s="151"/>
      <c r="Z25" s="87"/>
      <c r="AA25" s="88"/>
      <c r="AB25" s="89"/>
    </row>
    <row r="26" spans="1:28" s="1" customFormat="1" ht="21" customHeight="1">
      <c r="A26" s="11"/>
      <c r="B26" s="25"/>
      <c r="C26" s="76"/>
      <c r="D26" s="77"/>
      <c r="E26" s="78"/>
      <c r="F26" s="79"/>
      <c r="G26" s="77"/>
      <c r="H26" s="78"/>
      <c r="I26" s="79"/>
      <c r="J26" s="80"/>
      <c r="K26" s="81"/>
      <c r="L26" s="82"/>
      <c r="M26" s="83"/>
      <c r="N26" s="84"/>
      <c r="O26" s="84"/>
      <c r="P26" s="82"/>
      <c r="Q26" s="85"/>
      <c r="R26" s="222"/>
      <c r="S26" s="154"/>
      <c r="T26" s="215"/>
      <c r="U26" s="92"/>
      <c r="V26" s="120"/>
      <c r="W26" s="120"/>
      <c r="X26" s="120"/>
      <c r="Y26" s="142"/>
      <c r="Z26" s="15"/>
      <c r="AA26" s="17"/>
      <c r="AB26" s="44"/>
    </row>
    <row r="27" spans="1:28" ht="21" customHeight="1">
      <c r="B27" s="118"/>
      <c r="C27" s="223"/>
      <c r="D27" s="77"/>
      <c r="E27" s="78"/>
      <c r="F27" s="79"/>
      <c r="G27" s="77"/>
      <c r="H27" s="78"/>
      <c r="I27" s="79"/>
      <c r="J27" s="80"/>
      <c r="K27" s="81"/>
      <c r="L27" s="82"/>
      <c r="M27" s="83"/>
      <c r="N27" s="84"/>
      <c r="O27" s="84"/>
      <c r="P27" s="82"/>
      <c r="Q27" s="85"/>
      <c r="R27" s="222"/>
      <c r="S27" s="154"/>
      <c r="T27" s="216"/>
      <c r="U27" s="224"/>
    </row>
    <row r="28" spans="1:28" ht="39.6" customHeight="1">
      <c r="B28" s="161"/>
      <c r="C28" s="162"/>
      <c r="D28" s="806" t="s">
        <v>11</v>
      </c>
      <c r="E28" s="807"/>
      <c r="F28" s="807"/>
      <c r="G28" s="807"/>
      <c r="H28" s="807"/>
      <c r="I28" s="808"/>
      <c r="J28" s="809">
        <f>VLOOKUP(A30,DEZ!$A$2:$S$731,6,FALSE)</f>
        <v>10</v>
      </c>
      <c r="K28" s="810"/>
      <c r="L28" s="50" t="str">
        <f>VLOOKUP(A30,DEZ!$A$2:$S$731,4,FALSE)</f>
        <v>mês</v>
      </c>
      <c r="M28" s="803" t="s">
        <v>12</v>
      </c>
      <c r="N28" s="811"/>
      <c r="O28" s="811"/>
      <c r="P28" s="811"/>
      <c r="Q28" s="805"/>
      <c r="R28" s="61">
        <f>SUM(R12:R27)</f>
        <v>10</v>
      </c>
      <c r="S28" s="51" t="str">
        <f>L28</f>
        <v>mês</v>
      </c>
      <c r="T28" s="22"/>
      <c r="U28" s="23"/>
    </row>
    <row r="29" spans="1:28" ht="21" customHeight="1">
      <c r="B29" s="163"/>
      <c r="C29" s="19"/>
      <c r="D29" s="817" t="s">
        <v>13</v>
      </c>
      <c r="E29" s="818"/>
      <c r="F29" s="818"/>
      <c r="G29" s="818"/>
      <c r="H29" s="818"/>
      <c r="I29" s="819"/>
      <c r="J29" s="823">
        <f>R28/J28</f>
        <v>1</v>
      </c>
      <c r="K29" s="824"/>
      <c r="L29" s="827"/>
      <c r="M29" s="803" t="s">
        <v>34</v>
      </c>
      <c r="N29" s="804"/>
      <c r="O29" s="804"/>
      <c r="P29" s="804"/>
      <c r="Q29" s="805"/>
      <c r="R29" s="61">
        <f>SUM(R13:R22)</f>
        <v>10</v>
      </c>
      <c r="S29" s="52" t="str">
        <f>L28</f>
        <v>mês</v>
      </c>
      <c r="T29" s="22"/>
      <c r="U29" s="23"/>
    </row>
    <row r="30" spans="1:28" ht="21" customHeight="1">
      <c r="A30" s="10" t="s">
        <v>75</v>
      </c>
      <c r="B30" s="165"/>
      <c r="C30" s="164"/>
      <c r="D30" s="820"/>
      <c r="E30" s="821"/>
      <c r="F30" s="821"/>
      <c r="G30" s="821"/>
      <c r="H30" s="821"/>
      <c r="I30" s="822"/>
      <c r="J30" s="825"/>
      <c r="K30" s="826"/>
      <c r="L30" s="828"/>
      <c r="M30" s="803" t="s">
        <v>14</v>
      </c>
      <c r="N30" s="804"/>
      <c r="O30" s="804"/>
      <c r="P30" s="804"/>
      <c r="Q30" s="805"/>
      <c r="R30" s="62">
        <f>R28-R29</f>
        <v>0</v>
      </c>
      <c r="S30" s="53" t="str">
        <f>L28</f>
        <v>mês</v>
      </c>
      <c r="T30" s="54"/>
      <c r="U30" s="24"/>
    </row>
    <row r="31" spans="1:28" ht="21" customHeight="1">
      <c r="B31" s="218"/>
      <c r="C31" s="217"/>
      <c r="M31" s="803" t="s">
        <v>53</v>
      </c>
      <c r="N31" s="804"/>
      <c r="O31" s="804"/>
      <c r="P31" s="804"/>
      <c r="Q31" s="805"/>
      <c r="R31" s="62">
        <f>VLOOKUP(A30,DEZ!$A$2:$S$731,5,FALSE)</f>
        <v>783.92</v>
      </c>
      <c r="S31" s="53"/>
      <c r="T31" s="54"/>
      <c r="U31" s="24"/>
    </row>
    <row r="32" spans="1:28" ht="21" customHeight="1">
      <c r="B32" s="163"/>
      <c r="C32" s="219"/>
      <c r="M32" s="803" t="s">
        <v>54</v>
      </c>
      <c r="N32" s="804"/>
      <c r="O32" s="804"/>
      <c r="P32" s="804"/>
      <c r="Q32" s="805"/>
      <c r="R32" s="62">
        <f>TRUNC(R31*R30,2)</f>
        <v>0</v>
      </c>
      <c r="S32" s="53" t="s">
        <v>55</v>
      </c>
      <c r="T32" s="54"/>
      <c r="U32" s="24"/>
    </row>
  </sheetData>
  <mergeCells count="34">
    <mergeCell ref="T7:U7"/>
    <mergeCell ref="B1:U4"/>
    <mergeCell ref="V4:AA4"/>
    <mergeCell ref="B5:I5"/>
    <mergeCell ref="J5:O5"/>
    <mergeCell ref="P5:U5"/>
    <mergeCell ref="R10:R11"/>
    <mergeCell ref="S10:S11"/>
    <mergeCell ref="T8:U8"/>
    <mergeCell ref="T9:U9"/>
    <mergeCell ref="B10:B11"/>
    <mergeCell ref="C10:C11"/>
    <mergeCell ref="D10:F11"/>
    <mergeCell ref="G10:I11"/>
    <mergeCell ref="J10:J11"/>
    <mergeCell ref="K10:K11"/>
    <mergeCell ref="L10:L11"/>
    <mergeCell ref="M10:M11"/>
    <mergeCell ref="M31:Q31"/>
    <mergeCell ref="M32:Q32"/>
    <mergeCell ref="T10:T11"/>
    <mergeCell ref="U10:U11"/>
    <mergeCell ref="D28:I28"/>
    <mergeCell ref="J28:K28"/>
    <mergeCell ref="M28:Q28"/>
    <mergeCell ref="D29:I30"/>
    <mergeCell ref="J29:K30"/>
    <mergeCell ref="L29:L30"/>
    <mergeCell ref="M29:Q29"/>
    <mergeCell ref="M30:Q30"/>
    <mergeCell ref="N10:N11"/>
    <mergeCell ref="O10:O11"/>
    <mergeCell ref="P10:P11"/>
    <mergeCell ref="Q10:Q11"/>
  </mergeCells>
  <conditionalFormatting sqref="J29:K32">
    <cfRule type="cellIs" dxfId="375" priority="1" operator="greaterThanOrEqual">
      <formula>1</formula>
    </cfRule>
    <cfRule type="cellIs" dxfId="37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6">
    <tabColor rgb="FF339933"/>
    <pageSetUpPr fitToPage="1"/>
  </sheetPr>
  <dimension ref="A1:AJ32"/>
  <sheetViews>
    <sheetView view="pageBreakPreview" topLeftCell="A8" zoomScale="50" zoomScaleNormal="55" zoomScaleSheetLayoutView="50" workbookViewId="0">
      <selection activeCell="R30" sqref="R3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A30</f>
        <v>1.1.2.5</v>
      </c>
      <c r="C10" s="845" t="str">
        <f>CONCATENATE(VLOOKUP(A30,DEZ!$A$2:$S$731,2,FALSE)," - ",VLOOKUP(A30,DEZ!$A$2:$S$731,3,FALSE))</f>
        <v>20355 - Aluguel mensal container sanitário, incl porta, básc, 2 ptos luz, 1 pto aterram., 3vasos, 3lavatórios, calha mictório, 6 chuveiros (1 eletrico), torn.,registros, piso comp. Naval pintado, cert NR18 e laudo descontaminação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870</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t="s">
        <v>869</v>
      </c>
      <c r="D13" s="77"/>
      <c r="E13" s="78"/>
      <c r="F13" s="79"/>
      <c r="G13" s="77"/>
      <c r="H13" s="78"/>
      <c r="I13" s="79"/>
      <c r="J13" s="80"/>
      <c r="K13" s="81"/>
      <c r="L13" s="82"/>
      <c r="M13" s="83">
        <v>1</v>
      </c>
      <c r="N13" s="105"/>
      <c r="O13" s="84"/>
      <c r="P13" s="82"/>
      <c r="Q13" s="93"/>
      <c r="R13" s="85">
        <f t="shared" ref="R13:R19" si="0">M13</f>
        <v>1</v>
      </c>
      <c r="S13" s="221" t="s">
        <v>52</v>
      </c>
      <c r="T13" s="215">
        <v>1</v>
      </c>
      <c r="U13" s="94"/>
      <c r="V13" s="71"/>
      <c r="W13" s="71"/>
      <c r="X13" s="152"/>
      <c r="Y13" s="153"/>
      <c r="Z13" s="72"/>
    </row>
    <row r="14" spans="1:36" s="73" customFormat="1" ht="21" customHeight="1">
      <c r="A14" s="64"/>
      <c r="B14" s="109"/>
      <c r="C14" s="65" t="s">
        <v>914</v>
      </c>
      <c r="D14" s="77"/>
      <c r="E14" s="78"/>
      <c r="F14" s="79"/>
      <c r="G14" s="77"/>
      <c r="H14" s="78"/>
      <c r="I14" s="79"/>
      <c r="J14" s="80"/>
      <c r="K14" s="81"/>
      <c r="L14" s="82"/>
      <c r="M14" s="83">
        <v>1</v>
      </c>
      <c r="N14" s="105"/>
      <c r="O14" s="84"/>
      <c r="P14" s="82"/>
      <c r="Q14" s="93"/>
      <c r="R14" s="85">
        <f t="shared" si="0"/>
        <v>1</v>
      </c>
      <c r="S14" s="111" t="s">
        <v>52</v>
      </c>
      <c r="T14" s="215">
        <v>2</v>
      </c>
      <c r="U14" s="94"/>
      <c r="V14" s="71"/>
      <c r="W14" s="71"/>
      <c r="X14" s="152"/>
      <c r="Y14" s="153"/>
      <c r="Z14" s="72"/>
    </row>
    <row r="15" spans="1:36" s="73" customFormat="1" ht="21" customHeight="1">
      <c r="A15" s="64"/>
      <c r="B15" s="109"/>
      <c r="C15" s="65" t="s">
        <v>924</v>
      </c>
      <c r="D15" s="77"/>
      <c r="E15" s="78"/>
      <c r="F15" s="79"/>
      <c r="G15" s="77"/>
      <c r="H15" s="78"/>
      <c r="I15" s="79"/>
      <c r="J15" s="80"/>
      <c r="K15" s="81"/>
      <c r="L15" s="82"/>
      <c r="M15" s="83">
        <v>1</v>
      </c>
      <c r="N15" s="105"/>
      <c r="O15" s="84"/>
      <c r="P15" s="82"/>
      <c r="Q15" s="93"/>
      <c r="R15" s="85">
        <f t="shared" si="0"/>
        <v>1</v>
      </c>
      <c r="S15" s="111" t="s">
        <v>52</v>
      </c>
      <c r="T15" s="215">
        <v>3</v>
      </c>
      <c r="U15" s="94"/>
      <c r="V15" s="71"/>
      <c r="W15" s="71"/>
      <c r="X15" s="152"/>
      <c r="Y15" s="153"/>
      <c r="Z15" s="72"/>
    </row>
    <row r="16" spans="1:36" s="73" customFormat="1" ht="21" customHeight="1">
      <c r="A16" s="64"/>
      <c r="B16" s="109"/>
      <c r="C16" s="65" t="s">
        <v>943</v>
      </c>
      <c r="D16" s="77"/>
      <c r="E16" s="78"/>
      <c r="F16" s="79"/>
      <c r="G16" s="77"/>
      <c r="H16" s="78"/>
      <c r="I16" s="79"/>
      <c r="J16" s="66"/>
      <c r="K16" s="108"/>
      <c r="L16" s="67"/>
      <c r="M16" s="68">
        <v>1</v>
      </c>
      <c r="N16" s="110"/>
      <c r="O16" s="69"/>
      <c r="P16" s="67"/>
      <c r="Q16" s="106"/>
      <c r="R16" s="85">
        <f t="shared" si="0"/>
        <v>1</v>
      </c>
      <c r="S16" s="111" t="s">
        <v>52</v>
      </c>
      <c r="T16" s="215">
        <v>4</v>
      </c>
      <c r="U16" s="94"/>
      <c r="V16" s="71"/>
      <c r="W16" s="71"/>
      <c r="X16" s="152"/>
      <c r="Y16" s="153"/>
      <c r="Z16" s="72"/>
      <c r="AA16" s="71"/>
      <c r="AB16" s="74"/>
    </row>
    <row r="17" spans="1:28" s="73" customFormat="1" ht="21" customHeight="1">
      <c r="A17" s="64"/>
      <c r="B17" s="109"/>
      <c r="C17" s="65" t="s">
        <v>962</v>
      </c>
      <c r="D17" s="77"/>
      <c r="E17" s="78"/>
      <c r="F17" s="79"/>
      <c r="G17" s="77"/>
      <c r="H17" s="78"/>
      <c r="I17" s="79"/>
      <c r="J17" s="66"/>
      <c r="K17" s="108"/>
      <c r="L17" s="67"/>
      <c r="M17" s="68">
        <v>1</v>
      </c>
      <c r="N17" s="110"/>
      <c r="O17" s="69"/>
      <c r="P17" s="67"/>
      <c r="Q17" s="106"/>
      <c r="R17" s="70">
        <f t="shared" si="0"/>
        <v>1</v>
      </c>
      <c r="S17" s="111" t="s">
        <v>52</v>
      </c>
      <c r="T17" s="215">
        <v>5</v>
      </c>
      <c r="U17" s="94"/>
      <c r="V17" s="71"/>
      <c r="W17" s="71"/>
      <c r="X17" s="152"/>
      <c r="Y17" s="153"/>
      <c r="Z17" s="72"/>
      <c r="AA17" s="71"/>
      <c r="AB17" s="74"/>
    </row>
    <row r="18" spans="1:28" s="73" customFormat="1" ht="21" customHeight="1">
      <c r="A18" s="64"/>
      <c r="B18" s="109"/>
      <c r="C18" s="65" t="s">
        <v>982</v>
      </c>
      <c r="D18" s="77"/>
      <c r="E18" s="78"/>
      <c r="F18" s="79"/>
      <c r="G18" s="77"/>
      <c r="H18" s="78"/>
      <c r="I18" s="79"/>
      <c r="J18" s="66"/>
      <c r="K18" s="108"/>
      <c r="L18" s="67"/>
      <c r="M18" s="68">
        <v>1</v>
      </c>
      <c r="N18" s="110"/>
      <c r="O18" s="69"/>
      <c r="P18" s="67"/>
      <c r="Q18" s="106"/>
      <c r="R18" s="70">
        <f t="shared" si="0"/>
        <v>1</v>
      </c>
      <c r="S18" s="111" t="s">
        <v>52</v>
      </c>
      <c r="T18" s="215">
        <v>6</v>
      </c>
      <c r="U18" s="94"/>
      <c r="V18" s="71"/>
      <c r="W18" s="71"/>
      <c r="X18" s="152"/>
      <c r="Y18" s="153"/>
      <c r="Z18" s="72"/>
      <c r="AA18" s="71"/>
      <c r="AB18" s="74"/>
    </row>
    <row r="19" spans="1:28" s="90" customFormat="1" ht="21" customHeight="1">
      <c r="A19" s="75"/>
      <c r="B19" s="107"/>
      <c r="C19" s="104" t="s">
        <v>999</v>
      </c>
      <c r="D19" s="77"/>
      <c r="E19" s="78"/>
      <c r="F19" s="79"/>
      <c r="G19" s="77"/>
      <c r="H19" s="78"/>
      <c r="I19" s="79"/>
      <c r="J19" s="80"/>
      <c r="K19" s="81"/>
      <c r="L19" s="82"/>
      <c r="M19" s="68">
        <v>1</v>
      </c>
      <c r="N19" s="84"/>
      <c r="O19" s="155"/>
      <c r="P19" s="156"/>
      <c r="Q19" s="85"/>
      <c r="R19" s="70">
        <f t="shared" si="0"/>
        <v>1</v>
      </c>
      <c r="S19" s="111" t="s">
        <v>52</v>
      </c>
      <c r="T19" s="215">
        <v>7</v>
      </c>
      <c r="U19" s="92"/>
      <c r="V19" s="86"/>
      <c r="W19" s="86"/>
      <c r="X19" s="86"/>
      <c r="Y19" s="151"/>
      <c r="Z19" s="87"/>
      <c r="AA19" s="88"/>
      <c r="AB19" s="89"/>
    </row>
    <row r="20" spans="1:28" s="90" customFormat="1" ht="21" customHeight="1">
      <c r="A20" s="75"/>
      <c r="B20" s="107"/>
      <c r="C20" s="104" t="s">
        <v>1025</v>
      </c>
      <c r="D20" s="77"/>
      <c r="E20" s="78"/>
      <c r="F20" s="79"/>
      <c r="G20" s="77"/>
      <c r="H20" s="78"/>
      <c r="I20" s="79"/>
      <c r="J20" s="80"/>
      <c r="K20" s="81"/>
      <c r="L20" s="82"/>
      <c r="M20" s="68">
        <v>1</v>
      </c>
      <c r="N20" s="84"/>
      <c r="O20" s="155"/>
      <c r="P20" s="156"/>
      <c r="Q20" s="85"/>
      <c r="R20" s="70">
        <f t="shared" ref="R20:R22" si="1">M20</f>
        <v>1</v>
      </c>
      <c r="S20" s="111" t="s">
        <v>52</v>
      </c>
      <c r="T20" s="215">
        <v>8</v>
      </c>
      <c r="U20" s="92"/>
      <c r="V20" s="86"/>
      <c r="W20" s="86"/>
      <c r="X20" s="86"/>
      <c r="Y20" s="151"/>
      <c r="Z20" s="87"/>
      <c r="AA20" s="88"/>
      <c r="AB20" s="89"/>
    </row>
    <row r="21" spans="1:28" s="73" customFormat="1" ht="21" customHeight="1">
      <c r="A21" s="64"/>
      <c r="B21" s="109"/>
      <c r="C21" s="65" t="s">
        <v>1362</v>
      </c>
      <c r="D21" s="77"/>
      <c r="E21" s="78"/>
      <c r="F21" s="79"/>
      <c r="G21" s="77"/>
      <c r="H21" s="78"/>
      <c r="I21" s="79"/>
      <c r="J21" s="66"/>
      <c r="K21" s="108"/>
      <c r="L21" s="67"/>
      <c r="M21" s="68">
        <v>1</v>
      </c>
      <c r="N21" s="110"/>
      <c r="O21" s="69"/>
      <c r="P21" s="67"/>
      <c r="Q21" s="106"/>
      <c r="R21" s="70">
        <f t="shared" si="1"/>
        <v>1</v>
      </c>
      <c r="S21" s="111" t="s">
        <v>52</v>
      </c>
      <c r="T21" s="215">
        <v>9</v>
      </c>
      <c r="U21" s="94"/>
      <c r="V21" s="71"/>
      <c r="W21" s="71"/>
      <c r="X21" s="152"/>
      <c r="Y21" s="153"/>
      <c r="Z21" s="72"/>
      <c r="AA21" s="71"/>
      <c r="AB21" s="74"/>
    </row>
    <row r="22" spans="1:28" s="90" customFormat="1" ht="21" customHeight="1">
      <c r="A22" s="75"/>
      <c r="B22" s="157"/>
      <c r="C22" s="76" t="s">
        <v>1390</v>
      </c>
      <c r="D22" s="77"/>
      <c r="E22" s="78"/>
      <c r="F22" s="79"/>
      <c r="G22" s="77"/>
      <c r="H22" s="78"/>
      <c r="I22" s="79"/>
      <c r="J22" s="80"/>
      <c r="K22" s="81"/>
      <c r="L22" s="82"/>
      <c r="M22" s="83">
        <v>1</v>
      </c>
      <c r="N22" s="84"/>
      <c r="O22" s="84"/>
      <c r="P22" s="82"/>
      <c r="Q22" s="85"/>
      <c r="R22" s="85">
        <f t="shared" si="1"/>
        <v>1</v>
      </c>
      <c r="S22" s="111" t="s">
        <v>52</v>
      </c>
      <c r="T22" s="215">
        <v>10</v>
      </c>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11"/>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90" customFormat="1" ht="21" customHeight="1">
      <c r="A25" s="75"/>
      <c r="B25" s="157"/>
      <c r="C25" s="76"/>
      <c r="D25" s="77"/>
      <c r="E25" s="78"/>
      <c r="F25" s="79"/>
      <c r="G25" s="77"/>
      <c r="H25" s="78"/>
      <c r="I25" s="79"/>
      <c r="J25" s="80"/>
      <c r="K25" s="81"/>
      <c r="L25" s="82"/>
      <c r="M25" s="83"/>
      <c r="N25" s="84"/>
      <c r="O25" s="84"/>
      <c r="P25" s="82"/>
      <c r="Q25" s="85"/>
      <c r="R25" s="85"/>
      <c r="S25" s="154"/>
      <c r="T25" s="215"/>
      <c r="U25" s="92"/>
      <c r="V25" s="86"/>
      <c r="W25" s="86"/>
      <c r="X25" s="86"/>
      <c r="Y25" s="151"/>
      <c r="Z25" s="87"/>
      <c r="AA25" s="88"/>
      <c r="AB25" s="89"/>
    </row>
    <row r="26" spans="1:28" s="1" customFormat="1" ht="21" customHeight="1">
      <c r="A26" s="11"/>
      <c r="B26" s="25"/>
      <c r="C26" s="20"/>
      <c r="D26" s="26"/>
      <c r="E26" s="159"/>
      <c r="F26" s="27"/>
      <c r="G26" s="26"/>
      <c r="H26" s="159"/>
      <c r="I26" s="27"/>
      <c r="J26" s="28"/>
      <c r="K26" s="49"/>
      <c r="L26" s="40"/>
      <c r="M26" s="41"/>
      <c r="N26" s="160"/>
      <c r="O26" s="160"/>
      <c r="P26" s="40"/>
      <c r="Q26" s="42"/>
      <c r="R26" s="60"/>
      <c r="S26" s="43"/>
      <c r="T26" s="215"/>
      <c r="U26" s="48"/>
      <c r="V26" s="120"/>
      <c r="W26" s="120"/>
      <c r="X26" s="120"/>
      <c r="Y26" s="142"/>
      <c r="Z26" s="15"/>
      <c r="AA26" s="17"/>
      <c r="AB26" s="44"/>
    </row>
    <row r="27" spans="1:28" ht="21" customHeight="1">
      <c r="B27" s="118"/>
      <c r="C27" s="119"/>
      <c r="D27" s="26"/>
      <c r="E27" s="159"/>
      <c r="F27" s="27"/>
      <c r="G27" s="26"/>
      <c r="H27" s="159"/>
      <c r="I27" s="27"/>
      <c r="J27" s="28"/>
      <c r="K27" s="49"/>
      <c r="L27" s="40"/>
      <c r="M27" s="41"/>
      <c r="N27" s="160"/>
      <c r="O27" s="160"/>
      <c r="P27" s="40"/>
      <c r="Q27" s="42"/>
      <c r="R27" s="60"/>
      <c r="S27" s="43"/>
      <c r="T27" s="216"/>
      <c r="U27" s="117"/>
    </row>
    <row r="28" spans="1:28" ht="39.6" customHeight="1">
      <c r="B28" s="161"/>
      <c r="C28" s="162"/>
      <c r="D28" s="806" t="s">
        <v>11</v>
      </c>
      <c r="E28" s="807"/>
      <c r="F28" s="807"/>
      <c r="G28" s="807"/>
      <c r="H28" s="807"/>
      <c r="I28" s="808"/>
      <c r="J28" s="809">
        <f>VLOOKUP(A30,DEZ!$A$2:$S$731,6,FALSE)</f>
        <v>10</v>
      </c>
      <c r="K28" s="810"/>
      <c r="L28" s="50" t="str">
        <f>VLOOKUP(A30,DEZ!$A$2:$S$731,4,FALSE)</f>
        <v>ms</v>
      </c>
      <c r="M28" s="803" t="s">
        <v>12</v>
      </c>
      <c r="N28" s="811"/>
      <c r="O28" s="811"/>
      <c r="P28" s="811"/>
      <c r="Q28" s="805"/>
      <c r="R28" s="61">
        <f>SUM(R12:R27)</f>
        <v>10</v>
      </c>
      <c r="S28" s="51" t="str">
        <f>L28</f>
        <v>ms</v>
      </c>
      <c r="T28" s="22"/>
      <c r="U28" s="23"/>
    </row>
    <row r="29" spans="1:28" ht="21" customHeight="1">
      <c r="B29" s="163"/>
      <c r="C29" s="19"/>
      <c r="D29" s="817" t="s">
        <v>13</v>
      </c>
      <c r="E29" s="818"/>
      <c r="F29" s="818"/>
      <c r="G29" s="818"/>
      <c r="H29" s="818"/>
      <c r="I29" s="819"/>
      <c r="J29" s="823">
        <f>R28/J28</f>
        <v>1</v>
      </c>
      <c r="K29" s="824"/>
      <c r="L29" s="827"/>
      <c r="M29" s="803" t="s">
        <v>34</v>
      </c>
      <c r="N29" s="804"/>
      <c r="O29" s="804"/>
      <c r="P29" s="804"/>
      <c r="Q29" s="805"/>
      <c r="R29" s="61">
        <f>SUM(R13:R22)</f>
        <v>10</v>
      </c>
      <c r="S29" s="52" t="str">
        <f>L28</f>
        <v>ms</v>
      </c>
      <c r="T29" s="22"/>
      <c r="U29" s="23"/>
    </row>
    <row r="30" spans="1:28" ht="21" customHeight="1">
      <c r="A30" s="10" t="s">
        <v>78</v>
      </c>
      <c r="B30" s="165"/>
      <c r="C30" s="164"/>
      <c r="D30" s="820"/>
      <c r="E30" s="821"/>
      <c r="F30" s="821"/>
      <c r="G30" s="821"/>
      <c r="H30" s="821"/>
      <c r="I30" s="822"/>
      <c r="J30" s="825"/>
      <c r="K30" s="826"/>
      <c r="L30" s="828"/>
      <c r="M30" s="803" t="s">
        <v>14</v>
      </c>
      <c r="N30" s="804"/>
      <c r="O30" s="804"/>
      <c r="P30" s="804"/>
      <c r="Q30" s="805"/>
      <c r="R30" s="62">
        <f>R28-R29</f>
        <v>0</v>
      </c>
      <c r="S30" s="53" t="str">
        <f>L28</f>
        <v>ms</v>
      </c>
      <c r="T30" s="54"/>
      <c r="U30" s="24"/>
    </row>
    <row r="31" spans="1:28" ht="21" customHeight="1">
      <c r="B31" s="218"/>
      <c r="C31" s="217"/>
      <c r="M31" s="803" t="s">
        <v>53</v>
      </c>
      <c r="N31" s="804"/>
      <c r="O31" s="804"/>
      <c r="P31" s="804"/>
      <c r="Q31" s="805"/>
      <c r="R31" s="62">
        <f>VLOOKUP(A30,DEZ!$A$2:$S$731,5,FALSE)</f>
        <v>841.92</v>
      </c>
      <c r="S31" s="53"/>
      <c r="T31" s="54"/>
      <c r="U31" s="24"/>
    </row>
    <row r="32" spans="1:28" ht="21" customHeight="1">
      <c r="B32" s="163"/>
      <c r="C32" s="219"/>
      <c r="M32" s="803" t="s">
        <v>54</v>
      </c>
      <c r="N32" s="804"/>
      <c r="O32" s="804"/>
      <c r="P32" s="804"/>
      <c r="Q32" s="805"/>
      <c r="R32" s="62">
        <f>TRUNC(R31*R30,2)</f>
        <v>0</v>
      </c>
      <c r="S32" s="53" t="s">
        <v>55</v>
      </c>
      <c r="T32" s="54"/>
      <c r="U32" s="24"/>
    </row>
  </sheetData>
  <mergeCells count="34">
    <mergeCell ref="T7:U7"/>
    <mergeCell ref="B1:U4"/>
    <mergeCell ref="V4:AA4"/>
    <mergeCell ref="B5:I5"/>
    <mergeCell ref="J5:O5"/>
    <mergeCell ref="P5:U5"/>
    <mergeCell ref="R10:R11"/>
    <mergeCell ref="S10:S11"/>
    <mergeCell ref="T8:U8"/>
    <mergeCell ref="T9:U9"/>
    <mergeCell ref="B10:B11"/>
    <mergeCell ref="C10:C11"/>
    <mergeCell ref="D10:F11"/>
    <mergeCell ref="G10:I11"/>
    <mergeCell ref="J10:J11"/>
    <mergeCell ref="K10:K11"/>
    <mergeCell ref="L10:L11"/>
    <mergeCell ref="M10:M11"/>
    <mergeCell ref="M31:Q31"/>
    <mergeCell ref="M32:Q32"/>
    <mergeCell ref="T10:T11"/>
    <mergeCell ref="U10:U11"/>
    <mergeCell ref="D28:I28"/>
    <mergeCell ref="J28:K28"/>
    <mergeCell ref="M28:Q28"/>
    <mergeCell ref="D29:I30"/>
    <mergeCell ref="J29:K30"/>
    <mergeCell ref="L29:L30"/>
    <mergeCell ref="M29:Q29"/>
    <mergeCell ref="M30:Q30"/>
    <mergeCell ref="N10:N11"/>
    <mergeCell ref="O10:O11"/>
    <mergeCell ref="P10:P11"/>
    <mergeCell ref="Q10:Q11"/>
  </mergeCells>
  <conditionalFormatting sqref="J29:K32">
    <cfRule type="cellIs" dxfId="427" priority="1" operator="greaterThanOrEqual">
      <formula>1</formula>
    </cfRule>
    <cfRule type="cellIs" dxfId="42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4">
    <tabColor rgb="FF339933"/>
    <pageSetUpPr fitToPage="1"/>
  </sheetPr>
  <dimension ref="A1:AJ31"/>
  <sheetViews>
    <sheetView view="pageBreakPreview" topLeftCell="B2" zoomScale="50" zoomScaleNormal="55" zoomScaleSheetLayoutView="50" workbookViewId="0">
      <selection activeCell="R29" sqref="R2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A29</f>
        <v>1.1.2.3</v>
      </c>
      <c r="C10" s="845" t="str">
        <f>CONCATENATE(VLOOKUP(A29,DEZ!$A$2:$S$731,2,FALSE)," - ",VLOOKUP(A29,DEZ!$A$2:$S$731,3,FALSE))</f>
        <v>20353 - Aluguel mensal container para refeitorio, incl. porta, 2 janelas, abert p/ ar cond., 2 pt iluminação, 2 tomadas elét. e 1 tomada telef. Isolamento térmico (paredes e teto), piso em comp. Naval pintado, cert. NR18, incl. laudo descontaminação.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872</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t="s">
        <v>914</v>
      </c>
      <c r="D13" s="77"/>
      <c r="E13" s="78"/>
      <c r="F13" s="79"/>
      <c r="G13" s="77"/>
      <c r="H13" s="78"/>
      <c r="I13" s="79"/>
      <c r="J13" s="80"/>
      <c r="K13" s="81"/>
      <c r="L13" s="82"/>
      <c r="M13" s="83">
        <v>1</v>
      </c>
      <c r="N13" s="105"/>
      <c r="O13" s="84"/>
      <c r="P13" s="82"/>
      <c r="Q13" s="93"/>
      <c r="R13" s="85">
        <f>M13</f>
        <v>1</v>
      </c>
      <c r="S13" s="111" t="s">
        <v>52</v>
      </c>
      <c r="T13" s="215">
        <v>2</v>
      </c>
      <c r="U13" s="94"/>
      <c r="V13" s="71"/>
      <c r="W13" s="71"/>
      <c r="X13" s="152"/>
      <c r="Y13" s="153"/>
      <c r="Z13" s="72"/>
    </row>
    <row r="14" spans="1:36" s="73" customFormat="1" ht="21" customHeight="1">
      <c r="A14" s="64"/>
      <c r="B14" s="109"/>
      <c r="C14" s="65" t="s">
        <v>924</v>
      </c>
      <c r="D14" s="77"/>
      <c r="E14" s="78"/>
      <c r="F14" s="79"/>
      <c r="G14" s="77"/>
      <c r="H14" s="78"/>
      <c r="I14" s="79"/>
      <c r="J14" s="80"/>
      <c r="K14" s="81"/>
      <c r="L14" s="82"/>
      <c r="M14" s="83">
        <v>1</v>
      </c>
      <c r="N14" s="105"/>
      <c r="O14" s="84"/>
      <c r="P14" s="82"/>
      <c r="Q14" s="93"/>
      <c r="R14" s="85">
        <f>M14</f>
        <v>1</v>
      </c>
      <c r="S14" s="111" t="s">
        <v>52</v>
      </c>
      <c r="T14" s="215">
        <v>3</v>
      </c>
      <c r="U14" s="94"/>
      <c r="V14" s="71"/>
      <c r="W14" s="71"/>
      <c r="X14" s="152"/>
      <c r="Y14" s="153"/>
      <c r="Z14" s="72"/>
    </row>
    <row r="15" spans="1:36" s="73" customFormat="1" ht="21" customHeight="1">
      <c r="A15" s="64"/>
      <c r="B15" s="109"/>
      <c r="C15" s="65" t="s">
        <v>962</v>
      </c>
      <c r="D15" s="77"/>
      <c r="E15" s="78"/>
      <c r="F15" s="79"/>
      <c r="G15" s="77"/>
      <c r="H15" s="78"/>
      <c r="I15" s="79"/>
      <c r="J15" s="80"/>
      <c r="K15" s="81"/>
      <c r="L15" s="82"/>
      <c r="M15" s="83">
        <v>1</v>
      </c>
      <c r="N15" s="105"/>
      <c r="O15" s="84"/>
      <c r="P15" s="82"/>
      <c r="Q15" s="93"/>
      <c r="R15" s="85">
        <v>1</v>
      </c>
      <c r="S15" s="111" t="s">
        <v>52</v>
      </c>
      <c r="T15" s="215">
        <v>7</v>
      </c>
      <c r="U15" s="94"/>
      <c r="V15" s="71"/>
      <c r="W15" s="71"/>
      <c r="X15" s="152"/>
      <c r="Y15" s="153"/>
      <c r="Z15" s="72"/>
    </row>
    <row r="16" spans="1:36" s="73" customFormat="1" ht="21" customHeight="1">
      <c r="A16" s="64"/>
      <c r="B16" s="109"/>
      <c r="C16" s="65" t="s">
        <v>982</v>
      </c>
      <c r="D16" s="77"/>
      <c r="E16" s="78"/>
      <c r="F16" s="79"/>
      <c r="G16" s="77"/>
      <c r="H16" s="78"/>
      <c r="I16" s="79"/>
      <c r="J16" s="66"/>
      <c r="K16" s="108"/>
      <c r="L16" s="67"/>
      <c r="M16" s="68">
        <v>1</v>
      </c>
      <c r="N16" s="110"/>
      <c r="O16" s="69"/>
      <c r="P16" s="67"/>
      <c r="Q16" s="106"/>
      <c r="R16" s="70">
        <v>1</v>
      </c>
      <c r="S16" s="111" t="s">
        <v>52</v>
      </c>
      <c r="T16" s="215">
        <v>7</v>
      </c>
      <c r="U16" s="94"/>
      <c r="V16" s="71"/>
      <c r="W16" s="71"/>
      <c r="X16" s="152"/>
      <c r="Y16" s="153"/>
      <c r="Z16" s="72"/>
      <c r="AA16" s="71"/>
      <c r="AB16" s="74"/>
    </row>
    <row r="17" spans="1:28" s="73" customFormat="1" ht="21" customHeight="1">
      <c r="A17" s="64"/>
      <c r="B17" s="109"/>
      <c r="C17" s="65" t="s">
        <v>999</v>
      </c>
      <c r="D17" s="77"/>
      <c r="E17" s="78"/>
      <c r="F17" s="79"/>
      <c r="G17" s="77"/>
      <c r="H17" s="78"/>
      <c r="I17" s="79"/>
      <c r="J17" s="66"/>
      <c r="K17" s="108"/>
      <c r="L17" s="67"/>
      <c r="M17" s="68">
        <v>1</v>
      </c>
      <c r="N17" s="110"/>
      <c r="O17" s="69"/>
      <c r="P17" s="67"/>
      <c r="Q17" s="106"/>
      <c r="R17" s="70">
        <v>1</v>
      </c>
      <c r="S17" s="111" t="s">
        <v>52</v>
      </c>
      <c r="T17" s="215">
        <v>11</v>
      </c>
      <c r="U17" s="94"/>
      <c r="V17" s="71"/>
      <c r="W17" s="71"/>
      <c r="X17" s="152"/>
      <c r="Y17" s="153"/>
      <c r="Z17" s="72"/>
      <c r="AA17" s="71"/>
      <c r="AB17" s="74"/>
    </row>
    <row r="18" spans="1:28" s="90" customFormat="1" ht="21" customHeight="1">
      <c r="A18" s="75"/>
      <c r="B18" s="107"/>
      <c r="C18" s="104" t="s">
        <v>1403</v>
      </c>
      <c r="D18" s="77"/>
      <c r="E18" s="78"/>
      <c r="F18" s="79"/>
      <c r="G18" s="77"/>
      <c r="H18" s="78"/>
      <c r="I18" s="79"/>
      <c r="J18" s="80"/>
      <c r="K18" s="81"/>
      <c r="L18" s="82"/>
      <c r="M18" s="83">
        <v>1</v>
      </c>
      <c r="N18" s="84"/>
      <c r="O18" s="155"/>
      <c r="P18" s="156"/>
      <c r="Q18" s="85"/>
      <c r="R18" s="70">
        <v>1</v>
      </c>
      <c r="S18" s="111" t="s">
        <v>52</v>
      </c>
      <c r="T18" s="215">
        <v>11</v>
      </c>
      <c r="U18" s="92"/>
      <c r="V18" s="86"/>
      <c r="W18" s="86"/>
      <c r="X18" s="86"/>
      <c r="Y18" s="151"/>
      <c r="Z18" s="87"/>
      <c r="AA18" s="88"/>
      <c r="AB18" s="89"/>
    </row>
    <row r="19" spans="1:28" s="90" customFormat="1" ht="21" customHeight="1">
      <c r="A19" s="75"/>
      <c r="B19" s="107"/>
      <c r="C19" s="104" t="s">
        <v>1431</v>
      </c>
      <c r="D19" s="77"/>
      <c r="E19" s="78"/>
      <c r="F19" s="79"/>
      <c r="G19" s="77"/>
      <c r="H19" s="78"/>
      <c r="I19" s="79"/>
      <c r="J19" s="80"/>
      <c r="K19" s="81"/>
      <c r="L19" s="82"/>
      <c r="M19" s="83">
        <v>1</v>
      </c>
      <c r="N19" s="84"/>
      <c r="O19" s="155"/>
      <c r="P19" s="156"/>
      <c r="Q19" s="85"/>
      <c r="R19" s="70">
        <v>1</v>
      </c>
      <c r="S19" s="111" t="s">
        <v>52</v>
      </c>
      <c r="T19" s="215">
        <v>12</v>
      </c>
      <c r="U19" s="92"/>
      <c r="V19" s="86"/>
      <c r="W19" s="86"/>
      <c r="X19" s="86"/>
      <c r="Y19" s="151"/>
      <c r="Z19" s="87"/>
      <c r="AA19" s="88"/>
      <c r="AB19" s="89"/>
    </row>
    <row r="20" spans="1:28" s="90" customFormat="1" ht="21" customHeight="1">
      <c r="A20" s="75"/>
      <c r="B20" s="107"/>
      <c r="C20" s="104" t="s">
        <v>1430</v>
      </c>
      <c r="D20" s="77"/>
      <c r="E20" s="78"/>
      <c r="F20" s="79"/>
      <c r="G20" s="77"/>
      <c r="H20" s="78"/>
      <c r="I20" s="79"/>
      <c r="J20" s="80"/>
      <c r="K20" s="81"/>
      <c r="L20" s="82"/>
      <c r="M20" s="83"/>
      <c r="N20" s="84"/>
      <c r="O20" s="155"/>
      <c r="P20" s="156"/>
      <c r="Q20" s="85"/>
      <c r="R20" s="70">
        <v>1</v>
      </c>
      <c r="S20" s="111" t="s">
        <v>52</v>
      </c>
      <c r="T20" s="215">
        <v>12</v>
      </c>
      <c r="U20" s="92"/>
      <c r="V20" s="86"/>
      <c r="W20" s="86"/>
      <c r="X20" s="86"/>
      <c r="Y20" s="151"/>
      <c r="Z20" s="87"/>
      <c r="AA20" s="88"/>
      <c r="AB20" s="89"/>
    </row>
    <row r="21" spans="1:28" s="90" customFormat="1" ht="21" customHeight="1">
      <c r="A21" s="75"/>
      <c r="B21" s="157"/>
      <c r="C21" s="104" t="s">
        <v>1429</v>
      </c>
      <c r="D21" s="77"/>
      <c r="E21" s="78"/>
      <c r="F21" s="79"/>
      <c r="G21" s="77"/>
      <c r="H21" s="78"/>
      <c r="I21" s="79"/>
      <c r="J21" s="80"/>
      <c r="K21" s="81"/>
      <c r="L21" s="82"/>
      <c r="M21" s="83"/>
      <c r="N21" s="84"/>
      <c r="O21" s="84"/>
      <c r="P21" s="82"/>
      <c r="Q21" s="85"/>
      <c r="R21" s="70">
        <v>1</v>
      </c>
      <c r="S21" s="111" t="s">
        <v>52</v>
      </c>
      <c r="T21" s="215">
        <v>12</v>
      </c>
      <c r="U21" s="92"/>
      <c r="V21" s="86"/>
      <c r="W21" s="86"/>
      <c r="X21" s="86"/>
      <c r="Y21" s="151"/>
      <c r="Z21" s="87"/>
      <c r="AA21" s="88"/>
      <c r="AB21" s="89"/>
    </row>
    <row r="22" spans="1:28" s="90" customFormat="1" ht="21" customHeight="1">
      <c r="A22" s="75"/>
      <c r="B22" s="157"/>
      <c r="C22" s="104" t="s">
        <v>1428</v>
      </c>
      <c r="D22" s="77"/>
      <c r="E22" s="78"/>
      <c r="F22" s="79"/>
      <c r="G22" s="77"/>
      <c r="H22" s="78"/>
      <c r="I22" s="79"/>
      <c r="J22" s="80"/>
      <c r="K22" s="81"/>
      <c r="L22" s="82"/>
      <c r="M22" s="83"/>
      <c r="N22" s="84"/>
      <c r="O22" s="84"/>
      <c r="P22" s="82"/>
      <c r="Q22" s="85"/>
      <c r="R22" s="70">
        <v>1</v>
      </c>
      <c r="S22" s="111" t="s">
        <v>52</v>
      </c>
      <c r="T22" s="215">
        <v>12</v>
      </c>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70"/>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1" customFormat="1" ht="21" customHeight="1">
      <c r="A25" s="11"/>
      <c r="B25" s="25"/>
      <c r="C25" s="20"/>
      <c r="D25" s="26"/>
      <c r="E25" s="159"/>
      <c r="F25" s="27"/>
      <c r="G25" s="26"/>
      <c r="H25" s="159"/>
      <c r="I25" s="27"/>
      <c r="J25" s="28"/>
      <c r="K25" s="49"/>
      <c r="L25" s="40"/>
      <c r="M25" s="41"/>
      <c r="N25" s="160"/>
      <c r="O25" s="160"/>
      <c r="P25" s="40"/>
      <c r="Q25" s="42"/>
      <c r="R25" s="60"/>
      <c r="S25" s="43"/>
      <c r="T25" s="215"/>
      <c r="U25" s="48"/>
      <c r="V25" s="120"/>
      <c r="W25" s="120"/>
      <c r="X25" s="120"/>
      <c r="Y25" s="142"/>
      <c r="Z25" s="15"/>
      <c r="AA25" s="17"/>
      <c r="AB25" s="44"/>
    </row>
    <row r="26" spans="1:28" ht="21" customHeight="1">
      <c r="B26" s="118"/>
      <c r="C26" s="119"/>
      <c r="D26" s="26"/>
      <c r="E26" s="159"/>
      <c r="F26" s="27"/>
      <c r="G26" s="26"/>
      <c r="H26" s="159"/>
      <c r="I26" s="27"/>
      <c r="J26" s="28"/>
      <c r="K26" s="49"/>
      <c r="L26" s="40"/>
      <c r="M26" s="41"/>
      <c r="N26" s="160"/>
      <c r="O26" s="160"/>
      <c r="P26" s="40"/>
      <c r="Q26" s="42"/>
      <c r="R26" s="60"/>
      <c r="S26" s="43"/>
      <c r="T26" s="216"/>
      <c r="U26" s="117"/>
    </row>
    <row r="27" spans="1:28" ht="39.6" customHeight="1">
      <c r="B27" s="161"/>
      <c r="C27" s="162"/>
      <c r="D27" s="806" t="s">
        <v>11</v>
      </c>
      <c r="E27" s="807"/>
      <c r="F27" s="807"/>
      <c r="G27" s="807"/>
      <c r="H27" s="807"/>
      <c r="I27" s="808"/>
      <c r="J27" s="809">
        <f>VLOOKUP(A29,DEZ!$A$2:$S$731,6,FALSE)</f>
        <v>10</v>
      </c>
      <c r="K27" s="810"/>
      <c r="L27" s="50" t="str">
        <f>VLOOKUP(A29,DEZ!$A$2:$S$731,4,FALSE)</f>
        <v>ms</v>
      </c>
      <c r="M27" s="803" t="s">
        <v>12</v>
      </c>
      <c r="N27" s="811"/>
      <c r="O27" s="811"/>
      <c r="P27" s="811"/>
      <c r="Q27" s="805"/>
      <c r="R27" s="61">
        <f>SUM(R12:R26)</f>
        <v>10</v>
      </c>
      <c r="S27" s="51" t="str">
        <f>L27</f>
        <v>ms</v>
      </c>
      <c r="T27" s="22"/>
      <c r="U27" s="23"/>
    </row>
    <row r="28" spans="1:28" ht="21" customHeight="1">
      <c r="B28" s="163"/>
      <c r="C28" s="19"/>
      <c r="D28" s="817" t="s">
        <v>13</v>
      </c>
      <c r="E28" s="818"/>
      <c r="F28" s="818"/>
      <c r="G28" s="818"/>
      <c r="H28" s="818"/>
      <c r="I28" s="819"/>
      <c r="J28" s="823">
        <f>R27/J27</f>
        <v>1</v>
      </c>
      <c r="K28" s="824"/>
      <c r="L28" s="827"/>
      <c r="M28" s="803" t="s">
        <v>34</v>
      </c>
      <c r="N28" s="804"/>
      <c r="O28" s="804"/>
      <c r="P28" s="804"/>
      <c r="Q28" s="805"/>
      <c r="R28" s="61">
        <f>SUM(R12:R22)</f>
        <v>10</v>
      </c>
      <c r="S28" s="52" t="str">
        <f>L27</f>
        <v>ms</v>
      </c>
      <c r="T28" s="22"/>
      <c r="U28" s="23"/>
    </row>
    <row r="29" spans="1:28" ht="21" customHeight="1">
      <c r="A29" s="10" t="s">
        <v>76</v>
      </c>
      <c r="B29" s="165"/>
      <c r="C29" s="164"/>
      <c r="D29" s="820"/>
      <c r="E29" s="821"/>
      <c r="F29" s="821"/>
      <c r="G29" s="821"/>
      <c r="H29" s="821"/>
      <c r="I29" s="822"/>
      <c r="J29" s="825"/>
      <c r="K29" s="826"/>
      <c r="L29" s="828"/>
      <c r="M29" s="803" t="s">
        <v>14</v>
      </c>
      <c r="N29" s="804"/>
      <c r="O29" s="804"/>
      <c r="P29" s="804"/>
      <c r="Q29" s="805"/>
      <c r="R29" s="62">
        <f>R27-R28</f>
        <v>0</v>
      </c>
      <c r="S29" s="53" t="str">
        <f>L27</f>
        <v>ms</v>
      </c>
      <c r="T29" s="54"/>
      <c r="U29" s="24"/>
    </row>
    <row r="30" spans="1:28" ht="21" customHeight="1">
      <c r="B30" s="218"/>
      <c r="C30" s="217"/>
      <c r="M30" s="803" t="s">
        <v>53</v>
      </c>
      <c r="N30" s="804"/>
      <c r="O30" s="804"/>
      <c r="P30" s="804"/>
      <c r="Q30" s="805"/>
      <c r="R30" s="62">
        <f>VLOOKUP(A29,DEZ!$A$2:$S$731,5,FALSE)</f>
        <v>823.11</v>
      </c>
      <c r="S30" s="53"/>
      <c r="T30" s="54"/>
      <c r="U30" s="24"/>
    </row>
    <row r="31" spans="1:28" ht="21" customHeight="1">
      <c r="B31" s="163"/>
      <c r="C31" s="219"/>
      <c r="M31" s="803" t="s">
        <v>54</v>
      </c>
      <c r="N31" s="804"/>
      <c r="O31" s="804"/>
      <c r="P31" s="804"/>
      <c r="Q31" s="805"/>
      <c r="R31" s="62">
        <f>TRUNC(R30*R29,2)</f>
        <v>0</v>
      </c>
      <c r="S31" s="53" t="s">
        <v>55</v>
      </c>
      <c r="T31" s="54"/>
      <c r="U31" s="24"/>
    </row>
  </sheetData>
  <mergeCells count="34">
    <mergeCell ref="T7:U7"/>
    <mergeCell ref="B1:U4"/>
    <mergeCell ref="V4:AA4"/>
    <mergeCell ref="B5:I5"/>
    <mergeCell ref="J5:O5"/>
    <mergeCell ref="P5:U5"/>
    <mergeCell ref="R10:R11"/>
    <mergeCell ref="S10:S11"/>
    <mergeCell ref="T8:U8"/>
    <mergeCell ref="T9:U9"/>
    <mergeCell ref="B10:B11"/>
    <mergeCell ref="C10:C11"/>
    <mergeCell ref="D10:F11"/>
    <mergeCell ref="G10:I11"/>
    <mergeCell ref="J10:J11"/>
    <mergeCell ref="K10:K11"/>
    <mergeCell ref="L10:L11"/>
    <mergeCell ref="M10:M11"/>
    <mergeCell ref="M30:Q30"/>
    <mergeCell ref="M31:Q31"/>
    <mergeCell ref="T10:T11"/>
    <mergeCell ref="U10:U11"/>
    <mergeCell ref="D27:I27"/>
    <mergeCell ref="J27:K27"/>
    <mergeCell ref="M27:Q27"/>
    <mergeCell ref="D28:I29"/>
    <mergeCell ref="J28:K29"/>
    <mergeCell ref="L28:L29"/>
    <mergeCell ref="M28:Q28"/>
    <mergeCell ref="M29:Q29"/>
    <mergeCell ref="N10:N11"/>
    <mergeCell ref="O10:O11"/>
    <mergeCell ref="P10:P11"/>
    <mergeCell ref="Q10:Q11"/>
  </mergeCells>
  <conditionalFormatting sqref="J28:K31">
    <cfRule type="cellIs" dxfId="373" priority="1" operator="greaterThanOrEqual">
      <formula>1</formula>
    </cfRule>
    <cfRule type="cellIs" dxfId="37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5">
    <tabColor rgb="FF339933"/>
    <pageSetUpPr fitToPage="1"/>
  </sheetPr>
  <dimension ref="A1:AJ31"/>
  <sheetViews>
    <sheetView view="pageBreakPreview" topLeftCell="B10" zoomScale="50" zoomScaleNormal="55" zoomScaleSheetLayoutView="50" workbookViewId="0">
      <selection activeCell="R29" sqref="R2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A29</f>
        <v>1.1.2.4</v>
      </c>
      <c r="C10" s="845" t="str">
        <f>CONCATENATE(VLOOKUP(A29,DEZ!$A$2:$S$731,2,FALSE)," - ",VLOOKUP(A29,DEZ!$A$2:$S$731,3,FALSE))</f>
        <v>20354 - Aluguel mensal container para vestiário, incl. porta, venezianas de circulação, 1 pt iluminação, Isolamento térmico (teto), piso em comp. Naval pintado, cert. NR18, incl. Laudo descontaminação.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872</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t="s">
        <v>914</v>
      </c>
      <c r="D13" s="77"/>
      <c r="E13" s="78"/>
      <c r="F13" s="79"/>
      <c r="G13" s="77"/>
      <c r="H13" s="78"/>
      <c r="I13" s="79"/>
      <c r="J13" s="80"/>
      <c r="K13" s="81"/>
      <c r="L13" s="82"/>
      <c r="M13" s="83">
        <v>1</v>
      </c>
      <c r="N13" s="105"/>
      <c r="O13" s="84"/>
      <c r="P13" s="82"/>
      <c r="Q13" s="93"/>
      <c r="R13" s="85">
        <f t="shared" ref="R13:R18" si="0">M13</f>
        <v>1</v>
      </c>
      <c r="S13" s="111" t="s">
        <v>52</v>
      </c>
      <c r="T13" s="215">
        <v>2</v>
      </c>
      <c r="U13" s="94"/>
      <c r="V13" s="71"/>
      <c r="W13" s="71"/>
      <c r="X13" s="152"/>
      <c r="Y13" s="153"/>
      <c r="Z13" s="72"/>
    </row>
    <row r="14" spans="1:36" s="73" customFormat="1" ht="21" customHeight="1">
      <c r="A14" s="64"/>
      <c r="B14" s="109"/>
      <c r="C14" s="65" t="s">
        <v>924</v>
      </c>
      <c r="D14" s="77"/>
      <c r="E14" s="78"/>
      <c r="F14" s="79"/>
      <c r="G14" s="77"/>
      <c r="H14" s="78"/>
      <c r="I14" s="79"/>
      <c r="J14" s="80"/>
      <c r="K14" s="81"/>
      <c r="L14" s="82"/>
      <c r="M14" s="83">
        <v>1</v>
      </c>
      <c r="N14" s="105"/>
      <c r="O14" s="84"/>
      <c r="P14" s="82"/>
      <c r="Q14" s="93"/>
      <c r="R14" s="85">
        <f t="shared" si="0"/>
        <v>1</v>
      </c>
      <c r="S14" s="111" t="s">
        <v>52</v>
      </c>
      <c r="T14" s="215">
        <v>3</v>
      </c>
      <c r="U14" s="94"/>
      <c r="V14" s="71"/>
      <c r="W14" s="71"/>
      <c r="X14" s="152"/>
      <c r="Y14" s="153"/>
      <c r="Z14" s="72"/>
    </row>
    <row r="15" spans="1:36" s="73" customFormat="1" ht="21" customHeight="1">
      <c r="A15" s="64"/>
      <c r="B15" s="109"/>
      <c r="C15" s="65" t="s">
        <v>943</v>
      </c>
      <c r="D15" s="77"/>
      <c r="E15" s="78"/>
      <c r="F15" s="79"/>
      <c r="G15" s="77"/>
      <c r="H15" s="78"/>
      <c r="I15" s="79"/>
      <c r="J15" s="66"/>
      <c r="K15" s="108"/>
      <c r="L15" s="67"/>
      <c r="M15" s="68">
        <v>1</v>
      </c>
      <c r="N15" s="110"/>
      <c r="O15" s="69"/>
      <c r="P15" s="67"/>
      <c r="Q15" s="106"/>
      <c r="R15" s="85">
        <f t="shared" si="0"/>
        <v>1</v>
      </c>
      <c r="S15" s="111" t="s">
        <v>52</v>
      </c>
      <c r="T15" s="215">
        <v>4</v>
      </c>
      <c r="U15" s="94"/>
      <c r="V15" s="71"/>
      <c r="W15" s="71"/>
      <c r="X15" s="152"/>
      <c r="Y15" s="153"/>
      <c r="Z15" s="72"/>
      <c r="AA15" s="71"/>
      <c r="AB15" s="74"/>
    </row>
    <row r="16" spans="1:36" s="73" customFormat="1" ht="21" customHeight="1">
      <c r="A16" s="64"/>
      <c r="B16" s="109"/>
      <c r="C16" s="65" t="s">
        <v>962</v>
      </c>
      <c r="D16" s="77"/>
      <c r="E16" s="78"/>
      <c r="F16" s="79"/>
      <c r="G16" s="77"/>
      <c r="H16" s="78"/>
      <c r="I16" s="79"/>
      <c r="J16" s="66"/>
      <c r="K16" s="108"/>
      <c r="L16" s="67"/>
      <c r="M16" s="68">
        <v>1</v>
      </c>
      <c r="N16" s="110"/>
      <c r="O16" s="69"/>
      <c r="P16" s="67"/>
      <c r="Q16" s="106"/>
      <c r="R16" s="70">
        <f t="shared" si="0"/>
        <v>1</v>
      </c>
      <c r="S16" s="111" t="s">
        <v>52</v>
      </c>
      <c r="T16" s="215">
        <v>5</v>
      </c>
      <c r="U16" s="94"/>
      <c r="V16" s="71"/>
      <c r="W16" s="71"/>
      <c r="X16" s="152"/>
      <c r="Y16" s="153"/>
      <c r="Z16" s="72"/>
      <c r="AA16" s="71"/>
      <c r="AB16" s="74"/>
    </row>
    <row r="17" spans="1:28" s="73" customFormat="1" ht="21" customHeight="1">
      <c r="A17" s="64"/>
      <c r="B17" s="109"/>
      <c r="C17" s="65" t="s">
        <v>982</v>
      </c>
      <c r="D17" s="77"/>
      <c r="E17" s="78"/>
      <c r="F17" s="79"/>
      <c r="G17" s="77"/>
      <c r="H17" s="78"/>
      <c r="I17" s="79"/>
      <c r="J17" s="66"/>
      <c r="K17" s="108"/>
      <c r="L17" s="67"/>
      <c r="M17" s="68">
        <v>1</v>
      </c>
      <c r="N17" s="110"/>
      <c r="O17" s="69"/>
      <c r="P17" s="67"/>
      <c r="Q17" s="106"/>
      <c r="R17" s="70">
        <f t="shared" si="0"/>
        <v>1</v>
      </c>
      <c r="S17" s="111" t="s">
        <v>52</v>
      </c>
      <c r="T17" s="215">
        <v>6</v>
      </c>
      <c r="U17" s="94"/>
      <c r="V17" s="71"/>
      <c r="W17" s="71"/>
      <c r="X17" s="152"/>
      <c r="Y17" s="153"/>
      <c r="Z17" s="72"/>
      <c r="AA17" s="71"/>
      <c r="AB17" s="74"/>
    </row>
    <row r="18" spans="1:28" s="73" customFormat="1" ht="21" customHeight="1">
      <c r="A18" s="64"/>
      <c r="B18" s="109"/>
      <c r="C18" s="65" t="s">
        <v>999</v>
      </c>
      <c r="D18" s="77"/>
      <c r="E18" s="78"/>
      <c r="F18" s="79"/>
      <c r="G18" s="77"/>
      <c r="H18" s="78"/>
      <c r="I18" s="79"/>
      <c r="J18" s="66"/>
      <c r="K18" s="108"/>
      <c r="L18" s="67"/>
      <c r="M18" s="68">
        <v>1</v>
      </c>
      <c r="N18" s="110"/>
      <c r="O18" s="69"/>
      <c r="P18" s="67"/>
      <c r="Q18" s="106"/>
      <c r="R18" s="70">
        <f t="shared" si="0"/>
        <v>1</v>
      </c>
      <c r="S18" s="111" t="s">
        <v>52</v>
      </c>
      <c r="T18" s="215">
        <v>7</v>
      </c>
      <c r="U18" s="94"/>
      <c r="V18" s="71"/>
      <c r="W18" s="71"/>
      <c r="X18" s="152"/>
      <c r="Y18" s="153"/>
      <c r="Z18" s="72"/>
      <c r="AA18" s="71"/>
      <c r="AB18" s="74"/>
    </row>
    <row r="19" spans="1:28" s="73" customFormat="1" ht="21" customHeight="1">
      <c r="A19" s="64"/>
      <c r="B19" s="109"/>
      <c r="C19" s="65" t="s">
        <v>1025</v>
      </c>
      <c r="D19" s="77"/>
      <c r="E19" s="78"/>
      <c r="F19" s="79"/>
      <c r="G19" s="77"/>
      <c r="H19" s="78"/>
      <c r="I19" s="79"/>
      <c r="J19" s="66"/>
      <c r="K19" s="108"/>
      <c r="L19" s="67"/>
      <c r="M19" s="68">
        <v>1</v>
      </c>
      <c r="N19" s="110"/>
      <c r="O19" s="69"/>
      <c r="P19" s="67"/>
      <c r="Q19" s="106"/>
      <c r="R19" s="70">
        <f t="shared" ref="R19" si="1">M19</f>
        <v>1</v>
      </c>
      <c r="S19" s="111" t="s">
        <v>52</v>
      </c>
      <c r="T19" s="215">
        <v>8</v>
      </c>
      <c r="U19" s="94"/>
      <c r="V19" s="71"/>
      <c r="W19" s="71"/>
      <c r="X19" s="152"/>
      <c r="Y19" s="153"/>
      <c r="Z19" s="72"/>
      <c r="AA19" s="71"/>
      <c r="AB19" s="74"/>
    </row>
    <row r="20" spans="1:28" s="73" customFormat="1" ht="21" customHeight="1">
      <c r="A20" s="64"/>
      <c r="B20" s="109"/>
      <c r="C20" s="65" t="s">
        <v>1362</v>
      </c>
      <c r="D20" s="77"/>
      <c r="E20" s="78"/>
      <c r="F20" s="79"/>
      <c r="G20" s="77"/>
      <c r="H20" s="78"/>
      <c r="I20" s="79"/>
      <c r="J20" s="66"/>
      <c r="K20" s="108"/>
      <c r="L20" s="67"/>
      <c r="M20" s="68">
        <v>1</v>
      </c>
      <c r="N20" s="110"/>
      <c r="O20" s="69"/>
      <c r="P20" s="67"/>
      <c r="Q20" s="106"/>
      <c r="R20" s="70">
        <f t="shared" ref="R20:R22" si="2">M20</f>
        <v>1</v>
      </c>
      <c r="S20" s="111" t="s">
        <v>52</v>
      </c>
      <c r="T20" s="215">
        <v>9</v>
      </c>
      <c r="U20" s="94"/>
      <c r="V20" s="71"/>
      <c r="W20" s="71"/>
      <c r="X20" s="152"/>
      <c r="Y20" s="153"/>
      <c r="Z20" s="72"/>
      <c r="AA20" s="71"/>
      <c r="AB20" s="74"/>
    </row>
    <row r="21" spans="1:28" s="90" customFormat="1" ht="21" customHeight="1">
      <c r="A21" s="75"/>
      <c r="B21" s="157"/>
      <c r="C21" s="76" t="s">
        <v>1401</v>
      </c>
      <c r="D21" s="77"/>
      <c r="E21" s="78"/>
      <c r="F21" s="79"/>
      <c r="G21" s="77"/>
      <c r="H21" s="78"/>
      <c r="I21" s="79"/>
      <c r="J21" s="80"/>
      <c r="K21" s="81"/>
      <c r="L21" s="82"/>
      <c r="M21" s="68">
        <v>1</v>
      </c>
      <c r="N21" s="84"/>
      <c r="O21" s="84"/>
      <c r="P21" s="82"/>
      <c r="Q21" s="85"/>
      <c r="R21" s="70">
        <f t="shared" si="2"/>
        <v>1</v>
      </c>
      <c r="S21" s="111" t="s">
        <v>52</v>
      </c>
      <c r="T21" s="215">
        <v>11</v>
      </c>
      <c r="U21" s="92"/>
      <c r="V21" s="86"/>
      <c r="W21" s="86"/>
      <c r="X21" s="86"/>
      <c r="Y21" s="151"/>
      <c r="Z21" s="87"/>
      <c r="AA21" s="88"/>
      <c r="AB21" s="89"/>
    </row>
    <row r="22" spans="1:28" s="90" customFormat="1" ht="21" customHeight="1">
      <c r="A22" s="75"/>
      <c r="B22" s="157"/>
      <c r="C22" s="76" t="s">
        <v>1402</v>
      </c>
      <c r="D22" s="77"/>
      <c r="E22" s="78"/>
      <c r="F22" s="79"/>
      <c r="G22" s="77"/>
      <c r="H22" s="78"/>
      <c r="I22" s="79"/>
      <c r="J22" s="80"/>
      <c r="K22" s="81"/>
      <c r="L22" s="82"/>
      <c r="M22" s="68">
        <v>1</v>
      </c>
      <c r="N22" s="84"/>
      <c r="O22" s="84"/>
      <c r="P22" s="82"/>
      <c r="Q22" s="85"/>
      <c r="R22" s="70">
        <f t="shared" si="2"/>
        <v>1</v>
      </c>
      <c r="S22" s="111" t="s">
        <v>52</v>
      </c>
      <c r="T22" s="215">
        <v>11</v>
      </c>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1" customFormat="1" ht="21" customHeight="1">
      <c r="A25" s="11"/>
      <c r="B25" s="25"/>
      <c r="C25" s="20"/>
      <c r="D25" s="26"/>
      <c r="E25" s="159"/>
      <c r="F25" s="27"/>
      <c r="G25" s="26"/>
      <c r="H25" s="159"/>
      <c r="I25" s="27"/>
      <c r="J25" s="28"/>
      <c r="K25" s="49"/>
      <c r="L25" s="40"/>
      <c r="M25" s="41"/>
      <c r="N25" s="160"/>
      <c r="O25" s="160"/>
      <c r="P25" s="40"/>
      <c r="Q25" s="42"/>
      <c r="R25" s="60"/>
      <c r="S25" s="43"/>
      <c r="T25" s="215"/>
      <c r="U25" s="48"/>
      <c r="V25" s="120"/>
      <c r="W25" s="120"/>
      <c r="X25" s="120"/>
      <c r="Y25" s="142"/>
      <c r="Z25" s="15"/>
      <c r="AA25" s="17"/>
      <c r="AB25" s="44"/>
    </row>
    <row r="26" spans="1:28" ht="21" customHeight="1">
      <c r="B26" s="118"/>
      <c r="C26" s="119"/>
      <c r="D26" s="26"/>
      <c r="E26" s="159"/>
      <c r="F26" s="27"/>
      <c r="G26" s="26"/>
      <c r="H26" s="159"/>
      <c r="I26" s="27"/>
      <c r="J26" s="28"/>
      <c r="K26" s="49"/>
      <c r="L26" s="40"/>
      <c r="M26" s="41"/>
      <c r="N26" s="160"/>
      <c r="O26" s="160"/>
      <c r="P26" s="40"/>
      <c r="Q26" s="42"/>
      <c r="R26" s="60"/>
      <c r="S26" s="43"/>
      <c r="T26" s="216"/>
      <c r="U26" s="117"/>
    </row>
    <row r="27" spans="1:28" ht="39.6" customHeight="1">
      <c r="B27" s="161"/>
      <c r="C27" s="162"/>
      <c r="D27" s="806" t="s">
        <v>11</v>
      </c>
      <c r="E27" s="807"/>
      <c r="F27" s="807"/>
      <c r="G27" s="807"/>
      <c r="H27" s="807"/>
      <c r="I27" s="808"/>
      <c r="J27" s="809">
        <f>VLOOKUP(A29,DEZ!$A$2:$S$731,6,FALSE)</f>
        <v>10</v>
      </c>
      <c r="K27" s="810"/>
      <c r="L27" s="50" t="str">
        <f>VLOOKUP(A29,DEZ!$A$2:$S$731,4,FALSE)</f>
        <v>ms</v>
      </c>
      <c r="M27" s="803" t="s">
        <v>12</v>
      </c>
      <c r="N27" s="811"/>
      <c r="O27" s="811"/>
      <c r="P27" s="811"/>
      <c r="Q27" s="805"/>
      <c r="R27" s="61">
        <f>SUM(R12:R26)</f>
        <v>10</v>
      </c>
      <c r="S27" s="51" t="str">
        <f>L27</f>
        <v>ms</v>
      </c>
      <c r="T27" s="22"/>
      <c r="U27" s="23"/>
    </row>
    <row r="28" spans="1:28" ht="21" customHeight="1">
      <c r="B28" s="163"/>
      <c r="C28" s="19"/>
      <c r="D28" s="817" t="s">
        <v>13</v>
      </c>
      <c r="E28" s="818"/>
      <c r="F28" s="818"/>
      <c r="G28" s="818"/>
      <c r="H28" s="818"/>
      <c r="I28" s="819"/>
      <c r="J28" s="823">
        <f>R27/J27</f>
        <v>1</v>
      </c>
      <c r="K28" s="824"/>
      <c r="L28" s="827"/>
      <c r="M28" s="803" t="s">
        <v>34</v>
      </c>
      <c r="N28" s="804"/>
      <c r="O28" s="804"/>
      <c r="P28" s="804"/>
      <c r="Q28" s="805"/>
      <c r="R28" s="61">
        <f>SUM(R13:R22)</f>
        <v>10</v>
      </c>
      <c r="S28" s="52" t="str">
        <f>L27</f>
        <v>ms</v>
      </c>
      <c r="T28" s="22"/>
      <c r="U28" s="23"/>
    </row>
    <row r="29" spans="1:28" ht="21" customHeight="1">
      <c r="A29" s="10" t="s">
        <v>77</v>
      </c>
      <c r="B29" s="165"/>
      <c r="C29" s="164"/>
      <c r="D29" s="820"/>
      <c r="E29" s="821"/>
      <c r="F29" s="821"/>
      <c r="G29" s="821"/>
      <c r="H29" s="821"/>
      <c r="I29" s="822"/>
      <c r="J29" s="825"/>
      <c r="K29" s="826"/>
      <c r="L29" s="828"/>
      <c r="M29" s="803" t="s">
        <v>14</v>
      </c>
      <c r="N29" s="804"/>
      <c r="O29" s="804"/>
      <c r="P29" s="804"/>
      <c r="Q29" s="805"/>
      <c r="R29" s="62">
        <f>R27-R28</f>
        <v>0</v>
      </c>
      <c r="S29" s="53" t="str">
        <f>L27</f>
        <v>ms</v>
      </c>
      <c r="T29" s="54"/>
      <c r="U29" s="24"/>
    </row>
    <row r="30" spans="1:28" ht="21" customHeight="1">
      <c r="B30" s="218"/>
      <c r="C30" s="217"/>
      <c r="M30" s="803" t="s">
        <v>53</v>
      </c>
      <c r="N30" s="804"/>
      <c r="O30" s="804"/>
      <c r="P30" s="804"/>
      <c r="Q30" s="805"/>
      <c r="R30" s="62">
        <f>VLOOKUP(A29,DEZ!$A$2:$S$731,5,FALSE)</f>
        <v>479.75</v>
      </c>
      <c r="S30" s="53"/>
      <c r="T30" s="54"/>
      <c r="U30" s="24"/>
    </row>
    <row r="31" spans="1:28" ht="21" customHeight="1">
      <c r="B31" s="163"/>
      <c r="C31" s="219"/>
      <c r="M31" s="803" t="s">
        <v>54</v>
      </c>
      <c r="N31" s="804"/>
      <c r="O31" s="804"/>
      <c r="P31" s="804"/>
      <c r="Q31" s="805"/>
      <c r="R31" s="62">
        <f>TRUNC(R30*R29,2)</f>
        <v>0</v>
      </c>
      <c r="S31" s="53" t="s">
        <v>55</v>
      </c>
      <c r="T31" s="54"/>
      <c r="U31" s="24"/>
    </row>
  </sheetData>
  <mergeCells count="34">
    <mergeCell ref="T7:U7"/>
    <mergeCell ref="B1:U4"/>
    <mergeCell ref="V4:AA4"/>
    <mergeCell ref="B5:I5"/>
    <mergeCell ref="J5:O5"/>
    <mergeCell ref="P5:U5"/>
    <mergeCell ref="R10:R11"/>
    <mergeCell ref="S10:S11"/>
    <mergeCell ref="T8:U8"/>
    <mergeCell ref="T9:U9"/>
    <mergeCell ref="B10:B11"/>
    <mergeCell ref="C10:C11"/>
    <mergeCell ref="D10:F11"/>
    <mergeCell ref="G10:I11"/>
    <mergeCell ref="J10:J11"/>
    <mergeCell ref="K10:K11"/>
    <mergeCell ref="L10:L11"/>
    <mergeCell ref="M10:M11"/>
    <mergeCell ref="M30:Q30"/>
    <mergeCell ref="M31:Q31"/>
    <mergeCell ref="T10:T11"/>
    <mergeCell ref="U10:U11"/>
    <mergeCell ref="D27:I27"/>
    <mergeCell ref="J27:K27"/>
    <mergeCell ref="M27:Q27"/>
    <mergeCell ref="D28:I29"/>
    <mergeCell ref="J28:K29"/>
    <mergeCell ref="L28:L29"/>
    <mergeCell ref="M28:Q28"/>
    <mergeCell ref="M29:Q29"/>
    <mergeCell ref="N10:N11"/>
    <mergeCell ref="O10:O11"/>
    <mergeCell ref="P10:P11"/>
    <mergeCell ref="Q10:Q11"/>
  </mergeCells>
  <conditionalFormatting sqref="J28:K31">
    <cfRule type="cellIs" dxfId="371" priority="1" operator="greaterThanOrEqual">
      <formula>1</formula>
    </cfRule>
    <cfRule type="cellIs" dxfId="37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707D9-26E5-4040-AD2C-E9635188A317}">
  <sheetPr codeName="Planilha145">
    <tabColor rgb="FF339933"/>
    <pageSetUpPr fitToPage="1"/>
  </sheetPr>
  <dimension ref="A1:AJ21"/>
  <sheetViews>
    <sheetView view="pageBreakPreview" topLeftCell="B1" zoomScale="50" zoomScaleNormal="55" zoomScaleSheetLayoutView="50" workbookViewId="0">
      <selection activeCell="R19" sqref="R1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DEZ!A72</f>
        <v>2.3.2.3</v>
      </c>
      <c r="C10" s="845" t="str">
        <f>DEZ!C72</f>
        <v>Corte e dobra de aço CA-50, diâmetro de 6,3 mm, utilizado em estribo contínuo helicoidal</v>
      </c>
      <c r="D10" s="816" t="s">
        <v>854</v>
      </c>
      <c r="E10" s="816"/>
      <c r="F10" s="816"/>
      <c r="G10" s="816" t="s">
        <v>33</v>
      </c>
      <c r="H10" s="816"/>
      <c r="I10" s="816"/>
      <c r="J10" s="812" t="s">
        <v>853</v>
      </c>
      <c r="K10" s="812" t="s">
        <v>855</v>
      </c>
      <c r="L10" s="812" t="s">
        <v>1010</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65" t="s">
        <v>1392</v>
      </c>
      <c r="D12" s="77"/>
      <c r="E12" s="78"/>
      <c r="F12" s="79"/>
      <c r="G12" s="77"/>
      <c r="H12" s="78"/>
      <c r="I12" s="79"/>
      <c r="J12" s="66"/>
      <c r="K12" s="108"/>
      <c r="L12" s="67">
        <f>512*0.28</f>
        <v>143.36000000000001</v>
      </c>
      <c r="M12" s="68"/>
      <c r="N12" s="110"/>
      <c r="O12" s="69"/>
      <c r="P12" s="67"/>
      <c r="Q12" s="106"/>
      <c r="R12" s="93">
        <f>L12</f>
        <v>143.36000000000001</v>
      </c>
      <c r="S12" s="111" t="s">
        <v>58</v>
      </c>
      <c r="T12" s="215">
        <v>10</v>
      </c>
      <c r="U12" s="94"/>
      <c r="V12" s="71"/>
      <c r="W12" s="71"/>
      <c r="X12" s="152"/>
      <c r="Y12" s="153"/>
      <c r="Z12" s="72"/>
      <c r="AA12" s="71"/>
      <c r="AB12" s="74"/>
    </row>
    <row r="13" spans="1:36" s="73" customFormat="1" ht="21" customHeight="1">
      <c r="A13" s="64"/>
      <c r="B13" s="109"/>
      <c r="C13" s="65" t="s">
        <v>1392</v>
      </c>
      <c r="D13" s="77"/>
      <c r="E13" s="78"/>
      <c r="F13" s="79"/>
      <c r="G13" s="77"/>
      <c r="H13" s="78"/>
      <c r="I13" s="79"/>
      <c r="J13" s="66"/>
      <c r="K13" s="108"/>
      <c r="L13" s="67">
        <v>368.64</v>
      </c>
      <c r="M13" s="68"/>
      <c r="N13" s="110"/>
      <c r="O13" s="69"/>
      <c r="P13" s="67"/>
      <c r="Q13" s="106"/>
      <c r="R13" s="70">
        <f>L13</f>
        <v>368.64</v>
      </c>
      <c r="S13" s="111" t="s">
        <v>58</v>
      </c>
      <c r="T13" s="215">
        <v>11</v>
      </c>
      <c r="U13" s="94"/>
      <c r="V13" s="71"/>
      <c r="W13" s="71"/>
      <c r="X13" s="152"/>
      <c r="Y13" s="153"/>
      <c r="Z13" s="72"/>
      <c r="AA13" s="71"/>
      <c r="AB13" s="74"/>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1" ht="39.6" customHeight="1">
      <c r="B17" s="161"/>
      <c r="C17" s="162"/>
      <c r="D17" s="806" t="s">
        <v>11</v>
      </c>
      <c r="E17" s="807"/>
      <c r="F17" s="807"/>
      <c r="G17" s="807"/>
      <c r="H17" s="807"/>
      <c r="I17" s="808"/>
      <c r="J17" s="809">
        <f>DEZ!I72</f>
        <v>512</v>
      </c>
      <c r="K17" s="810"/>
      <c r="L17" s="50" t="str">
        <f>DEZ!D72</f>
        <v>kg</v>
      </c>
      <c r="M17" s="803" t="s">
        <v>12</v>
      </c>
      <c r="N17" s="811"/>
      <c r="O17" s="811"/>
      <c r="P17" s="811"/>
      <c r="Q17" s="805"/>
      <c r="R17" s="61">
        <f>SUM(R12:R16)</f>
        <v>512</v>
      </c>
      <c r="S17" s="51" t="str">
        <f>L17</f>
        <v>kg</v>
      </c>
      <c r="T17" s="22"/>
      <c r="U17" s="23"/>
    </row>
    <row r="18" spans="1:21" ht="21" customHeight="1">
      <c r="B18" s="163"/>
      <c r="C18" s="19"/>
      <c r="D18" s="817" t="s">
        <v>13</v>
      </c>
      <c r="E18" s="818"/>
      <c r="F18" s="818"/>
      <c r="G18" s="818"/>
      <c r="H18" s="818"/>
      <c r="I18" s="819"/>
      <c r="J18" s="823">
        <f>R17/J17</f>
        <v>1</v>
      </c>
      <c r="K18" s="824"/>
      <c r="L18" s="827"/>
      <c r="M18" s="803" t="s">
        <v>34</v>
      </c>
      <c r="N18" s="804"/>
      <c r="O18" s="804"/>
      <c r="P18" s="804"/>
      <c r="Q18" s="805"/>
      <c r="R18" s="61">
        <f>SUM(R12:R13)</f>
        <v>512</v>
      </c>
      <c r="S18" s="52" t="str">
        <f>L17</f>
        <v>kg</v>
      </c>
      <c r="T18" s="22"/>
      <c r="U18" s="23"/>
    </row>
    <row r="19" spans="1:21" ht="21" customHeight="1">
      <c r="A19" s="10" t="s">
        <v>77</v>
      </c>
      <c r="B19" s="165"/>
      <c r="C19" s="164"/>
      <c r="D19" s="820"/>
      <c r="E19" s="821"/>
      <c r="F19" s="821"/>
      <c r="G19" s="821"/>
      <c r="H19" s="821"/>
      <c r="I19" s="822"/>
      <c r="J19" s="825"/>
      <c r="K19" s="826"/>
      <c r="L19" s="828"/>
      <c r="M19" s="803" t="s">
        <v>14</v>
      </c>
      <c r="N19" s="804"/>
      <c r="O19" s="804"/>
      <c r="P19" s="804"/>
      <c r="Q19" s="805"/>
      <c r="R19" s="720">
        <f>R17-R18</f>
        <v>0</v>
      </c>
      <c r="S19" s="53" t="str">
        <f>L17</f>
        <v>kg</v>
      </c>
      <c r="T19" s="54"/>
      <c r="U19" s="24"/>
    </row>
    <row r="20" spans="1:21" ht="21" customHeight="1">
      <c r="B20" s="218"/>
      <c r="C20" s="217"/>
      <c r="M20" s="803" t="s">
        <v>53</v>
      </c>
      <c r="N20" s="804"/>
      <c r="O20" s="804"/>
      <c r="P20" s="804"/>
      <c r="Q20" s="805"/>
      <c r="R20" s="62">
        <f>DEZ!E72</f>
        <v>4.82</v>
      </c>
      <c r="S20" s="53"/>
      <c r="T20" s="54"/>
      <c r="U20" s="24"/>
    </row>
    <row r="21" spans="1:21" ht="21" customHeight="1">
      <c r="B21" s="163"/>
      <c r="C21" s="219"/>
      <c r="M21" s="803" t="s">
        <v>54</v>
      </c>
      <c r="N21" s="804"/>
      <c r="O21" s="804"/>
      <c r="P21" s="804"/>
      <c r="Q21" s="805"/>
      <c r="R21" s="62">
        <f>TRUNC(R20*R19,2)</f>
        <v>0</v>
      </c>
      <c r="S21" s="53" t="s">
        <v>55</v>
      </c>
      <c r="T21" s="54"/>
      <c r="U21" s="24"/>
    </row>
  </sheetData>
  <mergeCells count="34">
    <mergeCell ref="M20:Q20"/>
    <mergeCell ref="M21:Q21"/>
    <mergeCell ref="T10:T11"/>
    <mergeCell ref="U10:U11"/>
    <mergeCell ref="D17:I17"/>
    <mergeCell ref="J17:K17"/>
    <mergeCell ref="M17:Q17"/>
    <mergeCell ref="D18:I19"/>
    <mergeCell ref="J18:K19"/>
    <mergeCell ref="L18:L19"/>
    <mergeCell ref="M18:Q18"/>
    <mergeCell ref="M19:Q19"/>
    <mergeCell ref="N10:N11"/>
    <mergeCell ref="O10:O11"/>
    <mergeCell ref="P10:P11"/>
    <mergeCell ref="Q10:Q11"/>
    <mergeCell ref="R10:R11"/>
    <mergeCell ref="S10:S11"/>
    <mergeCell ref="T8:U8"/>
    <mergeCell ref="T9:U9"/>
    <mergeCell ref="B10:B11"/>
    <mergeCell ref="C10:C11"/>
    <mergeCell ref="D10:F11"/>
    <mergeCell ref="G10:I11"/>
    <mergeCell ref="J10:J11"/>
    <mergeCell ref="K10:K11"/>
    <mergeCell ref="L10:L11"/>
    <mergeCell ref="M10:M11"/>
    <mergeCell ref="T7:U7"/>
    <mergeCell ref="B1:U4"/>
    <mergeCell ref="V4:AA4"/>
    <mergeCell ref="B5:I5"/>
    <mergeCell ref="J5:O5"/>
    <mergeCell ref="P5:U5"/>
  </mergeCells>
  <conditionalFormatting sqref="J18:K21">
    <cfRule type="cellIs" dxfId="369" priority="1" operator="greaterThanOrEqual">
      <formula>1</formula>
    </cfRule>
    <cfRule type="cellIs" dxfId="36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A41AA-5A3A-401B-8FD4-4229933C885A}">
  <sheetPr codeName="Planilha146">
    <tabColor rgb="FF339933"/>
    <pageSetUpPr fitToPage="1"/>
  </sheetPr>
  <dimension ref="A1:AJ21"/>
  <sheetViews>
    <sheetView view="pageBreakPreview" topLeftCell="B2" zoomScale="50" zoomScaleNormal="55" zoomScaleSheetLayoutView="50" workbookViewId="0">
      <selection activeCell="R19" sqref="R1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8.570312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DEZ!A73</f>
        <v>2.3.2.4</v>
      </c>
      <c r="C10" s="845" t="str">
        <f>DEZ!C73</f>
        <v>Montagem de armadura longitudinal/transversal de estacas de seção circular, diâmetro = 12,5 mm.</v>
      </c>
      <c r="D10" s="816" t="s">
        <v>854</v>
      </c>
      <c r="E10" s="816"/>
      <c r="F10" s="816"/>
      <c r="G10" s="816" t="s">
        <v>33</v>
      </c>
      <c r="H10" s="816"/>
      <c r="I10" s="816"/>
      <c r="J10" s="812" t="s">
        <v>853</v>
      </c>
      <c r="K10" s="812" t="s">
        <v>855</v>
      </c>
      <c r="L10" s="812" t="s">
        <v>1010</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65" t="s">
        <v>1392</v>
      </c>
      <c r="D12" s="77"/>
      <c r="E12" s="78"/>
      <c r="F12" s="79"/>
      <c r="G12" s="77"/>
      <c r="H12" s="78"/>
      <c r="I12" s="79"/>
      <c r="J12" s="66"/>
      <c r="K12" s="108"/>
      <c r="L12" s="67">
        <f>4419*0.28</f>
        <v>1237.3200000000002</v>
      </c>
      <c r="M12" s="68"/>
      <c r="N12" s="110"/>
      <c r="O12" s="69"/>
      <c r="P12" s="67"/>
      <c r="Q12" s="106"/>
      <c r="R12" s="93">
        <f>L12</f>
        <v>1237.3200000000002</v>
      </c>
      <c r="S12" s="111" t="s">
        <v>29</v>
      </c>
      <c r="T12" s="215">
        <v>10</v>
      </c>
      <c r="U12" s="94"/>
      <c r="V12" s="71"/>
      <c r="W12" s="71"/>
      <c r="X12" s="152"/>
      <c r="Y12" s="153"/>
      <c r="Z12" s="72"/>
      <c r="AA12" s="71"/>
      <c r="AB12" s="74"/>
    </row>
    <row r="13" spans="1:36" s="73" customFormat="1" ht="21" customHeight="1">
      <c r="A13" s="64"/>
      <c r="B13" s="109"/>
      <c r="C13" s="65" t="s">
        <v>1392</v>
      </c>
      <c r="D13" s="77"/>
      <c r="E13" s="78"/>
      <c r="F13" s="79"/>
      <c r="G13" s="77"/>
      <c r="H13" s="78"/>
      <c r="I13" s="79"/>
      <c r="J13" s="66"/>
      <c r="K13" s="108"/>
      <c r="L13" s="67">
        <v>3181.69</v>
      </c>
      <c r="M13" s="68"/>
      <c r="N13" s="110"/>
      <c r="O13" s="69"/>
      <c r="P13" s="67"/>
      <c r="Q13" s="106"/>
      <c r="R13" s="70">
        <f>L13</f>
        <v>3181.69</v>
      </c>
      <c r="S13" s="111" t="s">
        <v>29</v>
      </c>
      <c r="T13" s="215">
        <v>11</v>
      </c>
      <c r="U13" s="94"/>
      <c r="V13" s="71"/>
      <c r="W13" s="71"/>
      <c r="X13" s="152"/>
      <c r="Y13" s="153"/>
      <c r="Z13" s="72"/>
      <c r="AA13" s="71"/>
      <c r="AB13" s="74"/>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1" ht="39.6" customHeight="1">
      <c r="B17" s="161"/>
      <c r="C17" s="162"/>
      <c r="D17" s="806" t="s">
        <v>11</v>
      </c>
      <c r="E17" s="807"/>
      <c r="F17" s="807"/>
      <c r="G17" s="807"/>
      <c r="H17" s="807"/>
      <c r="I17" s="808"/>
      <c r="J17" s="809">
        <f>DEZ!I73</f>
        <v>4419.01</v>
      </c>
      <c r="K17" s="810"/>
      <c r="L17" s="50" t="str">
        <f>DEZ!D73</f>
        <v>kg</v>
      </c>
      <c r="M17" s="803" t="s">
        <v>12</v>
      </c>
      <c r="N17" s="811"/>
      <c r="O17" s="811"/>
      <c r="P17" s="811"/>
      <c r="Q17" s="805"/>
      <c r="R17" s="61">
        <f>SUM(R12:R16)</f>
        <v>4419.01</v>
      </c>
      <c r="S17" s="51" t="str">
        <f>L17</f>
        <v>kg</v>
      </c>
      <c r="T17" s="22"/>
      <c r="U17" s="23"/>
    </row>
    <row r="18" spans="1:21" ht="21" customHeight="1">
      <c r="B18" s="163"/>
      <c r="C18" s="19"/>
      <c r="D18" s="817" t="s">
        <v>13</v>
      </c>
      <c r="E18" s="818"/>
      <c r="F18" s="818"/>
      <c r="G18" s="818"/>
      <c r="H18" s="818"/>
      <c r="I18" s="819"/>
      <c r="J18" s="823">
        <f>R17/J17</f>
        <v>1</v>
      </c>
      <c r="K18" s="824"/>
      <c r="L18" s="827"/>
      <c r="M18" s="803" t="s">
        <v>34</v>
      </c>
      <c r="N18" s="804"/>
      <c r="O18" s="804"/>
      <c r="P18" s="804"/>
      <c r="Q18" s="805"/>
      <c r="R18" s="61">
        <f>SUM(R12:R13)</f>
        <v>4419.01</v>
      </c>
      <c r="S18" s="52" t="str">
        <f>L17</f>
        <v>kg</v>
      </c>
      <c r="T18" s="22"/>
      <c r="U18" s="23"/>
    </row>
    <row r="19" spans="1:21" ht="21" customHeight="1">
      <c r="A19" s="10" t="s">
        <v>77</v>
      </c>
      <c r="B19" s="165"/>
      <c r="C19" s="164"/>
      <c r="D19" s="820"/>
      <c r="E19" s="821"/>
      <c r="F19" s="821"/>
      <c r="G19" s="821"/>
      <c r="H19" s="821"/>
      <c r="I19" s="822"/>
      <c r="J19" s="825"/>
      <c r="K19" s="826"/>
      <c r="L19" s="828"/>
      <c r="M19" s="803" t="s">
        <v>14</v>
      </c>
      <c r="N19" s="804"/>
      <c r="O19" s="804"/>
      <c r="P19" s="804"/>
      <c r="Q19" s="805"/>
      <c r="R19" s="720">
        <f>R17-R18</f>
        <v>0</v>
      </c>
      <c r="S19" s="53" t="str">
        <f>L17</f>
        <v>kg</v>
      </c>
      <c r="T19" s="54"/>
      <c r="U19" s="24"/>
    </row>
    <row r="20" spans="1:21" ht="21" customHeight="1">
      <c r="B20" s="218"/>
      <c r="C20" s="217"/>
      <c r="M20" s="803" t="s">
        <v>53</v>
      </c>
      <c r="N20" s="804"/>
      <c r="O20" s="804"/>
      <c r="P20" s="804"/>
      <c r="Q20" s="805"/>
      <c r="R20" s="62">
        <f>DEZ!E73</f>
        <v>6.12</v>
      </c>
      <c r="S20" s="53"/>
      <c r="T20" s="54"/>
      <c r="U20" s="24"/>
    </row>
    <row r="21" spans="1:21" ht="21" customHeight="1">
      <c r="B21" s="163"/>
      <c r="C21" s="219"/>
      <c r="M21" s="803" t="s">
        <v>54</v>
      </c>
      <c r="N21" s="804"/>
      <c r="O21" s="804"/>
      <c r="P21" s="804"/>
      <c r="Q21" s="805"/>
      <c r="R21" s="62">
        <f>TRUNC(R20*R19,2)</f>
        <v>0</v>
      </c>
      <c r="S21" s="53" t="s">
        <v>55</v>
      </c>
      <c r="T21" s="54"/>
      <c r="U21" s="24"/>
    </row>
  </sheetData>
  <mergeCells count="34">
    <mergeCell ref="M20:Q20"/>
    <mergeCell ref="M21:Q21"/>
    <mergeCell ref="T10:T11"/>
    <mergeCell ref="U10:U11"/>
    <mergeCell ref="D17:I17"/>
    <mergeCell ref="J17:K17"/>
    <mergeCell ref="M17:Q17"/>
    <mergeCell ref="D18:I19"/>
    <mergeCell ref="J18:K19"/>
    <mergeCell ref="L18:L19"/>
    <mergeCell ref="M18:Q18"/>
    <mergeCell ref="M19:Q19"/>
    <mergeCell ref="N10:N11"/>
    <mergeCell ref="O10:O11"/>
    <mergeCell ref="P10:P11"/>
    <mergeCell ref="Q10:Q11"/>
    <mergeCell ref="R10:R11"/>
    <mergeCell ref="S10:S11"/>
    <mergeCell ref="T8:U8"/>
    <mergeCell ref="T9:U9"/>
    <mergeCell ref="B10:B11"/>
    <mergeCell ref="C10:C11"/>
    <mergeCell ref="D10:F11"/>
    <mergeCell ref="G10:I11"/>
    <mergeCell ref="J10:J11"/>
    <mergeCell ref="K10:K11"/>
    <mergeCell ref="L10:L11"/>
    <mergeCell ref="M10:M11"/>
    <mergeCell ref="T7:U7"/>
    <mergeCell ref="B1:U4"/>
    <mergeCell ref="V4:AA4"/>
    <mergeCell ref="B5:I5"/>
    <mergeCell ref="J5:O5"/>
    <mergeCell ref="P5:U5"/>
  </mergeCells>
  <conditionalFormatting sqref="J18:K21">
    <cfRule type="cellIs" dxfId="367" priority="1" operator="greaterThanOrEqual">
      <formula>1</formula>
    </cfRule>
    <cfRule type="cellIs" dxfId="36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8484D-072B-4BB3-B567-C68D70B3B827}">
  <sheetPr codeName="Planilha147">
    <tabColor rgb="FF339933"/>
    <pageSetUpPr fitToPage="1"/>
  </sheetPr>
  <dimension ref="A1:AJ21"/>
  <sheetViews>
    <sheetView view="pageBreakPreview" topLeftCell="B2" zoomScale="50" zoomScaleNormal="55" zoomScaleSheetLayoutView="50" workbookViewId="0">
      <selection activeCell="R19" sqref="R19"/>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DEZ!A74</f>
        <v>2.3.2.5</v>
      </c>
      <c r="C10" s="845" t="str">
        <f>DEZ!C74</f>
        <v>Escavação manual em material de 1a. categoria, até 1.50 m de profundidade</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65" t="s">
        <v>1392</v>
      </c>
      <c r="D12" s="77"/>
      <c r="E12" s="78"/>
      <c r="F12" s="79"/>
      <c r="G12" s="77"/>
      <c r="H12" s="78"/>
      <c r="I12" s="79"/>
      <c r="J12" s="66"/>
      <c r="K12" s="108"/>
      <c r="L12" s="67">
        <v>6.3</v>
      </c>
      <c r="M12" s="68"/>
      <c r="N12" s="110"/>
      <c r="O12" s="69"/>
      <c r="P12" s="67"/>
      <c r="Q12" s="106"/>
      <c r="R12" s="93">
        <f>L12</f>
        <v>6.3</v>
      </c>
      <c r="S12" s="111" t="s">
        <v>58</v>
      </c>
      <c r="T12" s="215">
        <v>10</v>
      </c>
      <c r="U12" s="94"/>
      <c r="V12" s="71"/>
      <c r="W12" s="71"/>
      <c r="X12" s="152"/>
      <c r="Y12" s="153"/>
      <c r="Z12" s="72"/>
      <c r="AA12" s="71"/>
      <c r="AB12" s="74"/>
    </row>
    <row r="13" spans="1:36" s="73" customFormat="1" ht="21" customHeight="1">
      <c r="A13" s="64"/>
      <c r="B13" s="109"/>
      <c r="C13" s="65"/>
      <c r="D13" s="77"/>
      <c r="E13" s="78"/>
      <c r="F13" s="79"/>
      <c r="G13" s="77"/>
      <c r="H13" s="78"/>
      <c r="I13" s="79"/>
      <c r="J13" s="66"/>
      <c r="K13" s="108"/>
      <c r="L13" s="67"/>
      <c r="M13" s="68"/>
      <c r="N13" s="110"/>
      <c r="O13" s="69"/>
      <c r="P13" s="67"/>
      <c r="Q13" s="106"/>
      <c r="R13" s="70"/>
      <c r="S13" s="111"/>
      <c r="T13" s="215"/>
      <c r="U13" s="94"/>
      <c r="V13" s="71"/>
      <c r="W13" s="71"/>
      <c r="X13" s="152"/>
      <c r="Y13" s="153"/>
      <c r="Z13" s="72"/>
      <c r="AA13" s="71"/>
      <c r="AB13" s="74"/>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1" ht="39.6" customHeight="1">
      <c r="B17" s="161"/>
      <c r="C17" s="162"/>
      <c r="D17" s="806" t="s">
        <v>11</v>
      </c>
      <c r="E17" s="807"/>
      <c r="F17" s="807"/>
      <c r="G17" s="807"/>
      <c r="H17" s="807"/>
      <c r="I17" s="808"/>
      <c r="J17" s="809">
        <f>DEZ!I74</f>
        <v>6.3</v>
      </c>
      <c r="K17" s="810"/>
      <c r="L17" s="50" t="str">
        <f>DEZ!D74</f>
        <v>m3</v>
      </c>
      <c r="M17" s="803" t="s">
        <v>12</v>
      </c>
      <c r="N17" s="811"/>
      <c r="O17" s="811"/>
      <c r="P17" s="811"/>
      <c r="Q17" s="805"/>
      <c r="R17" s="61">
        <f>SUM(R12:R16)</f>
        <v>6.3</v>
      </c>
      <c r="S17" s="51" t="str">
        <f>L17</f>
        <v>m3</v>
      </c>
      <c r="T17" s="22"/>
      <c r="U17" s="23"/>
    </row>
    <row r="18" spans="1:21" ht="21" customHeight="1">
      <c r="B18" s="163"/>
      <c r="C18" s="19"/>
      <c r="D18" s="817" t="s">
        <v>13</v>
      </c>
      <c r="E18" s="818"/>
      <c r="F18" s="818"/>
      <c r="G18" s="818"/>
      <c r="H18" s="818"/>
      <c r="I18" s="819"/>
      <c r="J18" s="823">
        <f>R17/J17</f>
        <v>1</v>
      </c>
      <c r="K18" s="824"/>
      <c r="L18" s="827"/>
      <c r="M18" s="803" t="s">
        <v>34</v>
      </c>
      <c r="N18" s="804"/>
      <c r="O18" s="804"/>
      <c r="P18" s="804"/>
      <c r="Q18" s="805"/>
      <c r="R18" s="61">
        <f>R12</f>
        <v>6.3</v>
      </c>
      <c r="S18" s="52" t="str">
        <f>L17</f>
        <v>m3</v>
      </c>
      <c r="T18" s="22"/>
      <c r="U18" s="23"/>
    </row>
    <row r="19" spans="1:21" ht="21" customHeight="1">
      <c r="A19" s="10" t="s">
        <v>77</v>
      </c>
      <c r="B19" s="165"/>
      <c r="C19" s="164"/>
      <c r="D19" s="820"/>
      <c r="E19" s="821"/>
      <c r="F19" s="821"/>
      <c r="G19" s="821"/>
      <c r="H19" s="821"/>
      <c r="I19" s="822"/>
      <c r="J19" s="825"/>
      <c r="K19" s="826"/>
      <c r="L19" s="828"/>
      <c r="M19" s="803" t="s">
        <v>14</v>
      </c>
      <c r="N19" s="804"/>
      <c r="O19" s="804"/>
      <c r="P19" s="804"/>
      <c r="Q19" s="805"/>
      <c r="R19" s="720">
        <f>R17-R18</f>
        <v>0</v>
      </c>
      <c r="S19" s="53" t="str">
        <f>L17</f>
        <v>m3</v>
      </c>
      <c r="T19" s="54"/>
      <c r="U19" s="24"/>
    </row>
    <row r="20" spans="1:21" ht="21" customHeight="1">
      <c r="B20" s="218"/>
      <c r="C20" s="217"/>
      <c r="M20" s="803" t="s">
        <v>53</v>
      </c>
      <c r="N20" s="804"/>
      <c r="O20" s="804"/>
      <c r="P20" s="804"/>
      <c r="Q20" s="805"/>
      <c r="R20" s="62">
        <f>DEZ!E74</f>
        <v>48.58</v>
      </c>
      <c r="S20" s="53"/>
      <c r="T20" s="54"/>
      <c r="U20" s="24"/>
    </row>
    <row r="21" spans="1:21" ht="21" customHeight="1">
      <c r="B21" s="163"/>
      <c r="C21" s="219"/>
      <c r="M21" s="803" t="s">
        <v>54</v>
      </c>
      <c r="N21" s="804"/>
      <c r="O21" s="804"/>
      <c r="P21" s="804"/>
      <c r="Q21" s="805"/>
      <c r="R21" s="62">
        <f>TRUNC(R20*R19,2)</f>
        <v>0</v>
      </c>
      <c r="S21" s="53" t="s">
        <v>55</v>
      </c>
      <c r="T21" s="54"/>
      <c r="U21" s="24"/>
    </row>
  </sheetData>
  <mergeCells count="34">
    <mergeCell ref="M20:Q20"/>
    <mergeCell ref="M21:Q21"/>
    <mergeCell ref="T10:T11"/>
    <mergeCell ref="U10:U11"/>
    <mergeCell ref="D17:I17"/>
    <mergeCell ref="J17:K17"/>
    <mergeCell ref="M17:Q17"/>
    <mergeCell ref="D18:I19"/>
    <mergeCell ref="J18:K19"/>
    <mergeCell ref="L18:L19"/>
    <mergeCell ref="M18:Q18"/>
    <mergeCell ref="M19:Q19"/>
    <mergeCell ref="N10:N11"/>
    <mergeCell ref="O10:O11"/>
    <mergeCell ref="P10:P11"/>
    <mergeCell ref="Q10:Q11"/>
    <mergeCell ref="R10:R11"/>
    <mergeCell ref="S10:S11"/>
    <mergeCell ref="T8:U8"/>
    <mergeCell ref="T9:U9"/>
    <mergeCell ref="B10:B11"/>
    <mergeCell ref="C10:C11"/>
    <mergeCell ref="D10:F11"/>
    <mergeCell ref="G10:I11"/>
    <mergeCell ref="J10:J11"/>
    <mergeCell ref="K10:K11"/>
    <mergeCell ref="L10:L11"/>
    <mergeCell ref="M10:M11"/>
    <mergeCell ref="T7:U7"/>
    <mergeCell ref="B1:U4"/>
    <mergeCell ref="V4:AA4"/>
    <mergeCell ref="B5:I5"/>
    <mergeCell ref="J5:O5"/>
    <mergeCell ref="P5:U5"/>
  </mergeCells>
  <conditionalFormatting sqref="J18:K21">
    <cfRule type="cellIs" dxfId="365" priority="1" operator="greaterThanOrEqual">
      <formula>1</formula>
    </cfRule>
    <cfRule type="cellIs" dxfId="36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BC2AB-1598-431C-8873-0C7E51D74F4D}">
  <sheetPr codeName="Planilha148">
    <tabColor rgb="FF339933"/>
    <pageSetUpPr fitToPage="1"/>
  </sheetPr>
  <dimension ref="A1:AJ22"/>
  <sheetViews>
    <sheetView showGridLines="0" view="pageBreakPreview" topLeftCell="C1" zoomScale="50" zoomScaleNormal="55" zoomScaleSheetLayoutView="50" workbookViewId="0">
      <selection activeCell="T12" sqref="T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2.1406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8.28515625"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DEZ!A158</f>
        <v>2.4.3.2</v>
      </c>
      <c r="C10" s="845" t="str">
        <f>DEZ!C158</f>
        <v>Camisa metálica com espessura de 8 mm D = 700 mm - cravada com martelo vibratório - sem escavação - confecção e cravação</v>
      </c>
      <c r="D10" s="816" t="s">
        <v>854</v>
      </c>
      <c r="E10" s="816"/>
      <c r="F10" s="816"/>
      <c r="G10" s="816" t="s">
        <v>62</v>
      </c>
      <c r="H10" s="816"/>
      <c r="I10" s="816"/>
      <c r="J10" s="812" t="s">
        <v>1352</v>
      </c>
      <c r="K10" s="812" t="s">
        <v>855</v>
      </c>
      <c r="L10" s="812" t="s">
        <v>856</v>
      </c>
      <c r="M10" s="812"/>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1385</v>
      </c>
      <c r="D12" s="854">
        <f>J17</f>
        <v>86.8</v>
      </c>
      <c r="E12" s="855"/>
      <c r="F12" s="856"/>
      <c r="G12" s="851"/>
      <c r="H12" s="852"/>
      <c r="I12" s="853"/>
      <c r="J12" s="715">
        <v>0.5</v>
      </c>
      <c r="K12" s="81"/>
      <c r="L12" s="82"/>
      <c r="M12" s="83"/>
      <c r="N12" s="105"/>
      <c r="O12" s="84"/>
      <c r="P12" s="82"/>
      <c r="Q12" s="93"/>
      <c r="R12" s="85"/>
      <c r="S12" s="154" t="s">
        <v>51</v>
      </c>
      <c r="T12" s="215"/>
      <c r="U12" s="94"/>
      <c r="V12" s="71"/>
      <c r="W12" s="71"/>
      <c r="X12" s="152"/>
      <c r="Y12" s="153"/>
      <c r="Z12" s="72"/>
    </row>
    <row r="13" spans="1:36" s="73" customFormat="1" ht="21" customHeight="1">
      <c r="A13" s="64"/>
      <c r="B13" s="109"/>
      <c r="C13" s="76"/>
      <c r="D13" s="854"/>
      <c r="E13" s="855"/>
      <c r="F13" s="856"/>
      <c r="G13" s="854"/>
      <c r="H13" s="855"/>
      <c r="I13" s="856"/>
      <c r="J13" s="715"/>
      <c r="K13" s="81"/>
      <c r="L13" s="67"/>
      <c r="M13" s="68"/>
      <c r="N13" s="110"/>
      <c r="O13" s="69"/>
      <c r="P13" s="67"/>
      <c r="Q13" s="106"/>
      <c r="R13" s="85"/>
      <c r="S13" s="154"/>
      <c r="T13" s="215"/>
      <c r="U13" s="94"/>
      <c r="V13" s="71"/>
      <c r="W13" s="71"/>
      <c r="X13" s="152"/>
      <c r="Y13" s="153"/>
      <c r="Z13" s="72"/>
      <c r="AA13" s="71"/>
      <c r="AB13" s="74"/>
    </row>
    <row r="14" spans="1:36" s="73" customFormat="1" ht="21" customHeight="1">
      <c r="A14" s="64"/>
      <c r="B14" s="109"/>
      <c r="C14" s="76"/>
      <c r="D14" s="854"/>
      <c r="E14" s="855"/>
      <c r="F14" s="856"/>
      <c r="G14" s="854"/>
      <c r="H14" s="855"/>
      <c r="I14" s="856"/>
      <c r="J14" s="715"/>
      <c r="K14" s="81"/>
      <c r="L14" s="67"/>
      <c r="M14" s="68"/>
      <c r="N14" s="110"/>
      <c r="O14" s="69"/>
      <c r="P14" s="67"/>
      <c r="Q14" s="106"/>
      <c r="R14" s="85"/>
      <c r="S14" s="154"/>
      <c r="T14" s="215"/>
      <c r="U14" s="94"/>
      <c r="V14" s="71"/>
      <c r="W14" s="71"/>
      <c r="X14" s="152"/>
      <c r="Y14" s="153"/>
      <c r="Z14" s="72"/>
      <c r="AA14" s="71"/>
      <c r="AB14" s="74"/>
    </row>
    <row r="15" spans="1:36" s="73" customFormat="1" ht="21" customHeight="1">
      <c r="A15" s="64"/>
      <c r="B15" s="109"/>
      <c r="C15" s="76"/>
      <c r="D15" s="684"/>
      <c r="E15" s="78"/>
      <c r="F15" s="685"/>
      <c r="G15" s="684"/>
      <c r="H15" s="78"/>
      <c r="I15" s="685"/>
      <c r="J15" s="66"/>
      <c r="K15" s="81"/>
      <c r="L15" s="67"/>
      <c r="M15" s="68"/>
      <c r="N15" s="110"/>
      <c r="O15" s="69"/>
      <c r="P15" s="67"/>
      <c r="Q15" s="106"/>
      <c r="R15" s="85"/>
      <c r="S15" s="154"/>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2:21" ht="39.6" customHeight="1">
      <c r="B17" s="161"/>
      <c r="C17" s="162"/>
      <c r="D17" s="806" t="s">
        <v>11</v>
      </c>
      <c r="E17" s="807"/>
      <c r="F17" s="807"/>
      <c r="G17" s="807"/>
      <c r="H17" s="807"/>
      <c r="I17" s="808"/>
      <c r="J17" s="809">
        <f>DEZ!I158</f>
        <v>86.8</v>
      </c>
      <c r="K17" s="810"/>
      <c r="L17" s="50" t="s">
        <v>51</v>
      </c>
      <c r="M17" s="803" t="s">
        <v>12</v>
      </c>
      <c r="N17" s="811"/>
      <c r="O17" s="811"/>
      <c r="P17" s="811"/>
      <c r="Q17" s="805"/>
      <c r="R17" s="61">
        <f>SUM(R12:R16)</f>
        <v>0</v>
      </c>
      <c r="S17" s="51" t="str">
        <f>L17</f>
        <v>m</v>
      </c>
      <c r="T17" s="22"/>
      <c r="U17" s="23"/>
    </row>
    <row r="18" spans="2:21" ht="21" customHeight="1">
      <c r="B18" s="163"/>
      <c r="C18" s="19"/>
      <c r="D18" s="817" t="s">
        <v>13</v>
      </c>
      <c r="E18" s="818"/>
      <c r="F18" s="818"/>
      <c r="G18" s="818"/>
      <c r="H18" s="818"/>
      <c r="I18" s="819"/>
      <c r="J18" s="823">
        <f>R17/J17</f>
        <v>0</v>
      </c>
      <c r="K18" s="824"/>
      <c r="L18" s="827"/>
      <c r="M18" s="803" t="s">
        <v>34</v>
      </c>
      <c r="N18" s="804"/>
      <c r="O18" s="804"/>
      <c r="P18" s="804"/>
      <c r="Q18" s="805"/>
      <c r="R18" s="61">
        <f>SUM(R12:R12)</f>
        <v>0</v>
      </c>
      <c r="S18" s="52" t="str">
        <f>L17</f>
        <v>m</v>
      </c>
      <c r="T18" s="22"/>
      <c r="U18" s="23"/>
    </row>
    <row r="19" spans="2:21" ht="21" customHeight="1">
      <c r="B19" s="165"/>
      <c r="C19" s="164"/>
      <c r="D19" s="820"/>
      <c r="E19" s="821"/>
      <c r="F19" s="821"/>
      <c r="G19" s="821"/>
      <c r="H19" s="821"/>
      <c r="I19" s="822"/>
      <c r="J19" s="825"/>
      <c r="K19" s="826"/>
      <c r="L19" s="828"/>
      <c r="M19" s="803" t="s">
        <v>14</v>
      </c>
      <c r="N19" s="804"/>
      <c r="O19" s="804"/>
      <c r="P19" s="804"/>
      <c r="Q19" s="805"/>
      <c r="R19" s="62">
        <f>R12</f>
        <v>0</v>
      </c>
      <c r="S19" s="53" t="str">
        <f>L17</f>
        <v>m</v>
      </c>
      <c r="T19" s="54"/>
      <c r="U19" s="24"/>
    </row>
    <row r="20" spans="2:21" ht="21" customHeight="1">
      <c r="B20" s="218"/>
      <c r="C20" s="217"/>
      <c r="M20" s="803" t="s">
        <v>53</v>
      </c>
      <c r="N20" s="804"/>
      <c r="O20" s="804"/>
      <c r="P20" s="804"/>
      <c r="Q20" s="805"/>
      <c r="R20" s="62">
        <f>DEZ!E158</f>
        <v>1268.83</v>
      </c>
      <c r="S20" s="53"/>
      <c r="T20" s="54"/>
      <c r="U20" s="24"/>
    </row>
    <row r="21" spans="2:21" ht="21" customHeight="1">
      <c r="B21" s="163"/>
      <c r="C21" s="219"/>
      <c r="M21" s="803" t="s">
        <v>54</v>
      </c>
      <c r="N21" s="804"/>
      <c r="O21" s="804"/>
      <c r="P21" s="804"/>
      <c r="Q21" s="805"/>
      <c r="R21" s="62">
        <f>TRUNC(R20*R19,2)</f>
        <v>0</v>
      </c>
      <c r="S21" s="53" t="s">
        <v>55</v>
      </c>
      <c r="T21" s="54"/>
      <c r="U21" s="24"/>
    </row>
    <row r="22" spans="2:21" ht="18">
      <c r="D22" s="718" t="s">
        <v>1386</v>
      </c>
    </row>
  </sheetData>
  <mergeCells count="40">
    <mergeCell ref="M20:Q20"/>
    <mergeCell ref="M21:Q21"/>
    <mergeCell ref="M17:Q17"/>
    <mergeCell ref="D18:I19"/>
    <mergeCell ref="J18:K19"/>
    <mergeCell ref="L18:L19"/>
    <mergeCell ref="M18:Q18"/>
    <mergeCell ref="M19:Q19"/>
    <mergeCell ref="J17:K17"/>
    <mergeCell ref="D13:F13"/>
    <mergeCell ref="G13:I13"/>
    <mergeCell ref="D14:F14"/>
    <mergeCell ref="G14:I14"/>
    <mergeCell ref="D17:I17"/>
    <mergeCell ref="D12:F12"/>
    <mergeCell ref="G12:I12"/>
    <mergeCell ref="N10:N11"/>
    <mergeCell ref="O10:O11"/>
    <mergeCell ref="P10:P11"/>
    <mergeCell ref="T8:U8"/>
    <mergeCell ref="T9:U9"/>
    <mergeCell ref="B10:B11"/>
    <mergeCell ref="C10:C11"/>
    <mergeCell ref="D10:F11"/>
    <mergeCell ref="G10:I11"/>
    <mergeCell ref="J10:J11"/>
    <mergeCell ref="K10:K11"/>
    <mergeCell ref="L10:L11"/>
    <mergeCell ref="M10:M11"/>
    <mergeCell ref="T10:T11"/>
    <mergeCell ref="U10:U11"/>
    <mergeCell ref="Q10:Q11"/>
    <mergeCell ref="R10:R11"/>
    <mergeCell ref="S10:S11"/>
    <mergeCell ref="T7:U7"/>
    <mergeCell ref="B1:U4"/>
    <mergeCell ref="V4:AA4"/>
    <mergeCell ref="B5:I5"/>
    <mergeCell ref="J5:O5"/>
    <mergeCell ref="P5:U5"/>
  </mergeCells>
  <conditionalFormatting sqref="J18:K21">
    <cfRule type="cellIs" dxfId="363" priority="1" operator="greaterThanOrEqual">
      <formula>1</formula>
    </cfRule>
    <cfRule type="cellIs" dxfId="36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8">
    <tabColor rgb="FF339933"/>
    <pageSetUpPr fitToPage="1"/>
  </sheetPr>
  <dimension ref="A1:AJ30"/>
  <sheetViews>
    <sheetView view="pageBreakPreview" topLeftCell="J7" zoomScale="60" zoomScaleNormal="55" workbookViewId="0">
      <selection activeCell="R28" sqref="R2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A28</f>
        <v>1.1.2.7</v>
      </c>
      <c r="C10" s="845" t="str">
        <f>CONCATENATE(VLOOKUP(A28,DEZ!$A$2:$S$731,2,FALSE)," - ",VLOOKUP(A28,DEZ!$A$2:$S$731,3,FALSE))</f>
        <v>20344 - Mobilização e desmobilização de conteiner locado para barracão de obra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872</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t="s">
        <v>873</v>
      </c>
      <c r="D13" s="77"/>
      <c r="E13" s="78"/>
      <c r="F13" s="79"/>
      <c r="G13" s="77"/>
      <c r="H13" s="78"/>
      <c r="I13" s="79"/>
      <c r="J13" s="66"/>
      <c r="K13" s="108"/>
      <c r="L13" s="67"/>
      <c r="M13" s="83">
        <v>0.5</v>
      </c>
      <c r="N13" s="105"/>
      <c r="O13" s="84"/>
      <c r="P13" s="82"/>
      <c r="Q13" s="93"/>
      <c r="R13" s="85">
        <f t="shared" ref="R13:R15" si="0">M13</f>
        <v>0.5</v>
      </c>
      <c r="S13" s="154" t="s">
        <v>59</v>
      </c>
      <c r="T13" s="215">
        <v>1</v>
      </c>
      <c r="U13" s="94"/>
      <c r="V13" s="71"/>
      <c r="W13" s="71"/>
      <c r="X13" s="152"/>
      <c r="Y13" s="153"/>
      <c r="Z13" s="72"/>
      <c r="AA13" s="71"/>
      <c r="AB13" s="74"/>
    </row>
    <row r="14" spans="1:36" s="73" customFormat="1" ht="21" customHeight="1">
      <c r="A14" s="64"/>
      <c r="B14" s="109"/>
      <c r="C14" s="65" t="s">
        <v>874</v>
      </c>
      <c r="D14" s="77"/>
      <c r="E14" s="78"/>
      <c r="F14" s="79"/>
      <c r="G14" s="77"/>
      <c r="H14" s="78"/>
      <c r="I14" s="79"/>
      <c r="J14" s="66"/>
      <c r="K14" s="108"/>
      <c r="L14" s="67"/>
      <c r="M14" s="83">
        <v>0.5</v>
      </c>
      <c r="N14" s="105"/>
      <c r="O14" s="84"/>
      <c r="P14" s="82"/>
      <c r="Q14" s="93"/>
      <c r="R14" s="85">
        <f t="shared" si="0"/>
        <v>0.5</v>
      </c>
      <c r="S14" s="154" t="s">
        <v>59</v>
      </c>
      <c r="T14" s="215">
        <v>1</v>
      </c>
      <c r="U14" s="94"/>
      <c r="V14" s="71"/>
      <c r="W14" s="71"/>
      <c r="X14" s="152"/>
      <c r="Y14" s="153"/>
      <c r="Z14" s="72"/>
      <c r="AA14" s="71"/>
      <c r="AB14" s="74"/>
    </row>
    <row r="15" spans="1:36" s="73" customFormat="1" ht="21" customHeight="1">
      <c r="A15" s="64"/>
      <c r="B15" s="109"/>
      <c r="C15" s="65" t="s">
        <v>875</v>
      </c>
      <c r="D15" s="77"/>
      <c r="E15" s="78"/>
      <c r="F15" s="79"/>
      <c r="G15" s="77"/>
      <c r="H15" s="78"/>
      <c r="I15" s="79"/>
      <c r="J15" s="66"/>
      <c r="K15" s="108"/>
      <c r="L15" s="67"/>
      <c r="M15" s="83">
        <v>0.5</v>
      </c>
      <c r="N15" s="105"/>
      <c r="O15" s="84"/>
      <c r="P15" s="82"/>
      <c r="Q15" s="93"/>
      <c r="R15" s="85">
        <f t="shared" si="0"/>
        <v>0.5</v>
      </c>
      <c r="S15" s="154" t="s">
        <v>59</v>
      </c>
      <c r="T15" s="215">
        <v>1</v>
      </c>
      <c r="U15" s="94"/>
      <c r="V15" s="71"/>
      <c r="W15" s="71"/>
      <c r="X15" s="152"/>
      <c r="Y15" s="153"/>
      <c r="Z15" s="72"/>
      <c r="AA15" s="71"/>
      <c r="AB15" s="74"/>
    </row>
    <row r="16" spans="1:36" s="73" customFormat="1" ht="21" customHeight="1">
      <c r="A16" s="64"/>
      <c r="B16" s="109"/>
      <c r="C16" s="65" t="s">
        <v>915</v>
      </c>
      <c r="D16" s="77"/>
      <c r="E16" s="78"/>
      <c r="F16" s="79"/>
      <c r="G16" s="77"/>
      <c r="H16" s="78"/>
      <c r="I16" s="79"/>
      <c r="J16" s="66"/>
      <c r="K16" s="108"/>
      <c r="L16" s="67"/>
      <c r="M16" s="83">
        <v>0.5</v>
      </c>
      <c r="N16" s="105"/>
      <c r="O16" s="84"/>
      <c r="P16" s="82"/>
      <c r="Q16" s="93"/>
      <c r="R16" s="85">
        <f t="shared" ref="R16" si="1">M16</f>
        <v>0.5</v>
      </c>
      <c r="S16" s="154" t="s">
        <v>59</v>
      </c>
      <c r="T16" s="215">
        <v>2</v>
      </c>
      <c r="U16" s="94"/>
      <c r="V16" s="71"/>
      <c r="W16" s="71"/>
      <c r="X16" s="152"/>
      <c r="Y16" s="153"/>
      <c r="Z16" s="72"/>
      <c r="AA16" s="71"/>
      <c r="AB16" s="74"/>
    </row>
    <row r="17" spans="1:28" s="90" customFormat="1" ht="21" customHeight="1">
      <c r="A17" s="75"/>
      <c r="B17" s="107"/>
      <c r="C17" s="104" t="s">
        <v>925</v>
      </c>
      <c r="D17" s="77"/>
      <c r="E17" s="78"/>
      <c r="F17" s="79"/>
      <c r="G17" s="77"/>
      <c r="H17" s="78"/>
      <c r="I17" s="79"/>
      <c r="J17" s="80"/>
      <c r="K17" s="81"/>
      <c r="L17" s="82"/>
      <c r="M17" s="83">
        <v>0.5</v>
      </c>
      <c r="N17" s="105"/>
      <c r="O17" s="84"/>
      <c r="P17" s="82"/>
      <c r="Q17" s="93"/>
      <c r="R17" s="85">
        <f t="shared" ref="R17" si="2">M17</f>
        <v>0.5</v>
      </c>
      <c r="S17" s="154" t="s">
        <v>59</v>
      </c>
      <c r="T17" s="215">
        <v>3</v>
      </c>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v>1.5</v>
      </c>
      <c r="S18" s="154" t="s">
        <v>59</v>
      </c>
      <c r="T18" s="215">
        <v>13</v>
      </c>
      <c r="U18" s="92"/>
      <c r="V18" s="86"/>
      <c r="W18" s="86"/>
      <c r="X18" s="86"/>
      <c r="Y18" s="151"/>
      <c r="Z18" s="87"/>
      <c r="AA18" s="88"/>
      <c r="AB18" s="89"/>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1" customFormat="1" ht="21" customHeight="1">
      <c r="A24" s="11"/>
      <c r="B24" s="25"/>
      <c r="C24" s="76"/>
      <c r="D24" s="77"/>
      <c r="E24" s="78"/>
      <c r="F24" s="79"/>
      <c r="G24" s="77"/>
      <c r="H24" s="78"/>
      <c r="I24" s="79"/>
      <c r="J24" s="80"/>
      <c r="K24" s="81"/>
      <c r="L24" s="82"/>
      <c r="M24" s="83"/>
      <c r="N24" s="84"/>
      <c r="O24" s="84"/>
      <c r="P24" s="82"/>
      <c r="Q24" s="85"/>
      <c r="R24" s="222"/>
      <c r="S24" s="154"/>
      <c r="T24" s="215"/>
      <c r="U24" s="92"/>
      <c r="V24" s="120"/>
      <c r="W24" s="120"/>
      <c r="X24" s="120"/>
      <c r="Y24" s="142"/>
      <c r="Z24" s="15"/>
      <c r="AA24" s="17"/>
      <c r="AB24" s="44"/>
    </row>
    <row r="25" spans="1:28" ht="21" customHeight="1">
      <c r="B25" s="118"/>
      <c r="C25" s="119"/>
      <c r="D25" s="26"/>
      <c r="E25" s="159"/>
      <c r="F25" s="27"/>
      <c r="G25" s="26"/>
      <c r="H25" s="159"/>
      <c r="I25" s="27"/>
      <c r="J25" s="28"/>
      <c r="K25" s="49"/>
      <c r="L25" s="40"/>
      <c r="M25" s="41"/>
      <c r="N25" s="160"/>
      <c r="O25" s="160"/>
      <c r="P25" s="40"/>
      <c r="Q25" s="42"/>
      <c r="R25" s="60"/>
      <c r="S25" s="43"/>
      <c r="T25" s="216"/>
      <c r="U25" s="117"/>
    </row>
    <row r="26" spans="1:28" ht="39.6" customHeight="1">
      <c r="B26" s="161"/>
      <c r="C26" s="162"/>
      <c r="D26" s="806" t="s">
        <v>11</v>
      </c>
      <c r="E26" s="807"/>
      <c r="F26" s="807"/>
      <c r="G26" s="807"/>
      <c r="H26" s="807"/>
      <c r="I26" s="808"/>
      <c r="J26" s="809">
        <f>VLOOKUP(A28,DEZ!$A$2:$S$731,6,FALSE)</f>
        <v>5</v>
      </c>
      <c r="K26" s="810"/>
      <c r="L26" s="50" t="str">
        <f>VLOOKUP(A28,DEZ!$A$2:$S$731,4,FALSE)</f>
        <v>und</v>
      </c>
      <c r="M26" s="803" t="s">
        <v>12</v>
      </c>
      <c r="N26" s="811"/>
      <c r="O26" s="811"/>
      <c r="P26" s="811"/>
      <c r="Q26" s="805"/>
      <c r="R26" s="61">
        <f>SUM(R12:R25)</f>
        <v>4</v>
      </c>
      <c r="S26" s="51" t="str">
        <f>L26</f>
        <v>und</v>
      </c>
      <c r="T26" s="22"/>
      <c r="U26" s="23"/>
    </row>
    <row r="27" spans="1:28" ht="21" customHeight="1">
      <c r="B27" s="163"/>
      <c r="C27" s="19"/>
      <c r="D27" s="817" t="s">
        <v>13</v>
      </c>
      <c r="E27" s="818"/>
      <c r="F27" s="818"/>
      <c r="G27" s="818"/>
      <c r="H27" s="818"/>
      <c r="I27" s="819"/>
      <c r="J27" s="823">
        <f>R26/J26</f>
        <v>0.8</v>
      </c>
      <c r="K27" s="824"/>
      <c r="L27" s="827"/>
      <c r="M27" s="803" t="s">
        <v>34</v>
      </c>
      <c r="N27" s="804"/>
      <c r="O27" s="804"/>
      <c r="P27" s="804"/>
      <c r="Q27" s="805"/>
      <c r="R27" s="61">
        <f>SUM(R13:R18)</f>
        <v>4</v>
      </c>
      <c r="S27" s="52" t="str">
        <f>L26</f>
        <v>und</v>
      </c>
      <c r="T27" s="22"/>
      <c r="U27" s="23"/>
    </row>
    <row r="28" spans="1:28" ht="21" customHeight="1">
      <c r="A28" s="10" t="s">
        <v>80</v>
      </c>
      <c r="B28" s="165"/>
      <c r="C28" s="164"/>
      <c r="D28" s="820"/>
      <c r="E28" s="821"/>
      <c r="F28" s="821"/>
      <c r="G28" s="821"/>
      <c r="H28" s="821"/>
      <c r="I28" s="822"/>
      <c r="J28" s="825"/>
      <c r="K28" s="826"/>
      <c r="L28" s="828"/>
      <c r="M28" s="803" t="s">
        <v>14</v>
      </c>
      <c r="N28" s="804"/>
      <c r="O28" s="804"/>
      <c r="P28" s="804"/>
      <c r="Q28" s="805"/>
      <c r="R28" s="62">
        <f>R26-R27</f>
        <v>0</v>
      </c>
      <c r="S28" s="53" t="str">
        <f>L26</f>
        <v>und</v>
      </c>
      <c r="T28" s="54"/>
      <c r="U28" s="24"/>
    </row>
    <row r="29" spans="1:28" ht="21" customHeight="1">
      <c r="B29" s="218"/>
      <c r="C29" s="217"/>
      <c r="M29" s="803" t="s">
        <v>53</v>
      </c>
      <c r="N29" s="804"/>
      <c r="O29" s="804"/>
      <c r="P29" s="804"/>
      <c r="Q29" s="805"/>
      <c r="R29" s="62">
        <f>VLOOKUP(A28,DEZ!$A$2:$S$731,5,FALSE)</f>
        <v>1028.8900000000001</v>
      </c>
      <c r="S29" s="53"/>
      <c r="T29" s="54"/>
      <c r="U29" s="24"/>
    </row>
    <row r="30" spans="1:28" ht="21" customHeight="1">
      <c r="B30" s="163"/>
      <c r="C30" s="219"/>
      <c r="M30" s="803" t="s">
        <v>54</v>
      </c>
      <c r="N30" s="804"/>
      <c r="O30" s="804"/>
      <c r="P30" s="804"/>
      <c r="Q30" s="805"/>
      <c r="R30" s="62">
        <f>TRUNC(R29*R28,2)</f>
        <v>0</v>
      </c>
      <c r="S30" s="53" t="s">
        <v>55</v>
      </c>
      <c r="T30" s="54"/>
      <c r="U30" s="24"/>
    </row>
  </sheetData>
  <mergeCells count="34">
    <mergeCell ref="T7:U7"/>
    <mergeCell ref="B1:U4"/>
    <mergeCell ref="V4:AA4"/>
    <mergeCell ref="B5:I5"/>
    <mergeCell ref="J5:O5"/>
    <mergeCell ref="P5:U5"/>
    <mergeCell ref="R10:R11"/>
    <mergeCell ref="S10:S11"/>
    <mergeCell ref="T8:U8"/>
    <mergeCell ref="T9:U9"/>
    <mergeCell ref="B10:B11"/>
    <mergeCell ref="C10:C11"/>
    <mergeCell ref="D10:F11"/>
    <mergeCell ref="G10:I11"/>
    <mergeCell ref="J10:J11"/>
    <mergeCell ref="K10:K11"/>
    <mergeCell ref="L10:L11"/>
    <mergeCell ref="M10:M11"/>
    <mergeCell ref="M29:Q29"/>
    <mergeCell ref="M30:Q30"/>
    <mergeCell ref="T10:T11"/>
    <mergeCell ref="U10:U11"/>
    <mergeCell ref="D26:I26"/>
    <mergeCell ref="J26:K26"/>
    <mergeCell ref="M26:Q26"/>
    <mergeCell ref="D27:I28"/>
    <mergeCell ref="J27:K28"/>
    <mergeCell ref="L27:L28"/>
    <mergeCell ref="M27:Q27"/>
    <mergeCell ref="M28:Q28"/>
    <mergeCell ref="N10:N11"/>
    <mergeCell ref="O10:O11"/>
    <mergeCell ref="P10:P11"/>
    <mergeCell ref="Q10:Q11"/>
  </mergeCells>
  <conditionalFormatting sqref="J27:K30">
    <cfRule type="cellIs" dxfId="361" priority="1" operator="greaterThanOrEqual">
      <formula>1</formula>
    </cfRule>
    <cfRule type="cellIs" dxfId="36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1">
    <tabColor rgb="FF339933"/>
    <pageSetUpPr fitToPage="1"/>
  </sheetPr>
  <dimension ref="A1:AJ28"/>
  <sheetViews>
    <sheetView view="pageBreakPreview" topLeftCell="B6" zoomScale="50" zoomScaleNormal="55" zoomScaleSheetLayoutView="50" workbookViewId="0">
      <selection activeCell="C30" sqref="C3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A26</f>
        <v>1.2.1.1</v>
      </c>
      <c r="C10" s="845" t="str">
        <f>CONCATENATE(VLOOKUP(A26,DEZ!$A$2:$S$731,2,FALSE)," - ",VLOOKUP(A26,DEZ!$A$2:$S$731,3,FALSE))</f>
        <v>10512 - Equipe topográfica para serviços simples de locação e nivelamento (incluindo equipamento, transporte e profissionais nivel médio)</v>
      </c>
      <c r="D10" s="816" t="s">
        <v>854</v>
      </c>
      <c r="E10" s="816"/>
      <c r="F10" s="816"/>
      <c r="G10" s="816" t="s">
        <v>33</v>
      </c>
      <c r="H10" s="816"/>
      <c r="I10" s="816"/>
      <c r="J10" s="812" t="s">
        <v>853</v>
      </c>
      <c r="K10" s="812" t="s">
        <v>855</v>
      </c>
      <c r="L10" s="812" t="s">
        <v>856</v>
      </c>
      <c r="M10" s="812" t="s">
        <v>62</v>
      </c>
      <c r="N10" s="812" t="s">
        <v>878</v>
      </c>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4.9" customHeight="1">
      <c r="A12" s="64"/>
      <c r="B12" s="112"/>
      <c r="C12" s="76" t="s">
        <v>879</v>
      </c>
      <c r="D12" s="77"/>
      <c r="E12" s="78"/>
      <c r="F12" s="79"/>
      <c r="G12" s="77"/>
      <c r="H12" s="78"/>
      <c r="I12" s="79"/>
      <c r="J12" s="80"/>
      <c r="K12" s="81"/>
      <c r="L12" s="82"/>
      <c r="M12" s="83"/>
      <c r="N12" s="225">
        <v>0.13300000000000001</v>
      </c>
      <c r="O12" s="84"/>
      <c r="P12" s="82"/>
      <c r="Q12" s="93"/>
      <c r="R12" s="85">
        <f t="shared" ref="R12:R17" si="0">N12</f>
        <v>0.13300000000000001</v>
      </c>
      <c r="S12" s="111" t="s">
        <v>52</v>
      </c>
      <c r="T12" s="215">
        <v>1</v>
      </c>
      <c r="U12" s="91"/>
      <c r="V12" s="71"/>
      <c r="W12" s="71"/>
      <c r="X12" s="152"/>
      <c r="Y12" s="153"/>
      <c r="Z12" s="72"/>
    </row>
    <row r="13" spans="1:36" s="73" customFormat="1" ht="45" customHeight="1">
      <c r="A13" s="64"/>
      <c r="B13" s="109"/>
      <c r="C13" s="76" t="s">
        <v>926</v>
      </c>
      <c r="D13" s="77"/>
      <c r="E13" s="78"/>
      <c r="F13" s="79"/>
      <c r="G13" s="77"/>
      <c r="H13" s="78"/>
      <c r="I13" s="79"/>
      <c r="J13" s="80"/>
      <c r="K13" s="81"/>
      <c r="L13" s="82"/>
      <c r="M13" s="83"/>
      <c r="N13" s="225">
        <v>0.4</v>
      </c>
      <c r="O13" s="84"/>
      <c r="P13" s="82"/>
      <c r="Q13" s="93"/>
      <c r="R13" s="85">
        <f t="shared" si="0"/>
        <v>0.4</v>
      </c>
      <c r="S13" s="111" t="s">
        <v>52</v>
      </c>
      <c r="T13" s="215">
        <v>1</v>
      </c>
      <c r="U13" s="94"/>
      <c r="V13" s="71"/>
      <c r="W13" s="71"/>
      <c r="X13" s="152"/>
      <c r="Y13" s="153"/>
      <c r="Z13" s="72"/>
    </row>
    <row r="14" spans="1:36" s="73" customFormat="1" ht="34.9" customHeight="1">
      <c r="A14" s="64"/>
      <c r="B14" s="112"/>
      <c r="C14" s="76" t="s">
        <v>927</v>
      </c>
      <c r="D14" s="77"/>
      <c r="E14" s="78"/>
      <c r="F14" s="79"/>
      <c r="G14" s="77"/>
      <c r="H14" s="78"/>
      <c r="I14" s="79"/>
      <c r="J14" s="80"/>
      <c r="K14" s="81"/>
      <c r="L14" s="82"/>
      <c r="M14" s="83"/>
      <c r="N14" s="225">
        <v>7.0000000000000007E-2</v>
      </c>
      <c r="O14" s="84"/>
      <c r="P14" s="82"/>
      <c r="Q14" s="93"/>
      <c r="R14" s="85">
        <f t="shared" si="0"/>
        <v>7.0000000000000007E-2</v>
      </c>
      <c r="S14" s="111" t="s">
        <v>52</v>
      </c>
      <c r="T14" s="215">
        <v>3</v>
      </c>
      <c r="U14" s="91"/>
      <c r="V14" s="71"/>
      <c r="W14" s="71"/>
      <c r="X14" s="152"/>
      <c r="Y14" s="153"/>
      <c r="Z14" s="72"/>
    </row>
    <row r="15" spans="1:36" s="73" customFormat="1" ht="45" customHeight="1">
      <c r="A15" s="64"/>
      <c r="B15" s="109"/>
      <c r="C15" s="76" t="s">
        <v>928</v>
      </c>
      <c r="D15" s="77"/>
      <c r="E15" s="78"/>
      <c r="F15" s="79"/>
      <c r="G15" s="77"/>
      <c r="H15" s="78"/>
      <c r="I15" s="79"/>
      <c r="J15" s="80"/>
      <c r="K15" s="81"/>
      <c r="L15" s="82"/>
      <c r="M15" s="83"/>
      <c r="N15" s="225">
        <v>0.2</v>
      </c>
      <c r="O15" s="84"/>
      <c r="P15" s="82"/>
      <c r="Q15" s="93"/>
      <c r="R15" s="85">
        <f t="shared" si="0"/>
        <v>0.2</v>
      </c>
      <c r="S15" s="111" t="s">
        <v>52</v>
      </c>
      <c r="T15" s="215">
        <v>3</v>
      </c>
      <c r="U15" s="94"/>
      <c r="V15" s="71"/>
      <c r="W15" s="71"/>
      <c r="X15" s="152"/>
      <c r="Y15" s="153"/>
      <c r="Z15" s="72"/>
    </row>
    <row r="16" spans="1:36" s="73" customFormat="1" ht="34.9" customHeight="1">
      <c r="A16" s="64"/>
      <c r="B16" s="245"/>
      <c r="C16" s="65" t="s">
        <v>929</v>
      </c>
      <c r="D16" s="246"/>
      <c r="E16" s="247"/>
      <c r="F16" s="248"/>
      <c r="G16" s="246"/>
      <c r="H16" s="247"/>
      <c r="I16" s="248"/>
      <c r="J16" s="66"/>
      <c r="K16" s="249"/>
      <c r="L16" s="250"/>
      <c r="M16" s="251"/>
      <c r="N16" s="252">
        <v>0.3</v>
      </c>
      <c r="O16" s="253"/>
      <c r="P16" s="250"/>
      <c r="Q16" s="254"/>
      <c r="R16" s="255">
        <f t="shared" si="0"/>
        <v>0.3</v>
      </c>
      <c r="S16" s="256" t="s">
        <v>52</v>
      </c>
      <c r="T16" s="257">
        <v>3</v>
      </c>
      <c r="U16" s="258"/>
      <c r="V16" s="71"/>
      <c r="W16" s="71"/>
      <c r="X16" s="152"/>
      <c r="Y16" s="153"/>
      <c r="Z16" s="72"/>
    </row>
    <row r="17" spans="1:28" s="73" customFormat="1" ht="34.9" customHeight="1">
      <c r="A17" s="64"/>
      <c r="B17" s="245"/>
      <c r="C17" s="65" t="s">
        <v>1363</v>
      </c>
      <c r="D17" s="246"/>
      <c r="E17" s="247"/>
      <c r="F17" s="248"/>
      <c r="G17" s="246"/>
      <c r="H17" s="247"/>
      <c r="I17" s="248"/>
      <c r="J17" s="66"/>
      <c r="K17" s="249"/>
      <c r="L17" s="250"/>
      <c r="M17" s="251"/>
      <c r="N17" s="252">
        <v>0.3</v>
      </c>
      <c r="O17" s="253"/>
      <c r="P17" s="250"/>
      <c r="Q17" s="254"/>
      <c r="R17" s="255">
        <f t="shared" si="0"/>
        <v>0.3</v>
      </c>
      <c r="S17" s="256" t="s">
        <v>52</v>
      </c>
      <c r="T17" s="257">
        <v>9</v>
      </c>
      <c r="U17" s="258"/>
      <c r="V17" s="71"/>
      <c r="W17" s="71"/>
      <c r="X17" s="152"/>
      <c r="Y17" s="153"/>
      <c r="Z17" s="72"/>
    </row>
    <row r="18" spans="1:28" s="73" customFormat="1" ht="34.9" customHeight="1">
      <c r="A18" s="64"/>
      <c r="B18" s="245"/>
      <c r="C18" s="65" t="s">
        <v>1432</v>
      </c>
      <c r="D18" s="246"/>
      <c r="E18" s="247"/>
      <c r="F18" s="248"/>
      <c r="G18" s="246"/>
      <c r="H18" s="247"/>
      <c r="I18" s="248"/>
      <c r="J18" s="66"/>
      <c r="K18" s="249"/>
      <c r="L18" s="250"/>
      <c r="M18" s="251"/>
      <c r="N18" s="252">
        <v>0.2</v>
      </c>
      <c r="O18" s="253"/>
      <c r="P18" s="250"/>
      <c r="Q18" s="254"/>
      <c r="R18" s="255">
        <f t="shared" ref="R18" si="1">N18</f>
        <v>0.2</v>
      </c>
      <c r="S18" s="256" t="s">
        <v>52</v>
      </c>
      <c r="T18" s="257">
        <v>13</v>
      </c>
      <c r="U18" s="258"/>
      <c r="V18" s="71"/>
      <c r="W18" s="71"/>
      <c r="X18" s="152"/>
      <c r="Y18" s="153"/>
      <c r="Z18" s="72"/>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07"/>
      <c r="C20" s="104"/>
      <c r="D20" s="77"/>
      <c r="E20" s="78"/>
      <c r="F20" s="79"/>
      <c r="G20" s="77"/>
      <c r="H20" s="78"/>
      <c r="I20" s="79"/>
      <c r="J20" s="80"/>
      <c r="K20" s="81"/>
      <c r="L20" s="82"/>
      <c r="M20" s="83"/>
      <c r="N20" s="84"/>
      <c r="O20" s="155"/>
      <c r="P20" s="156"/>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ht="39.6" customHeight="1">
      <c r="B24" s="161"/>
      <c r="C24" s="162"/>
      <c r="D24" s="806" t="s">
        <v>11</v>
      </c>
      <c r="E24" s="807"/>
      <c r="F24" s="807"/>
      <c r="G24" s="807"/>
      <c r="H24" s="807"/>
      <c r="I24" s="808"/>
      <c r="J24" s="809">
        <f>VLOOKUP(A26,DEZ!$A$2:$S$731,6,FALSE)</f>
        <v>2</v>
      </c>
      <c r="K24" s="810"/>
      <c r="L24" s="50" t="str">
        <f>VLOOKUP(A26,DEZ!$A$2:$S$731,4,FALSE)</f>
        <v>mês</v>
      </c>
      <c r="M24" s="803" t="s">
        <v>12</v>
      </c>
      <c r="N24" s="811"/>
      <c r="O24" s="811"/>
      <c r="P24" s="811"/>
      <c r="Q24" s="805"/>
      <c r="R24" s="61">
        <f>SUM(R12:R23)</f>
        <v>1.603</v>
      </c>
      <c r="S24" s="51" t="str">
        <f>L24</f>
        <v>mês</v>
      </c>
      <c r="T24" s="22"/>
      <c r="U24" s="23"/>
    </row>
    <row r="25" spans="1:28" ht="21" customHeight="1">
      <c r="B25" s="163"/>
      <c r="C25" s="19"/>
      <c r="D25" s="817" t="s">
        <v>13</v>
      </c>
      <c r="E25" s="818"/>
      <c r="F25" s="818"/>
      <c r="G25" s="818"/>
      <c r="H25" s="818"/>
      <c r="I25" s="819"/>
      <c r="J25" s="823">
        <f>R24/J24</f>
        <v>0.80149999999999999</v>
      </c>
      <c r="K25" s="824"/>
      <c r="L25" s="827"/>
      <c r="M25" s="803" t="s">
        <v>34</v>
      </c>
      <c r="N25" s="804"/>
      <c r="O25" s="804"/>
      <c r="P25" s="804"/>
      <c r="Q25" s="805"/>
      <c r="R25" s="61">
        <f>SUM(R12:R18)</f>
        <v>1.603</v>
      </c>
      <c r="S25" s="52" t="str">
        <f>L24</f>
        <v>mês</v>
      </c>
      <c r="T25" s="22"/>
      <c r="U25" s="23"/>
    </row>
    <row r="26" spans="1:28" ht="21" customHeight="1">
      <c r="A26" s="10" t="s">
        <v>99</v>
      </c>
      <c r="B26" s="165"/>
      <c r="C26" s="164"/>
      <c r="D26" s="820"/>
      <c r="E26" s="821"/>
      <c r="F26" s="821"/>
      <c r="G26" s="821"/>
      <c r="H26" s="821"/>
      <c r="I26" s="822"/>
      <c r="J26" s="825"/>
      <c r="K26" s="826"/>
      <c r="L26" s="828"/>
      <c r="M26" s="803" t="s">
        <v>14</v>
      </c>
      <c r="N26" s="804"/>
      <c r="O26" s="804"/>
      <c r="P26" s="804"/>
      <c r="Q26" s="805"/>
      <c r="R26" s="62">
        <f>R24-R25</f>
        <v>0</v>
      </c>
      <c r="S26" s="53" t="str">
        <f>L24</f>
        <v>mês</v>
      </c>
      <c r="T26" s="54"/>
      <c r="U26" s="24"/>
    </row>
    <row r="27" spans="1:28" ht="21" customHeight="1">
      <c r="B27" s="218"/>
      <c r="C27" s="217"/>
      <c r="M27" s="803" t="s">
        <v>53</v>
      </c>
      <c r="N27" s="804"/>
      <c r="O27" s="804"/>
      <c r="P27" s="804"/>
      <c r="Q27" s="805"/>
      <c r="R27" s="62">
        <f>VLOOKUP(A26,DEZ!$A$2:$S$731,5,FALSE)</f>
        <v>18130.12</v>
      </c>
      <c r="S27" s="53"/>
      <c r="T27" s="54"/>
      <c r="U27" s="24"/>
    </row>
    <row r="28" spans="1:28" ht="21" customHeight="1">
      <c r="B28" s="163"/>
      <c r="C28" s="219"/>
      <c r="M28" s="803" t="s">
        <v>54</v>
      </c>
      <c r="N28" s="804"/>
      <c r="O28" s="804"/>
      <c r="P28" s="804"/>
      <c r="Q28" s="805"/>
      <c r="R28" s="62">
        <f>TRUNC(R27*R26,2)</f>
        <v>0</v>
      </c>
      <c r="S28" s="53" t="s">
        <v>55</v>
      </c>
      <c r="T28" s="54"/>
      <c r="U28" s="24"/>
    </row>
  </sheetData>
  <mergeCells count="34">
    <mergeCell ref="T7:U7"/>
    <mergeCell ref="B1:U4"/>
    <mergeCell ref="V4:AA4"/>
    <mergeCell ref="B5:I5"/>
    <mergeCell ref="J5:O5"/>
    <mergeCell ref="P5:U5"/>
    <mergeCell ref="R10:R11"/>
    <mergeCell ref="S10:S11"/>
    <mergeCell ref="T8:U8"/>
    <mergeCell ref="T9:U9"/>
    <mergeCell ref="B10:B11"/>
    <mergeCell ref="C10:C11"/>
    <mergeCell ref="D10:F11"/>
    <mergeCell ref="G10:I11"/>
    <mergeCell ref="J10:J11"/>
    <mergeCell ref="K10:K11"/>
    <mergeCell ref="L10:L11"/>
    <mergeCell ref="M10:M11"/>
    <mergeCell ref="M27:Q27"/>
    <mergeCell ref="M28:Q28"/>
    <mergeCell ref="T10:T11"/>
    <mergeCell ref="U10:U11"/>
    <mergeCell ref="D24:I24"/>
    <mergeCell ref="J24:K24"/>
    <mergeCell ref="M24:Q24"/>
    <mergeCell ref="D25:I26"/>
    <mergeCell ref="J25:K26"/>
    <mergeCell ref="L25:L26"/>
    <mergeCell ref="M25:Q25"/>
    <mergeCell ref="M26:Q26"/>
    <mergeCell ref="N10:N11"/>
    <mergeCell ref="O10:O11"/>
    <mergeCell ref="P10:P11"/>
    <mergeCell ref="Q10:Q11"/>
  </mergeCells>
  <conditionalFormatting sqref="J25:K28">
    <cfRule type="cellIs" dxfId="359" priority="1" operator="greaterThanOrEqual">
      <formula>1</formula>
    </cfRule>
    <cfRule type="cellIs" dxfId="35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6A65F-FFAE-43D0-9FDE-1FF84A0E5682}">
  <sheetPr codeName="Planilha114">
    <tabColor rgb="FF339933"/>
    <pageSetUpPr fitToPage="1"/>
  </sheetPr>
  <dimension ref="A1:AJ30"/>
  <sheetViews>
    <sheetView view="pageBreakPreview" topLeftCell="A4" zoomScale="50" zoomScaleNormal="55" zoomScaleSheetLayoutView="50"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1" width="20.7109375" style="2" customWidth="1"/>
    <col min="12"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DEZ!A301</f>
        <v>3.3.10.10</v>
      </c>
      <c r="C10" s="845" t="str">
        <f>DEZ!C301</f>
        <v>Piso argamassa alta resistência tipo granilite ou equiv de qualidade comprovada, esp de 10mm, com juntas plástica em quadros de 1m, na cor natural, com acabamento anti-derrapante mecanizado, inclusive regularização e=3.0cm</v>
      </c>
      <c r="D10" s="816" t="s">
        <v>854</v>
      </c>
      <c r="E10" s="816"/>
      <c r="F10" s="816"/>
      <c r="G10" s="816" t="s">
        <v>33</v>
      </c>
      <c r="H10" s="816"/>
      <c r="I10" s="816"/>
      <c r="J10" s="812" t="s">
        <v>855</v>
      </c>
      <c r="K10" s="812" t="s">
        <v>897</v>
      </c>
      <c r="L10" s="812" t="s">
        <v>856</v>
      </c>
      <c r="M10" s="812" t="s">
        <v>1352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60"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237" t="s">
        <v>1364</v>
      </c>
      <c r="D12" s="851">
        <f>J22/G12</f>
        <v>17.855681818181818</v>
      </c>
      <c r="E12" s="852"/>
      <c r="F12" s="853"/>
      <c r="G12" s="851">
        <v>8.8000000000000007</v>
      </c>
      <c r="H12" s="852"/>
      <c r="I12" s="853"/>
      <c r="J12" s="108">
        <f>D12*G12</f>
        <v>157.13000000000002</v>
      </c>
      <c r="K12" s="108"/>
      <c r="L12" s="67">
        <f>J12*K12</f>
        <v>0</v>
      </c>
      <c r="M12" s="713">
        <v>0.8</v>
      </c>
      <c r="N12" s="110"/>
      <c r="O12" s="69"/>
      <c r="P12" s="67"/>
      <c r="Q12" s="106"/>
      <c r="R12" s="85">
        <f>J12*M12</f>
        <v>125.70400000000002</v>
      </c>
      <c r="S12" s="154" t="s">
        <v>57</v>
      </c>
      <c r="T12" s="215">
        <v>9</v>
      </c>
      <c r="U12" s="94"/>
      <c r="V12" s="71"/>
      <c r="W12" s="71"/>
      <c r="X12" s="152"/>
      <c r="Y12" s="153"/>
      <c r="Z12" s="72"/>
      <c r="AA12" s="71"/>
      <c r="AB12" s="74"/>
    </row>
    <row r="13" spans="1:36" s="73" customFormat="1" ht="21" customHeight="1">
      <c r="A13" s="64"/>
      <c r="B13" s="109"/>
      <c r="C13" s="237" t="s">
        <v>1371</v>
      </c>
      <c r="D13" s="851">
        <v>17.855681818181818</v>
      </c>
      <c r="E13" s="852"/>
      <c r="F13" s="853"/>
      <c r="G13" s="851">
        <v>8.8000000000000007</v>
      </c>
      <c r="H13" s="852"/>
      <c r="I13" s="853"/>
      <c r="J13" s="108">
        <f>D13*G13</f>
        <v>157.13000000000002</v>
      </c>
      <c r="K13" s="108"/>
      <c r="L13" s="67">
        <f>J13*K13</f>
        <v>0</v>
      </c>
      <c r="M13" s="713">
        <v>0.2</v>
      </c>
      <c r="N13" s="110"/>
      <c r="O13" s="69"/>
      <c r="P13" s="67"/>
      <c r="Q13" s="106"/>
      <c r="R13" s="85">
        <f>J13*M13</f>
        <v>31.426000000000005</v>
      </c>
      <c r="S13" s="154" t="s">
        <v>57</v>
      </c>
      <c r="T13" s="215">
        <v>10</v>
      </c>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DEZ!F301</f>
        <v>157.13</v>
      </c>
      <c r="K22" s="810"/>
      <c r="L22" s="50" t="s">
        <v>57</v>
      </c>
      <c r="M22" s="803" t="s">
        <v>12</v>
      </c>
      <c r="N22" s="811"/>
      <c r="O22" s="811"/>
      <c r="P22" s="811"/>
      <c r="Q22" s="805"/>
      <c r="R22" s="61">
        <f>SUM(R12:R21)</f>
        <v>157.13000000000002</v>
      </c>
      <c r="S22" s="51" t="str">
        <f>L22</f>
        <v>m2</v>
      </c>
      <c r="T22" s="22"/>
      <c r="U22" s="23"/>
    </row>
    <row r="23" spans="1:28" ht="21" customHeight="1">
      <c r="B23" s="163"/>
      <c r="C23" s="19"/>
      <c r="D23" s="817" t="s">
        <v>13</v>
      </c>
      <c r="E23" s="818"/>
      <c r="F23" s="818"/>
      <c r="G23" s="818"/>
      <c r="H23" s="818"/>
      <c r="I23" s="819"/>
      <c r="J23" s="823">
        <f>R22/J22</f>
        <v>1.0000000000000002</v>
      </c>
      <c r="K23" s="824"/>
      <c r="L23" s="827"/>
      <c r="M23" s="803" t="s">
        <v>34</v>
      </c>
      <c r="N23" s="804"/>
      <c r="O23" s="804"/>
      <c r="P23" s="804"/>
      <c r="Q23" s="805"/>
      <c r="R23" s="61">
        <f>SUM(R12:R14)</f>
        <v>157.13000000000002</v>
      </c>
      <c r="S23" s="52" t="str">
        <f>L22</f>
        <v>m2</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m2</v>
      </c>
      <c r="T24" s="54"/>
      <c r="U24" s="24"/>
    </row>
    <row r="25" spans="1:28" ht="21" customHeight="1">
      <c r="B25" s="218"/>
      <c r="C25" s="217"/>
      <c r="M25" s="803" t="s">
        <v>53</v>
      </c>
      <c r="N25" s="804"/>
      <c r="O25" s="804"/>
      <c r="P25" s="804"/>
      <c r="Q25" s="805"/>
      <c r="R25" s="62">
        <f>DEZ!E301</f>
        <v>106.19</v>
      </c>
      <c r="S25" s="53" t="s">
        <v>55</v>
      </c>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8">
    <mergeCell ref="S10:S11"/>
    <mergeCell ref="M25:Q25"/>
    <mergeCell ref="M26:Q26"/>
    <mergeCell ref="D22:I22"/>
    <mergeCell ref="J22:K22"/>
    <mergeCell ref="M22:Q22"/>
    <mergeCell ref="D23:I24"/>
    <mergeCell ref="J23:K24"/>
    <mergeCell ref="L23:L24"/>
    <mergeCell ref="M23:Q23"/>
    <mergeCell ref="M24:Q24"/>
    <mergeCell ref="D12:F12"/>
    <mergeCell ref="G12:I12"/>
    <mergeCell ref="D13:F13"/>
    <mergeCell ref="G13:I13"/>
    <mergeCell ref="N10:N11"/>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T7:U7"/>
    <mergeCell ref="B1:U4"/>
    <mergeCell ref="V4:AA4"/>
    <mergeCell ref="B5:I5"/>
    <mergeCell ref="J5:O5"/>
    <mergeCell ref="P5:U5"/>
  </mergeCells>
  <conditionalFormatting sqref="J23:K26">
    <cfRule type="cellIs" dxfId="357" priority="1" operator="greaterThanOrEqual">
      <formula>1</formula>
    </cfRule>
    <cfRule type="cellIs" dxfId="356"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ilha23">
    <tabColor rgb="FF339933"/>
    <pageSetUpPr fitToPage="1"/>
  </sheetPr>
  <dimension ref="A1:AJ20"/>
  <sheetViews>
    <sheetView view="pageBreakPreview" topLeftCell="D1" zoomScale="50" zoomScaleNormal="55" zoomScaleSheetLayoutView="50" workbookViewId="0">
      <selection activeCell="R18" sqref="R1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A18</f>
        <v>3.4.1.1</v>
      </c>
      <c r="C10" s="845" t="str">
        <f>CONCATENATE(VLOOKUP(A18,DEZ!$A$2:$S$731,2,FALSE)," - ",VLOOKUP(A18,DEZ!$A$2:$S$731,3,FALSE))</f>
        <v>40405 - Fôrma com chapa compensada plastificada esp. 12mm, utização 5 vezes</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930</v>
      </c>
      <c r="D12" s="854"/>
      <c r="E12" s="855"/>
      <c r="F12" s="856"/>
      <c r="G12" s="77"/>
      <c r="H12" s="78"/>
      <c r="I12" s="79"/>
      <c r="J12" s="226"/>
      <c r="K12" s="81">
        <v>215.5</v>
      </c>
      <c r="L12" s="82"/>
      <c r="M12" s="83"/>
      <c r="N12" s="105"/>
      <c r="O12" s="84"/>
      <c r="P12" s="82"/>
      <c r="Q12" s="93"/>
      <c r="R12" s="85">
        <f>PRODUCT(D12:L12)</f>
        <v>215.5</v>
      </c>
      <c r="S12" s="154" t="s">
        <v>57</v>
      </c>
      <c r="T12" s="215">
        <v>6</v>
      </c>
      <c r="U12" s="94"/>
      <c r="V12" s="71"/>
      <c r="W12" s="71"/>
      <c r="X12" s="152"/>
      <c r="Y12" s="153"/>
      <c r="Z12" s="72"/>
    </row>
    <row r="13" spans="1:36" s="73" customFormat="1" ht="31.9" customHeight="1">
      <c r="A13" s="64"/>
      <c r="B13" s="109"/>
      <c r="C13" s="76" t="s">
        <v>1311</v>
      </c>
      <c r="D13" s="681"/>
      <c r="E13" s="682"/>
      <c r="F13" s="683"/>
      <c r="G13" s="77"/>
      <c r="H13" s="78"/>
      <c r="I13" s="79"/>
      <c r="J13" s="226"/>
      <c r="K13" s="81">
        <v>125.5</v>
      </c>
      <c r="L13" s="82"/>
      <c r="M13" s="83"/>
      <c r="N13" s="105"/>
      <c r="O13" s="84"/>
      <c r="P13" s="82"/>
      <c r="Q13" s="93"/>
      <c r="R13" s="85">
        <f>PRODUCT(D13:L13)</f>
        <v>125.5</v>
      </c>
      <c r="S13" s="154" t="s">
        <v>58</v>
      </c>
      <c r="T13" s="215">
        <v>9</v>
      </c>
      <c r="U13" s="94"/>
      <c r="V13" s="71"/>
      <c r="W13" s="71"/>
      <c r="X13" s="152"/>
      <c r="Y13" s="153"/>
      <c r="Z13" s="72"/>
    </row>
    <row r="14" spans="1:36" s="73" customFormat="1" ht="21" customHeight="1">
      <c r="A14" s="64"/>
      <c r="B14" s="109"/>
      <c r="C14" s="76" t="s">
        <v>1289</v>
      </c>
      <c r="D14" s="863">
        <v>18</v>
      </c>
      <c r="E14" s="864"/>
      <c r="F14" s="865"/>
      <c r="G14" s="863">
        <v>5</v>
      </c>
      <c r="H14" s="864"/>
      <c r="I14" s="865"/>
      <c r="J14" s="66"/>
      <c r="K14" s="81">
        <f>D14*G14</f>
        <v>90</v>
      </c>
      <c r="L14" s="67"/>
      <c r="M14" s="68"/>
      <c r="N14" s="110"/>
      <c r="O14" s="69"/>
      <c r="P14" s="67"/>
      <c r="Q14" s="106"/>
      <c r="R14" s="85">
        <f>K14</f>
        <v>90</v>
      </c>
      <c r="S14" s="154" t="s">
        <v>57</v>
      </c>
      <c r="T14" s="215">
        <v>9</v>
      </c>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ht="39.6" customHeight="1">
      <c r="B16" s="161"/>
      <c r="C16" s="162"/>
      <c r="D16" s="806" t="s">
        <v>11</v>
      </c>
      <c r="E16" s="807"/>
      <c r="F16" s="807"/>
      <c r="G16" s="807"/>
      <c r="H16" s="807"/>
      <c r="I16" s="808"/>
      <c r="J16" s="809">
        <f>DEZ!I306</f>
        <v>431</v>
      </c>
      <c r="K16" s="810"/>
      <c r="L16" s="50" t="str">
        <f>VLOOKUP(A18,DEZ!$A$2:$S$731,4,FALSE)</f>
        <v>m2</v>
      </c>
      <c r="M16" s="803" t="s">
        <v>12</v>
      </c>
      <c r="N16" s="811"/>
      <c r="O16" s="811"/>
      <c r="P16" s="811"/>
      <c r="Q16" s="805"/>
      <c r="R16" s="61">
        <f>SUM(R12:R15)</f>
        <v>431</v>
      </c>
      <c r="S16" s="51" t="str">
        <f>L16</f>
        <v>m2</v>
      </c>
      <c r="T16" s="22"/>
      <c r="U16" s="23"/>
    </row>
    <row r="17" spans="1:21" ht="21" customHeight="1">
      <c r="B17" s="163"/>
      <c r="C17" s="19"/>
      <c r="D17" s="817" t="s">
        <v>13</v>
      </c>
      <c r="E17" s="818"/>
      <c r="F17" s="818"/>
      <c r="G17" s="818"/>
      <c r="H17" s="818"/>
      <c r="I17" s="819"/>
      <c r="J17" s="823">
        <f>R16/J16</f>
        <v>1</v>
      </c>
      <c r="K17" s="824"/>
      <c r="L17" s="827"/>
      <c r="M17" s="803" t="s">
        <v>34</v>
      </c>
      <c r="N17" s="804"/>
      <c r="O17" s="804"/>
      <c r="P17" s="804"/>
      <c r="Q17" s="805"/>
      <c r="R17" s="61">
        <f>SUM(R12:R15)</f>
        <v>431</v>
      </c>
      <c r="S17" s="52" t="str">
        <f>L16</f>
        <v>m2</v>
      </c>
      <c r="T17" s="22"/>
      <c r="U17" s="23"/>
    </row>
    <row r="18" spans="1:21" ht="21" customHeight="1">
      <c r="A18" s="10" t="s">
        <v>465</v>
      </c>
      <c r="B18" s="165"/>
      <c r="C18" s="164"/>
      <c r="D18" s="820"/>
      <c r="E18" s="821"/>
      <c r="F18" s="821"/>
      <c r="G18" s="821"/>
      <c r="H18" s="821"/>
      <c r="I18" s="822"/>
      <c r="J18" s="825"/>
      <c r="K18" s="826"/>
      <c r="L18" s="828"/>
      <c r="M18" s="803" t="s">
        <v>14</v>
      </c>
      <c r="N18" s="804"/>
      <c r="O18" s="804"/>
      <c r="P18" s="804"/>
      <c r="Q18" s="805"/>
      <c r="R18" s="62">
        <f>R16-R17</f>
        <v>0</v>
      </c>
      <c r="S18" s="53" t="str">
        <f>L16</f>
        <v>m2</v>
      </c>
      <c r="T18" s="54"/>
      <c r="U18" s="24"/>
    </row>
    <row r="19" spans="1:21" ht="21" customHeight="1">
      <c r="B19" s="218"/>
      <c r="C19" s="217"/>
      <c r="M19" s="803" t="s">
        <v>53</v>
      </c>
      <c r="N19" s="804"/>
      <c r="O19" s="804"/>
      <c r="P19" s="804"/>
      <c r="Q19" s="805"/>
      <c r="R19" s="62">
        <f>VLOOKUP(A18,DEZ!$A$2:$S$731,5,FALSE)</f>
        <v>86.33</v>
      </c>
      <c r="S19" s="53"/>
      <c r="T19" s="54"/>
      <c r="U19" s="24"/>
    </row>
    <row r="20" spans="1:21" ht="21" customHeight="1">
      <c r="B20" s="163"/>
      <c r="C20" s="219"/>
      <c r="M20" s="803" t="s">
        <v>54</v>
      </c>
      <c r="N20" s="804"/>
      <c r="O20" s="804"/>
      <c r="P20" s="804"/>
      <c r="Q20" s="805"/>
      <c r="R20" s="62">
        <f>TRUNC(R19*R18,2)</f>
        <v>0</v>
      </c>
      <c r="S20" s="53" t="s">
        <v>55</v>
      </c>
      <c r="T20" s="54"/>
      <c r="U20" s="24"/>
    </row>
  </sheetData>
  <mergeCells count="37">
    <mergeCell ref="M20:Q20"/>
    <mergeCell ref="D17:I18"/>
    <mergeCell ref="J17:K18"/>
    <mergeCell ref="L17:L18"/>
    <mergeCell ref="M17:Q17"/>
    <mergeCell ref="M18:Q18"/>
    <mergeCell ref="M19:Q19"/>
    <mergeCell ref="D12:F12"/>
    <mergeCell ref="D16:I16"/>
    <mergeCell ref="J16:K16"/>
    <mergeCell ref="M16:Q16"/>
    <mergeCell ref="N10:N11"/>
    <mergeCell ref="O10:O11"/>
    <mergeCell ref="P10:P11"/>
    <mergeCell ref="Q10:Q11"/>
    <mergeCell ref="D14:F14"/>
    <mergeCell ref="G14:I14"/>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phoneticPr fontId="61" type="noConversion"/>
  <conditionalFormatting sqref="J17:K20">
    <cfRule type="cellIs" dxfId="355" priority="1" operator="greaterThanOrEqual">
      <formula>1</formula>
    </cfRule>
    <cfRule type="cellIs" dxfId="35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tabColor rgb="FF339933"/>
    <pageSetUpPr fitToPage="1"/>
  </sheetPr>
  <dimension ref="A1:AJ32"/>
  <sheetViews>
    <sheetView view="pageBreakPreview" topLeftCell="B10" zoomScale="50" zoomScaleNormal="55" zoomScaleSheetLayoutView="50" workbookViewId="0">
      <selection activeCell="C38" sqref="C3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A30</f>
        <v>1.1.2.6</v>
      </c>
      <c r="C10" s="845" t="str">
        <f>CONCATENATE(VLOOKUP(A30,DEZ!$A$2:$S$731,2,FALSE)," - ",VLOOKUP(A30,DEZ!$A$2:$S$731,3,FALSE))</f>
        <v>20356 - Aluguel mensal container para almoxarifado, incl. porta, 2 janelas, 1 pt iluminação, Isolamento térmico (teto), piso em comp. Naval pintado, cert. NR18, incl. laudo descontaminação.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871</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t="s">
        <v>869</v>
      </c>
      <c r="D13" s="77"/>
      <c r="E13" s="78"/>
      <c r="F13" s="79"/>
      <c r="G13" s="77"/>
      <c r="H13" s="78"/>
      <c r="I13" s="79"/>
      <c r="J13" s="80"/>
      <c r="K13" s="81"/>
      <c r="L13" s="82"/>
      <c r="M13" s="83">
        <v>1</v>
      </c>
      <c r="N13" s="105"/>
      <c r="O13" s="84"/>
      <c r="P13" s="82"/>
      <c r="Q13" s="93"/>
      <c r="R13" s="85">
        <f t="shared" ref="R13:R19" si="0">M13</f>
        <v>1</v>
      </c>
      <c r="S13" s="221" t="s">
        <v>52</v>
      </c>
      <c r="T13" s="215">
        <v>1</v>
      </c>
      <c r="U13" s="94"/>
      <c r="V13" s="71"/>
      <c r="W13" s="71"/>
      <c r="X13" s="152"/>
      <c r="Y13" s="153"/>
      <c r="Z13" s="72"/>
    </row>
    <row r="14" spans="1:36" s="73" customFormat="1" ht="21" customHeight="1">
      <c r="A14" s="64"/>
      <c r="B14" s="109"/>
      <c r="C14" s="65" t="s">
        <v>914</v>
      </c>
      <c r="D14" s="77"/>
      <c r="E14" s="78"/>
      <c r="F14" s="79"/>
      <c r="G14" s="77"/>
      <c r="H14" s="78"/>
      <c r="I14" s="79"/>
      <c r="J14" s="80"/>
      <c r="K14" s="81"/>
      <c r="L14" s="82"/>
      <c r="M14" s="83">
        <v>1</v>
      </c>
      <c r="N14" s="105"/>
      <c r="O14" s="84"/>
      <c r="P14" s="82"/>
      <c r="Q14" s="93"/>
      <c r="R14" s="85">
        <f t="shared" si="0"/>
        <v>1</v>
      </c>
      <c r="S14" s="111" t="s">
        <v>52</v>
      </c>
      <c r="T14" s="215">
        <v>2</v>
      </c>
      <c r="U14" s="94"/>
      <c r="V14" s="71"/>
      <c r="W14" s="71"/>
      <c r="X14" s="152"/>
      <c r="Y14" s="153"/>
      <c r="Z14" s="72"/>
    </row>
    <row r="15" spans="1:36" s="73" customFormat="1" ht="21" customHeight="1">
      <c r="A15" s="64"/>
      <c r="B15" s="109"/>
      <c r="C15" s="65" t="s">
        <v>924</v>
      </c>
      <c r="D15" s="77"/>
      <c r="E15" s="78"/>
      <c r="F15" s="79"/>
      <c r="G15" s="77"/>
      <c r="H15" s="78"/>
      <c r="I15" s="79"/>
      <c r="J15" s="80"/>
      <c r="K15" s="81"/>
      <c r="L15" s="82"/>
      <c r="M15" s="83">
        <v>1</v>
      </c>
      <c r="N15" s="105"/>
      <c r="O15" s="84"/>
      <c r="P15" s="82"/>
      <c r="Q15" s="93"/>
      <c r="R15" s="85">
        <f t="shared" si="0"/>
        <v>1</v>
      </c>
      <c r="S15" s="111" t="s">
        <v>52</v>
      </c>
      <c r="T15" s="215">
        <v>3</v>
      </c>
      <c r="U15" s="94"/>
      <c r="V15" s="71"/>
      <c r="W15" s="71"/>
      <c r="X15" s="152"/>
      <c r="Y15" s="153"/>
      <c r="Z15" s="72"/>
    </row>
    <row r="16" spans="1:36" s="73" customFormat="1" ht="21" customHeight="1">
      <c r="A16" s="64"/>
      <c r="B16" s="109"/>
      <c r="C16" s="65" t="s">
        <v>943</v>
      </c>
      <c r="D16" s="77"/>
      <c r="E16" s="78"/>
      <c r="F16" s="79"/>
      <c r="G16" s="77"/>
      <c r="H16" s="78"/>
      <c r="I16" s="79"/>
      <c r="J16" s="66"/>
      <c r="K16" s="108"/>
      <c r="L16" s="67"/>
      <c r="M16" s="68">
        <v>1</v>
      </c>
      <c r="N16" s="110"/>
      <c r="O16" s="69"/>
      <c r="P16" s="67"/>
      <c r="Q16" s="106"/>
      <c r="R16" s="85">
        <f t="shared" si="0"/>
        <v>1</v>
      </c>
      <c r="S16" s="111" t="s">
        <v>52</v>
      </c>
      <c r="T16" s="215">
        <v>4</v>
      </c>
      <c r="U16" s="94"/>
      <c r="V16" s="71"/>
      <c r="W16" s="71"/>
      <c r="X16" s="152"/>
      <c r="Y16" s="153"/>
      <c r="Z16" s="72"/>
      <c r="AA16" s="71"/>
      <c r="AB16" s="74"/>
    </row>
    <row r="17" spans="1:28" s="73" customFormat="1" ht="21" customHeight="1">
      <c r="A17" s="64"/>
      <c r="B17" s="109"/>
      <c r="C17" s="65" t="s">
        <v>962</v>
      </c>
      <c r="D17" s="77"/>
      <c r="E17" s="78"/>
      <c r="F17" s="79"/>
      <c r="G17" s="77"/>
      <c r="H17" s="78"/>
      <c r="I17" s="79"/>
      <c r="J17" s="66"/>
      <c r="K17" s="108"/>
      <c r="L17" s="67"/>
      <c r="M17" s="68">
        <v>1</v>
      </c>
      <c r="N17" s="110"/>
      <c r="O17" s="69"/>
      <c r="P17" s="67"/>
      <c r="Q17" s="106"/>
      <c r="R17" s="70">
        <f t="shared" si="0"/>
        <v>1</v>
      </c>
      <c r="S17" s="111" t="s">
        <v>52</v>
      </c>
      <c r="T17" s="215">
        <v>5</v>
      </c>
      <c r="U17" s="94"/>
      <c r="V17" s="71"/>
      <c r="W17" s="71"/>
      <c r="X17" s="152"/>
      <c r="Y17" s="153"/>
      <c r="Z17" s="72"/>
      <c r="AA17" s="71"/>
      <c r="AB17" s="74"/>
    </row>
    <row r="18" spans="1:28" s="73" customFormat="1" ht="21" customHeight="1">
      <c r="A18" s="64"/>
      <c r="B18" s="109"/>
      <c r="C18" s="65" t="s">
        <v>982</v>
      </c>
      <c r="D18" s="77"/>
      <c r="E18" s="78"/>
      <c r="F18" s="79"/>
      <c r="G18" s="77"/>
      <c r="H18" s="78"/>
      <c r="I18" s="79"/>
      <c r="J18" s="66"/>
      <c r="K18" s="108"/>
      <c r="L18" s="67"/>
      <c r="M18" s="68">
        <v>1</v>
      </c>
      <c r="N18" s="110"/>
      <c r="O18" s="69"/>
      <c r="P18" s="67"/>
      <c r="Q18" s="106"/>
      <c r="R18" s="70">
        <f t="shared" si="0"/>
        <v>1</v>
      </c>
      <c r="S18" s="111" t="s">
        <v>52</v>
      </c>
      <c r="T18" s="215">
        <v>6</v>
      </c>
      <c r="U18" s="94"/>
      <c r="V18" s="71"/>
      <c r="W18" s="71"/>
      <c r="X18" s="152"/>
      <c r="Y18" s="153"/>
      <c r="Z18" s="72"/>
      <c r="AA18" s="71"/>
      <c r="AB18" s="74"/>
    </row>
    <row r="19" spans="1:28" s="90" customFormat="1" ht="21" customHeight="1">
      <c r="A19" s="75"/>
      <c r="B19" s="107"/>
      <c r="C19" s="104" t="s">
        <v>999</v>
      </c>
      <c r="D19" s="77"/>
      <c r="E19" s="78"/>
      <c r="F19" s="79"/>
      <c r="G19" s="77"/>
      <c r="H19" s="78"/>
      <c r="I19" s="79"/>
      <c r="J19" s="80"/>
      <c r="K19" s="81"/>
      <c r="L19" s="82"/>
      <c r="M19" s="68">
        <v>1</v>
      </c>
      <c r="N19" s="84"/>
      <c r="O19" s="155"/>
      <c r="P19" s="156"/>
      <c r="Q19" s="85"/>
      <c r="R19" s="70">
        <f t="shared" si="0"/>
        <v>1</v>
      </c>
      <c r="S19" s="111" t="s">
        <v>52</v>
      </c>
      <c r="T19" s="215">
        <v>7</v>
      </c>
      <c r="U19" s="92"/>
      <c r="V19" s="86"/>
      <c r="W19" s="86"/>
      <c r="X19" s="86"/>
      <c r="Y19" s="151"/>
      <c r="Z19" s="87"/>
      <c r="AA19" s="88"/>
      <c r="AB19" s="89"/>
    </row>
    <row r="20" spans="1:28" s="90" customFormat="1" ht="21" customHeight="1">
      <c r="A20" s="75"/>
      <c r="B20" s="107"/>
      <c r="C20" s="104" t="s">
        <v>1025</v>
      </c>
      <c r="D20" s="77"/>
      <c r="E20" s="78"/>
      <c r="F20" s="79"/>
      <c r="G20" s="77"/>
      <c r="H20" s="78"/>
      <c r="I20" s="79"/>
      <c r="J20" s="80"/>
      <c r="K20" s="81"/>
      <c r="L20" s="82"/>
      <c r="M20" s="68">
        <v>1</v>
      </c>
      <c r="N20" s="84"/>
      <c r="O20" s="155"/>
      <c r="P20" s="156"/>
      <c r="Q20" s="85"/>
      <c r="R20" s="70">
        <f t="shared" ref="R20:R22" si="1">M20</f>
        <v>1</v>
      </c>
      <c r="S20" s="111" t="s">
        <v>52</v>
      </c>
      <c r="T20" s="215">
        <v>8</v>
      </c>
      <c r="U20" s="92"/>
      <c r="V20" s="86"/>
      <c r="W20" s="86"/>
      <c r="X20" s="86"/>
      <c r="Y20" s="151"/>
      <c r="Z20" s="87"/>
      <c r="AA20" s="88"/>
      <c r="AB20" s="89"/>
    </row>
    <row r="21" spans="1:28" s="73" customFormat="1" ht="21" customHeight="1">
      <c r="A21" s="64"/>
      <c r="B21" s="109"/>
      <c r="C21" s="65" t="s">
        <v>1362</v>
      </c>
      <c r="D21" s="77"/>
      <c r="E21" s="78"/>
      <c r="F21" s="79"/>
      <c r="G21" s="77"/>
      <c r="H21" s="78"/>
      <c r="I21" s="79"/>
      <c r="J21" s="66"/>
      <c r="K21" s="108"/>
      <c r="L21" s="67"/>
      <c r="M21" s="68">
        <v>1</v>
      </c>
      <c r="N21" s="110"/>
      <c r="O21" s="69"/>
      <c r="P21" s="67"/>
      <c r="Q21" s="106"/>
      <c r="R21" s="70">
        <f t="shared" si="1"/>
        <v>1</v>
      </c>
      <c r="S21" s="111" t="s">
        <v>52</v>
      </c>
      <c r="T21" s="215">
        <v>9</v>
      </c>
      <c r="U21" s="94"/>
      <c r="V21" s="71"/>
      <c r="W21" s="71"/>
      <c r="X21" s="152"/>
      <c r="Y21" s="153"/>
      <c r="Z21" s="72"/>
      <c r="AA21" s="71"/>
      <c r="AB21" s="74"/>
    </row>
    <row r="22" spans="1:28" s="90" customFormat="1" ht="21" customHeight="1">
      <c r="A22" s="75"/>
      <c r="B22" s="157"/>
      <c r="C22" s="76" t="s">
        <v>1389</v>
      </c>
      <c r="D22" s="77"/>
      <c r="E22" s="78"/>
      <c r="F22" s="79"/>
      <c r="G22" s="77"/>
      <c r="H22" s="78"/>
      <c r="I22" s="79"/>
      <c r="J22" s="80"/>
      <c r="K22" s="81"/>
      <c r="L22" s="82"/>
      <c r="M22" s="83">
        <v>1</v>
      </c>
      <c r="N22" s="84"/>
      <c r="O22" s="84"/>
      <c r="P22" s="82"/>
      <c r="Q22" s="85"/>
      <c r="R22" s="85">
        <f t="shared" si="1"/>
        <v>1</v>
      </c>
      <c r="S22" s="111" t="s">
        <v>52</v>
      </c>
      <c r="T22" s="215">
        <v>10</v>
      </c>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90" customFormat="1" ht="21" customHeight="1">
      <c r="A25" s="75"/>
      <c r="B25" s="157"/>
      <c r="C25" s="76"/>
      <c r="D25" s="77"/>
      <c r="E25" s="78"/>
      <c r="F25" s="79"/>
      <c r="G25" s="77"/>
      <c r="H25" s="78"/>
      <c r="I25" s="79"/>
      <c r="J25" s="80"/>
      <c r="K25" s="81"/>
      <c r="L25" s="82"/>
      <c r="M25" s="83"/>
      <c r="N25" s="84"/>
      <c r="O25" s="84"/>
      <c r="P25" s="82"/>
      <c r="Q25" s="85"/>
      <c r="R25" s="85"/>
      <c r="S25" s="154"/>
      <c r="T25" s="215"/>
      <c r="U25" s="92"/>
      <c r="V25" s="86"/>
      <c r="W25" s="86"/>
      <c r="X25" s="86"/>
      <c r="Y25" s="151"/>
      <c r="Z25" s="87"/>
      <c r="AA25" s="88"/>
      <c r="AB25" s="89"/>
    </row>
    <row r="26" spans="1:28" s="1" customFormat="1" ht="21" customHeight="1">
      <c r="A26" s="11"/>
      <c r="B26" s="25"/>
      <c r="C26" s="20"/>
      <c r="D26" s="26"/>
      <c r="E26" s="159"/>
      <c r="F26" s="27"/>
      <c r="G26" s="26"/>
      <c r="H26" s="159"/>
      <c r="I26" s="27"/>
      <c r="J26" s="28"/>
      <c r="K26" s="49"/>
      <c r="L26" s="40"/>
      <c r="M26" s="41"/>
      <c r="N26" s="160"/>
      <c r="O26" s="160"/>
      <c r="P26" s="40"/>
      <c r="Q26" s="42"/>
      <c r="R26" s="60"/>
      <c r="S26" s="43"/>
      <c r="T26" s="215"/>
      <c r="U26" s="48"/>
      <c r="V26" s="120"/>
      <c r="W26" s="120"/>
      <c r="X26" s="120"/>
      <c r="Y26" s="142"/>
      <c r="Z26" s="15"/>
      <c r="AA26" s="17"/>
      <c r="AB26" s="44"/>
    </row>
    <row r="27" spans="1:28" ht="21" customHeight="1">
      <c r="B27" s="118"/>
      <c r="C27" s="119"/>
      <c r="D27" s="26"/>
      <c r="E27" s="159"/>
      <c r="F27" s="27"/>
      <c r="G27" s="26"/>
      <c r="H27" s="159"/>
      <c r="I27" s="27"/>
      <c r="J27" s="28"/>
      <c r="K27" s="49"/>
      <c r="L27" s="40"/>
      <c r="M27" s="41"/>
      <c r="N27" s="160"/>
      <c r="O27" s="160"/>
      <c r="P27" s="40"/>
      <c r="Q27" s="42"/>
      <c r="R27" s="60"/>
      <c r="S27" s="43"/>
      <c r="T27" s="216"/>
      <c r="U27" s="117"/>
    </row>
    <row r="28" spans="1:28" ht="39.6" customHeight="1">
      <c r="B28" s="161"/>
      <c r="C28" s="162"/>
      <c r="D28" s="806" t="s">
        <v>11</v>
      </c>
      <c r="E28" s="807"/>
      <c r="F28" s="807"/>
      <c r="G28" s="807"/>
      <c r="H28" s="807"/>
      <c r="I28" s="808"/>
      <c r="J28" s="809">
        <f>VLOOKUP(A30,DEZ!$A$2:$S$731,6,FALSE)</f>
        <v>10</v>
      </c>
      <c r="K28" s="810"/>
      <c r="L28" s="50" t="str">
        <f>VLOOKUP(A30,DEZ!$A$2:$S$731,4,FALSE)</f>
        <v>ms</v>
      </c>
      <c r="M28" s="803" t="s">
        <v>12</v>
      </c>
      <c r="N28" s="811"/>
      <c r="O28" s="811"/>
      <c r="P28" s="811"/>
      <c r="Q28" s="805"/>
      <c r="R28" s="61">
        <f>SUM(R12:R27)</f>
        <v>10</v>
      </c>
      <c r="S28" s="51" t="str">
        <f>L28</f>
        <v>ms</v>
      </c>
      <c r="T28" s="22"/>
      <c r="U28" s="23"/>
    </row>
    <row r="29" spans="1:28" ht="21" customHeight="1">
      <c r="B29" s="163"/>
      <c r="C29" s="19"/>
      <c r="D29" s="817" t="s">
        <v>13</v>
      </c>
      <c r="E29" s="818"/>
      <c r="F29" s="818"/>
      <c r="G29" s="818"/>
      <c r="H29" s="818"/>
      <c r="I29" s="819"/>
      <c r="J29" s="823">
        <f>R28/J28</f>
        <v>1</v>
      </c>
      <c r="K29" s="824"/>
      <c r="L29" s="827"/>
      <c r="M29" s="803" t="s">
        <v>34</v>
      </c>
      <c r="N29" s="804"/>
      <c r="O29" s="804"/>
      <c r="P29" s="804"/>
      <c r="Q29" s="805"/>
      <c r="R29" s="61">
        <f>SUM(R13:R22)</f>
        <v>10</v>
      </c>
      <c r="S29" s="52" t="str">
        <f>L28</f>
        <v>ms</v>
      </c>
      <c r="T29" s="22"/>
      <c r="U29" s="23"/>
    </row>
    <row r="30" spans="1:28" ht="21" customHeight="1">
      <c r="A30" s="10" t="s">
        <v>79</v>
      </c>
      <c r="B30" s="165"/>
      <c r="C30" s="164"/>
      <c r="D30" s="820"/>
      <c r="E30" s="821"/>
      <c r="F30" s="821"/>
      <c r="G30" s="821"/>
      <c r="H30" s="821"/>
      <c r="I30" s="822"/>
      <c r="J30" s="825"/>
      <c r="K30" s="826"/>
      <c r="L30" s="828"/>
      <c r="M30" s="803" t="s">
        <v>14</v>
      </c>
      <c r="N30" s="804"/>
      <c r="O30" s="804"/>
      <c r="P30" s="804"/>
      <c r="Q30" s="805"/>
      <c r="R30" s="62">
        <f>R28-R29</f>
        <v>0</v>
      </c>
      <c r="S30" s="53" t="str">
        <f>L28</f>
        <v>ms</v>
      </c>
      <c r="T30" s="54"/>
      <c r="U30" s="24"/>
    </row>
    <row r="31" spans="1:28" ht="21" customHeight="1">
      <c r="B31" s="218"/>
      <c r="C31" s="217"/>
      <c r="M31" s="803" t="s">
        <v>53</v>
      </c>
      <c r="N31" s="804"/>
      <c r="O31" s="804"/>
      <c r="P31" s="804"/>
      <c r="Q31" s="805"/>
      <c r="R31" s="62">
        <f>VLOOKUP(A30,DEZ!$A$2:$S$731,5,FALSE)</f>
        <v>489.95</v>
      </c>
      <c r="S31" s="53"/>
      <c r="T31" s="54"/>
      <c r="U31" s="24"/>
    </row>
    <row r="32" spans="1:28" ht="21" customHeight="1">
      <c r="B32" s="163"/>
      <c r="C32" s="219"/>
      <c r="M32" s="803" t="s">
        <v>54</v>
      </c>
      <c r="N32" s="804"/>
      <c r="O32" s="804"/>
      <c r="P32" s="804"/>
      <c r="Q32" s="805"/>
      <c r="R32" s="62">
        <f>TRUNC(R31*R30,2)</f>
        <v>0</v>
      </c>
      <c r="S32" s="53" t="s">
        <v>55</v>
      </c>
      <c r="T32" s="54"/>
      <c r="U32" s="24"/>
    </row>
  </sheetData>
  <mergeCells count="34">
    <mergeCell ref="T7:U7"/>
    <mergeCell ref="B1:U4"/>
    <mergeCell ref="V4:AA4"/>
    <mergeCell ref="B5:I5"/>
    <mergeCell ref="J5:O5"/>
    <mergeCell ref="P5:U5"/>
    <mergeCell ref="R10:R11"/>
    <mergeCell ref="S10:S11"/>
    <mergeCell ref="T8:U8"/>
    <mergeCell ref="T9:U9"/>
    <mergeCell ref="B10:B11"/>
    <mergeCell ref="C10:C11"/>
    <mergeCell ref="D10:F11"/>
    <mergeCell ref="G10:I11"/>
    <mergeCell ref="J10:J11"/>
    <mergeCell ref="K10:K11"/>
    <mergeCell ref="L10:L11"/>
    <mergeCell ref="M10:M11"/>
    <mergeCell ref="M31:Q31"/>
    <mergeCell ref="M32:Q32"/>
    <mergeCell ref="T10:T11"/>
    <mergeCell ref="U10:U11"/>
    <mergeCell ref="D28:I28"/>
    <mergeCell ref="J28:K28"/>
    <mergeCell ref="M28:Q28"/>
    <mergeCell ref="D29:I30"/>
    <mergeCell ref="J29:K30"/>
    <mergeCell ref="L29:L30"/>
    <mergeCell ref="M29:Q29"/>
    <mergeCell ref="M30:Q30"/>
    <mergeCell ref="N10:N11"/>
    <mergeCell ref="O10:O11"/>
    <mergeCell ref="P10:P11"/>
    <mergeCell ref="Q10:Q11"/>
  </mergeCells>
  <conditionalFormatting sqref="J29:K32">
    <cfRule type="cellIs" dxfId="425" priority="1" operator="greaterThanOrEqual">
      <formula>1</formula>
    </cfRule>
    <cfRule type="cellIs" dxfId="42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24">
    <tabColor rgb="FFFFFF66"/>
    <pageSetUpPr fitToPage="1"/>
  </sheetPr>
  <dimension ref="A1:AJ29"/>
  <sheetViews>
    <sheetView view="pageBreakPreview" topLeftCell="E5" zoomScale="50" zoomScaleNormal="55" zoomScaleSheetLayoutView="50"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A27</f>
        <v>2.3.2.1</v>
      </c>
      <c r="C10" s="845" t="str">
        <f>CONCATENATE(VLOOKUP(A27,DEZ!$A$2:$S$731,2,FALSE)," - ",VLOOKUP(A27,DEZ!$A$2:$S$731,3,FALSE))</f>
        <v>COT14 - SONDAGEM A PERCUSSÃO COM ENSAIO SPT - INCLUSIVE MOBILIZAÇÃO E DESMOBILIZAÇÃO DE EQUIPAMENTO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76" t="s">
        <v>1006</v>
      </c>
      <c r="D12" s="854">
        <v>15.3</v>
      </c>
      <c r="E12" s="855"/>
      <c r="F12" s="856"/>
      <c r="G12" s="77"/>
      <c r="H12" s="78"/>
      <c r="I12" s="79"/>
      <c r="J12" s="80"/>
      <c r="K12" s="81"/>
      <c r="L12" s="82"/>
      <c r="M12" s="83"/>
      <c r="N12" s="105"/>
      <c r="O12" s="84"/>
      <c r="P12" s="82"/>
      <c r="Q12" s="93"/>
      <c r="R12" s="85">
        <f>D12</f>
        <v>15.3</v>
      </c>
      <c r="S12" s="111" t="s">
        <v>51</v>
      </c>
      <c r="T12" s="215">
        <v>8</v>
      </c>
      <c r="U12" s="91"/>
      <c r="V12" s="71"/>
      <c r="W12" s="71"/>
      <c r="X12" s="152"/>
      <c r="Y12" s="153"/>
      <c r="Z12" s="72"/>
    </row>
    <row r="13" spans="1:36" s="73" customFormat="1" ht="21" customHeight="1">
      <c r="A13" s="64"/>
      <c r="B13" s="109"/>
      <c r="C13" s="76" t="s">
        <v>1007</v>
      </c>
      <c r="D13" s="854">
        <v>19.45</v>
      </c>
      <c r="E13" s="855"/>
      <c r="F13" s="856"/>
      <c r="G13" s="77"/>
      <c r="H13" s="78"/>
      <c r="I13" s="79"/>
      <c r="J13" s="80"/>
      <c r="K13" s="81"/>
      <c r="L13" s="82"/>
      <c r="M13" s="83"/>
      <c r="N13" s="105"/>
      <c r="O13" s="84"/>
      <c r="P13" s="82"/>
      <c r="Q13" s="93"/>
      <c r="R13" s="85">
        <f t="shared" ref="R13:R15" si="0">D13</f>
        <v>19.45</v>
      </c>
      <c r="S13" s="111" t="s">
        <v>51</v>
      </c>
      <c r="T13" s="215">
        <v>8</v>
      </c>
      <c r="U13" s="94"/>
      <c r="V13" s="71"/>
      <c r="W13" s="71"/>
      <c r="X13" s="152"/>
      <c r="Y13" s="153"/>
      <c r="Z13" s="72"/>
    </row>
    <row r="14" spans="1:36" s="73" customFormat="1" ht="21" customHeight="1">
      <c r="A14" s="64"/>
      <c r="B14" s="109"/>
      <c r="C14" s="76" t="s">
        <v>1008</v>
      </c>
      <c r="D14" s="854">
        <v>20.2</v>
      </c>
      <c r="E14" s="855"/>
      <c r="F14" s="856"/>
      <c r="G14" s="77"/>
      <c r="H14" s="78"/>
      <c r="I14" s="79"/>
      <c r="J14" s="80"/>
      <c r="K14" s="81"/>
      <c r="L14" s="82"/>
      <c r="M14" s="83"/>
      <c r="N14" s="105"/>
      <c r="O14" s="84"/>
      <c r="P14" s="82"/>
      <c r="Q14" s="93"/>
      <c r="R14" s="85">
        <f t="shared" si="0"/>
        <v>20.2</v>
      </c>
      <c r="S14" s="111" t="s">
        <v>51</v>
      </c>
      <c r="T14" s="215">
        <v>8</v>
      </c>
      <c r="U14" s="94"/>
      <c r="V14" s="71"/>
      <c r="W14" s="71"/>
      <c r="X14" s="152"/>
      <c r="Y14" s="153"/>
      <c r="Z14" s="72"/>
    </row>
    <row r="15" spans="1:36" s="73" customFormat="1" ht="21" customHeight="1">
      <c r="A15" s="64"/>
      <c r="B15" s="109"/>
      <c r="C15" s="76" t="s">
        <v>1009</v>
      </c>
      <c r="D15" s="854">
        <v>19.7</v>
      </c>
      <c r="E15" s="855"/>
      <c r="F15" s="856"/>
      <c r="G15" s="77"/>
      <c r="H15" s="78"/>
      <c r="I15" s="79"/>
      <c r="J15" s="66"/>
      <c r="K15" s="108"/>
      <c r="L15" s="67"/>
      <c r="M15" s="68"/>
      <c r="N15" s="110"/>
      <c r="O15" s="69"/>
      <c r="P15" s="67"/>
      <c r="Q15" s="106"/>
      <c r="R15" s="85">
        <f t="shared" si="0"/>
        <v>19.7</v>
      </c>
      <c r="S15" s="111" t="s">
        <v>51</v>
      </c>
      <c r="T15" s="215">
        <v>8</v>
      </c>
      <c r="U15" s="94"/>
      <c r="V15" s="71"/>
      <c r="W15" s="71"/>
      <c r="X15" s="152"/>
      <c r="Y15" s="153"/>
      <c r="Z15" s="72"/>
      <c r="AA15" s="71"/>
      <c r="AB15" s="74"/>
    </row>
    <row r="16" spans="1:36" s="73" customFormat="1" ht="21" customHeight="1">
      <c r="A16" s="64"/>
      <c r="B16" s="109"/>
      <c r="C16" s="76"/>
      <c r="D16" s="854"/>
      <c r="E16" s="855"/>
      <c r="F16" s="856"/>
      <c r="G16" s="77"/>
      <c r="H16" s="78"/>
      <c r="I16" s="79"/>
      <c r="J16" s="80"/>
      <c r="K16" s="81"/>
      <c r="L16" s="82"/>
      <c r="M16" s="83"/>
      <c r="N16" s="105"/>
      <c r="O16" s="84"/>
      <c r="P16" s="82"/>
      <c r="Q16" s="93"/>
      <c r="R16" s="85"/>
      <c r="S16" s="154"/>
      <c r="T16" s="215"/>
      <c r="U16" s="94"/>
      <c r="V16" s="71"/>
      <c r="W16" s="71"/>
      <c r="X16" s="152"/>
      <c r="Y16" s="153"/>
      <c r="Z16" s="72"/>
    </row>
    <row r="17" spans="1:28" s="73" customFormat="1" ht="21" customHeight="1">
      <c r="A17" s="64"/>
      <c r="B17" s="109"/>
      <c r="C17" s="76"/>
      <c r="D17" s="854"/>
      <c r="E17" s="855"/>
      <c r="F17" s="856"/>
      <c r="G17" s="77"/>
      <c r="H17" s="78"/>
      <c r="I17" s="79"/>
      <c r="J17" s="80"/>
      <c r="K17" s="81"/>
      <c r="L17" s="82"/>
      <c r="M17" s="83"/>
      <c r="N17" s="105"/>
      <c r="O17" s="84"/>
      <c r="P17" s="82"/>
      <c r="Q17" s="93"/>
      <c r="R17" s="85"/>
      <c r="S17" s="154"/>
      <c r="T17" s="215"/>
      <c r="U17" s="94"/>
      <c r="V17" s="71"/>
      <c r="W17" s="71"/>
      <c r="X17" s="152"/>
      <c r="Y17" s="153"/>
      <c r="Z17" s="72"/>
    </row>
    <row r="18" spans="1:28" s="73" customFormat="1" ht="21" customHeight="1">
      <c r="A18" s="64"/>
      <c r="B18" s="109"/>
      <c r="C18" s="76"/>
      <c r="D18" s="854"/>
      <c r="E18" s="855"/>
      <c r="F18" s="856"/>
      <c r="G18" s="77"/>
      <c r="H18" s="78"/>
      <c r="I18" s="79"/>
      <c r="J18" s="66"/>
      <c r="K18" s="108"/>
      <c r="L18" s="67"/>
      <c r="M18" s="68"/>
      <c r="N18" s="110"/>
      <c r="O18" s="69"/>
      <c r="P18" s="67"/>
      <c r="Q18" s="106"/>
      <c r="R18" s="85"/>
      <c r="S18" s="154"/>
      <c r="T18" s="215"/>
      <c r="U18" s="94"/>
      <c r="V18" s="71"/>
      <c r="W18" s="71"/>
      <c r="X18" s="152"/>
      <c r="Y18" s="153"/>
      <c r="Z18" s="72"/>
      <c r="AA18" s="71"/>
      <c r="AB18" s="74"/>
    </row>
    <row r="19" spans="1:28" s="73" customFormat="1" ht="21" customHeight="1">
      <c r="A19" s="64"/>
      <c r="B19" s="109"/>
      <c r="C19" s="76"/>
      <c r="D19" s="854"/>
      <c r="E19" s="855"/>
      <c r="F19" s="856"/>
      <c r="G19" s="77"/>
      <c r="H19" s="78"/>
      <c r="I19" s="79"/>
      <c r="J19" s="66"/>
      <c r="K19" s="108"/>
      <c r="L19" s="67"/>
      <c r="M19" s="68"/>
      <c r="N19" s="110"/>
      <c r="O19" s="69"/>
      <c r="P19" s="67"/>
      <c r="Q19" s="106"/>
      <c r="R19" s="85"/>
      <c r="S19" s="154"/>
      <c r="T19" s="215"/>
      <c r="U19" s="94"/>
      <c r="V19" s="71"/>
      <c r="W19" s="71"/>
      <c r="X19" s="152"/>
      <c r="Y19" s="153"/>
      <c r="Z19" s="72"/>
      <c r="AA19" s="71"/>
      <c r="AB19" s="74"/>
    </row>
    <row r="20" spans="1:28" s="73" customFormat="1" ht="21" customHeight="1">
      <c r="A20" s="64"/>
      <c r="B20" s="109"/>
      <c r="C20" s="76"/>
      <c r="D20" s="854"/>
      <c r="E20" s="855"/>
      <c r="F20" s="856"/>
      <c r="G20" s="77"/>
      <c r="H20" s="78"/>
      <c r="I20" s="79"/>
      <c r="J20" s="66"/>
      <c r="K20" s="108"/>
      <c r="L20" s="67"/>
      <c r="M20" s="68"/>
      <c r="N20" s="110"/>
      <c r="O20" s="69"/>
      <c r="P20" s="67"/>
      <c r="Q20" s="106"/>
      <c r="R20" s="85"/>
      <c r="S20" s="154"/>
      <c r="T20" s="215"/>
      <c r="U20" s="94"/>
      <c r="V20" s="71"/>
      <c r="W20" s="71"/>
      <c r="X20" s="152"/>
      <c r="Y20" s="153"/>
      <c r="Z20" s="72"/>
      <c r="AA20" s="71"/>
      <c r="AB20" s="74"/>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VLOOKUP(A27,DEZ!$A$2:$S$731,6,FALSE)</f>
        <v>85</v>
      </c>
      <c r="K25" s="810"/>
      <c r="L25" s="50" t="str">
        <f>VLOOKUP(A27,DEZ!$A$2:$S$731,4,FALSE)</f>
        <v>M</v>
      </c>
      <c r="M25" s="803" t="s">
        <v>12</v>
      </c>
      <c r="N25" s="811"/>
      <c r="O25" s="811"/>
      <c r="P25" s="811"/>
      <c r="Q25" s="805"/>
      <c r="R25" s="61">
        <f>SUM(R12:R15)</f>
        <v>74.650000000000006</v>
      </c>
      <c r="S25" s="51" t="str">
        <f>L25</f>
        <v>M</v>
      </c>
      <c r="T25" s="22"/>
      <c r="U25" s="23"/>
    </row>
    <row r="26" spans="1:28" ht="21" customHeight="1">
      <c r="B26" s="163"/>
      <c r="C26" s="19"/>
      <c r="D26" s="817" t="s">
        <v>13</v>
      </c>
      <c r="E26" s="818"/>
      <c r="F26" s="818"/>
      <c r="G26" s="818"/>
      <c r="H26" s="818"/>
      <c r="I26" s="819"/>
      <c r="J26" s="823">
        <f>R25/J25</f>
        <v>0.87823529411764711</v>
      </c>
      <c r="K26" s="824"/>
      <c r="L26" s="827"/>
      <c r="M26" s="803" t="s">
        <v>34</v>
      </c>
      <c r="N26" s="804"/>
      <c r="O26" s="804"/>
      <c r="P26" s="804"/>
      <c r="Q26" s="805"/>
      <c r="R26" s="61">
        <f>SUM(R12:R15)</f>
        <v>74.650000000000006</v>
      </c>
      <c r="S26" s="52" t="str">
        <f>L25</f>
        <v>M</v>
      </c>
      <c r="T26" s="22"/>
      <c r="U26" s="23"/>
    </row>
    <row r="27" spans="1:28" ht="21" customHeight="1">
      <c r="A27" s="10" t="s">
        <v>125</v>
      </c>
      <c r="B27" s="165"/>
      <c r="C27" s="164"/>
      <c r="D27" s="820"/>
      <c r="E27" s="821"/>
      <c r="F27" s="821"/>
      <c r="G27" s="821"/>
      <c r="H27" s="821"/>
      <c r="I27" s="822"/>
      <c r="J27" s="825"/>
      <c r="K27" s="826"/>
      <c r="L27" s="828"/>
      <c r="M27" s="803" t="s">
        <v>14</v>
      </c>
      <c r="N27" s="804"/>
      <c r="O27" s="804"/>
      <c r="P27" s="804"/>
      <c r="Q27" s="805"/>
      <c r="R27" s="62">
        <f>R25-R26</f>
        <v>0</v>
      </c>
      <c r="S27" s="53" t="str">
        <f>L25</f>
        <v>M</v>
      </c>
      <c r="T27" s="54"/>
      <c r="U27" s="24"/>
    </row>
    <row r="28" spans="1:28" ht="21" customHeight="1">
      <c r="B28" s="218"/>
      <c r="C28" s="217"/>
      <c r="M28" s="803" t="s">
        <v>53</v>
      </c>
      <c r="N28" s="804"/>
      <c r="O28" s="804"/>
      <c r="P28" s="804"/>
      <c r="Q28" s="805"/>
      <c r="R28" s="62">
        <f>VLOOKUP(A27,DEZ!$A$2:$S$731,5,FALSE)</f>
        <v>462.96</v>
      </c>
      <c r="S28" s="53"/>
      <c r="T28" s="54"/>
      <c r="U28" s="24"/>
    </row>
    <row r="29" spans="1:28" ht="21" customHeight="1">
      <c r="B29" s="163"/>
      <c r="C29" s="219"/>
      <c r="M29" s="803" t="s">
        <v>54</v>
      </c>
      <c r="N29" s="804"/>
      <c r="O29" s="804"/>
      <c r="P29" s="804"/>
      <c r="Q29" s="805"/>
      <c r="R29" s="62">
        <f>TRUNC(R28*R27,2)</f>
        <v>0</v>
      </c>
      <c r="S29" s="53" t="s">
        <v>55</v>
      </c>
      <c r="T29" s="54"/>
      <c r="U29" s="24"/>
    </row>
  </sheetData>
  <mergeCells count="43">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N10:N11"/>
    <mergeCell ref="O10:O11"/>
    <mergeCell ref="P10:P11"/>
    <mergeCell ref="Q10:Q11"/>
    <mergeCell ref="D13:F13"/>
    <mergeCell ref="D14:F14"/>
    <mergeCell ref="D15:F15"/>
    <mergeCell ref="D12:F12"/>
    <mergeCell ref="D16:F16"/>
    <mergeCell ref="D17:F17"/>
    <mergeCell ref="D18:F18"/>
    <mergeCell ref="D19:F19"/>
    <mergeCell ref="D20:F20"/>
    <mergeCell ref="M28:Q28"/>
    <mergeCell ref="M29:Q29"/>
    <mergeCell ref="D25:I25"/>
    <mergeCell ref="J25:K25"/>
    <mergeCell ref="M25:Q25"/>
    <mergeCell ref="D26:I27"/>
    <mergeCell ref="J26:K27"/>
    <mergeCell ref="L26:L27"/>
    <mergeCell ref="M26:Q26"/>
    <mergeCell ref="M27:Q27"/>
  </mergeCells>
  <conditionalFormatting sqref="J26:K29">
    <cfRule type="cellIs" dxfId="353" priority="1" operator="greaterThanOrEqual">
      <formula>1</formula>
    </cfRule>
    <cfRule type="cellIs" dxfId="352" priority="2" operator="greaterThan">
      <formula>100%</formula>
    </cfRule>
  </conditionalFormatting>
  <pageMargins left="0.51181102362204722" right="0.51181102362204722" top="0.78740157480314965" bottom="0.78740157480314965" header="0.31496062992125984" footer="0.31496062992125984"/>
  <pageSetup paperSize="9" scale="41" fitToHeight="0" orientation="landscape" r:id="rId1"/>
  <headerFooter>
    <oddFooter>Página &amp;P de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ilha37">
    <tabColor rgb="FFFFFF66"/>
    <pageSetUpPr fitToPage="1"/>
  </sheetPr>
  <dimension ref="A1:AJ37"/>
  <sheetViews>
    <sheetView view="pageBreakPreview" topLeftCell="K25" zoomScale="60" zoomScaleNormal="55" workbookViewId="0">
      <selection activeCell="R35" sqref="R3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A35</f>
        <v>3.3.2.1</v>
      </c>
      <c r="C10" s="845" t="str">
        <f>CONCATENATE(VLOOKUP(A35,DEZ!$A$2:$S$731,2,FALSE)," - ",VLOOKUP(A35,DEZ!$A$2:$S$731,3,FALSE))</f>
        <v>COT14 - SONDAGEM A PERCUSSÃO COM ENSAIO SPT - INCLUSIVE MOBILIZAÇÃO E DESMOBILIZAÇÃO DE EQUIPAMENTO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220" t="s">
        <v>880</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881</v>
      </c>
      <c r="D13" s="854">
        <v>1.07</v>
      </c>
      <c r="E13" s="855"/>
      <c r="F13" s="856"/>
      <c r="G13" s="77"/>
      <c r="H13" s="78"/>
      <c r="I13" s="79"/>
      <c r="J13" s="80"/>
      <c r="K13" s="81"/>
      <c r="L13" s="82"/>
      <c r="M13" s="83"/>
      <c r="N13" s="105"/>
      <c r="O13" s="84"/>
      <c r="P13" s="82"/>
      <c r="Q13" s="93"/>
      <c r="R13" s="85">
        <f>D13</f>
        <v>1.07</v>
      </c>
      <c r="S13" s="154" t="s">
        <v>51</v>
      </c>
      <c r="T13" s="215">
        <v>1</v>
      </c>
      <c r="U13" s="94"/>
      <c r="V13" s="71"/>
      <c r="W13" s="71"/>
      <c r="X13" s="152"/>
      <c r="Y13" s="153"/>
      <c r="Z13" s="72"/>
    </row>
    <row r="14" spans="1:36" s="73" customFormat="1" ht="21" customHeight="1">
      <c r="A14" s="64"/>
      <c r="B14" s="109"/>
      <c r="C14" s="76" t="s">
        <v>882</v>
      </c>
      <c r="D14" s="854">
        <v>1.46</v>
      </c>
      <c r="E14" s="855"/>
      <c r="F14" s="856"/>
      <c r="G14" s="77"/>
      <c r="H14" s="78"/>
      <c r="I14" s="79"/>
      <c r="J14" s="80"/>
      <c r="K14" s="81"/>
      <c r="L14" s="82"/>
      <c r="M14" s="83"/>
      <c r="N14" s="105"/>
      <c r="O14" s="84"/>
      <c r="P14" s="82"/>
      <c r="Q14" s="93"/>
      <c r="R14" s="85">
        <f t="shared" ref="R14:R17" si="0">D14</f>
        <v>1.46</v>
      </c>
      <c r="S14" s="154" t="s">
        <v>51</v>
      </c>
      <c r="T14" s="215">
        <v>1</v>
      </c>
      <c r="U14" s="94"/>
      <c r="V14" s="71"/>
      <c r="W14" s="71"/>
      <c r="X14" s="152"/>
      <c r="Y14" s="153"/>
      <c r="Z14" s="72"/>
    </row>
    <row r="15" spans="1:36" s="73" customFormat="1" ht="21" customHeight="1">
      <c r="A15" s="64"/>
      <c r="B15" s="109"/>
      <c r="C15" s="76" t="s">
        <v>883</v>
      </c>
      <c r="D15" s="854">
        <v>1.28</v>
      </c>
      <c r="E15" s="855"/>
      <c r="F15" s="856"/>
      <c r="G15" s="77"/>
      <c r="H15" s="78"/>
      <c r="I15" s="79"/>
      <c r="J15" s="66"/>
      <c r="K15" s="108"/>
      <c r="L15" s="67"/>
      <c r="M15" s="68"/>
      <c r="N15" s="110"/>
      <c r="O15" s="69"/>
      <c r="P15" s="67"/>
      <c r="Q15" s="106"/>
      <c r="R15" s="85">
        <f t="shared" si="0"/>
        <v>1.28</v>
      </c>
      <c r="S15" s="154" t="s">
        <v>51</v>
      </c>
      <c r="T15" s="215">
        <v>1</v>
      </c>
      <c r="U15" s="94"/>
      <c r="V15" s="71"/>
      <c r="W15" s="71"/>
      <c r="X15" s="152"/>
      <c r="Y15" s="153"/>
      <c r="Z15" s="72"/>
      <c r="AA15" s="71"/>
      <c r="AB15" s="74"/>
    </row>
    <row r="16" spans="1:36" s="73" customFormat="1" ht="21" customHeight="1">
      <c r="A16" s="64"/>
      <c r="B16" s="109"/>
      <c r="C16" s="76" t="s">
        <v>884</v>
      </c>
      <c r="D16" s="854">
        <v>4.16</v>
      </c>
      <c r="E16" s="855"/>
      <c r="F16" s="856"/>
      <c r="G16" s="77"/>
      <c r="H16" s="78"/>
      <c r="I16" s="79"/>
      <c r="J16" s="66"/>
      <c r="K16" s="108"/>
      <c r="L16" s="67"/>
      <c r="M16" s="68"/>
      <c r="N16" s="110"/>
      <c r="O16" s="69"/>
      <c r="P16" s="67"/>
      <c r="Q16" s="106"/>
      <c r="R16" s="85">
        <f t="shared" si="0"/>
        <v>4.16</v>
      </c>
      <c r="S16" s="154" t="s">
        <v>51</v>
      </c>
      <c r="T16" s="215">
        <v>1</v>
      </c>
      <c r="U16" s="94"/>
      <c r="V16" s="71"/>
      <c r="W16" s="71"/>
      <c r="X16" s="152"/>
      <c r="Y16" s="153"/>
      <c r="Z16" s="72"/>
      <c r="AA16" s="71"/>
      <c r="AB16" s="74"/>
    </row>
    <row r="17" spans="1:28" s="73" customFormat="1" ht="21" customHeight="1">
      <c r="A17" s="64"/>
      <c r="B17" s="109"/>
      <c r="C17" s="76" t="s">
        <v>885</v>
      </c>
      <c r="D17" s="854">
        <v>0.62</v>
      </c>
      <c r="E17" s="855"/>
      <c r="F17" s="856"/>
      <c r="G17" s="77"/>
      <c r="H17" s="78"/>
      <c r="I17" s="79"/>
      <c r="J17" s="66"/>
      <c r="K17" s="108"/>
      <c r="L17" s="67"/>
      <c r="M17" s="68"/>
      <c r="N17" s="110"/>
      <c r="O17" s="69"/>
      <c r="P17" s="67"/>
      <c r="Q17" s="106"/>
      <c r="R17" s="85">
        <f t="shared" si="0"/>
        <v>0.62</v>
      </c>
      <c r="S17" s="154" t="s">
        <v>51</v>
      </c>
      <c r="T17" s="215">
        <v>1</v>
      </c>
      <c r="U17" s="94"/>
      <c r="V17" s="71"/>
      <c r="W17" s="71"/>
      <c r="X17" s="152"/>
      <c r="Y17" s="153"/>
      <c r="Z17" s="72"/>
      <c r="AA17" s="71"/>
      <c r="AB17" s="74"/>
    </row>
    <row r="18" spans="1:28" s="73" customFormat="1" ht="42" customHeight="1">
      <c r="A18" s="64"/>
      <c r="B18" s="112"/>
      <c r="C18" s="220" t="s">
        <v>892</v>
      </c>
      <c r="D18" s="77"/>
      <c r="E18" s="78"/>
      <c r="F18" s="79"/>
      <c r="G18" s="77"/>
      <c r="H18" s="78"/>
      <c r="I18" s="79"/>
      <c r="J18" s="80"/>
      <c r="K18" s="81"/>
      <c r="L18" s="82"/>
      <c r="M18" s="83"/>
      <c r="N18" s="105"/>
      <c r="O18" s="84"/>
      <c r="P18" s="82"/>
      <c r="Q18" s="93"/>
      <c r="R18" s="85"/>
      <c r="S18" s="111"/>
      <c r="T18" s="215"/>
      <c r="U18" s="91"/>
      <c r="V18" s="71"/>
      <c r="W18" s="71"/>
      <c r="X18" s="152"/>
      <c r="Y18" s="153"/>
      <c r="Z18" s="72"/>
    </row>
    <row r="19" spans="1:28" s="73" customFormat="1" ht="21" customHeight="1">
      <c r="A19" s="64"/>
      <c r="B19" s="109"/>
      <c r="C19" s="76" t="s">
        <v>881</v>
      </c>
      <c r="D19" s="854">
        <v>27.45</v>
      </c>
      <c r="E19" s="855"/>
      <c r="F19" s="856"/>
      <c r="G19" s="77"/>
      <c r="H19" s="78"/>
      <c r="I19" s="79"/>
      <c r="J19" s="80"/>
      <c r="K19" s="81"/>
      <c r="L19" s="82"/>
      <c r="M19" s="83"/>
      <c r="N19" s="105"/>
      <c r="O19" s="84"/>
      <c r="P19" s="82"/>
      <c r="Q19" s="93"/>
      <c r="R19" s="85">
        <f>D19-17</f>
        <v>10.45</v>
      </c>
      <c r="S19" s="154" t="s">
        <v>51</v>
      </c>
      <c r="T19" s="215">
        <v>1</v>
      </c>
      <c r="U19" s="866" t="s">
        <v>891</v>
      </c>
      <c r="V19" s="71"/>
      <c r="W19" s="71"/>
      <c r="X19" s="152"/>
      <c r="Y19" s="153"/>
      <c r="Z19" s="72"/>
    </row>
    <row r="20" spans="1:28" s="73" customFormat="1" ht="21" customHeight="1">
      <c r="A20" s="64"/>
      <c r="B20" s="109"/>
      <c r="C20" s="76" t="s">
        <v>882</v>
      </c>
      <c r="D20" s="854">
        <v>17.45</v>
      </c>
      <c r="E20" s="855"/>
      <c r="F20" s="856"/>
      <c r="G20" s="77"/>
      <c r="H20" s="78"/>
      <c r="I20" s="79"/>
      <c r="J20" s="80"/>
      <c r="K20" s="81"/>
      <c r="L20" s="82"/>
      <c r="M20" s="83"/>
      <c r="N20" s="105"/>
      <c r="O20" s="84"/>
      <c r="P20" s="82"/>
      <c r="Q20" s="93"/>
      <c r="R20" s="85">
        <f t="shared" ref="R20:R22" si="1">D20-17</f>
        <v>0.44999999999999929</v>
      </c>
      <c r="S20" s="154" t="s">
        <v>51</v>
      </c>
      <c r="T20" s="215">
        <v>1</v>
      </c>
      <c r="U20" s="867"/>
      <c r="V20" s="71"/>
      <c r="W20" s="71"/>
      <c r="X20" s="152"/>
      <c r="Y20" s="153"/>
      <c r="Z20" s="72"/>
    </row>
    <row r="21" spans="1:28" s="73" customFormat="1" ht="21" customHeight="1">
      <c r="A21" s="64"/>
      <c r="B21" s="109"/>
      <c r="C21" s="76" t="s">
        <v>883</v>
      </c>
      <c r="D21" s="854">
        <v>26.45</v>
      </c>
      <c r="E21" s="855"/>
      <c r="F21" s="856"/>
      <c r="G21" s="77"/>
      <c r="H21" s="78"/>
      <c r="I21" s="79"/>
      <c r="J21" s="66"/>
      <c r="K21" s="108"/>
      <c r="L21" s="67"/>
      <c r="M21" s="68"/>
      <c r="N21" s="110"/>
      <c r="O21" s="69"/>
      <c r="P21" s="67"/>
      <c r="Q21" s="106"/>
      <c r="R21" s="85">
        <f t="shared" si="1"/>
        <v>9.4499999999999993</v>
      </c>
      <c r="S21" s="154" t="s">
        <v>51</v>
      </c>
      <c r="T21" s="215">
        <v>1</v>
      </c>
      <c r="U21" s="867"/>
      <c r="V21" s="71"/>
      <c r="W21" s="71"/>
      <c r="X21" s="152"/>
      <c r="Y21" s="153"/>
      <c r="Z21" s="72"/>
      <c r="AA21" s="71"/>
      <c r="AB21" s="74"/>
    </row>
    <row r="22" spans="1:28" s="73" customFormat="1" ht="21" customHeight="1">
      <c r="A22" s="64"/>
      <c r="B22" s="109"/>
      <c r="C22" s="76" t="s">
        <v>884</v>
      </c>
      <c r="D22" s="854">
        <v>25.45</v>
      </c>
      <c r="E22" s="855"/>
      <c r="F22" s="856"/>
      <c r="G22" s="77"/>
      <c r="H22" s="78"/>
      <c r="I22" s="79"/>
      <c r="J22" s="66"/>
      <c r="K22" s="108"/>
      <c r="L22" s="67"/>
      <c r="M22" s="68"/>
      <c r="N22" s="110"/>
      <c r="O22" s="69"/>
      <c r="P22" s="67"/>
      <c r="Q22" s="106"/>
      <c r="R22" s="85">
        <f t="shared" si="1"/>
        <v>8.4499999999999993</v>
      </c>
      <c r="S22" s="154" t="s">
        <v>51</v>
      </c>
      <c r="T22" s="215">
        <v>1</v>
      </c>
      <c r="U22" s="867"/>
      <c r="V22" s="71"/>
      <c r="W22" s="71"/>
      <c r="X22" s="152"/>
      <c r="Y22" s="153"/>
      <c r="Z22" s="72"/>
      <c r="AA22" s="71"/>
      <c r="AB22" s="74"/>
    </row>
    <row r="23" spans="1:28" s="73" customFormat="1" ht="21" customHeight="1">
      <c r="A23" s="64"/>
      <c r="B23" s="109"/>
      <c r="C23" s="76" t="s">
        <v>885</v>
      </c>
      <c r="D23" s="854">
        <v>27.45</v>
      </c>
      <c r="E23" s="855"/>
      <c r="F23" s="856"/>
      <c r="G23" s="77"/>
      <c r="H23" s="78"/>
      <c r="I23" s="79"/>
      <c r="J23" s="66"/>
      <c r="K23" s="108"/>
      <c r="L23" s="67"/>
      <c r="M23" s="68"/>
      <c r="N23" s="110"/>
      <c r="O23" s="69"/>
      <c r="P23" s="67"/>
      <c r="Q23" s="106"/>
      <c r="R23" s="85">
        <f>D23-17</f>
        <v>10.45</v>
      </c>
      <c r="S23" s="154" t="s">
        <v>51</v>
      </c>
      <c r="T23" s="215">
        <v>1</v>
      </c>
      <c r="U23" s="868"/>
      <c r="V23" s="71"/>
      <c r="W23" s="71"/>
      <c r="X23" s="152"/>
      <c r="Y23" s="153"/>
      <c r="Z23" s="72"/>
      <c r="AA23" s="71"/>
      <c r="AB23" s="74"/>
    </row>
    <row r="24" spans="1:28" s="73" customFormat="1" ht="42" customHeight="1">
      <c r="A24" s="64"/>
      <c r="B24" s="112"/>
      <c r="C24" s="220" t="s">
        <v>941</v>
      </c>
      <c r="D24" s="77"/>
      <c r="E24" s="78"/>
      <c r="F24" s="79"/>
      <c r="G24" s="77"/>
      <c r="H24" s="78"/>
      <c r="I24" s="79"/>
      <c r="J24" s="80"/>
      <c r="K24" s="81"/>
      <c r="L24" s="82"/>
      <c r="M24" s="83"/>
      <c r="N24" s="105"/>
      <c r="O24" s="84"/>
      <c r="P24" s="82"/>
      <c r="Q24" s="93"/>
      <c r="R24" s="85"/>
      <c r="S24" s="111"/>
      <c r="T24" s="215"/>
      <c r="U24" s="91"/>
      <c r="V24" s="71"/>
      <c r="W24" s="71"/>
      <c r="X24" s="152"/>
      <c r="Y24" s="153"/>
      <c r="Z24" s="72"/>
    </row>
    <row r="25" spans="1:28" s="73" customFormat="1" ht="21" customHeight="1">
      <c r="A25" s="64"/>
      <c r="B25" s="109"/>
      <c r="C25" s="76" t="s">
        <v>881</v>
      </c>
      <c r="D25" s="854">
        <v>27.45</v>
      </c>
      <c r="E25" s="855"/>
      <c r="F25" s="856"/>
      <c r="G25" s="77"/>
      <c r="H25" s="78"/>
      <c r="I25" s="79"/>
      <c r="J25" s="80"/>
      <c r="K25" s="81"/>
      <c r="L25" s="82"/>
      <c r="M25" s="83"/>
      <c r="N25" s="105"/>
      <c r="O25" s="84"/>
      <c r="P25" s="82"/>
      <c r="Q25" s="93"/>
      <c r="R25" s="85">
        <f>20.94-17</f>
        <v>3.9400000000000013</v>
      </c>
      <c r="S25" s="154" t="s">
        <v>51</v>
      </c>
      <c r="T25" s="215">
        <v>3</v>
      </c>
      <c r="U25" s="866" t="s">
        <v>942</v>
      </c>
      <c r="V25" s="71"/>
      <c r="W25" s="71"/>
      <c r="X25" s="152"/>
      <c r="Y25" s="153"/>
      <c r="Z25" s="72"/>
    </row>
    <row r="26" spans="1:28" s="73" customFormat="1" ht="21" customHeight="1">
      <c r="A26" s="64"/>
      <c r="B26" s="109"/>
      <c r="C26" s="76" t="s">
        <v>882</v>
      </c>
      <c r="D26" s="854">
        <v>17.45</v>
      </c>
      <c r="E26" s="855"/>
      <c r="F26" s="856"/>
      <c r="G26" s="77"/>
      <c r="H26" s="78"/>
      <c r="I26" s="79"/>
      <c r="J26" s="80"/>
      <c r="K26" s="81"/>
      <c r="L26" s="82"/>
      <c r="M26" s="83"/>
      <c r="N26" s="105"/>
      <c r="O26" s="84"/>
      <c r="P26" s="82"/>
      <c r="Q26" s="93"/>
      <c r="R26" s="85">
        <f>18.78-17</f>
        <v>1.7800000000000011</v>
      </c>
      <c r="S26" s="154" t="s">
        <v>51</v>
      </c>
      <c r="T26" s="215">
        <v>3</v>
      </c>
      <c r="U26" s="867"/>
      <c r="V26" s="71"/>
      <c r="W26" s="71"/>
      <c r="X26" s="152"/>
      <c r="Y26" s="153"/>
      <c r="Z26" s="72"/>
    </row>
    <row r="27" spans="1:28" s="73" customFormat="1" ht="21" customHeight="1">
      <c r="A27" s="64"/>
      <c r="B27" s="109"/>
      <c r="C27" s="76" t="s">
        <v>883</v>
      </c>
      <c r="D27" s="854">
        <v>26.45</v>
      </c>
      <c r="E27" s="855"/>
      <c r="F27" s="856"/>
      <c r="G27" s="77"/>
      <c r="H27" s="78"/>
      <c r="I27" s="79"/>
      <c r="J27" s="66"/>
      <c r="K27" s="108"/>
      <c r="L27" s="67"/>
      <c r="M27" s="68"/>
      <c r="N27" s="110"/>
      <c r="O27" s="69"/>
      <c r="P27" s="67"/>
      <c r="Q27" s="106"/>
      <c r="R27" s="85">
        <f>18.14-17</f>
        <v>1.1400000000000006</v>
      </c>
      <c r="S27" s="154" t="s">
        <v>51</v>
      </c>
      <c r="T27" s="215">
        <v>3</v>
      </c>
      <c r="U27" s="867"/>
      <c r="V27" s="71"/>
      <c r="W27" s="71"/>
      <c r="X27" s="152"/>
      <c r="Y27" s="153"/>
      <c r="Z27" s="72"/>
      <c r="AA27" s="71"/>
      <c r="AB27" s="74"/>
    </row>
    <row r="28" spans="1:28" s="73" customFormat="1" ht="21" customHeight="1">
      <c r="A28" s="64"/>
      <c r="B28" s="109"/>
      <c r="C28" s="76" t="s">
        <v>884</v>
      </c>
      <c r="D28" s="854">
        <v>25.45</v>
      </c>
      <c r="E28" s="855"/>
      <c r="F28" s="856"/>
      <c r="G28" s="77"/>
      <c r="H28" s="78"/>
      <c r="I28" s="79"/>
      <c r="J28" s="66"/>
      <c r="K28" s="108"/>
      <c r="L28" s="67"/>
      <c r="M28" s="68"/>
      <c r="N28" s="110"/>
      <c r="O28" s="69"/>
      <c r="P28" s="67"/>
      <c r="Q28" s="106"/>
      <c r="R28" s="85">
        <f>19.26-17</f>
        <v>2.2600000000000016</v>
      </c>
      <c r="S28" s="154" t="s">
        <v>51</v>
      </c>
      <c r="T28" s="215">
        <v>3</v>
      </c>
      <c r="U28" s="867"/>
      <c r="V28" s="71"/>
      <c r="W28" s="71"/>
      <c r="X28" s="152"/>
      <c r="Y28" s="153"/>
      <c r="Z28" s="72"/>
      <c r="AA28" s="71"/>
      <c r="AB28" s="74"/>
    </row>
    <row r="29" spans="1:28" s="73" customFormat="1" ht="21" customHeight="1">
      <c r="A29" s="64"/>
      <c r="B29" s="109"/>
      <c r="C29" s="76" t="s">
        <v>885</v>
      </c>
      <c r="D29" s="854">
        <v>27.45</v>
      </c>
      <c r="E29" s="855"/>
      <c r="F29" s="856"/>
      <c r="G29" s="77"/>
      <c r="H29" s="78"/>
      <c r="I29" s="79"/>
      <c r="J29" s="66"/>
      <c r="K29" s="108"/>
      <c r="L29" s="67"/>
      <c r="M29" s="68"/>
      <c r="N29" s="110"/>
      <c r="O29" s="69"/>
      <c r="P29" s="67"/>
      <c r="Q29" s="106"/>
      <c r="R29" s="85">
        <f>19.69-17</f>
        <v>2.6900000000000013</v>
      </c>
      <c r="S29" s="154" t="s">
        <v>51</v>
      </c>
      <c r="T29" s="215">
        <v>3</v>
      </c>
      <c r="U29" s="868"/>
      <c r="V29" s="71"/>
      <c r="W29" s="71"/>
      <c r="X29" s="152"/>
      <c r="Y29" s="153"/>
      <c r="Z29" s="72"/>
      <c r="AA29" s="71"/>
      <c r="AB29" s="74"/>
    </row>
    <row r="30" spans="1:28" s="73" customFormat="1" ht="42" customHeight="1">
      <c r="A30" s="64"/>
      <c r="B30" s="112"/>
      <c r="C30" s="220" t="s">
        <v>1033</v>
      </c>
      <c r="D30" s="77"/>
      <c r="E30" s="78"/>
      <c r="F30" s="79"/>
      <c r="G30" s="77"/>
      <c r="H30" s="78"/>
      <c r="I30" s="79"/>
      <c r="J30" s="80"/>
      <c r="K30" s="81"/>
      <c r="L30" s="82"/>
      <c r="M30" s="83"/>
      <c r="N30" s="105"/>
      <c r="O30" s="84"/>
      <c r="P30" s="82"/>
      <c r="Q30" s="93"/>
      <c r="R30" s="85"/>
      <c r="S30" s="111"/>
      <c r="T30" s="215"/>
      <c r="U30" s="91"/>
      <c r="V30" s="71"/>
      <c r="W30" s="71"/>
      <c r="X30" s="152"/>
      <c r="Y30" s="153"/>
      <c r="Z30" s="72"/>
    </row>
    <row r="31" spans="1:28" s="73" customFormat="1" ht="118.5" customHeight="1">
      <c r="A31" s="64"/>
      <c r="B31" s="109"/>
      <c r="C31" s="76" t="s">
        <v>1032</v>
      </c>
      <c r="D31" s="854">
        <v>19.05</v>
      </c>
      <c r="E31" s="855"/>
      <c r="F31" s="856"/>
      <c r="G31" s="77"/>
      <c r="H31" s="78"/>
      <c r="I31" s="79"/>
      <c r="J31" s="66"/>
      <c r="K31" s="108"/>
      <c r="L31" s="67"/>
      <c r="M31" s="68"/>
      <c r="N31" s="110"/>
      <c r="O31" s="69"/>
      <c r="P31" s="67"/>
      <c r="Q31" s="106"/>
      <c r="R31" s="85">
        <f t="shared" ref="R31" si="2">D31</f>
        <v>19.05</v>
      </c>
      <c r="S31" s="154" t="s">
        <v>51</v>
      </c>
      <c r="T31" s="215">
        <v>8</v>
      </c>
      <c r="U31" s="289" t="s">
        <v>1034</v>
      </c>
      <c r="V31" s="71"/>
      <c r="W31" s="71"/>
      <c r="X31" s="152"/>
      <c r="Y31" s="153"/>
      <c r="Z31" s="72"/>
      <c r="AA31" s="71"/>
      <c r="AB31" s="74"/>
    </row>
    <row r="32" spans="1:28" ht="21" customHeight="1">
      <c r="B32" s="118"/>
      <c r="C32" s="119"/>
      <c r="D32" s="26"/>
      <c r="E32" s="159"/>
      <c r="F32" s="27"/>
      <c r="G32" s="26"/>
      <c r="H32" s="159"/>
      <c r="I32" s="27"/>
      <c r="J32" s="28"/>
      <c r="K32" s="49"/>
      <c r="L32" s="40"/>
      <c r="M32" s="41"/>
      <c r="N32" s="160"/>
      <c r="O32" s="160"/>
      <c r="P32" s="40"/>
      <c r="Q32" s="42"/>
      <c r="R32" s="60"/>
      <c r="S32" s="43"/>
      <c r="T32" s="216"/>
      <c r="U32" s="117"/>
    </row>
    <row r="33" spans="1:21" ht="39.6" customHeight="1">
      <c r="B33" s="161"/>
      <c r="C33" s="162"/>
      <c r="D33" s="806" t="s">
        <v>11</v>
      </c>
      <c r="E33" s="807"/>
      <c r="F33" s="807"/>
      <c r="G33" s="807"/>
      <c r="H33" s="807"/>
      <c r="I33" s="808"/>
      <c r="J33" s="809">
        <f>VLOOKUP(A35,DEZ!$A$2:$S$731,6,FALSE)</f>
        <v>85</v>
      </c>
      <c r="K33" s="810"/>
      <c r="L33" s="50" t="str">
        <f>VLOOKUP(A35,DEZ!$A$2:$S$731,4,FALSE)</f>
        <v>M</v>
      </c>
      <c r="M33" s="803" t="s">
        <v>12</v>
      </c>
      <c r="N33" s="811"/>
      <c r="O33" s="811"/>
      <c r="P33" s="811"/>
      <c r="Q33" s="805"/>
      <c r="R33" s="61">
        <f>SUM(R12:R32)</f>
        <v>78.7</v>
      </c>
      <c r="S33" s="51" t="str">
        <f>L33</f>
        <v>M</v>
      </c>
      <c r="T33" s="22"/>
      <c r="U33" s="23"/>
    </row>
    <row r="34" spans="1:21" ht="21" customHeight="1">
      <c r="B34" s="163"/>
      <c r="C34" s="19"/>
      <c r="D34" s="817" t="s">
        <v>13</v>
      </c>
      <c r="E34" s="818"/>
      <c r="F34" s="818"/>
      <c r="G34" s="818"/>
      <c r="H34" s="818"/>
      <c r="I34" s="819"/>
      <c r="J34" s="823">
        <f>R33/J33</f>
        <v>0.92588235294117649</v>
      </c>
      <c r="K34" s="824"/>
      <c r="L34" s="827"/>
      <c r="M34" s="803" t="s">
        <v>34</v>
      </c>
      <c r="N34" s="804"/>
      <c r="O34" s="804"/>
      <c r="P34" s="804"/>
      <c r="Q34" s="805"/>
      <c r="R34" s="61">
        <f>SUM(R13:R31)</f>
        <v>78.7</v>
      </c>
      <c r="S34" s="52" t="str">
        <f>L33</f>
        <v>M</v>
      </c>
      <c r="T34" s="22"/>
      <c r="U34" s="23"/>
    </row>
    <row r="35" spans="1:21" ht="21" customHeight="1">
      <c r="A35" s="10" t="s">
        <v>406</v>
      </c>
      <c r="B35" s="165"/>
      <c r="C35" s="164"/>
      <c r="D35" s="820"/>
      <c r="E35" s="821"/>
      <c r="F35" s="821"/>
      <c r="G35" s="821"/>
      <c r="H35" s="821"/>
      <c r="I35" s="822"/>
      <c r="J35" s="825"/>
      <c r="K35" s="826"/>
      <c r="L35" s="828"/>
      <c r="M35" s="803" t="s">
        <v>14</v>
      </c>
      <c r="N35" s="804"/>
      <c r="O35" s="804"/>
      <c r="P35" s="804"/>
      <c r="Q35" s="805"/>
      <c r="R35" s="62">
        <f>R33-R34</f>
        <v>0</v>
      </c>
      <c r="S35" s="53" t="str">
        <f>L33</f>
        <v>M</v>
      </c>
      <c r="T35" s="54"/>
      <c r="U35" s="24"/>
    </row>
    <row r="36" spans="1:21" ht="21" customHeight="1">
      <c r="B36" s="218"/>
      <c r="C36" s="217"/>
      <c r="M36" s="803" t="s">
        <v>53</v>
      </c>
      <c r="N36" s="804"/>
      <c r="O36" s="804"/>
      <c r="P36" s="804"/>
      <c r="Q36" s="805"/>
      <c r="R36" s="62">
        <f>VLOOKUP(A35,DEZ!$A$2:$S$731,5,FALSE)</f>
        <v>462.96</v>
      </c>
      <c r="S36" s="53"/>
      <c r="T36" s="54"/>
      <c r="U36" s="24"/>
    </row>
    <row r="37" spans="1:21" ht="21" customHeight="1">
      <c r="B37" s="163"/>
      <c r="C37" s="219"/>
      <c r="M37" s="803" t="s">
        <v>54</v>
      </c>
      <c r="N37" s="804"/>
      <c r="O37" s="804"/>
      <c r="P37" s="804"/>
      <c r="Q37" s="805"/>
      <c r="R37" s="62">
        <f>TRUNC(R36*R35,2)</f>
        <v>0</v>
      </c>
      <c r="S37" s="53" t="s">
        <v>55</v>
      </c>
      <c r="T37" s="54"/>
      <c r="U37" s="24"/>
    </row>
  </sheetData>
  <mergeCells count="52">
    <mergeCell ref="D31:F31"/>
    <mergeCell ref="D17:F17"/>
    <mergeCell ref="D19:F19"/>
    <mergeCell ref="U19:U23"/>
    <mergeCell ref="D20:F20"/>
    <mergeCell ref="D21:F21"/>
    <mergeCell ref="D22:F22"/>
    <mergeCell ref="D23:F23"/>
    <mergeCell ref="D25:F25"/>
    <mergeCell ref="U25:U29"/>
    <mergeCell ref="D26:F26"/>
    <mergeCell ref="D27:F27"/>
    <mergeCell ref="D28:F28"/>
    <mergeCell ref="D29:F29"/>
    <mergeCell ref="T7:U7"/>
    <mergeCell ref="D13:F13"/>
    <mergeCell ref="D14:F14"/>
    <mergeCell ref="D15:F15"/>
    <mergeCell ref="D16:F16"/>
    <mergeCell ref="R10:R11"/>
    <mergeCell ref="S10:S11"/>
    <mergeCell ref="T8:U8"/>
    <mergeCell ref="T9:U9"/>
    <mergeCell ref="K10:K11"/>
    <mergeCell ref="L10:L11"/>
    <mergeCell ref="M10:M11"/>
    <mergeCell ref="B1:U4"/>
    <mergeCell ref="V4:AA4"/>
    <mergeCell ref="B5:I5"/>
    <mergeCell ref="J5:O5"/>
    <mergeCell ref="P5:U5"/>
    <mergeCell ref="B10:B11"/>
    <mergeCell ref="C10:C11"/>
    <mergeCell ref="D10:F11"/>
    <mergeCell ref="G10:I11"/>
    <mergeCell ref="J10:J11"/>
    <mergeCell ref="M36:Q36"/>
    <mergeCell ref="M37:Q37"/>
    <mergeCell ref="T10:T11"/>
    <mergeCell ref="U10:U11"/>
    <mergeCell ref="D33:I33"/>
    <mergeCell ref="J33:K33"/>
    <mergeCell ref="M33:Q33"/>
    <mergeCell ref="D34:I35"/>
    <mergeCell ref="J34:K35"/>
    <mergeCell ref="L34:L35"/>
    <mergeCell ref="M34:Q34"/>
    <mergeCell ref="M35:Q35"/>
    <mergeCell ref="N10:N11"/>
    <mergeCell ref="O10:O11"/>
    <mergeCell ref="P10:P11"/>
    <mergeCell ref="Q10:Q11"/>
  </mergeCells>
  <phoneticPr fontId="61" type="noConversion"/>
  <conditionalFormatting sqref="J34:K37">
    <cfRule type="cellIs" dxfId="351" priority="1" operator="greaterThanOrEqual">
      <formula>1</formula>
    </cfRule>
    <cfRule type="cellIs" dxfId="35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F215A-6B86-40F6-BE4B-24B1F6174222}">
  <sheetPr codeName="Planilha127">
    <pageSetUpPr fitToPage="1"/>
  </sheetPr>
  <dimension ref="A1:V650"/>
  <sheetViews>
    <sheetView showGridLines="0" view="pageBreakPreview" topLeftCell="G1" zoomScale="50" zoomScaleNormal="150" zoomScaleSheetLayoutView="50" workbookViewId="0">
      <pane ySplit="6" topLeftCell="A627" activePane="bottomLeft" state="frozen"/>
      <selection pane="bottomLeft" activeCell="M642" sqref="M642:N642"/>
    </sheetView>
  </sheetViews>
  <sheetFormatPr defaultColWidth="8" defaultRowHeight="15.75"/>
  <cols>
    <col min="1" max="1" width="20.140625" style="533" bestFit="1" customWidth="1"/>
    <col min="2" max="2" width="17.5703125" style="534" bestFit="1" customWidth="1"/>
    <col min="3" max="3" width="32.140625" style="534" hidden="1" customWidth="1"/>
    <col min="4" max="4" width="99.5703125" style="291" bestFit="1" customWidth="1"/>
    <col min="5" max="5" width="9.28515625" style="538" bestFit="1" customWidth="1"/>
    <col min="6" max="6" width="27.28515625" style="536" bestFit="1" customWidth="1"/>
    <col min="7" max="7" width="22.42578125" style="537" bestFit="1" customWidth="1"/>
    <col min="8" max="8" width="33.28515625" style="538" bestFit="1" customWidth="1"/>
    <col min="9" max="9" width="23" style="537" bestFit="1" customWidth="1"/>
    <col min="10" max="10" width="40.140625" style="538" bestFit="1" customWidth="1"/>
    <col min="11" max="11" width="27" style="536" bestFit="1" customWidth="1"/>
    <col min="12" max="12" width="26.42578125" style="540" bestFit="1" customWidth="1"/>
    <col min="13" max="13" width="23.85546875" style="546" bestFit="1" customWidth="1"/>
    <col min="14" max="14" width="27.28515625" style="608" customWidth="1"/>
    <col min="15" max="15" width="13.85546875" style="536" bestFit="1" customWidth="1"/>
    <col min="16" max="16" width="24.42578125" style="536" bestFit="1" customWidth="1"/>
    <col min="17" max="17" width="13.85546875" style="291" bestFit="1" customWidth="1"/>
    <col min="18" max="18" width="24.7109375" style="291" bestFit="1" customWidth="1"/>
    <col min="19" max="19" width="5" style="291" customWidth="1"/>
    <col min="20" max="16384" width="8" style="291"/>
  </cols>
  <sheetData>
    <row r="1" spans="1:19" ht="15" customHeight="1">
      <c r="A1" s="872"/>
      <c r="B1" s="873"/>
      <c r="C1" s="878" t="s">
        <v>1035</v>
      </c>
      <c r="D1" s="879"/>
      <c r="E1" s="879"/>
      <c r="F1" s="879"/>
      <c r="G1" s="879"/>
      <c r="H1" s="879"/>
      <c r="I1" s="879"/>
      <c r="J1" s="879"/>
      <c r="K1" s="879"/>
      <c r="L1" s="879"/>
      <c r="M1" s="879"/>
      <c r="N1" s="880"/>
      <c r="O1" s="881" t="s">
        <v>1036</v>
      </c>
      <c r="P1" s="882"/>
      <c r="Q1" s="290"/>
      <c r="R1" s="887"/>
      <c r="S1" s="887"/>
    </row>
    <row r="2" spans="1:19" ht="15" customHeight="1">
      <c r="A2" s="874"/>
      <c r="B2" s="875"/>
      <c r="C2" s="878"/>
      <c r="D2" s="879"/>
      <c r="E2" s="879"/>
      <c r="F2" s="879"/>
      <c r="G2" s="879"/>
      <c r="H2" s="879"/>
      <c r="I2" s="879"/>
      <c r="J2" s="879"/>
      <c r="K2" s="879"/>
      <c r="L2" s="879"/>
      <c r="M2" s="879"/>
      <c r="N2" s="880"/>
      <c r="O2" s="883"/>
      <c r="P2" s="884"/>
      <c r="Q2" s="290"/>
      <c r="R2" s="887"/>
      <c r="S2" s="887"/>
    </row>
    <row r="3" spans="1:19" ht="15" customHeight="1">
      <c r="A3" s="876"/>
      <c r="B3" s="877"/>
      <c r="C3" s="878"/>
      <c r="D3" s="879"/>
      <c r="E3" s="879"/>
      <c r="F3" s="879"/>
      <c r="G3" s="879"/>
      <c r="H3" s="879"/>
      <c r="I3" s="879"/>
      <c r="J3" s="879"/>
      <c r="K3" s="879"/>
      <c r="L3" s="879"/>
      <c r="M3" s="879"/>
      <c r="N3" s="880"/>
      <c r="O3" s="883"/>
      <c r="P3" s="884"/>
      <c r="Q3" s="292"/>
      <c r="R3" s="887"/>
      <c r="S3" s="887"/>
    </row>
    <row r="4" spans="1:19" ht="15">
      <c r="A4" s="874" t="s">
        <v>1037</v>
      </c>
      <c r="B4" s="888"/>
      <c r="C4" s="888"/>
      <c r="D4" s="888"/>
      <c r="E4" s="888"/>
      <c r="F4" s="888"/>
      <c r="G4" s="888"/>
      <c r="H4" s="888"/>
      <c r="I4" s="888"/>
      <c r="J4" s="888"/>
      <c r="K4" s="888"/>
      <c r="L4" s="888"/>
      <c r="M4" s="888"/>
      <c r="N4" s="875"/>
      <c r="O4" s="885"/>
      <c r="P4" s="886"/>
      <c r="Q4" s="292"/>
      <c r="S4" s="293"/>
    </row>
    <row r="5" spans="1:19" s="294" customFormat="1">
      <c r="A5" s="889" t="s">
        <v>1038</v>
      </c>
      <c r="B5" s="889" t="s">
        <v>2</v>
      </c>
      <c r="C5" s="889" t="s">
        <v>30</v>
      </c>
      <c r="D5" s="889" t="s">
        <v>1039</v>
      </c>
      <c r="E5" s="889" t="s">
        <v>1040</v>
      </c>
      <c r="F5" s="869" t="s">
        <v>1041</v>
      </c>
      <c r="G5" s="870" t="s">
        <v>1042</v>
      </c>
      <c r="H5" s="870"/>
      <c r="I5" s="870"/>
      <c r="J5" s="870"/>
      <c r="K5" s="870" t="s">
        <v>1043</v>
      </c>
      <c r="L5" s="870"/>
      <c r="M5" s="870"/>
      <c r="N5" s="870"/>
      <c r="O5" s="871" t="s">
        <v>1044</v>
      </c>
      <c r="P5" s="871"/>
      <c r="Q5" s="871" t="s">
        <v>1045</v>
      </c>
      <c r="R5" s="871"/>
    </row>
    <row r="6" spans="1:19" s="300" customFormat="1" ht="31.5">
      <c r="A6" s="889"/>
      <c r="B6" s="889"/>
      <c r="C6" s="889"/>
      <c r="D6" s="889"/>
      <c r="E6" s="889"/>
      <c r="F6" s="869"/>
      <c r="G6" s="295" t="s">
        <v>1046</v>
      </c>
      <c r="H6" s="296" t="s">
        <v>1047</v>
      </c>
      <c r="I6" s="295" t="s">
        <v>1048</v>
      </c>
      <c r="J6" s="297" t="s">
        <v>1049</v>
      </c>
      <c r="K6" s="298" t="s">
        <v>1050</v>
      </c>
      <c r="L6" s="298" t="s">
        <v>1051</v>
      </c>
      <c r="M6" s="298" t="s">
        <v>1052</v>
      </c>
      <c r="N6" s="600" t="s">
        <v>1053</v>
      </c>
      <c r="O6" s="298" t="s">
        <v>9</v>
      </c>
      <c r="P6" s="299" t="s">
        <v>3</v>
      </c>
      <c r="Q6" s="298" t="s">
        <v>9</v>
      </c>
      <c r="R6" s="299" t="s">
        <v>3</v>
      </c>
    </row>
    <row r="7" spans="1:19" s="312" customFormat="1">
      <c r="A7" s="301"/>
      <c r="B7" s="302"/>
      <c r="C7" s="303" t="s">
        <v>19</v>
      </c>
      <c r="D7" s="304" t="s">
        <v>1054</v>
      </c>
      <c r="E7" s="305"/>
      <c r="F7" s="306"/>
      <c r="G7" s="307"/>
      <c r="H7" s="308"/>
      <c r="I7" s="309"/>
      <c r="J7" s="308"/>
      <c r="K7" s="310"/>
      <c r="L7" s="594"/>
      <c r="M7" s="594"/>
      <c r="N7" s="601"/>
      <c r="O7" s="311"/>
      <c r="P7" s="311"/>
      <c r="Q7" s="311"/>
      <c r="R7" s="311"/>
    </row>
    <row r="8" spans="1:19">
      <c r="A8" s="313"/>
      <c r="B8" s="314"/>
      <c r="C8" s="315" t="s">
        <v>40</v>
      </c>
      <c r="D8" s="316" t="s">
        <v>1055</v>
      </c>
      <c r="E8" s="317"/>
      <c r="F8" s="318"/>
      <c r="G8" s="319"/>
      <c r="H8" s="320"/>
      <c r="I8" s="321"/>
      <c r="J8" s="320"/>
      <c r="K8" s="322"/>
      <c r="L8" s="595"/>
      <c r="M8" s="595"/>
      <c r="N8" s="602"/>
      <c r="O8" s="323"/>
      <c r="P8" s="323"/>
      <c r="Q8" s="323"/>
      <c r="R8" s="323"/>
    </row>
    <row r="9" spans="1:19" ht="30">
      <c r="A9" s="324" t="s">
        <v>1056</v>
      </c>
      <c r="B9" s="325" t="s">
        <v>68</v>
      </c>
      <c r="C9" s="326" t="s">
        <v>66</v>
      </c>
      <c r="D9" s="327" t="s">
        <v>1057</v>
      </c>
      <c r="E9" s="328" t="s">
        <v>72</v>
      </c>
      <c r="F9" s="329">
        <f>[32]FINANCEIRO!$F$18</f>
        <v>20807.46</v>
      </c>
      <c r="G9" s="330">
        <v>1</v>
      </c>
      <c r="H9" s="331">
        <v>0</v>
      </c>
      <c r="I9" s="332">
        <v>0</v>
      </c>
      <c r="J9" s="331">
        <f>G9+H9-I9</f>
        <v>1</v>
      </c>
      <c r="K9" s="329">
        <f>F9*G9</f>
        <v>20807.46</v>
      </c>
      <c r="L9" s="298">
        <f t="shared" ref="L9:L76" si="0">H9*F9</f>
        <v>0</v>
      </c>
      <c r="M9" s="298">
        <f>I9*F9</f>
        <v>0</v>
      </c>
      <c r="N9" s="603">
        <f>J9*F9</f>
        <v>20807.46</v>
      </c>
      <c r="O9" s="330"/>
      <c r="P9" s="333"/>
      <c r="Q9" s="330"/>
      <c r="R9" s="333"/>
    </row>
    <row r="10" spans="1:19">
      <c r="A10" s="324" t="s">
        <v>1056</v>
      </c>
      <c r="B10" s="325" t="s">
        <v>69</v>
      </c>
      <c r="C10" s="326" t="s">
        <v>67</v>
      </c>
      <c r="D10" s="327" t="s">
        <v>1058</v>
      </c>
      <c r="E10" s="328" t="s">
        <v>72</v>
      </c>
      <c r="F10" s="329">
        <f>[33]FINANCEIRO!F19</f>
        <v>6489.59</v>
      </c>
      <c r="G10" s="330">
        <v>1</v>
      </c>
      <c r="H10" s="331">
        <v>0</v>
      </c>
      <c r="I10" s="332">
        <v>0</v>
      </c>
      <c r="J10" s="331">
        <f>G10+H10-I10</f>
        <v>1</v>
      </c>
      <c r="K10" s="329">
        <f>F10*G10</f>
        <v>6489.59</v>
      </c>
      <c r="L10" s="298">
        <f t="shared" si="0"/>
        <v>0</v>
      </c>
      <c r="M10" s="298">
        <f t="shared" ref="M10:M76" si="1">I10*F10</f>
        <v>0</v>
      </c>
      <c r="N10" s="603">
        <f t="shared" ref="N10:N77" si="2">J10*F10</f>
        <v>6489.59</v>
      </c>
      <c r="O10" s="330"/>
      <c r="P10" s="333"/>
      <c r="Q10" s="330"/>
      <c r="R10" s="333"/>
    </row>
    <row r="11" spans="1:19" s="345" customFormat="1">
      <c r="A11" s="334"/>
      <c r="B11" s="335"/>
      <c r="C11" s="336" t="s">
        <v>41</v>
      </c>
      <c r="D11" s="337" t="s">
        <v>1059</v>
      </c>
      <c r="E11" s="338"/>
      <c r="F11" s="339"/>
      <c r="G11" s="340"/>
      <c r="H11" s="341"/>
      <c r="I11" s="342"/>
      <c r="J11" s="341"/>
      <c r="K11" s="343"/>
      <c r="L11" s="298"/>
      <c r="M11" s="298"/>
      <c r="N11" s="603"/>
      <c r="O11" s="340"/>
      <c r="P11" s="344"/>
      <c r="Q11" s="340"/>
      <c r="R11" s="344"/>
    </row>
    <row r="12" spans="1:19" ht="45">
      <c r="A12" s="346" t="s">
        <v>1060</v>
      </c>
      <c r="B12" s="347">
        <v>20350</v>
      </c>
      <c r="C12" s="297" t="s">
        <v>74</v>
      </c>
      <c r="D12" s="348" t="s">
        <v>866</v>
      </c>
      <c r="E12" s="328" t="s">
        <v>51</v>
      </c>
      <c r="F12" s="329">
        <f>[33]FINANCEIRO!F22</f>
        <v>138.65</v>
      </c>
      <c r="G12" s="330">
        <v>140.08000000000001</v>
      </c>
      <c r="H12" s="331">
        <v>0</v>
      </c>
      <c r="I12" s="332">
        <v>0</v>
      </c>
      <c r="J12" s="331">
        <f t="shared" ref="J12:J75" si="3">G12+H12-I12</f>
        <v>140.08000000000001</v>
      </c>
      <c r="K12" s="329">
        <f>F12*G12</f>
        <v>19422.092000000004</v>
      </c>
      <c r="L12" s="298">
        <f t="shared" ref="L12" si="4">H12*F12</f>
        <v>0</v>
      </c>
      <c r="M12" s="298">
        <f t="shared" ref="M12" si="5">I12*F12</f>
        <v>0</v>
      </c>
      <c r="N12" s="603">
        <f t="shared" ref="N12" si="6">J12*F12</f>
        <v>19422.092000000004</v>
      </c>
      <c r="O12" s="330"/>
      <c r="P12" s="333"/>
      <c r="Q12" s="330"/>
      <c r="R12" s="333"/>
    </row>
    <row r="13" spans="1:19" ht="45">
      <c r="A13" s="346" t="s">
        <v>1060</v>
      </c>
      <c r="B13" s="347">
        <v>20343</v>
      </c>
      <c r="C13" s="297" t="s">
        <v>75</v>
      </c>
      <c r="D13" s="348" t="s">
        <v>84</v>
      </c>
      <c r="E13" s="328" t="s">
        <v>52</v>
      </c>
      <c r="F13" s="329">
        <f>[33]FINANCEIRO!F23</f>
        <v>783.92</v>
      </c>
      <c r="G13" s="330">
        <v>10</v>
      </c>
      <c r="H13" s="331">
        <v>0</v>
      </c>
      <c r="I13" s="332">
        <v>0</v>
      </c>
      <c r="J13" s="331">
        <f t="shared" si="3"/>
        <v>10</v>
      </c>
      <c r="K13" s="329">
        <f t="shared" ref="K13:K20" si="7">F13*G13</f>
        <v>7839.2</v>
      </c>
      <c r="L13" s="298">
        <f t="shared" si="0"/>
        <v>0</v>
      </c>
      <c r="M13" s="298">
        <f t="shared" si="1"/>
        <v>0</v>
      </c>
      <c r="N13" s="603">
        <f t="shared" si="2"/>
        <v>7839.2</v>
      </c>
      <c r="O13" s="330"/>
      <c r="P13" s="333"/>
      <c r="Q13" s="330"/>
      <c r="R13" s="333"/>
    </row>
    <row r="14" spans="1:19" ht="45">
      <c r="A14" s="346" t="s">
        <v>1060</v>
      </c>
      <c r="B14" s="347">
        <v>20353</v>
      </c>
      <c r="C14" s="297" t="s">
        <v>76</v>
      </c>
      <c r="D14" s="348" t="s">
        <v>1061</v>
      </c>
      <c r="E14" s="328" t="s">
        <v>85</v>
      </c>
      <c r="F14" s="329">
        <f>[33]FINANCEIRO!F24</f>
        <v>823.11</v>
      </c>
      <c r="G14" s="330">
        <v>10</v>
      </c>
      <c r="H14" s="331">
        <v>0</v>
      </c>
      <c r="I14" s="332">
        <v>0</v>
      </c>
      <c r="J14" s="331">
        <f t="shared" si="3"/>
        <v>10</v>
      </c>
      <c r="K14" s="329">
        <f t="shared" si="7"/>
        <v>8231.1</v>
      </c>
      <c r="L14" s="298">
        <f t="shared" si="0"/>
        <v>0</v>
      </c>
      <c r="M14" s="298">
        <f t="shared" si="1"/>
        <v>0</v>
      </c>
      <c r="N14" s="603">
        <f t="shared" si="2"/>
        <v>8231.1</v>
      </c>
      <c r="O14" s="330"/>
      <c r="P14" s="333"/>
      <c r="Q14" s="330"/>
      <c r="R14" s="333"/>
    </row>
    <row r="15" spans="1:19" ht="45">
      <c r="A15" s="346" t="s">
        <v>1060</v>
      </c>
      <c r="B15" s="347">
        <v>20354</v>
      </c>
      <c r="C15" s="297" t="s">
        <v>77</v>
      </c>
      <c r="D15" s="348" t="s">
        <v>86</v>
      </c>
      <c r="E15" s="328" t="s">
        <v>85</v>
      </c>
      <c r="F15" s="329">
        <f>[33]FINANCEIRO!F25</f>
        <v>479.75</v>
      </c>
      <c r="G15" s="330">
        <v>10</v>
      </c>
      <c r="H15" s="331">
        <v>0</v>
      </c>
      <c r="I15" s="332">
        <v>0</v>
      </c>
      <c r="J15" s="331">
        <f t="shared" si="3"/>
        <v>10</v>
      </c>
      <c r="K15" s="329">
        <f t="shared" si="7"/>
        <v>4797.5</v>
      </c>
      <c r="L15" s="298">
        <f t="shared" si="0"/>
        <v>0</v>
      </c>
      <c r="M15" s="298">
        <f t="shared" si="1"/>
        <v>0</v>
      </c>
      <c r="N15" s="603">
        <f t="shared" si="2"/>
        <v>4797.5</v>
      </c>
      <c r="O15" s="330"/>
      <c r="P15" s="333"/>
      <c r="Q15" s="330"/>
      <c r="R15" s="333"/>
    </row>
    <row r="16" spans="1:19" ht="45">
      <c r="A16" s="346" t="s">
        <v>1060</v>
      </c>
      <c r="B16" s="347">
        <v>20355</v>
      </c>
      <c r="C16" s="297" t="s">
        <v>78</v>
      </c>
      <c r="D16" s="348" t="s">
        <v>87</v>
      </c>
      <c r="E16" s="328" t="s">
        <v>85</v>
      </c>
      <c r="F16" s="329">
        <f>[33]FINANCEIRO!F26</f>
        <v>841.92</v>
      </c>
      <c r="G16" s="330">
        <v>10</v>
      </c>
      <c r="H16" s="331">
        <v>0</v>
      </c>
      <c r="I16" s="332">
        <v>0</v>
      </c>
      <c r="J16" s="331">
        <f t="shared" si="3"/>
        <v>10</v>
      </c>
      <c r="K16" s="329">
        <f t="shared" si="7"/>
        <v>8419.1999999999989</v>
      </c>
      <c r="L16" s="298">
        <f t="shared" si="0"/>
        <v>0</v>
      </c>
      <c r="M16" s="298">
        <f t="shared" si="1"/>
        <v>0</v>
      </c>
      <c r="N16" s="603">
        <f t="shared" si="2"/>
        <v>8419.1999999999989</v>
      </c>
      <c r="O16" s="330"/>
      <c r="P16" s="333"/>
      <c r="Q16" s="330"/>
      <c r="R16" s="333"/>
    </row>
    <row r="17" spans="1:18" ht="30">
      <c r="A17" s="346" t="s">
        <v>1060</v>
      </c>
      <c r="B17" s="347">
        <v>20356</v>
      </c>
      <c r="C17" s="297" t="s">
        <v>79</v>
      </c>
      <c r="D17" s="327" t="s">
        <v>1062</v>
      </c>
      <c r="E17" s="328" t="s">
        <v>85</v>
      </c>
      <c r="F17" s="329">
        <f>[33]FINANCEIRO!F27</f>
        <v>489.95</v>
      </c>
      <c r="G17" s="330">
        <v>10</v>
      </c>
      <c r="H17" s="331">
        <v>0</v>
      </c>
      <c r="I17" s="332">
        <v>0</v>
      </c>
      <c r="J17" s="331">
        <f t="shared" si="3"/>
        <v>10</v>
      </c>
      <c r="K17" s="329">
        <f t="shared" si="7"/>
        <v>4899.5</v>
      </c>
      <c r="L17" s="298">
        <f t="shared" si="0"/>
        <v>0</v>
      </c>
      <c r="M17" s="298">
        <f t="shared" si="1"/>
        <v>0</v>
      </c>
      <c r="N17" s="603">
        <f t="shared" si="2"/>
        <v>4899.5</v>
      </c>
      <c r="O17" s="330"/>
      <c r="P17" s="333"/>
      <c r="Q17" s="330"/>
      <c r="R17" s="333"/>
    </row>
    <row r="18" spans="1:18">
      <c r="A18" s="324" t="s">
        <v>1060</v>
      </c>
      <c r="B18" s="349">
        <v>20344</v>
      </c>
      <c r="C18" s="326" t="s">
        <v>80</v>
      </c>
      <c r="D18" s="327" t="s">
        <v>1063</v>
      </c>
      <c r="E18" s="328" t="s">
        <v>59</v>
      </c>
      <c r="F18" s="329">
        <f>[33]FINANCEIRO!F28</f>
        <v>1028.8900000000001</v>
      </c>
      <c r="G18" s="330">
        <v>5</v>
      </c>
      <c r="H18" s="331">
        <v>0</v>
      </c>
      <c r="I18" s="332">
        <v>0</v>
      </c>
      <c r="J18" s="331">
        <f t="shared" si="3"/>
        <v>5</v>
      </c>
      <c r="K18" s="329">
        <f t="shared" si="7"/>
        <v>5144.4500000000007</v>
      </c>
      <c r="L18" s="298">
        <f t="shared" si="0"/>
        <v>0</v>
      </c>
      <c r="M18" s="298">
        <f t="shared" si="1"/>
        <v>0</v>
      </c>
      <c r="N18" s="603">
        <f t="shared" si="2"/>
        <v>5144.4500000000007</v>
      </c>
      <c r="O18" s="330"/>
      <c r="P18" s="333"/>
      <c r="Q18" s="330"/>
      <c r="R18" s="333"/>
    </row>
    <row r="19" spans="1:18" s="361" customFormat="1" ht="45">
      <c r="A19" s="350" t="s">
        <v>1060</v>
      </c>
      <c r="B19" s="351">
        <v>20708</v>
      </c>
      <c r="C19" s="328" t="s">
        <v>81</v>
      </c>
      <c r="D19" s="352" t="s">
        <v>1064</v>
      </c>
      <c r="E19" s="353" t="s">
        <v>57</v>
      </c>
      <c r="F19" s="354">
        <f>[33]FINANCEIRO!F29</f>
        <v>160.19999999999999</v>
      </c>
      <c r="G19" s="355">
        <v>12</v>
      </c>
      <c r="H19" s="331">
        <v>0</v>
      </c>
      <c r="I19" s="356">
        <v>0</v>
      </c>
      <c r="J19" s="331">
        <f t="shared" si="3"/>
        <v>12</v>
      </c>
      <c r="K19" s="357">
        <f>F19*G19</f>
        <v>1922.3999999999999</v>
      </c>
      <c r="L19" s="358">
        <f t="shared" si="0"/>
        <v>0</v>
      </c>
      <c r="M19" s="359">
        <f t="shared" si="1"/>
        <v>0</v>
      </c>
      <c r="N19" s="604">
        <f t="shared" si="2"/>
        <v>1922.3999999999999</v>
      </c>
      <c r="O19" s="355"/>
      <c r="P19" s="360"/>
      <c r="Q19" s="355"/>
      <c r="R19" s="360"/>
    </row>
    <row r="20" spans="1:18" s="361" customFormat="1" ht="45">
      <c r="A20" s="350" t="s">
        <v>1060</v>
      </c>
      <c r="B20" s="351">
        <v>20709</v>
      </c>
      <c r="C20" s="328" t="s">
        <v>82</v>
      </c>
      <c r="D20" s="352" t="s">
        <v>1065</v>
      </c>
      <c r="E20" s="353" t="s">
        <v>57</v>
      </c>
      <c r="F20" s="354">
        <f>[33]FINANCEIRO!F30</f>
        <v>216.68</v>
      </c>
      <c r="G20" s="355">
        <v>6</v>
      </c>
      <c r="H20" s="331">
        <v>0</v>
      </c>
      <c r="I20" s="356">
        <v>0</v>
      </c>
      <c r="J20" s="331">
        <f t="shared" si="3"/>
        <v>6</v>
      </c>
      <c r="K20" s="357">
        <f t="shared" si="7"/>
        <v>1300.08</v>
      </c>
      <c r="L20" s="358">
        <f t="shared" si="0"/>
        <v>0</v>
      </c>
      <c r="M20" s="359">
        <f t="shared" si="1"/>
        <v>0</v>
      </c>
      <c r="N20" s="604">
        <f t="shared" si="2"/>
        <v>1300.08</v>
      </c>
      <c r="O20" s="355"/>
      <c r="P20" s="360"/>
      <c r="Q20" s="355"/>
      <c r="R20" s="360"/>
    </row>
    <row r="21" spans="1:18" s="373" customFormat="1">
      <c r="A21" s="362" t="s">
        <v>1066</v>
      </c>
      <c r="B21" s="363">
        <v>40781</v>
      </c>
      <c r="C21" s="364" t="s">
        <v>1067</v>
      </c>
      <c r="D21" s="365" t="s">
        <v>1068</v>
      </c>
      <c r="E21" s="366" t="s">
        <v>49</v>
      </c>
      <c r="F21" s="367">
        <v>56.22</v>
      </c>
      <c r="G21" s="368">
        <v>0</v>
      </c>
      <c r="H21" s="369">
        <v>180</v>
      </c>
      <c r="I21" s="370">
        <v>0</v>
      </c>
      <c r="J21" s="371">
        <f>G21+H21-I21</f>
        <v>180</v>
      </c>
      <c r="K21" s="367">
        <f>F21*G21</f>
        <v>0</v>
      </c>
      <c r="L21" s="298">
        <f>H21*F21</f>
        <v>10119.6</v>
      </c>
      <c r="M21" s="598">
        <f>I21*F21</f>
        <v>0</v>
      </c>
      <c r="N21" s="605">
        <f>J21*F21</f>
        <v>10119.6</v>
      </c>
      <c r="O21" s="368">
        <f>H21</f>
        <v>180</v>
      </c>
      <c r="P21" s="372">
        <f>O21*F21</f>
        <v>10119.6</v>
      </c>
      <c r="Q21" s="368"/>
      <c r="R21" s="372">
        <f>Q21*H21</f>
        <v>0</v>
      </c>
    </row>
    <row r="22" spans="1:18" s="373" customFormat="1">
      <c r="A22" s="362" t="s">
        <v>1069</v>
      </c>
      <c r="B22" s="363">
        <v>200323</v>
      </c>
      <c r="C22" s="364" t="s">
        <v>1070</v>
      </c>
      <c r="D22" s="365" t="s">
        <v>162</v>
      </c>
      <c r="E22" s="366" t="s">
        <v>49</v>
      </c>
      <c r="F22" s="367">
        <v>125.95</v>
      </c>
      <c r="G22" s="368">
        <v>0</v>
      </c>
      <c r="H22" s="369">
        <v>90</v>
      </c>
      <c r="I22" s="370">
        <v>0</v>
      </c>
      <c r="J22" s="371">
        <f>G22+H22-I22</f>
        <v>90</v>
      </c>
      <c r="K22" s="367">
        <f>F22*G22</f>
        <v>0</v>
      </c>
      <c r="L22" s="298">
        <f>H22*F22</f>
        <v>11335.5</v>
      </c>
      <c r="M22" s="598">
        <f>I22*F22</f>
        <v>0</v>
      </c>
      <c r="N22" s="605">
        <f>J22*F22</f>
        <v>11335.5</v>
      </c>
      <c r="O22" s="368">
        <f t="shared" ref="O22:O23" si="8">H22</f>
        <v>90</v>
      </c>
      <c r="P22" s="372">
        <f t="shared" ref="P22:P23" si="9">O22*F22</f>
        <v>11335.5</v>
      </c>
      <c r="Q22" s="368"/>
      <c r="R22" s="372">
        <f t="shared" ref="R22:R23" si="10">Q22*H22</f>
        <v>0</v>
      </c>
    </row>
    <row r="23" spans="1:18" s="373" customFormat="1">
      <c r="A23" s="362" t="s">
        <v>1069</v>
      </c>
      <c r="B23" s="363">
        <v>20305</v>
      </c>
      <c r="C23" s="364" t="s">
        <v>1071</v>
      </c>
      <c r="D23" s="365" t="s">
        <v>103</v>
      </c>
      <c r="E23" s="366" t="s">
        <v>50</v>
      </c>
      <c r="F23" s="367">
        <v>222.96</v>
      </c>
      <c r="G23" s="368">
        <v>0</v>
      </c>
      <c r="H23" s="369">
        <v>8</v>
      </c>
      <c r="I23" s="370">
        <v>0</v>
      </c>
      <c r="J23" s="371">
        <v>8</v>
      </c>
      <c r="K23" s="367">
        <f>F23*G23</f>
        <v>0</v>
      </c>
      <c r="L23" s="298">
        <f>H23*F23</f>
        <v>1783.68</v>
      </c>
      <c r="M23" s="598">
        <f>I23*F23</f>
        <v>0</v>
      </c>
      <c r="N23" s="605">
        <f>J23*F23</f>
        <v>1783.68</v>
      </c>
      <c r="O23" s="368">
        <f t="shared" si="8"/>
        <v>8</v>
      </c>
      <c r="P23" s="372">
        <f t="shared" si="9"/>
        <v>1783.68</v>
      </c>
      <c r="Q23" s="368"/>
      <c r="R23" s="372">
        <f t="shared" si="10"/>
        <v>0</v>
      </c>
    </row>
    <row r="24" spans="1:18" s="345" customFormat="1">
      <c r="A24" s="334"/>
      <c r="B24" s="335"/>
      <c r="C24" s="336" t="s">
        <v>42</v>
      </c>
      <c r="D24" s="374" t="s">
        <v>1072</v>
      </c>
      <c r="E24" s="338"/>
      <c r="F24" s="339"/>
      <c r="G24" s="340"/>
      <c r="H24" s="341"/>
      <c r="I24" s="342"/>
      <c r="J24" s="341"/>
      <c r="K24" s="343"/>
      <c r="L24" s="298"/>
      <c r="M24" s="298"/>
      <c r="N24" s="603"/>
      <c r="O24" s="340"/>
      <c r="P24" s="344"/>
      <c r="Q24" s="340"/>
      <c r="R24" s="344"/>
    </row>
    <row r="25" spans="1:18" s="387" customFormat="1" ht="45">
      <c r="A25" s="375" t="s">
        <v>1060</v>
      </c>
      <c r="B25" s="376">
        <v>20350</v>
      </c>
      <c r="C25" s="377" t="s">
        <v>91</v>
      </c>
      <c r="D25" s="378" t="s">
        <v>866</v>
      </c>
      <c r="E25" s="379" t="s">
        <v>51</v>
      </c>
      <c r="F25" s="380">
        <v>138.65</v>
      </c>
      <c r="G25" s="381">
        <v>251.25</v>
      </c>
      <c r="H25" s="382">
        <v>82</v>
      </c>
      <c r="I25" s="383">
        <v>0</v>
      </c>
      <c r="J25" s="384">
        <f t="shared" si="3"/>
        <v>333.25</v>
      </c>
      <c r="K25" s="385">
        <f>F25*G25</f>
        <v>34835.8125</v>
      </c>
      <c r="L25" s="358">
        <f t="shared" si="0"/>
        <v>11369.300000000001</v>
      </c>
      <c r="M25" s="359">
        <f t="shared" si="1"/>
        <v>0</v>
      </c>
      <c r="N25" s="604">
        <f t="shared" si="2"/>
        <v>46205.112500000003</v>
      </c>
      <c r="O25" s="381">
        <v>82</v>
      </c>
      <c r="P25" s="386">
        <f>O25*F25</f>
        <v>11369.300000000001</v>
      </c>
      <c r="Q25" s="381"/>
      <c r="R25" s="386">
        <f>Q25*H25</f>
        <v>0</v>
      </c>
    </row>
    <row r="26" spans="1:18" s="387" customFormat="1" ht="30">
      <c r="A26" s="375" t="s">
        <v>1060</v>
      </c>
      <c r="B26" s="376">
        <v>20356</v>
      </c>
      <c r="C26" s="377" t="s">
        <v>92</v>
      </c>
      <c r="D26" s="378" t="s">
        <v>88</v>
      </c>
      <c r="E26" s="379" t="s">
        <v>85</v>
      </c>
      <c r="F26" s="380">
        <v>489.95</v>
      </c>
      <c r="G26" s="381">
        <v>9</v>
      </c>
      <c r="H26" s="382">
        <v>3</v>
      </c>
      <c r="I26" s="383">
        <v>0</v>
      </c>
      <c r="J26" s="384">
        <f t="shared" si="3"/>
        <v>12</v>
      </c>
      <c r="K26" s="385">
        <f>F26*G26</f>
        <v>4409.55</v>
      </c>
      <c r="L26" s="358">
        <f t="shared" si="0"/>
        <v>1469.85</v>
      </c>
      <c r="M26" s="359">
        <f t="shared" si="1"/>
        <v>0</v>
      </c>
      <c r="N26" s="604">
        <f t="shared" si="2"/>
        <v>5879.4</v>
      </c>
      <c r="O26" s="381"/>
      <c r="P26" s="386"/>
      <c r="Q26" s="381"/>
      <c r="R26" s="386"/>
    </row>
    <row r="27" spans="1:18" s="387" customFormat="1" ht="45">
      <c r="A27" s="375" t="s">
        <v>1060</v>
      </c>
      <c r="B27" s="376">
        <v>20353</v>
      </c>
      <c r="C27" s="377" t="s">
        <v>93</v>
      </c>
      <c r="D27" s="378" t="s">
        <v>97</v>
      </c>
      <c r="E27" s="379" t="s">
        <v>85</v>
      </c>
      <c r="F27" s="380">
        <v>823.11</v>
      </c>
      <c r="G27" s="381">
        <v>9</v>
      </c>
      <c r="H27" s="382">
        <v>3</v>
      </c>
      <c r="I27" s="383">
        <v>0</v>
      </c>
      <c r="J27" s="384">
        <f t="shared" si="3"/>
        <v>12</v>
      </c>
      <c r="K27" s="385">
        <f t="shared" ref="K27:K29" si="11">F27*G27</f>
        <v>7407.99</v>
      </c>
      <c r="L27" s="358">
        <f t="shared" si="0"/>
        <v>2469.33</v>
      </c>
      <c r="M27" s="359">
        <f t="shared" si="1"/>
        <v>0</v>
      </c>
      <c r="N27" s="604">
        <f t="shared" si="2"/>
        <v>9877.32</v>
      </c>
      <c r="O27" s="381"/>
      <c r="P27" s="386"/>
      <c r="Q27" s="381"/>
      <c r="R27" s="386"/>
    </row>
    <row r="28" spans="1:18" s="387" customFormat="1" ht="45">
      <c r="A28" s="375" t="s">
        <v>1060</v>
      </c>
      <c r="B28" s="376">
        <v>20354</v>
      </c>
      <c r="C28" s="377" t="s">
        <v>94</v>
      </c>
      <c r="D28" s="378" t="s">
        <v>1073</v>
      </c>
      <c r="E28" s="379" t="s">
        <v>85</v>
      </c>
      <c r="F28" s="380">
        <v>479.75</v>
      </c>
      <c r="G28" s="381">
        <v>9</v>
      </c>
      <c r="H28" s="382">
        <v>3</v>
      </c>
      <c r="I28" s="383">
        <v>0</v>
      </c>
      <c r="J28" s="384">
        <f t="shared" si="3"/>
        <v>12</v>
      </c>
      <c r="K28" s="385">
        <f t="shared" si="11"/>
        <v>4317.75</v>
      </c>
      <c r="L28" s="358">
        <f t="shared" si="0"/>
        <v>1439.25</v>
      </c>
      <c r="M28" s="359">
        <f t="shared" si="1"/>
        <v>0</v>
      </c>
      <c r="N28" s="604">
        <f t="shared" si="2"/>
        <v>5757</v>
      </c>
      <c r="O28" s="381"/>
      <c r="P28" s="386"/>
      <c r="Q28" s="381"/>
      <c r="R28" s="386"/>
    </row>
    <row r="29" spans="1:18" s="387" customFormat="1" ht="45">
      <c r="A29" s="375" t="s">
        <v>1060</v>
      </c>
      <c r="B29" s="376">
        <v>20355</v>
      </c>
      <c r="C29" s="377" t="s">
        <v>95</v>
      </c>
      <c r="D29" s="378" t="s">
        <v>1074</v>
      </c>
      <c r="E29" s="379" t="s">
        <v>85</v>
      </c>
      <c r="F29" s="380">
        <v>841.92</v>
      </c>
      <c r="G29" s="381">
        <v>9</v>
      </c>
      <c r="H29" s="382">
        <v>3</v>
      </c>
      <c r="I29" s="383">
        <v>0</v>
      </c>
      <c r="J29" s="384">
        <f t="shared" si="3"/>
        <v>12</v>
      </c>
      <c r="K29" s="385">
        <f t="shared" si="11"/>
        <v>7577.28</v>
      </c>
      <c r="L29" s="358">
        <f t="shared" si="0"/>
        <v>2525.7599999999998</v>
      </c>
      <c r="M29" s="359">
        <f t="shared" si="1"/>
        <v>0</v>
      </c>
      <c r="N29" s="604">
        <f t="shared" si="2"/>
        <v>10103.039999999999</v>
      </c>
      <c r="O29" s="381"/>
      <c r="P29" s="386"/>
      <c r="Q29" s="381"/>
      <c r="R29" s="386"/>
    </row>
    <row r="30" spans="1:18" s="387" customFormat="1" ht="18">
      <c r="A30" s="375" t="s">
        <v>1060</v>
      </c>
      <c r="B30" s="376">
        <v>20344</v>
      </c>
      <c r="C30" s="377" t="s">
        <v>96</v>
      </c>
      <c r="D30" s="378" t="s">
        <v>89</v>
      </c>
      <c r="E30" s="379" t="s">
        <v>59</v>
      </c>
      <c r="F30" s="380">
        <f>[33]FINANCEIRO!F28</f>
        <v>1028.8900000000001</v>
      </c>
      <c r="G30" s="381">
        <v>12</v>
      </c>
      <c r="H30" s="382">
        <v>2</v>
      </c>
      <c r="I30" s="383">
        <v>0</v>
      </c>
      <c r="J30" s="384">
        <f t="shared" si="3"/>
        <v>14</v>
      </c>
      <c r="K30" s="385">
        <f>F30*G30</f>
        <v>12346.68</v>
      </c>
      <c r="L30" s="358">
        <f t="shared" si="0"/>
        <v>2057.7800000000002</v>
      </c>
      <c r="M30" s="359">
        <f t="shared" si="1"/>
        <v>0</v>
      </c>
      <c r="N30" s="604">
        <f t="shared" si="2"/>
        <v>14404.460000000001</v>
      </c>
      <c r="O30" s="381"/>
      <c r="P30" s="386"/>
      <c r="Q30" s="381"/>
      <c r="R30" s="386"/>
    </row>
    <row r="31" spans="1:18" s="373" customFormat="1" ht="45">
      <c r="A31" s="388" t="s">
        <v>1069</v>
      </c>
      <c r="B31" s="389">
        <v>20712</v>
      </c>
      <c r="C31" s="390" t="s">
        <v>1075</v>
      </c>
      <c r="D31" s="365" t="s">
        <v>1076</v>
      </c>
      <c r="E31" s="366" t="s">
        <v>51</v>
      </c>
      <c r="F31" s="367">
        <v>37.909999999999997</v>
      </c>
      <c r="G31" s="368">
        <v>0</v>
      </c>
      <c r="H31" s="369">
        <v>70</v>
      </c>
      <c r="I31" s="370">
        <v>0</v>
      </c>
      <c r="J31" s="371">
        <f t="shared" si="3"/>
        <v>70</v>
      </c>
      <c r="K31" s="367">
        <f>F31*G31</f>
        <v>0</v>
      </c>
      <c r="L31" s="298">
        <f>H31*F31</f>
        <v>2653.7</v>
      </c>
      <c r="M31" s="598">
        <f t="shared" si="1"/>
        <v>0</v>
      </c>
      <c r="N31" s="605">
        <f t="shared" si="2"/>
        <v>2653.7</v>
      </c>
      <c r="O31" s="368">
        <v>40</v>
      </c>
      <c r="P31" s="372">
        <f>O31*F31</f>
        <v>1516.3999999999999</v>
      </c>
      <c r="Q31" s="368"/>
      <c r="R31" s="372">
        <f>Q31*H31</f>
        <v>0</v>
      </c>
    </row>
    <row r="32" spans="1:18" s="373" customFormat="1" ht="30">
      <c r="A32" s="388" t="s">
        <v>1069</v>
      </c>
      <c r="B32" s="389">
        <v>20713</v>
      </c>
      <c r="C32" s="390" t="s">
        <v>1077</v>
      </c>
      <c r="D32" s="365" t="s">
        <v>1078</v>
      </c>
      <c r="E32" s="366" t="s">
        <v>51</v>
      </c>
      <c r="F32" s="367">
        <v>433.87</v>
      </c>
      <c r="G32" s="368">
        <v>0</v>
      </c>
      <c r="H32" s="369">
        <f>[34]CANTEIROS!I11</f>
        <v>100</v>
      </c>
      <c r="I32" s="370">
        <v>0</v>
      </c>
      <c r="J32" s="371">
        <f t="shared" si="3"/>
        <v>100</v>
      </c>
      <c r="K32" s="367">
        <f t="shared" ref="K32:K33" si="12">F32*G32</f>
        <v>0</v>
      </c>
      <c r="L32" s="298">
        <f>H32*F32</f>
        <v>43387</v>
      </c>
      <c r="M32" s="598">
        <f t="shared" si="1"/>
        <v>0</v>
      </c>
      <c r="N32" s="605">
        <f t="shared" si="2"/>
        <v>43387</v>
      </c>
      <c r="O32" s="368">
        <v>50</v>
      </c>
      <c r="P32" s="372">
        <f>O32*F32</f>
        <v>21693.5</v>
      </c>
      <c r="Q32" s="368"/>
      <c r="R32" s="372">
        <f>Q32*H32</f>
        <v>0</v>
      </c>
    </row>
    <row r="33" spans="1:18" s="373" customFormat="1" ht="30">
      <c r="A33" s="391" t="s">
        <v>1069</v>
      </c>
      <c r="B33" s="389">
        <v>20714</v>
      </c>
      <c r="C33" s="390" t="s">
        <v>1079</v>
      </c>
      <c r="D33" s="365" t="s">
        <v>1080</v>
      </c>
      <c r="E33" s="366" t="s">
        <v>51</v>
      </c>
      <c r="F33" s="367">
        <v>314.74</v>
      </c>
      <c r="G33" s="368">
        <v>0</v>
      </c>
      <c r="H33" s="369">
        <f>[34]CANTEIROS!I13</f>
        <v>30</v>
      </c>
      <c r="I33" s="370">
        <v>0</v>
      </c>
      <c r="J33" s="371">
        <f t="shared" si="3"/>
        <v>30</v>
      </c>
      <c r="K33" s="367">
        <f t="shared" si="12"/>
        <v>0</v>
      </c>
      <c r="L33" s="298">
        <f t="shared" ref="L33" si="13">H33*F33</f>
        <v>9442.2000000000007</v>
      </c>
      <c r="M33" s="598">
        <f t="shared" si="1"/>
        <v>0</v>
      </c>
      <c r="N33" s="605">
        <f t="shared" si="2"/>
        <v>9442.2000000000007</v>
      </c>
      <c r="O33" s="368">
        <v>10</v>
      </c>
      <c r="P33" s="372">
        <f>O33*F33</f>
        <v>3147.4</v>
      </c>
      <c r="Q33" s="368"/>
      <c r="R33" s="372">
        <f>Q33*H33</f>
        <v>0</v>
      </c>
    </row>
    <row r="34" spans="1:18" s="312" customFormat="1">
      <c r="A34" s="392"/>
      <c r="B34" s="393"/>
      <c r="C34" s="394" t="s">
        <v>20</v>
      </c>
      <c r="D34" s="395" t="s">
        <v>1081</v>
      </c>
      <c r="E34" s="396"/>
      <c r="F34" s="397"/>
      <c r="G34" s="398"/>
      <c r="H34" s="399"/>
      <c r="I34" s="400"/>
      <c r="J34" s="399"/>
      <c r="K34" s="401"/>
      <c r="L34" s="298"/>
      <c r="M34" s="298"/>
      <c r="N34" s="603">
        <f t="shared" si="2"/>
        <v>0</v>
      </c>
      <c r="O34" s="398"/>
      <c r="P34" s="402"/>
      <c r="Q34" s="398"/>
      <c r="R34" s="402"/>
    </row>
    <row r="35" spans="1:18" s="345" customFormat="1">
      <c r="A35" s="334"/>
      <c r="B35" s="335"/>
      <c r="C35" s="336" t="s">
        <v>43</v>
      </c>
      <c r="D35" s="337" t="s">
        <v>1081</v>
      </c>
      <c r="E35" s="338"/>
      <c r="F35" s="339"/>
      <c r="G35" s="340"/>
      <c r="H35" s="341"/>
      <c r="I35" s="342"/>
      <c r="J35" s="341"/>
      <c r="K35" s="343"/>
      <c r="L35" s="298"/>
      <c r="M35" s="298"/>
      <c r="N35" s="603"/>
      <c r="O35" s="340"/>
      <c r="P35" s="344"/>
      <c r="Q35" s="340"/>
      <c r="R35" s="344"/>
    </row>
    <row r="36" spans="1:18" ht="30">
      <c r="A36" s="324" t="s">
        <v>1060</v>
      </c>
      <c r="B36" s="349">
        <v>10512</v>
      </c>
      <c r="C36" s="328" t="s">
        <v>99</v>
      </c>
      <c r="D36" s="327" t="s">
        <v>1082</v>
      </c>
      <c r="E36" s="328" t="s">
        <v>52</v>
      </c>
      <c r="F36" s="329">
        <f>[33]FINANCEIRO!F42</f>
        <v>18130.12</v>
      </c>
      <c r="G36" s="330">
        <v>2</v>
      </c>
      <c r="H36" s="331">
        <v>0</v>
      </c>
      <c r="I36" s="332">
        <v>0</v>
      </c>
      <c r="J36" s="331">
        <f t="shared" si="3"/>
        <v>2</v>
      </c>
      <c r="K36" s="329">
        <f>F36*G36</f>
        <v>36260.239999999998</v>
      </c>
      <c r="L36" s="298">
        <f t="shared" si="0"/>
        <v>0</v>
      </c>
      <c r="M36" s="298">
        <f t="shared" si="1"/>
        <v>0</v>
      </c>
      <c r="N36" s="603">
        <f t="shared" si="2"/>
        <v>36260.239999999998</v>
      </c>
      <c r="O36" s="330"/>
      <c r="P36" s="333"/>
      <c r="Q36" s="330"/>
      <c r="R36" s="333"/>
    </row>
    <row r="37" spans="1:18" s="403" customFormat="1">
      <c r="C37" s="403">
        <v>2</v>
      </c>
      <c r="D37" s="403" t="s">
        <v>1083</v>
      </c>
      <c r="F37" s="404"/>
      <c r="G37" s="405"/>
      <c r="I37" s="405"/>
      <c r="K37" s="404"/>
      <c r="L37" s="596"/>
      <c r="M37" s="599"/>
      <c r="N37" s="606">
        <f t="shared" si="2"/>
        <v>0</v>
      </c>
      <c r="O37" s="405"/>
      <c r="P37" s="406"/>
      <c r="Q37" s="405"/>
      <c r="R37" s="406"/>
    </row>
    <row r="38" spans="1:18" s="312" customFormat="1">
      <c r="A38" s="392"/>
      <c r="B38" s="393"/>
      <c r="C38" s="394" t="s">
        <v>21</v>
      </c>
      <c r="D38" s="395" t="s">
        <v>1054</v>
      </c>
      <c r="E38" s="396"/>
      <c r="F38" s="397"/>
      <c r="G38" s="398"/>
      <c r="H38" s="399"/>
      <c r="I38" s="400"/>
      <c r="J38" s="399"/>
      <c r="K38" s="407"/>
      <c r="L38" s="298"/>
      <c r="M38" s="298"/>
      <c r="N38" s="603">
        <f t="shared" si="2"/>
        <v>0</v>
      </c>
      <c r="O38" s="398"/>
      <c r="P38" s="402"/>
      <c r="Q38" s="398"/>
      <c r="R38" s="402"/>
    </row>
    <row r="39" spans="1:18" s="345" customFormat="1">
      <c r="A39" s="334"/>
      <c r="B39" s="335"/>
      <c r="C39" s="336" t="s">
        <v>100</v>
      </c>
      <c r="D39" s="337" t="s">
        <v>1084</v>
      </c>
      <c r="E39" s="338"/>
      <c r="F39" s="339"/>
      <c r="G39" s="340"/>
      <c r="H39" s="341"/>
      <c r="I39" s="342"/>
      <c r="J39" s="341"/>
      <c r="K39" s="343"/>
      <c r="L39" s="298"/>
      <c r="M39" s="298"/>
      <c r="N39" s="603"/>
      <c r="O39" s="340"/>
      <c r="P39" s="344"/>
      <c r="Q39" s="340"/>
      <c r="R39" s="344"/>
    </row>
    <row r="40" spans="1:18">
      <c r="A40" s="324" t="s">
        <v>1060</v>
      </c>
      <c r="B40" s="349">
        <v>20305</v>
      </c>
      <c r="C40" s="328" t="s">
        <v>102</v>
      </c>
      <c r="D40" s="327" t="s">
        <v>1085</v>
      </c>
      <c r="E40" s="328" t="s">
        <v>57</v>
      </c>
      <c r="F40" s="329">
        <f>[33]FINANCEIRO!F46</f>
        <v>222.96</v>
      </c>
      <c r="G40" s="330">
        <v>8</v>
      </c>
      <c r="H40" s="331">
        <v>0</v>
      </c>
      <c r="I40" s="332">
        <v>0</v>
      </c>
      <c r="J40" s="331">
        <f t="shared" si="3"/>
        <v>8</v>
      </c>
      <c r="K40" s="329">
        <f>F40*G40</f>
        <v>1783.68</v>
      </c>
      <c r="L40" s="298">
        <f t="shared" si="0"/>
        <v>0</v>
      </c>
      <c r="M40" s="298">
        <f t="shared" si="1"/>
        <v>0</v>
      </c>
      <c r="N40" s="603">
        <f t="shared" si="2"/>
        <v>1783.68</v>
      </c>
      <c r="O40" s="330"/>
      <c r="P40" s="333"/>
      <c r="Q40" s="330"/>
      <c r="R40" s="333"/>
    </row>
    <row r="41" spans="1:18" s="345" customFormat="1">
      <c r="A41" s="334"/>
      <c r="B41" s="335"/>
      <c r="C41" s="336" t="s">
        <v>104</v>
      </c>
      <c r="D41" s="337" t="s">
        <v>1086</v>
      </c>
      <c r="E41" s="338"/>
      <c r="F41" s="339"/>
      <c r="G41" s="340"/>
      <c r="H41" s="341"/>
      <c r="I41" s="342"/>
      <c r="J41" s="341"/>
      <c r="K41" s="343"/>
      <c r="L41" s="298"/>
      <c r="M41" s="298"/>
      <c r="N41" s="603"/>
      <c r="O41" s="340"/>
      <c r="P41" s="344"/>
      <c r="Q41" s="340"/>
      <c r="R41" s="344"/>
    </row>
    <row r="42" spans="1:18">
      <c r="A42" s="324" t="s">
        <v>1060</v>
      </c>
      <c r="B42" s="349">
        <v>10402</v>
      </c>
      <c r="C42" s="408" t="s">
        <v>106</v>
      </c>
      <c r="D42" s="327" t="s">
        <v>1087</v>
      </c>
      <c r="E42" s="328" t="s">
        <v>57</v>
      </c>
      <c r="F42" s="329">
        <f>[33]FINANCEIRO!F49</f>
        <v>3.74</v>
      </c>
      <c r="G42" s="330">
        <v>200.9</v>
      </c>
      <c r="H42" s="331">
        <v>0</v>
      </c>
      <c r="I42" s="332">
        <v>0</v>
      </c>
      <c r="J42" s="331">
        <f t="shared" si="3"/>
        <v>200.9</v>
      </c>
      <c r="K42" s="329">
        <f>F42*G42</f>
        <v>751.3660000000001</v>
      </c>
      <c r="L42" s="298">
        <f t="shared" si="0"/>
        <v>0</v>
      </c>
      <c r="M42" s="298">
        <f t="shared" si="1"/>
        <v>0</v>
      </c>
      <c r="N42" s="603">
        <f t="shared" si="2"/>
        <v>751.3660000000001</v>
      </c>
      <c r="O42" s="330"/>
      <c r="P42" s="333"/>
      <c r="Q42" s="330"/>
      <c r="R42" s="333"/>
    </row>
    <row r="43" spans="1:18" ht="45">
      <c r="A43" s="346" t="s">
        <v>1060</v>
      </c>
      <c r="B43" s="347">
        <v>30304</v>
      </c>
      <c r="C43" s="328" t="s">
        <v>107</v>
      </c>
      <c r="D43" s="348" t="s">
        <v>109</v>
      </c>
      <c r="E43" s="328" t="s">
        <v>58</v>
      </c>
      <c r="F43" s="329">
        <f>[33]FINANCEIRO!F50</f>
        <v>56.45</v>
      </c>
      <c r="G43" s="330">
        <v>30.14</v>
      </c>
      <c r="H43" s="331">
        <v>0</v>
      </c>
      <c r="I43" s="332">
        <v>0</v>
      </c>
      <c r="J43" s="331">
        <f t="shared" si="3"/>
        <v>30.14</v>
      </c>
      <c r="K43" s="329">
        <f>F43*G43</f>
        <v>1701.403</v>
      </c>
      <c r="L43" s="298">
        <f t="shared" si="0"/>
        <v>0</v>
      </c>
      <c r="M43" s="298">
        <f t="shared" si="1"/>
        <v>0</v>
      </c>
      <c r="N43" s="603">
        <f t="shared" si="2"/>
        <v>1701.403</v>
      </c>
      <c r="O43" s="330"/>
      <c r="P43" s="333"/>
      <c r="Q43" s="330"/>
      <c r="R43" s="333"/>
    </row>
    <row r="44" spans="1:18" s="312" customFormat="1">
      <c r="A44" s="392"/>
      <c r="B44" s="393"/>
      <c r="C44" s="394" t="s">
        <v>22</v>
      </c>
      <c r="D44" s="409" t="s">
        <v>56</v>
      </c>
      <c r="E44" s="396"/>
      <c r="F44" s="397"/>
      <c r="G44" s="398"/>
      <c r="H44" s="399"/>
      <c r="I44" s="400"/>
      <c r="J44" s="399"/>
      <c r="K44" s="407"/>
      <c r="L44" s="298"/>
      <c r="M44" s="298"/>
      <c r="N44" s="603"/>
      <c r="O44" s="398"/>
      <c r="P44" s="402"/>
      <c r="Q44" s="398"/>
      <c r="R44" s="402"/>
    </row>
    <row r="45" spans="1:18" s="345" customFormat="1">
      <c r="A45" s="334"/>
      <c r="B45" s="335"/>
      <c r="C45" s="336" t="s">
        <v>110</v>
      </c>
      <c r="D45" s="337" t="s">
        <v>1088</v>
      </c>
      <c r="E45" s="338"/>
      <c r="F45" s="339"/>
      <c r="G45" s="340"/>
      <c r="H45" s="341"/>
      <c r="I45" s="342"/>
      <c r="J45" s="341"/>
      <c r="K45" s="343"/>
      <c r="L45" s="298"/>
      <c r="M45" s="298"/>
      <c r="N45" s="603"/>
      <c r="O45" s="340"/>
      <c r="P45" s="344"/>
      <c r="Q45" s="340"/>
      <c r="R45" s="344"/>
    </row>
    <row r="46" spans="1:18">
      <c r="A46" s="324" t="s">
        <v>1060</v>
      </c>
      <c r="B46" s="349">
        <v>30103</v>
      </c>
      <c r="C46" s="328" t="s">
        <v>112</v>
      </c>
      <c r="D46" s="327" t="s">
        <v>1089</v>
      </c>
      <c r="E46" s="328" t="s">
        <v>58</v>
      </c>
      <c r="F46" s="329">
        <f>[33]FINANCEIRO!F54</f>
        <v>9.81</v>
      </c>
      <c r="G46" s="330">
        <v>75.569999999999993</v>
      </c>
      <c r="H46" s="331">
        <v>0</v>
      </c>
      <c r="I46" s="332">
        <v>0</v>
      </c>
      <c r="J46" s="331">
        <f t="shared" si="3"/>
        <v>75.569999999999993</v>
      </c>
      <c r="K46" s="329">
        <f>F46*G46</f>
        <v>741.34169999999995</v>
      </c>
      <c r="L46" s="298">
        <f t="shared" si="0"/>
        <v>0</v>
      </c>
      <c r="M46" s="298">
        <f t="shared" si="1"/>
        <v>0</v>
      </c>
      <c r="N46" s="603">
        <f t="shared" si="2"/>
        <v>741.34169999999995</v>
      </c>
      <c r="O46" s="330"/>
      <c r="P46" s="333"/>
      <c r="Q46" s="330"/>
      <c r="R46" s="333"/>
    </row>
    <row r="47" spans="1:18" ht="30">
      <c r="A47" s="324" t="s">
        <v>1060</v>
      </c>
      <c r="B47" s="349">
        <v>30210</v>
      </c>
      <c r="C47" s="328" t="s">
        <v>113</v>
      </c>
      <c r="D47" s="348" t="s">
        <v>117</v>
      </c>
      <c r="E47" s="328" t="s">
        <v>58</v>
      </c>
      <c r="F47" s="329">
        <f>[33]FINANCEIRO!F55</f>
        <v>25.99</v>
      </c>
      <c r="G47" s="330">
        <v>12.88</v>
      </c>
      <c r="H47" s="331">
        <v>0</v>
      </c>
      <c r="I47" s="332">
        <v>0</v>
      </c>
      <c r="J47" s="331">
        <f t="shared" si="3"/>
        <v>12.88</v>
      </c>
      <c r="K47" s="329">
        <f t="shared" ref="K47:K49" si="14">F47*G47</f>
        <v>334.75119999999998</v>
      </c>
      <c r="L47" s="298">
        <f t="shared" si="0"/>
        <v>0</v>
      </c>
      <c r="M47" s="298">
        <f t="shared" si="1"/>
        <v>0</v>
      </c>
      <c r="N47" s="603">
        <f t="shared" si="2"/>
        <v>334.75119999999998</v>
      </c>
      <c r="O47" s="330"/>
      <c r="P47" s="333"/>
      <c r="Q47" s="330"/>
      <c r="R47" s="333"/>
    </row>
    <row r="48" spans="1:18">
      <c r="A48" s="324" t="s">
        <v>1060</v>
      </c>
      <c r="B48" s="349">
        <v>10404</v>
      </c>
      <c r="C48" s="328" t="s">
        <v>114</v>
      </c>
      <c r="D48" s="327" t="s">
        <v>1090</v>
      </c>
      <c r="E48" s="328" t="s">
        <v>59</v>
      </c>
      <c r="F48" s="329">
        <f>[33]FINANCEIRO!F56</f>
        <v>111.49</v>
      </c>
      <c r="G48" s="330">
        <v>3</v>
      </c>
      <c r="H48" s="331">
        <v>0</v>
      </c>
      <c r="I48" s="332">
        <v>0</v>
      </c>
      <c r="J48" s="331">
        <f t="shared" si="3"/>
        <v>3</v>
      </c>
      <c r="K48" s="329">
        <f t="shared" si="14"/>
        <v>334.46999999999997</v>
      </c>
      <c r="L48" s="298">
        <f t="shared" si="0"/>
        <v>0</v>
      </c>
      <c r="M48" s="298">
        <f t="shared" si="1"/>
        <v>0</v>
      </c>
      <c r="N48" s="603">
        <f t="shared" si="2"/>
        <v>334.46999999999997</v>
      </c>
      <c r="O48" s="330"/>
      <c r="P48" s="333"/>
      <c r="Q48" s="330"/>
      <c r="R48" s="333"/>
    </row>
    <row r="49" spans="1:18" ht="45">
      <c r="A49" s="346" t="s">
        <v>1060</v>
      </c>
      <c r="B49" s="347">
        <v>30304</v>
      </c>
      <c r="C49" s="328" t="s">
        <v>115</v>
      </c>
      <c r="D49" s="348" t="s">
        <v>109</v>
      </c>
      <c r="E49" s="328" t="s">
        <v>58</v>
      </c>
      <c r="F49" s="329">
        <f>[33]FINANCEIRO!F57</f>
        <v>56.45</v>
      </c>
      <c r="G49" s="330">
        <v>62.69</v>
      </c>
      <c r="H49" s="331">
        <v>0</v>
      </c>
      <c r="I49" s="332">
        <v>0</v>
      </c>
      <c r="J49" s="331">
        <f t="shared" si="3"/>
        <v>62.69</v>
      </c>
      <c r="K49" s="329">
        <f t="shared" si="14"/>
        <v>3538.8505</v>
      </c>
      <c r="L49" s="298">
        <f t="shared" si="0"/>
        <v>0</v>
      </c>
      <c r="M49" s="298">
        <f t="shared" si="1"/>
        <v>0</v>
      </c>
      <c r="N49" s="603">
        <f t="shared" si="2"/>
        <v>3538.8505</v>
      </c>
      <c r="O49" s="330"/>
      <c r="P49" s="333"/>
      <c r="Q49" s="330"/>
      <c r="R49" s="333"/>
    </row>
    <row r="50" spans="1:18" s="312" customFormat="1">
      <c r="A50" s="392"/>
      <c r="B50" s="393"/>
      <c r="C50" s="394" t="s">
        <v>23</v>
      </c>
      <c r="D50" s="395" t="s">
        <v>1091</v>
      </c>
      <c r="E50" s="396"/>
      <c r="F50" s="397"/>
      <c r="G50" s="398"/>
      <c r="H50" s="399"/>
      <c r="I50" s="400"/>
      <c r="J50" s="399"/>
      <c r="K50" s="407"/>
      <c r="L50" s="298"/>
      <c r="M50" s="298"/>
      <c r="N50" s="603"/>
      <c r="O50" s="398"/>
      <c r="P50" s="402"/>
      <c r="Q50" s="398"/>
      <c r="R50" s="402"/>
    </row>
    <row r="51" spans="1:18" s="345" customFormat="1">
      <c r="A51" s="334"/>
      <c r="B51" s="335"/>
      <c r="C51" s="336" t="s">
        <v>121</v>
      </c>
      <c r="D51" s="337" t="s">
        <v>1081</v>
      </c>
      <c r="E51" s="338"/>
      <c r="F51" s="339"/>
      <c r="G51" s="340"/>
      <c r="H51" s="341"/>
      <c r="I51" s="342"/>
      <c r="J51" s="341"/>
      <c r="K51" s="343"/>
      <c r="L51" s="298"/>
      <c r="M51" s="298"/>
      <c r="N51" s="603"/>
      <c r="O51" s="340"/>
      <c r="P51" s="344"/>
      <c r="Q51" s="340"/>
      <c r="R51" s="344"/>
    </row>
    <row r="52" spans="1:18">
      <c r="A52" s="324" t="s">
        <v>1060</v>
      </c>
      <c r="B52" s="349">
        <v>10501</v>
      </c>
      <c r="C52" s="408" t="s">
        <v>120</v>
      </c>
      <c r="D52" s="327" t="s">
        <v>1092</v>
      </c>
      <c r="E52" s="328" t="s">
        <v>57</v>
      </c>
      <c r="F52" s="329">
        <f>[33]FINANCEIRO!F60</f>
        <v>7.69</v>
      </c>
      <c r="G52" s="330">
        <v>200.9</v>
      </c>
      <c r="H52" s="331">
        <v>0</v>
      </c>
      <c r="I52" s="332">
        <v>0</v>
      </c>
      <c r="J52" s="331">
        <f t="shared" si="3"/>
        <v>200.9</v>
      </c>
      <c r="K52" s="329">
        <f>F52*G52</f>
        <v>1544.921</v>
      </c>
      <c r="L52" s="298">
        <f t="shared" si="0"/>
        <v>0</v>
      </c>
      <c r="M52" s="298">
        <f t="shared" si="1"/>
        <v>0</v>
      </c>
      <c r="N52" s="603">
        <f t="shared" si="2"/>
        <v>1544.921</v>
      </c>
      <c r="O52" s="330"/>
      <c r="P52" s="333"/>
      <c r="Q52" s="330"/>
      <c r="R52" s="333"/>
    </row>
    <row r="53" spans="1:18" s="416" customFormat="1">
      <c r="A53" s="410" t="s">
        <v>1060</v>
      </c>
      <c r="B53" s="411" t="s">
        <v>1093</v>
      </c>
      <c r="C53" s="412" t="s">
        <v>1094</v>
      </c>
      <c r="D53" s="413" t="s">
        <v>1095</v>
      </c>
      <c r="E53" s="412" t="s">
        <v>51</v>
      </c>
      <c r="F53" s="367">
        <v>8.0299999999999994</v>
      </c>
      <c r="G53" s="414">
        <v>0</v>
      </c>
      <c r="H53" s="371">
        <v>109.2</v>
      </c>
      <c r="I53" s="370">
        <v>0</v>
      </c>
      <c r="J53" s="371">
        <f t="shared" si="3"/>
        <v>109.2</v>
      </c>
      <c r="K53" s="367">
        <f>F53*G53</f>
        <v>0</v>
      </c>
      <c r="L53" s="298">
        <f t="shared" si="0"/>
        <v>876.87599999999998</v>
      </c>
      <c r="M53" s="298">
        <f t="shared" si="1"/>
        <v>0</v>
      </c>
      <c r="N53" s="607">
        <f t="shared" si="2"/>
        <v>876.87599999999998</v>
      </c>
      <c r="O53" s="414"/>
      <c r="P53" s="415">
        <f>O53*F53</f>
        <v>0</v>
      </c>
      <c r="Q53" s="414"/>
      <c r="R53" s="415">
        <f>Q53*H53</f>
        <v>0</v>
      </c>
    </row>
    <row r="54" spans="1:18" s="345" customFormat="1">
      <c r="A54" s="334"/>
      <c r="B54" s="335"/>
      <c r="C54" s="336" t="s">
        <v>123</v>
      </c>
      <c r="D54" s="417" t="s">
        <v>124</v>
      </c>
      <c r="E54" s="338"/>
      <c r="F54" s="339"/>
      <c r="G54" s="340"/>
      <c r="H54" s="341"/>
      <c r="I54" s="342"/>
      <c r="J54" s="341"/>
      <c r="K54" s="343"/>
      <c r="L54" s="298"/>
      <c r="M54" s="298"/>
      <c r="N54" s="603"/>
      <c r="O54" s="340"/>
      <c r="P54" s="344"/>
      <c r="Q54" s="340"/>
      <c r="R54" s="344"/>
    </row>
    <row r="55" spans="1:18" ht="30">
      <c r="A55" s="324" t="s">
        <v>1096</v>
      </c>
      <c r="B55" s="325" t="s">
        <v>136</v>
      </c>
      <c r="C55" s="408" t="s">
        <v>125</v>
      </c>
      <c r="D55" s="348" t="s">
        <v>141</v>
      </c>
      <c r="E55" s="328" t="s">
        <v>60</v>
      </c>
      <c r="F55" s="329">
        <f>[33]FINANCEIRO!F63</f>
        <v>462.96</v>
      </c>
      <c r="G55" s="330">
        <v>85</v>
      </c>
      <c r="H55" s="331">
        <v>0</v>
      </c>
      <c r="I55" s="332">
        <v>0</v>
      </c>
      <c r="J55" s="331">
        <f t="shared" si="3"/>
        <v>85</v>
      </c>
      <c r="K55" s="329">
        <f>F55*G55</f>
        <v>39351.599999999999</v>
      </c>
      <c r="L55" s="298">
        <f t="shared" si="0"/>
        <v>0</v>
      </c>
      <c r="M55" s="298">
        <f t="shared" si="1"/>
        <v>0</v>
      </c>
      <c r="N55" s="603">
        <f t="shared" si="2"/>
        <v>39351.599999999999</v>
      </c>
      <c r="O55" s="330"/>
      <c r="P55" s="333"/>
      <c r="Q55" s="330"/>
      <c r="R55" s="333"/>
    </row>
    <row r="56" spans="1:18">
      <c r="A56" s="324" t="s">
        <v>1056</v>
      </c>
      <c r="B56" s="325" t="s">
        <v>137</v>
      </c>
      <c r="C56" s="408" t="s">
        <v>126</v>
      </c>
      <c r="D56" s="348" t="s">
        <v>142</v>
      </c>
      <c r="E56" s="328" t="s">
        <v>49</v>
      </c>
      <c r="F56" s="329">
        <f>[33]FINANCEIRO!F64</f>
        <v>596.34</v>
      </c>
      <c r="G56" s="330">
        <f>[33]FINANCEIRO!G64</f>
        <v>35.71</v>
      </c>
      <c r="H56" s="331">
        <v>0</v>
      </c>
      <c r="I56" s="332">
        <v>0</v>
      </c>
      <c r="J56" s="331">
        <f t="shared" si="3"/>
        <v>35.71</v>
      </c>
      <c r="K56" s="329">
        <f>F56*G56</f>
        <v>21295.3014</v>
      </c>
      <c r="L56" s="298">
        <f t="shared" si="0"/>
        <v>0</v>
      </c>
      <c r="M56" s="298">
        <f t="shared" si="1"/>
        <v>0</v>
      </c>
      <c r="N56" s="603">
        <f t="shared" si="2"/>
        <v>21295.3014</v>
      </c>
      <c r="O56" s="330"/>
      <c r="P56" s="333"/>
      <c r="Q56" s="330"/>
      <c r="R56" s="333"/>
    </row>
    <row r="57" spans="1:18">
      <c r="A57" s="324" t="s">
        <v>1056</v>
      </c>
      <c r="B57" s="325" t="s">
        <v>138</v>
      </c>
      <c r="C57" s="408" t="s">
        <v>127</v>
      </c>
      <c r="D57" s="348" t="s">
        <v>143</v>
      </c>
      <c r="E57" s="328" t="s">
        <v>29</v>
      </c>
      <c r="F57" s="329">
        <f>[33]FINANCEIRO!F65</f>
        <v>4.82</v>
      </c>
      <c r="G57" s="330">
        <f>[33]FINANCEIRO!G65</f>
        <v>512</v>
      </c>
      <c r="H57" s="331">
        <v>0</v>
      </c>
      <c r="I57" s="332">
        <v>0</v>
      </c>
      <c r="J57" s="331">
        <f t="shared" si="3"/>
        <v>512</v>
      </c>
      <c r="K57" s="329">
        <f>F57*G57</f>
        <v>2467.84</v>
      </c>
      <c r="L57" s="298">
        <f t="shared" si="0"/>
        <v>0</v>
      </c>
      <c r="M57" s="298">
        <f t="shared" si="1"/>
        <v>0</v>
      </c>
      <c r="N57" s="603">
        <f t="shared" si="2"/>
        <v>2467.84</v>
      </c>
      <c r="O57" s="330"/>
      <c r="P57" s="333"/>
      <c r="Q57" s="330"/>
      <c r="R57" s="333"/>
    </row>
    <row r="58" spans="1:18" ht="30">
      <c r="A58" s="324" t="s">
        <v>1056</v>
      </c>
      <c r="B58" s="325" t="s">
        <v>139</v>
      </c>
      <c r="C58" s="408" t="s">
        <v>128</v>
      </c>
      <c r="D58" s="348" t="s">
        <v>144</v>
      </c>
      <c r="E58" s="328" t="s">
        <v>29</v>
      </c>
      <c r="F58" s="329">
        <f>[33]FINANCEIRO!F66</f>
        <v>6.12</v>
      </c>
      <c r="G58" s="330">
        <f>[33]FINANCEIRO!G66</f>
        <v>4419.01</v>
      </c>
      <c r="H58" s="331">
        <v>0</v>
      </c>
      <c r="I58" s="332">
        <v>0</v>
      </c>
      <c r="J58" s="331">
        <f t="shared" si="3"/>
        <v>4419.01</v>
      </c>
      <c r="K58" s="329">
        <f>F58*G58</f>
        <v>27044.341200000003</v>
      </c>
      <c r="L58" s="298">
        <f t="shared" si="0"/>
        <v>0</v>
      </c>
      <c r="M58" s="298">
        <f t="shared" si="1"/>
        <v>0</v>
      </c>
      <c r="N58" s="603">
        <f t="shared" si="2"/>
        <v>27044.341200000003</v>
      </c>
      <c r="O58" s="330"/>
      <c r="P58" s="333"/>
      <c r="Q58" s="330"/>
      <c r="R58" s="333"/>
    </row>
    <row r="59" spans="1:18">
      <c r="A59" s="324" t="s">
        <v>1060</v>
      </c>
      <c r="B59" s="325">
        <v>30101</v>
      </c>
      <c r="C59" s="408" t="s">
        <v>129</v>
      </c>
      <c r="D59" s="348" t="s">
        <v>145</v>
      </c>
      <c r="E59" s="328" t="s">
        <v>58</v>
      </c>
      <c r="F59" s="329">
        <f>[33]FINANCEIRO!F67</f>
        <v>48.58</v>
      </c>
      <c r="G59" s="330">
        <v>6.3</v>
      </c>
      <c r="H59" s="331">
        <v>0</v>
      </c>
      <c r="I59" s="332">
        <v>0</v>
      </c>
      <c r="J59" s="331">
        <f t="shared" si="3"/>
        <v>6.3</v>
      </c>
      <c r="K59" s="329">
        <f t="shared" ref="K59:K65" si="15">F59*G59</f>
        <v>306.05399999999997</v>
      </c>
      <c r="L59" s="298">
        <f t="shared" si="0"/>
        <v>0</v>
      </c>
      <c r="M59" s="298">
        <f t="shared" si="1"/>
        <v>0</v>
      </c>
      <c r="N59" s="603">
        <f t="shared" si="2"/>
        <v>306.05399999999997</v>
      </c>
      <c r="O59" s="330"/>
      <c r="P59" s="333"/>
      <c r="Q59" s="330"/>
      <c r="R59" s="333"/>
    </row>
    <row r="60" spans="1:18" ht="45">
      <c r="A60" s="324" t="s">
        <v>1060</v>
      </c>
      <c r="B60" s="325">
        <v>40339</v>
      </c>
      <c r="C60" s="408" t="s">
        <v>130</v>
      </c>
      <c r="D60" s="348" t="s">
        <v>146</v>
      </c>
      <c r="E60" s="328" t="s">
        <v>57</v>
      </c>
      <c r="F60" s="329">
        <f>[33]FINANCEIRO!F68</f>
        <v>91.04</v>
      </c>
      <c r="G60" s="330">
        <v>108</v>
      </c>
      <c r="H60" s="331">
        <v>0</v>
      </c>
      <c r="I60" s="332">
        <v>0</v>
      </c>
      <c r="J60" s="331">
        <f t="shared" si="3"/>
        <v>108</v>
      </c>
      <c r="K60" s="329">
        <f t="shared" si="15"/>
        <v>9832.3200000000015</v>
      </c>
      <c r="L60" s="298">
        <f t="shared" si="0"/>
        <v>0</v>
      </c>
      <c r="M60" s="298">
        <f t="shared" si="1"/>
        <v>0</v>
      </c>
      <c r="N60" s="603">
        <f t="shared" si="2"/>
        <v>9832.3200000000015</v>
      </c>
      <c r="O60" s="330"/>
      <c r="P60" s="333"/>
      <c r="Q60" s="330"/>
      <c r="R60" s="333"/>
    </row>
    <row r="61" spans="1:18" ht="30">
      <c r="A61" s="324" t="s">
        <v>1060</v>
      </c>
      <c r="B61" s="325">
        <v>40328</v>
      </c>
      <c r="C61" s="408" t="s">
        <v>131</v>
      </c>
      <c r="D61" s="348" t="s">
        <v>147</v>
      </c>
      <c r="E61" s="328" t="s">
        <v>29</v>
      </c>
      <c r="F61" s="329">
        <f>[33]FINANCEIRO!F69</f>
        <v>7.98</v>
      </c>
      <c r="G61" s="330">
        <v>594</v>
      </c>
      <c r="H61" s="331">
        <v>0</v>
      </c>
      <c r="I61" s="332">
        <v>0</v>
      </c>
      <c r="J61" s="331">
        <f t="shared" si="3"/>
        <v>594</v>
      </c>
      <c r="K61" s="329">
        <f t="shared" si="15"/>
        <v>4740.12</v>
      </c>
      <c r="L61" s="298">
        <f t="shared" si="0"/>
        <v>0</v>
      </c>
      <c r="M61" s="298">
        <f t="shared" si="1"/>
        <v>0</v>
      </c>
      <c r="N61" s="603">
        <f t="shared" si="2"/>
        <v>4740.12</v>
      </c>
      <c r="O61" s="330"/>
      <c r="P61" s="333"/>
      <c r="Q61" s="330"/>
      <c r="R61" s="333"/>
    </row>
    <row r="62" spans="1:18" ht="30">
      <c r="A62" s="324" t="s">
        <v>1060</v>
      </c>
      <c r="B62" s="325">
        <v>40245</v>
      </c>
      <c r="C62" s="408" t="s">
        <v>132</v>
      </c>
      <c r="D62" s="348" t="s">
        <v>148</v>
      </c>
      <c r="E62" s="328" t="s">
        <v>29</v>
      </c>
      <c r="F62" s="329">
        <f>[33]FINANCEIRO!F70</f>
        <v>8.41</v>
      </c>
      <c r="G62" s="330">
        <v>40</v>
      </c>
      <c r="H62" s="331">
        <v>0</v>
      </c>
      <c r="I62" s="332">
        <v>0</v>
      </c>
      <c r="J62" s="331">
        <f t="shared" si="3"/>
        <v>40</v>
      </c>
      <c r="K62" s="329">
        <f t="shared" si="15"/>
        <v>336.4</v>
      </c>
      <c r="L62" s="298">
        <f t="shared" si="0"/>
        <v>0</v>
      </c>
      <c r="M62" s="298">
        <f t="shared" si="1"/>
        <v>0</v>
      </c>
      <c r="N62" s="603">
        <f t="shared" si="2"/>
        <v>336.4</v>
      </c>
      <c r="O62" s="330"/>
      <c r="P62" s="333"/>
      <c r="Q62" s="330"/>
      <c r="R62" s="333"/>
    </row>
    <row r="63" spans="1:18" ht="30">
      <c r="A63" s="324" t="s">
        <v>1060</v>
      </c>
      <c r="B63" s="325">
        <v>40246</v>
      </c>
      <c r="C63" s="408" t="s">
        <v>133</v>
      </c>
      <c r="D63" s="348" t="s">
        <v>149</v>
      </c>
      <c r="E63" s="328" t="s">
        <v>29</v>
      </c>
      <c r="F63" s="329">
        <f>[33]FINANCEIRO!F71</f>
        <v>8.08</v>
      </c>
      <c r="G63" s="330">
        <v>29</v>
      </c>
      <c r="H63" s="331">
        <v>0</v>
      </c>
      <c r="I63" s="332">
        <v>0</v>
      </c>
      <c r="J63" s="331">
        <f t="shared" si="3"/>
        <v>29</v>
      </c>
      <c r="K63" s="329">
        <f t="shared" si="15"/>
        <v>234.32</v>
      </c>
      <c r="L63" s="298">
        <f t="shared" si="0"/>
        <v>0</v>
      </c>
      <c r="M63" s="298">
        <f t="shared" si="1"/>
        <v>0</v>
      </c>
      <c r="N63" s="603">
        <f t="shared" si="2"/>
        <v>234.32</v>
      </c>
      <c r="O63" s="330"/>
      <c r="P63" s="333"/>
      <c r="Q63" s="330"/>
      <c r="R63" s="333"/>
    </row>
    <row r="64" spans="1:18" ht="45">
      <c r="A64" s="324" t="s">
        <v>1056</v>
      </c>
      <c r="B64" s="325" t="s">
        <v>140</v>
      </c>
      <c r="C64" s="408" t="s">
        <v>134</v>
      </c>
      <c r="D64" s="348" t="s">
        <v>150</v>
      </c>
      <c r="E64" s="328" t="s">
        <v>58</v>
      </c>
      <c r="F64" s="329">
        <f>[33]FINANCEIRO!F72</f>
        <v>486.08</v>
      </c>
      <c r="G64" s="330">
        <v>14.5</v>
      </c>
      <c r="H64" s="331">
        <v>0</v>
      </c>
      <c r="I64" s="332">
        <v>0</v>
      </c>
      <c r="J64" s="331">
        <f t="shared" si="3"/>
        <v>14.5</v>
      </c>
      <c r="K64" s="329">
        <f>F64*G64</f>
        <v>7048.16</v>
      </c>
      <c r="L64" s="298">
        <f t="shared" si="0"/>
        <v>0</v>
      </c>
      <c r="M64" s="298">
        <f t="shared" si="1"/>
        <v>0</v>
      </c>
      <c r="N64" s="603">
        <f t="shared" si="2"/>
        <v>7048.16</v>
      </c>
      <c r="O64" s="330"/>
      <c r="P64" s="333"/>
      <c r="Q64" s="330"/>
      <c r="R64" s="333"/>
    </row>
    <row r="65" spans="1:18" s="361" customFormat="1" ht="18">
      <c r="A65" s="350" t="s">
        <v>1060</v>
      </c>
      <c r="B65" s="351">
        <v>40813</v>
      </c>
      <c r="C65" s="328" t="s">
        <v>135</v>
      </c>
      <c r="D65" s="352" t="s">
        <v>151</v>
      </c>
      <c r="E65" s="353" t="s">
        <v>57</v>
      </c>
      <c r="F65" s="354">
        <f>[33]FINANCEIRO!F73</f>
        <v>64.3</v>
      </c>
      <c r="G65" s="355">
        <v>134.87</v>
      </c>
      <c r="H65" s="331">
        <v>0</v>
      </c>
      <c r="I65" s="332">
        <v>0</v>
      </c>
      <c r="J65" s="331">
        <f t="shared" si="3"/>
        <v>134.87</v>
      </c>
      <c r="K65" s="418">
        <f t="shared" si="15"/>
        <v>8672.1409999999996</v>
      </c>
      <c r="L65" s="358">
        <f t="shared" si="0"/>
        <v>0</v>
      </c>
      <c r="M65" s="359">
        <f t="shared" si="1"/>
        <v>0</v>
      </c>
      <c r="N65" s="604">
        <f t="shared" si="2"/>
        <v>8672.1409999999996</v>
      </c>
      <c r="O65" s="355"/>
      <c r="P65" s="360"/>
      <c r="Q65" s="355"/>
      <c r="R65" s="360"/>
    </row>
    <row r="66" spans="1:18" s="345" customFormat="1">
      <c r="A66" s="334"/>
      <c r="B66" s="335"/>
      <c r="C66" s="336" t="s">
        <v>152</v>
      </c>
      <c r="D66" s="417" t="s">
        <v>153</v>
      </c>
      <c r="E66" s="338"/>
      <c r="F66" s="339"/>
      <c r="G66" s="340"/>
      <c r="H66" s="341"/>
      <c r="I66" s="342"/>
      <c r="J66" s="341"/>
      <c r="K66" s="343"/>
      <c r="L66" s="298"/>
      <c r="M66" s="298"/>
      <c r="N66" s="603"/>
      <c r="O66" s="340"/>
      <c r="P66" s="344"/>
      <c r="Q66" s="340"/>
      <c r="R66" s="344"/>
    </row>
    <row r="67" spans="1:18" ht="30">
      <c r="A67" s="324" t="s">
        <v>1056</v>
      </c>
      <c r="B67" s="325" t="s">
        <v>155</v>
      </c>
      <c r="C67" s="408" t="s">
        <v>154</v>
      </c>
      <c r="D67" s="348" t="s">
        <v>156</v>
      </c>
      <c r="E67" s="328" t="s">
        <v>50</v>
      </c>
      <c r="F67" s="329">
        <f>[33]FINANCEIRO!F76</f>
        <v>91.41</v>
      </c>
      <c r="G67" s="330">
        <v>165.9</v>
      </c>
      <c r="H67" s="331">
        <v>0</v>
      </c>
      <c r="I67" s="332">
        <v>0</v>
      </c>
      <c r="J67" s="331">
        <f t="shared" si="3"/>
        <v>165.9</v>
      </c>
      <c r="K67" s="329">
        <f>F67*G67</f>
        <v>15164.919</v>
      </c>
      <c r="L67" s="298">
        <f t="shared" si="0"/>
        <v>0</v>
      </c>
      <c r="M67" s="298">
        <f t="shared" si="1"/>
        <v>0</v>
      </c>
      <c r="N67" s="603">
        <f t="shared" si="2"/>
        <v>15164.919</v>
      </c>
      <c r="O67" s="330"/>
      <c r="P67" s="333"/>
      <c r="Q67" s="330"/>
      <c r="R67" s="333"/>
    </row>
    <row r="68" spans="1:18" s="345" customFormat="1">
      <c r="A68" s="334"/>
      <c r="B68" s="335"/>
      <c r="C68" s="336" t="s">
        <v>157</v>
      </c>
      <c r="D68" s="337" t="s">
        <v>1097</v>
      </c>
      <c r="E68" s="338"/>
      <c r="F68" s="339"/>
      <c r="G68" s="340"/>
      <c r="H68" s="341"/>
      <c r="I68" s="342"/>
      <c r="J68" s="341"/>
      <c r="K68" s="343" t="s">
        <v>1098</v>
      </c>
      <c r="L68" s="298"/>
      <c r="M68" s="298"/>
      <c r="N68" s="603"/>
      <c r="O68" s="340"/>
      <c r="P68" s="344"/>
      <c r="Q68" s="340"/>
      <c r="R68" s="344"/>
    </row>
    <row r="69" spans="1:18" ht="30">
      <c r="A69" s="324" t="s">
        <v>1056</v>
      </c>
      <c r="B69" s="325" t="s">
        <v>155</v>
      </c>
      <c r="C69" s="408" t="s">
        <v>159</v>
      </c>
      <c r="D69" s="348" t="s">
        <v>156</v>
      </c>
      <c r="E69" s="328" t="s">
        <v>50</v>
      </c>
      <c r="F69" s="329">
        <f>[33]FINANCEIRO!F79</f>
        <v>91.41</v>
      </c>
      <c r="G69" s="330">
        <f>[33]FINANCEIRO!G79</f>
        <v>29.33</v>
      </c>
      <c r="H69" s="331">
        <v>0</v>
      </c>
      <c r="I69" s="332">
        <v>0</v>
      </c>
      <c r="J69" s="331">
        <f t="shared" si="3"/>
        <v>29.33</v>
      </c>
      <c r="K69" s="329">
        <f>F69*G69</f>
        <v>2681.0552999999995</v>
      </c>
      <c r="L69" s="298">
        <f t="shared" si="0"/>
        <v>0</v>
      </c>
      <c r="M69" s="298">
        <f t="shared" si="1"/>
        <v>0</v>
      </c>
      <c r="N69" s="603">
        <f t="shared" si="2"/>
        <v>2681.0552999999995</v>
      </c>
      <c r="O69" s="330"/>
      <c r="P69" s="333"/>
      <c r="Q69" s="330"/>
      <c r="R69" s="333"/>
    </row>
    <row r="70" spans="1:18">
      <c r="A70" s="324" t="s">
        <v>1060</v>
      </c>
      <c r="B70" s="419">
        <v>200323</v>
      </c>
      <c r="C70" s="408" t="s">
        <v>160</v>
      </c>
      <c r="D70" s="327" t="s">
        <v>1099</v>
      </c>
      <c r="E70" s="328" t="s">
        <v>58</v>
      </c>
      <c r="F70" s="329">
        <f>[33]FINANCEIRO!F80</f>
        <v>125.94</v>
      </c>
      <c r="G70" s="330">
        <f>[33]FINANCEIRO!G80</f>
        <v>6.62</v>
      </c>
      <c r="H70" s="331">
        <v>0</v>
      </c>
      <c r="I70" s="332">
        <v>0</v>
      </c>
      <c r="J70" s="331">
        <f t="shared" si="3"/>
        <v>6.62</v>
      </c>
      <c r="K70" s="329">
        <f t="shared" ref="K70:K71" si="16">F70*G70</f>
        <v>833.72280000000001</v>
      </c>
      <c r="L70" s="298">
        <f t="shared" si="0"/>
        <v>0</v>
      </c>
      <c r="M70" s="298">
        <f t="shared" si="1"/>
        <v>0</v>
      </c>
      <c r="N70" s="603">
        <f t="shared" si="2"/>
        <v>833.72280000000001</v>
      </c>
      <c r="O70" s="330"/>
      <c r="P70" s="333"/>
      <c r="Q70" s="330"/>
      <c r="R70" s="333"/>
    </row>
    <row r="71" spans="1:18" ht="45">
      <c r="A71" s="346" t="s">
        <v>1060</v>
      </c>
      <c r="B71" s="347">
        <v>50501</v>
      </c>
      <c r="C71" s="328" t="s">
        <v>161</v>
      </c>
      <c r="D71" s="327" t="s">
        <v>1100</v>
      </c>
      <c r="E71" s="328" t="s">
        <v>57</v>
      </c>
      <c r="F71" s="329">
        <f>[33]FINANCEIRO!F81</f>
        <v>94.9</v>
      </c>
      <c r="G71" s="330">
        <f>[33]FINANCEIRO!G81</f>
        <v>2.7</v>
      </c>
      <c r="H71" s="331">
        <v>0</v>
      </c>
      <c r="I71" s="332">
        <v>0</v>
      </c>
      <c r="J71" s="331">
        <f t="shared" si="3"/>
        <v>2.7</v>
      </c>
      <c r="K71" s="329">
        <f t="shared" si="16"/>
        <v>256.23</v>
      </c>
      <c r="L71" s="298">
        <f t="shared" si="0"/>
        <v>0</v>
      </c>
      <c r="M71" s="298">
        <f t="shared" si="1"/>
        <v>0</v>
      </c>
      <c r="N71" s="603">
        <f t="shared" si="2"/>
        <v>256.23</v>
      </c>
      <c r="O71" s="330"/>
      <c r="P71" s="333"/>
      <c r="Q71" s="330"/>
      <c r="R71" s="333"/>
    </row>
    <row r="72" spans="1:18" s="345" customFormat="1">
      <c r="A72" s="334"/>
      <c r="B72" s="335"/>
      <c r="C72" s="336" t="s">
        <v>163</v>
      </c>
      <c r="D72" s="417" t="s">
        <v>164</v>
      </c>
      <c r="E72" s="338"/>
      <c r="F72" s="339"/>
      <c r="G72" s="340"/>
      <c r="H72" s="341"/>
      <c r="I72" s="342"/>
      <c r="J72" s="341">
        <f t="shared" si="3"/>
        <v>0</v>
      </c>
      <c r="K72" s="343"/>
      <c r="L72" s="298"/>
      <c r="M72" s="298"/>
      <c r="N72" s="603"/>
      <c r="O72" s="340"/>
      <c r="P72" s="344"/>
      <c r="Q72" s="340"/>
      <c r="R72" s="344"/>
    </row>
    <row r="73" spans="1:18" ht="45">
      <c r="A73" s="346" t="s">
        <v>1060</v>
      </c>
      <c r="B73" s="347">
        <v>40339</v>
      </c>
      <c r="C73" s="328" t="s">
        <v>165</v>
      </c>
      <c r="D73" s="327" t="s">
        <v>1101</v>
      </c>
      <c r="E73" s="328" t="s">
        <v>57</v>
      </c>
      <c r="F73" s="329">
        <f>[33]FINANCEIRO!F84</f>
        <v>91.04</v>
      </c>
      <c r="G73" s="330">
        <f>[33]FINANCEIRO!G84</f>
        <v>51</v>
      </c>
      <c r="H73" s="331">
        <v>0</v>
      </c>
      <c r="I73" s="332">
        <v>0</v>
      </c>
      <c r="J73" s="331">
        <f t="shared" si="3"/>
        <v>51</v>
      </c>
      <c r="K73" s="329">
        <f>F73*G73</f>
        <v>4643.04</v>
      </c>
      <c r="L73" s="298">
        <f t="shared" si="0"/>
        <v>0</v>
      </c>
      <c r="M73" s="298">
        <f t="shared" si="1"/>
        <v>0</v>
      </c>
      <c r="N73" s="603">
        <f t="shared" si="2"/>
        <v>4643.04</v>
      </c>
      <c r="O73" s="330"/>
      <c r="P73" s="333"/>
      <c r="Q73" s="330"/>
      <c r="R73" s="333"/>
    </row>
    <row r="74" spans="1:18" ht="30">
      <c r="A74" s="324" t="s">
        <v>1060</v>
      </c>
      <c r="B74" s="349">
        <v>40328</v>
      </c>
      <c r="C74" s="328" t="s">
        <v>166</v>
      </c>
      <c r="D74" s="348" t="s">
        <v>147</v>
      </c>
      <c r="E74" s="328" t="s">
        <v>29</v>
      </c>
      <c r="F74" s="329">
        <f>[33]FINANCEIRO!F85</f>
        <v>7.98</v>
      </c>
      <c r="G74" s="330">
        <f>[33]FINANCEIRO!G85</f>
        <v>160</v>
      </c>
      <c r="H74" s="331">
        <v>0</v>
      </c>
      <c r="I74" s="332">
        <v>0</v>
      </c>
      <c r="J74" s="331">
        <f t="shared" si="3"/>
        <v>160</v>
      </c>
      <c r="K74" s="329">
        <f t="shared" ref="K74:K77" si="17">F74*G74</f>
        <v>1276.8000000000002</v>
      </c>
      <c r="L74" s="298">
        <f t="shared" si="0"/>
        <v>0</v>
      </c>
      <c r="M74" s="298">
        <f t="shared" si="1"/>
        <v>0</v>
      </c>
      <c r="N74" s="603">
        <f t="shared" si="2"/>
        <v>1276.8000000000002</v>
      </c>
      <c r="O74" s="330"/>
      <c r="P74" s="333"/>
      <c r="Q74" s="330"/>
      <c r="R74" s="333"/>
    </row>
    <row r="75" spans="1:18" ht="30">
      <c r="A75" s="324" t="s">
        <v>1060</v>
      </c>
      <c r="B75" s="349">
        <v>40245</v>
      </c>
      <c r="C75" s="328" t="s">
        <v>167</v>
      </c>
      <c r="D75" s="348" t="s">
        <v>148</v>
      </c>
      <c r="E75" s="328" t="s">
        <v>29</v>
      </c>
      <c r="F75" s="329">
        <f>[33]FINANCEIRO!F86</f>
        <v>8.41</v>
      </c>
      <c r="G75" s="330">
        <f>[33]FINANCEIRO!G86</f>
        <v>199</v>
      </c>
      <c r="H75" s="331">
        <v>0</v>
      </c>
      <c r="I75" s="332">
        <v>0</v>
      </c>
      <c r="J75" s="331">
        <f t="shared" si="3"/>
        <v>199</v>
      </c>
      <c r="K75" s="329">
        <f t="shared" si="17"/>
        <v>1673.59</v>
      </c>
      <c r="L75" s="298">
        <f t="shared" si="0"/>
        <v>0</v>
      </c>
      <c r="M75" s="298">
        <f t="shared" si="1"/>
        <v>0</v>
      </c>
      <c r="N75" s="603">
        <f t="shared" si="2"/>
        <v>1673.59</v>
      </c>
      <c r="O75" s="330"/>
      <c r="P75" s="333"/>
      <c r="Q75" s="330"/>
      <c r="R75" s="333"/>
    </row>
    <row r="76" spans="1:18" ht="30">
      <c r="A76" s="324" t="s">
        <v>1060</v>
      </c>
      <c r="B76" s="349">
        <v>40246</v>
      </c>
      <c r="C76" s="328" t="s">
        <v>168</v>
      </c>
      <c r="D76" s="348" t="s">
        <v>149</v>
      </c>
      <c r="E76" s="328" t="s">
        <v>29</v>
      </c>
      <c r="F76" s="329">
        <f>[33]FINANCEIRO!F87</f>
        <v>8.08</v>
      </c>
      <c r="G76" s="330">
        <f>[33]FINANCEIRO!G87</f>
        <v>50</v>
      </c>
      <c r="H76" s="331">
        <v>0</v>
      </c>
      <c r="I76" s="332">
        <v>0</v>
      </c>
      <c r="J76" s="331">
        <f t="shared" ref="J76:J139" si="18">G76+H76-I76</f>
        <v>50</v>
      </c>
      <c r="K76" s="329">
        <f t="shared" si="17"/>
        <v>404</v>
      </c>
      <c r="L76" s="298">
        <f t="shared" si="0"/>
        <v>0</v>
      </c>
      <c r="M76" s="298">
        <f t="shared" si="1"/>
        <v>0</v>
      </c>
      <c r="N76" s="603">
        <f t="shared" si="2"/>
        <v>404</v>
      </c>
      <c r="O76" s="330"/>
      <c r="P76" s="333"/>
      <c r="Q76" s="330"/>
      <c r="R76" s="333"/>
    </row>
    <row r="77" spans="1:18" ht="45">
      <c r="A77" s="346" t="s">
        <v>1056</v>
      </c>
      <c r="B77" s="420" t="s">
        <v>140</v>
      </c>
      <c r="C77" s="328" t="s">
        <v>169</v>
      </c>
      <c r="D77" s="348" t="s">
        <v>150</v>
      </c>
      <c r="E77" s="328" t="s">
        <v>58</v>
      </c>
      <c r="F77" s="329">
        <f>[33]FINANCEIRO!F88</f>
        <v>486.08</v>
      </c>
      <c r="G77" s="330">
        <f>[33]FINANCEIRO!G88</f>
        <v>3.3</v>
      </c>
      <c r="H77" s="331">
        <v>0</v>
      </c>
      <c r="I77" s="332">
        <v>0</v>
      </c>
      <c r="J77" s="331">
        <f t="shared" si="18"/>
        <v>3.3</v>
      </c>
      <c r="K77" s="329">
        <f t="shared" si="17"/>
        <v>1604.0639999999999</v>
      </c>
      <c r="L77" s="298">
        <f t="shared" ref="L77:L140" si="19">H77*F77</f>
        <v>0</v>
      </c>
      <c r="M77" s="298">
        <f t="shared" ref="M77:M140" si="20">I77*F77</f>
        <v>0</v>
      </c>
      <c r="N77" s="603">
        <f t="shared" si="2"/>
        <v>1604.0639999999999</v>
      </c>
      <c r="O77" s="330"/>
      <c r="P77" s="333"/>
      <c r="Q77" s="330"/>
      <c r="R77" s="333"/>
    </row>
    <row r="78" spans="1:18" s="345" customFormat="1">
      <c r="A78" s="334"/>
      <c r="B78" s="335"/>
      <c r="C78" s="336" t="s">
        <v>170</v>
      </c>
      <c r="D78" s="337" t="s">
        <v>1102</v>
      </c>
      <c r="E78" s="338"/>
      <c r="F78" s="339"/>
      <c r="G78" s="340"/>
      <c r="H78" s="341"/>
      <c r="I78" s="342"/>
      <c r="J78" s="341"/>
      <c r="K78" s="343"/>
      <c r="L78" s="298"/>
      <c r="M78" s="298"/>
      <c r="N78" s="603"/>
      <c r="O78" s="340"/>
      <c r="P78" s="344"/>
      <c r="Q78" s="340"/>
      <c r="R78" s="344"/>
    </row>
    <row r="79" spans="1:18" ht="45">
      <c r="A79" s="346" t="s">
        <v>1060</v>
      </c>
      <c r="B79" s="347">
        <v>40339</v>
      </c>
      <c r="C79" s="328" t="s">
        <v>172</v>
      </c>
      <c r="D79" s="327" t="s">
        <v>1101</v>
      </c>
      <c r="E79" s="328" t="s">
        <v>57</v>
      </c>
      <c r="F79" s="329">
        <f>[33]FINANCEIRO!F91</f>
        <v>91.04</v>
      </c>
      <c r="G79" s="330">
        <f>[33]FINANCEIRO!G91</f>
        <v>100</v>
      </c>
      <c r="H79" s="331">
        <v>0</v>
      </c>
      <c r="I79" s="332">
        <v>0</v>
      </c>
      <c r="J79" s="331">
        <f t="shared" si="18"/>
        <v>100</v>
      </c>
      <c r="K79" s="329">
        <f>F79*G79</f>
        <v>9104</v>
      </c>
      <c r="L79" s="298">
        <f t="shared" si="19"/>
        <v>0</v>
      </c>
      <c r="M79" s="298">
        <f t="shared" si="20"/>
        <v>0</v>
      </c>
      <c r="N79" s="603">
        <f t="shared" ref="N79:N142" si="21">J79*F79</f>
        <v>9104</v>
      </c>
      <c r="O79" s="330"/>
      <c r="P79" s="333"/>
      <c r="Q79" s="330"/>
      <c r="R79" s="333"/>
    </row>
    <row r="80" spans="1:18" ht="30">
      <c r="A80" s="324" t="s">
        <v>1060</v>
      </c>
      <c r="B80" s="349">
        <v>40328</v>
      </c>
      <c r="C80" s="408" t="s">
        <v>173</v>
      </c>
      <c r="D80" s="348" t="s">
        <v>147</v>
      </c>
      <c r="E80" s="328" t="s">
        <v>29</v>
      </c>
      <c r="F80" s="329">
        <f>[33]FINANCEIRO!F92</f>
        <v>7.98</v>
      </c>
      <c r="G80" s="330">
        <f>[33]FINANCEIRO!G92</f>
        <v>481</v>
      </c>
      <c r="H80" s="331">
        <v>0</v>
      </c>
      <c r="I80" s="332">
        <v>0</v>
      </c>
      <c r="J80" s="331">
        <f t="shared" si="18"/>
        <v>481</v>
      </c>
      <c r="K80" s="329">
        <f t="shared" ref="K80:K83" si="22">F80*G80</f>
        <v>3838.38</v>
      </c>
      <c r="L80" s="298">
        <f t="shared" si="19"/>
        <v>0</v>
      </c>
      <c r="M80" s="298">
        <f t="shared" si="20"/>
        <v>0</v>
      </c>
      <c r="N80" s="603">
        <f t="shared" si="21"/>
        <v>3838.38</v>
      </c>
      <c r="O80" s="330"/>
      <c r="P80" s="333"/>
      <c r="Q80" s="330"/>
      <c r="R80" s="333"/>
    </row>
    <row r="81" spans="1:18" ht="30">
      <c r="A81" s="324" t="s">
        <v>1060</v>
      </c>
      <c r="B81" s="349">
        <v>40245</v>
      </c>
      <c r="C81" s="408" t="s">
        <v>174</v>
      </c>
      <c r="D81" s="348" t="s">
        <v>148</v>
      </c>
      <c r="E81" s="328" t="s">
        <v>29</v>
      </c>
      <c r="F81" s="329">
        <f>[33]FINANCEIRO!F93</f>
        <v>8.41</v>
      </c>
      <c r="G81" s="330">
        <f>[33]FINANCEIRO!G93</f>
        <v>287</v>
      </c>
      <c r="H81" s="331">
        <v>0</v>
      </c>
      <c r="I81" s="332">
        <v>0</v>
      </c>
      <c r="J81" s="331">
        <f t="shared" si="18"/>
        <v>287</v>
      </c>
      <c r="K81" s="329">
        <f t="shared" si="22"/>
        <v>2413.67</v>
      </c>
      <c r="L81" s="298">
        <f t="shared" si="19"/>
        <v>0</v>
      </c>
      <c r="M81" s="298">
        <f t="shared" si="20"/>
        <v>0</v>
      </c>
      <c r="N81" s="603">
        <f t="shared" si="21"/>
        <v>2413.67</v>
      </c>
      <c r="O81" s="330"/>
      <c r="P81" s="333"/>
      <c r="Q81" s="330"/>
      <c r="R81" s="333"/>
    </row>
    <row r="82" spans="1:18" ht="30">
      <c r="A82" s="324" t="s">
        <v>1060</v>
      </c>
      <c r="B82" s="349">
        <v>40246</v>
      </c>
      <c r="C82" s="328" t="s">
        <v>175</v>
      </c>
      <c r="D82" s="348" t="s">
        <v>149</v>
      </c>
      <c r="E82" s="328" t="s">
        <v>29</v>
      </c>
      <c r="F82" s="329">
        <f>[33]FINANCEIRO!F94</f>
        <v>8.08</v>
      </c>
      <c r="G82" s="330">
        <f>[33]FINANCEIRO!G94</f>
        <v>33</v>
      </c>
      <c r="H82" s="331">
        <v>0</v>
      </c>
      <c r="I82" s="332">
        <v>0</v>
      </c>
      <c r="J82" s="331">
        <f t="shared" si="18"/>
        <v>33</v>
      </c>
      <c r="K82" s="329">
        <f t="shared" si="22"/>
        <v>266.64</v>
      </c>
      <c r="L82" s="298">
        <f t="shared" si="19"/>
        <v>0</v>
      </c>
      <c r="M82" s="298">
        <f t="shared" si="20"/>
        <v>0</v>
      </c>
      <c r="N82" s="603">
        <f t="shared" si="21"/>
        <v>266.64</v>
      </c>
      <c r="O82" s="330"/>
      <c r="P82" s="333"/>
      <c r="Q82" s="330"/>
      <c r="R82" s="333"/>
    </row>
    <row r="83" spans="1:18" ht="60">
      <c r="A83" s="346" t="s">
        <v>1056</v>
      </c>
      <c r="B83" s="420" t="s">
        <v>140</v>
      </c>
      <c r="C83" s="328" t="s">
        <v>176</v>
      </c>
      <c r="D83" s="327" t="s">
        <v>1103</v>
      </c>
      <c r="E83" s="328" t="s">
        <v>58</v>
      </c>
      <c r="F83" s="329">
        <f>[33]FINANCEIRO!F95</f>
        <v>486.08</v>
      </c>
      <c r="G83" s="330">
        <f>[33]FINANCEIRO!G95</f>
        <v>10.199999999999999</v>
      </c>
      <c r="H83" s="331">
        <v>0</v>
      </c>
      <c r="I83" s="332">
        <v>0</v>
      </c>
      <c r="J83" s="331">
        <f t="shared" si="18"/>
        <v>10.199999999999999</v>
      </c>
      <c r="K83" s="329">
        <f t="shared" si="22"/>
        <v>4958.0159999999996</v>
      </c>
      <c r="L83" s="298">
        <f t="shared" si="19"/>
        <v>0</v>
      </c>
      <c r="M83" s="298">
        <f t="shared" si="20"/>
        <v>0</v>
      </c>
      <c r="N83" s="603">
        <f t="shared" si="21"/>
        <v>4958.0159999999996</v>
      </c>
      <c r="O83" s="330"/>
      <c r="P83" s="333"/>
      <c r="Q83" s="330"/>
      <c r="R83" s="333"/>
    </row>
    <row r="84" spans="1:18" s="345" customFormat="1">
      <c r="A84" s="334"/>
      <c r="B84" s="335"/>
      <c r="C84" s="336" t="s">
        <v>178</v>
      </c>
      <c r="D84" s="417" t="s">
        <v>179</v>
      </c>
      <c r="E84" s="338"/>
      <c r="F84" s="339"/>
      <c r="G84" s="340"/>
      <c r="H84" s="341"/>
      <c r="I84" s="342"/>
      <c r="J84" s="341"/>
      <c r="K84" s="343"/>
      <c r="L84" s="298"/>
      <c r="M84" s="298"/>
      <c r="N84" s="603"/>
      <c r="O84" s="340"/>
      <c r="P84" s="344"/>
      <c r="Q84" s="340"/>
      <c r="R84" s="344"/>
    </row>
    <row r="85" spans="1:18" ht="45">
      <c r="A85" s="346" t="s">
        <v>1060</v>
      </c>
      <c r="B85" s="347">
        <v>40339</v>
      </c>
      <c r="C85" s="328" t="s">
        <v>180</v>
      </c>
      <c r="D85" s="348" t="s">
        <v>184</v>
      </c>
      <c r="E85" s="328" t="s">
        <v>57</v>
      </c>
      <c r="F85" s="329">
        <f>[33]FINANCEIRO!F98</f>
        <v>91.04</v>
      </c>
      <c r="G85" s="330">
        <f>[33]FINANCEIRO!G98</f>
        <v>33</v>
      </c>
      <c r="H85" s="331">
        <v>0</v>
      </c>
      <c r="I85" s="332">
        <v>0</v>
      </c>
      <c r="J85" s="331">
        <f t="shared" si="18"/>
        <v>33</v>
      </c>
      <c r="K85" s="329">
        <f>F85*G85</f>
        <v>3004.32</v>
      </c>
      <c r="L85" s="298">
        <f t="shared" si="19"/>
        <v>0</v>
      </c>
      <c r="M85" s="298">
        <f t="shared" si="20"/>
        <v>0</v>
      </c>
      <c r="N85" s="603">
        <f t="shared" si="21"/>
        <v>3004.32</v>
      </c>
      <c r="O85" s="330"/>
      <c r="P85" s="333"/>
      <c r="Q85" s="330"/>
      <c r="R85" s="333"/>
    </row>
    <row r="86" spans="1:18" ht="30">
      <c r="A86" s="324" t="s">
        <v>1060</v>
      </c>
      <c r="B86" s="349">
        <v>40328</v>
      </c>
      <c r="C86" s="328" t="s">
        <v>181</v>
      </c>
      <c r="D86" s="348" t="s">
        <v>147</v>
      </c>
      <c r="E86" s="328" t="s">
        <v>29</v>
      </c>
      <c r="F86" s="329">
        <f>[33]FINANCEIRO!F99</f>
        <v>7.98</v>
      </c>
      <c r="G86" s="330">
        <f>[33]FINANCEIRO!G99</f>
        <v>344</v>
      </c>
      <c r="H86" s="331">
        <v>0</v>
      </c>
      <c r="I86" s="332">
        <v>0</v>
      </c>
      <c r="J86" s="331">
        <f t="shared" si="18"/>
        <v>344</v>
      </c>
      <c r="K86" s="329">
        <f t="shared" ref="K86:K88" si="23">F86*G86</f>
        <v>2745.1200000000003</v>
      </c>
      <c r="L86" s="298">
        <f t="shared" si="19"/>
        <v>0</v>
      </c>
      <c r="M86" s="298">
        <f t="shared" si="20"/>
        <v>0</v>
      </c>
      <c r="N86" s="603">
        <f t="shared" si="21"/>
        <v>2745.1200000000003</v>
      </c>
      <c r="O86" s="330"/>
      <c r="P86" s="333"/>
      <c r="Q86" s="330"/>
      <c r="R86" s="333"/>
    </row>
    <row r="87" spans="1:18" ht="60">
      <c r="A87" s="346" t="s">
        <v>1056</v>
      </c>
      <c r="B87" s="420" t="s">
        <v>140</v>
      </c>
      <c r="C87" s="328" t="s">
        <v>182</v>
      </c>
      <c r="D87" s="327" t="s">
        <v>1103</v>
      </c>
      <c r="E87" s="328" t="s">
        <v>58</v>
      </c>
      <c r="F87" s="329">
        <f>[33]FINANCEIRO!F100</f>
        <v>486.08</v>
      </c>
      <c r="G87" s="330">
        <f>[33]FINANCEIRO!G100</f>
        <v>7.34</v>
      </c>
      <c r="H87" s="331">
        <v>0</v>
      </c>
      <c r="I87" s="332">
        <v>0</v>
      </c>
      <c r="J87" s="331">
        <f t="shared" si="18"/>
        <v>7.34</v>
      </c>
      <c r="K87" s="329">
        <f t="shared" si="23"/>
        <v>3567.8271999999997</v>
      </c>
      <c r="L87" s="298">
        <f t="shared" si="19"/>
        <v>0</v>
      </c>
      <c r="M87" s="298">
        <f t="shared" si="20"/>
        <v>0</v>
      </c>
      <c r="N87" s="603">
        <f t="shared" si="21"/>
        <v>3567.8271999999997</v>
      </c>
      <c r="O87" s="330"/>
      <c r="P87" s="333"/>
      <c r="Q87" s="330"/>
      <c r="R87" s="333"/>
    </row>
    <row r="88" spans="1:18" ht="30">
      <c r="A88" s="324" t="s">
        <v>1060</v>
      </c>
      <c r="B88" s="349">
        <v>40602</v>
      </c>
      <c r="C88" s="328" t="s">
        <v>183</v>
      </c>
      <c r="D88" s="348" t="s">
        <v>185</v>
      </c>
      <c r="E88" s="328" t="s">
        <v>57</v>
      </c>
      <c r="F88" s="329">
        <f>[33]FINANCEIRO!F101</f>
        <v>79.41</v>
      </c>
      <c r="G88" s="330">
        <f>[33]FINANCEIRO!G101</f>
        <v>184</v>
      </c>
      <c r="H88" s="331">
        <v>0</v>
      </c>
      <c r="I88" s="332">
        <v>0</v>
      </c>
      <c r="J88" s="331">
        <f t="shared" si="18"/>
        <v>184</v>
      </c>
      <c r="K88" s="329">
        <f t="shared" si="23"/>
        <v>14611.439999999999</v>
      </c>
      <c r="L88" s="298">
        <f t="shared" si="19"/>
        <v>0</v>
      </c>
      <c r="M88" s="298">
        <f t="shared" si="20"/>
        <v>0</v>
      </c>
      <c r="N88" s="603">
        <f t="shared" si="21"/>
        <v>14611.439999999999</v>
      </c>
      <c r="O88" s="330"/>
      <c r="P88" s="333"/>
      <c r="Q88" s="330"/>
      <c r="R88" s="333"/>
    </row>
    <row r="89" spans="1:18" s="345" customFormat="1">
      <c r="A89" s="421"/>
      <c r="B89" s="422"/>
      <c r="C89" s="336" t="s">
        <v>186</v>
      </c>
      <c r="D89" s="417" t="s">
        <v>187</v>
      </c>
      <c r="E89" s="338"/>
      <c r="F89" s="339"/>
      <c r="G89" s="340"/>
      <c r="H89" s="341"/>
      <c r="I89" s="342"/>
      <c r="J89" s="341"/>
      <c r="K89" s="343"/>
      <c r="L89" s="298"/>
      <c r="M89" s="298"/>
      <c r="N89" s="603"/>
      <c r="O89" s="340"/>
      <c r="P89" s="344"/>
      <c r="Q89" s="340"/>
      <c r="R89" s="344"/>
    </row>
    <row r="90" spans="1:18" ht="45">
      <c r="A90" s="346" t="s">
        <v>1060</v>
      </c>
      <c r="B90" s="347">
        <v>90102</v>
      </c>
      <c r="C90" s="328" t="s">
        <v>188</v>
      </c>
      <c r="D90" s="327" t="s">
        <v>1104</v>
      </c>
      <c r="E90" s="328" t="s">
        <v>57</v>
      </c>
      <c r="F90" s="329">
        <f>[33]FINANCEIRO!F104</f>
        <v>89.99</v>
      </c>
      <c r="G90" s="330">
        <f>[33]FINANCEIRO!G104</f>
        <v>208.03</v>
      </c>
      <c r="H90" s="331">
        <v>0</v>
      </c>
      <c r="I90" s="332">
        <v>0</v>
      </c>
      <c r="J90" s="331">
        <f t="shared" si="18"/>
        <v>208.03</v>
      </c>
      <c r="K90" s="329">
        <f>F90*G90</f>
        <v>18720.619699999999</v>
      </c>
      <c r="L90" s="298">
        <f t="shared" si="19"/>
        <v>0</v>
      </c>
      <c r="M90" s="298">
        <f t="shared" si="20"/>
        <v>0</v>
      </c>
      <c r="N90" s="603">
        <f t="shared" si="21"/>
        <v>18720.619699999999</v>
      </c>
      <c r="O90" s="330"/>
      <c r="P90" s="333"/>
      <c r="Q90" s="330"/>
      <c r="R90" s="333"/>
    </row>
    <row r="91" spans="1:18" ht="45">
      <c r="A91" s="346" t="s">
        <v>1060</v>
      </c>
      <c r="B91" s="347">
        <v>90223</v>
      </c>
      <c r="C91" s="328" t="s">
        <v>189</v>
      </c>
      <c r="D91" s="327" t="s">
        <v>1105</v>
      </c>
      <c r="E91" s="328" t="s">
        <v>57</v>
      </c>
      <c r="F91" s="329">
        <f>[33]FINANCEIRO!F105</f>
        <v>124.46</v>
      </c>
      <c r="G91" s="330">
        <f>[33]FINANCEIRO!G105</f>
        <v>209.41</v>
      </c>
      <c r="H91" s="331">
        <v>0</v>
      </c>
      <c r="I91" s="332">
        <v>0</v>
      </c>
      <c r="J91" s="331">
        <f t="shared" si="18"/>
        <v>209.41</v>
      </c>
      <c r="K91" s="329">
        <f t="shared" ref="K91:K95" si="24">F91*G91</f>
        <v>26063.168599999997</v>
      </c>
      <c r="L91" s="298">
        <f t="shared" si="19"/>
        <v>0</v>
      </c>
      <c r="M91" s="298">
        <f t="shared" si="20"/>
        <v>0</v>
      </c>
      <c r="N91" s="603">
        <f t="shared" si="21"/>
        <v>26063.168599999997</v>
      </c>
      <c r="O91" s="330"/>
      <c r="P91" s="333"/>
      <c r="Q91" s="330"/>
      <c r="R91" s="333"/>
    </row>
    <row r="92" spans="1:18" ht="45">
      <c r="A92" s="346" t="s">
        <v>1060</v>
      </c>
      <c r="B92" s="347">
        <v>40339</v>
      </c>
      <c r="C92" s="328" t="s">
        <v>190</v>
      </c>
      <c r="D92" s="327" t="s">
        <v>1106</v>
      </c>
      <c r="E92" s="328" t="s">
        <v>57</v>
      </c>
      <c r="F92" s="329">
        <f>[33]FINANCEIRO!F106</f>
        <v>91.04</v>
      </c>
      <c r="G92" s="330">
        <f>[33]FINANCEIRO!G106</f>
        <v>23.5</v>
      </c>
      <c r="H92" s="331">
        <v>0</v>
      </c>
      <c r="I92" s="332">
        <v>0</v>
      </c>
      <c r="J92" s="331">
        <f t="shared" si="18"/>
        <v>23.5</v>
      </c>
      <c r="K92" s="329">
        <f t="shared" si="24"/>
        <v>2139.44</v>
      </c>
      <c r="L92" s="298">
        <f t="shared" si="19"/>
        <v>0</v>
      </c>
      <c r="M92" s="298">
        <f t="shared" si="20"/>
        <v>0</v>
      </c>
      <c r="N92" s="603">
        <f t="shared" si="21"/>
        <v>2139.44</v>
      </c>
      <c r="O92" s="330"/>
      <c r="P92" s="333"/>
      <c r="Q92" s="330"/>
      <c r="R92" s="333"/>
    </row>
    <row r="93" spans="1:18" ht="30">
      <c r="A93" s="324" t="s">
        <v>1060</v>
      </c>
      <c r="B93" s="349">
        <v>40328</v>
      </c>
      <c r="C93" s="328" t="s">
        <v>191</v>
      </c>
      <c r="D93" s="348" t="s">
        <v>197</v>
      </c>
      <c r="E93" s="328" t="s">
        <v>29</v>
      </c>
      <c r="F93" s="329">
        <f>[33]FINANCEIRO!F107</f>
        <v>7.98</v>
      </c>
      <c r="G93" s="330">
        <f>[33]FINANCEIRO!G107</f>
        <v>112</v>
      </c>
      <c r="H93" s="331">
        <v>0</v>
      </c>
      <c r="I93" s="332">
        <v>0</v>
      </c>
      <c r="J93" s="331">
        <f t="shared" si="18"/>
        <v>112</v>
      </c>
      <c r="K93" s="329">
        <f t="shared" si="24"/>
        <v>893.76</v>
      </c>
      <c r="L93" s="298">
        <f t="shared" si="19"/>
        <v>0</v>
      </c>
      <c r="M93" s="298">
        <f t="shared" si="20"/>
        <v>0</v>
      </c>
      <c r="N93" s="603">
        <f t="shared" si="21"/>
        <v>893.76</v>
      </c>
      <c r="O93" s="330"/>
      <c r="P93" s="333"/>
      <c r="Q93" s="330"/>
      <c r="R93" s="333"/>
    </row>
    <row r="94" spans="1:18" ht="45">
      <c r="A94" s="346" t="s">
        <v>1056</v>
      </c>
      <c r="B94" s="420" t="s">
        <v>140</v>
      </c>
      <c r="C94" s="328" t="s">
        <v>192</v>
      </c>
      <c r="D94" s="348" t="s">
        <v>198</v>
      </c>
      <c r="E94" s="328" t="s">
        <v>58</v>
      </c>
      <c r="F94" s="329">
        <f>[33]FINANCEIRO!F108</f>
        <v>486.08</v>
      </c>
      <c r="G94" s="330">
        <f>[33]FINANCEIRO!G108</f>
        <v>1.2</v>
      </c>
      <c r="H94" s="331">
        <v>0</v>
      </c>
      <c r="I94" s="332">
        <v>0</v>
      </c>
      <c r="J94" s="331">
        <f t="shared" si="18"/>
        <v>1.2</v>
      </c>
      <c r="K94" s="329">
        <f t="shared" si="24"/>
        <v>583.29599999999994</v>
      </c>
      <c r="L94" s="298">
        <f t="shared" si="19"/>
        <v>0</v>
      </c>
      <c r="M94" s="298">
        <f t="shared" si="20"/>
        <v>0</v>
      </c>
      <c r="N94" s="603">
        <f t="shared" si="21"/>
        <v>583.29599999999994</v>
      </c>
      <c r="O94" s="330"/>
      <c r="P94" s="333"/>
      <c r="Q94" s="330"/>
      <c r="R94" s="333"/>
    </row>
    <row r="95" spans="1:18" ht="45">
      <c r="A95" s="346" t="s">
        <v>1060</v>
      </c>
      <c r="B95" s="347">
        <v>50602</v>
      </c>
      <c r="C95" s="328" t="s">
        <v>193</v>
      </c>
      <c r="D95" s="327" t="s">
        <v>1107</v>
      </c>
      <c r="E95" s="328" t="s">
        <v>57</v>
      </c>
      <c r="F95" s="329">
        <f>[33]FINANCEIRO!F109</f>
        <v>62.2</v>
      </c>
      <c r="G95" s="330">
        <f>[33]FINANCEIRO!G109</f>
        <v>59.43</v>
      </c>
      <c r="H95" s="331">
        <v>0</v>
      </c>
      <c r="I95" s="332">
        <v>0</v>
      </c>
      <c r="J95" s="331">
        <f t="shared" si="18"/>
        <v>59.43</v>
      </c>
      <c r="K95" s="329">
        <f t="shared" si="24"/>
        <v>3696.5460000000003</v>
      </c>
      <c r="L95" s="298">
        <f t="shared" si="19"/>
        <v>0</v>
      </c>
      <c r="M95" s="298">
        <f t="shared" si="20"/>
        <v>0</v>
      </c>
      <c r="N95" s="603">
        <f t="shared" si="21"/>
        <v>3696.5460000000003</v>
      </c>
      <c r="O95" s="330"/>
      <c r="P95" s="333"/>
      <c r="Q95" s="330"/>
      <c r="R95" s="333"/>
    </row>
    <row r="96" spans="1:18" s="345" customFormat="1">
      <c r="A96" s="421"/>
      <c r="B96" s="422"/>
      <c r="C96" s="336" t="s">
        <v>200</v>
      </c>
      <c r="D96" s="417" t="s">
        <v>201</v>
      </c>
      <c r="E96" s="338"/>
      <c r="F96" s="339"/>
      <c r="G96" s="340"/>
      <c r="H96" s="341"/>
      <c r="I96" s="342"/>
      <c r="J96" s="341"/>
      <c r="K96" s="343"/>
      <c r="L96" s="298"/>
      <c r="M96" s="298"/>
      <c r="N96" s="603"/>
      <c r="O96" s="340"/>
      <c r="P96" s="344"/>
      <c r="Q96" s="340"/>
      <c r="R96" s="344"/>
    </row>
    <row r="97" spans="1:18" ht="30">
      <c r="A97" s="324" t="s">
        <v>1056</v>
      </c>
      <c r="B97" s="325" t="s">
        <v>206</v>
      </c>
      <c r="C97" s="328" t="s">
        <v>202</v>
      </c>
      <c r="D97" s="348" t="s">
        <v>207</v>
      </c>
      <c r="E97" s="328" t="s">
        <v>60</v>
      </c>
      <c r="F97" s="329">
        <f>[33]FINANCEIRO!F112</f>
        <v>72.83</v>
      </c>
      <c r="G97" s="330">
        <f>[33]FINANCEIRO!G112</f>
        <v>39.799999999999997</v>
      </c>
      <c r="H97" s="331">
        <v>0</v>
      </c>
      <c r="I97" s="332">
        <v>0</v>
      </c>
      <c r="J97" s="331">
        <f t="shared" si="18"/>
        <v>39.799999999999997</v>
      </c>
      <c r="K97" s="329">
        <f>F97*G97</f>
        <v>2898.6339999999996</v>
      </c>
      <c r="L97" s="298">
        <f t="shared" si="19"/>
        <v>0</v>
      </c>
      <c r="M97" s="298">
        <f t="shared" si="20"/>
        <v>0</v>
      </c>
      <c r="N97" s="603">
        <f t="shared" si="21"/>
        <v>2898.6339999999996</v>
      </c>
      <c r="O97" s="330"/>
      <c r="P97" s="333"/>
      <c r="Q97" s="330"/>
      <c r="R97" s="333"/>
    </row>
    <row r="98" spans="1:18">
      <c r="A98" s="324" t="s">
        <v>1060</v>
      </c>
      <c r="B98" s="349">
        <v>90302</v>
      </c>
      <c r="C98" s="328" t="s">
        <v>203</v>
      </c>
      <c r="D98" s="348" t="s">
        <v>208</v>
      </c>
      <c r="E98" s="328" t="s">
        <v>51</v>
      </c>
      <c r="F98" s="329">
        <f>[33]FINANCEIRO!F113</f>
        <v>31.38</v>
      </c>
      <c r="G98" s="330">
        <f>[33]FINANCEIRO!G113</f>
        <v>62.2</v>
      </c>
      <c r="H98" s="331">
        <v>0</v>
      </c>
      <c r="I98" s="332">
        <v>0</v>
      </c>
      <c r="J98" s="331">
        <f t="shared" si="18"/>
        <v>62.2</v>
      </c>
      <c r="K98" s="329">
        <f t="shared" ref="K98:K100" si="25">F98*G98</f>
        <v>1951.836</v>
      </c>
      <c r="L98" s="298">
        <f t="shared" si="19"/>
        <v>0</v>
      </c>
      <c r="M98" s="298">
        <f t="shared" si="20"/>
        <v>0</v>
      </c>
      <c r="N98" s="603">
        <f t="shared" si="21"/>
        <v>1951.836</v>
      </c>
      <c r="O98" s="330"/>
      <c r="P98" s="333"/>
      <c r="Q98" s="330"/>
      <c r="R98" s="333"/>
    </row>
    <row r="99" spans="1:18">
      <c r="A99" s="324" t="s">
        <v>1060</v>
      </c>
      <c r="B99" s="419">
        <v>141909</v>
      </c>
      <c r="C99" s="328" t="s">
        <v>204</v>
      </c>
      <c r="D99" s="327" t="s">
        <v>1108</v>
      </c>
      <c r="E99" s="328" t="s">
        <v>51</v>
      </c>
      <c r="F99" s="329">
        <f>[33]FINANCEIRO!F114</f>
        <v>61.57</v>
      </c>
      <c r="G99" s="330">
        <f>[33]FINANCEIRO!G114</f>
        <v>10</v>
      </c>
      <c r="H99" s="331">
        <v>0</v>
      </c>
      <c r="I99" s="332">
        <v>0</v>
      </c>
      <c r="J99" s="331">
        <f t="shared" si="18"/>
        <v>10</v>
      </c>
      <c r="K99" s="329">
        <f t="shared" si="25"/>
        <v>615.70000000000005</v>
      </c>
      <c r="L99" s="298">
        <f t="shared" si="19"/>
        <v>0</v>
      </c>
      <c r="M99" s="298">
        <f t="shared" si="20"/>
        <v>0</v>
      </c>
      <c r="N99" s="603">
        <f t="shared" si="21"/>
        <v>615.70000000000005</v>
      </c>
      <c r="O99" s="330"/>
      <c r="P99" s="333"/>
      <c r="Q99" s="330"/>
      <c r="R99" s="333"/>
    </row>
    <row r="100" spans="1:18">
      <c r="A100" s="324" t="s">
        <v>1060</v>
      </c>
      <c r="B100" s="419">
        <v>140904</v>
      </c>
      <c r="C100" s="328" t="s">
        <v>205</v>
      </c>
      <c r="D100" s="327" t="s">
        <v>1109</v>
      </c>
      <c r="E100" s="328" t="s">
        <v>51</v>
      </c>
      <c r="F100" s="329">
        <f>[33]FINANCEIRO!F115</f>
        <v>80.5</v>
      </c>
      <c r="G100" s="330">
        <f>[33]FINANCEIRO!G115</f>
        <v>11</v>
      </c>
      <c r="H100" s="331">
        <v>0</v>
      </c>
      <c r="I100" s="332">
        <v>0</v>
      </c>
      <c r="J100" s="331">
        <f t="shared" si="18"/>
        <v>11</v>
      </c>
      <c r="K100" s="329">
        <f t="shared" si="25"/>
        <v>885.5</v>
      </c>
      <c r="L100" s="298">
        <f t="shared" si="19"/>
        <v>0</v>
      </c>
      <c r="M100" s="298">
        <f t="shared" si="20"/>
        <v>0</v>
      </c>
      <c r="N100" s="603">
        <f t="shared" si="21"/>
        <v>885.5</v>
      </c>
      <c r="O100" s="330"/>
      <c r="P100" s="333"/>
      <c r="Q100" s="330"/>
      <c r="R100" s="333"/>
    </row>
    <row r="101" spans="1:18" s="345" customFormat="1">
      <c r="A101" s="334"/>
      <c r="B101" s="335"/>
      <c r="C101" s="423">
        <v>40212</v>
      </c>
      <c r="D101" s="337" t="s">
        <v>1110</v>
      </c>
      <c r="E101" s="338"/>
      <c r="F101" s="339"/>
      <c r="G101" s="340"/>
      <c r="H101" s="424"/>
      <c r="I101" s="425"/>
      <c r="J101" s="424"/>
      <c r="K101" s="343"/>
      <c r="L101" s="298"/>
      <c r="M101" s="298"/>
      <c r="N101" s="603"/>
      <c r="O101" s="340"/>
      <c r="P101" s="344"/>
      <c r="Q101" s="340"/>
      <c r="R101" s="344"/>
    </row>
    <row r="102" spans="1:18">
      <c r="A102" s="324" t="s">
        <v>1056</v>
      </c>
      <c r="B102" s="325" t="s">
        <v>224</v>
      </c>
      <c r="C102" s="328" t="s">
        <v>213</v>
      </c>
      <c r="D102" s="327" t="s">
        <v>1111</v>
      </c>
      <c r="E102" s="328" t="s">
        <v>50</v>
      </c>
      <c r="F102" s="329">
        <f>[33]FINANCEIRO!F118</f>
        <v>280.31</v>
      </c>
      <c r="G102" s="330">
        <f>[33]FINANCEIRO!G118</f>
        <v>118.46</v>
      </c>
      <c r="H102" s="331">
        <v>0</v>
      </c>
      <c r="I102" s="332">
        <v>0</v>
      </c>
      <c r="J102" s="331">
        <f t="shared" si="18"/>
        <v>118.46</v>
      </c>
      <c r="K102" s="329">
        <f>F102*G102</f>
        <v>33205.522599999997</v>
      </c>
      <c r="L102" s="298">
        <f t="shared" si="19"/>
        <v>0</v>
      </c>
      <c r="M102" s="298">
        <f t="shared" si="20"/>
        <v>0</v>
      </c>
      <c r="N102" s="603">
        <f t="shared" si="21"/>
        <v>33205.522599999997</v>
      </c>
      <c r="O102" s="330"/>
      <c r="P102" s="333"/>
      <c r="Q102" s="330"/>
      <c r="R102" s="333"/>
    </row>
    <row r="103" spans="1:18">
      <c r="A103" s="324" t="s">
        <v>1056</v>
      </c>
      <c r="B103" s="325" t="s">
        <v>225</v>
      </c>
      <c r="C103" s="328" t="s">
        <v>214</v>
      </c>
      <c r="D103" s="327" t="s">
        <v>1112</v>
      </c>
      <c r="E103" s="328" t="s">
        <v>50</v>
      </c>
      <c r="F103" s="329">
        <f>[33]FINANCEIRO!F119</f>
        <v>645.84</v>
      </c>
      <c r="G103" s="330">
        <f>[33]FINANCEIRO!G119</f>
        <v>11.14</v>
      </c>
      <c r="H103" s="331">
        <v>0</v>
      </c>
      <c r="I103" s="332">
        <v>0</v>
      </c>
      <c r="J103" s="331">
        <f t="shared" si="18"/>
        <v>11.14</v>
      </c>
      <c r="K103" s="329">
        <f t="shared" ref="K103:K112" si="26">F103*G103</f>
        <v>7194.6576000000005</v>
      </c>
      <c r="L103" s="298">
        <f t="shared" si="19"/>
        <v>0</v>
      </c>
      <c r="M103" s="298">
        <f t="shared" si="20"/>
        <v>0</v>
      </c>
      <c r="N103" s="603">
        <f t="shared" si="21"/>
        <v>7194.6576000000005</v>
      </c>
      <c r="O103" s="330"/>
      <c r="P103" s="333"/>
      <c r="Q103" s="330"/>
      <c r="R103" s="333"/>
    </row>
    <row r="104" spans="1:18">
      <c r="A104" s="324" t="s">
        <v>1056</v>
      </c>
      <c r="B104" s="325" t="s">
        <v>226</v>
      </c>
      <c r="C104" s="328" t="s">
        <v>215</v>
      </c>
      <c r="D104" s="327" t="s">
        <v>1113</v>
      </c>
      <c r="E104" s="328" t="s">
        <v>50</v>
      </c>
      <c r="F104" s="329">
        <f>[33]FINANCEIRO!F120</f>
        <v>651.87</v>
      </c>
      <c r="G104" s="330">
        <f>[33]FINANCEIRO!G120</f>
        <v>11.25</v>
      </c>
      <c r="H104" s="331">
        <v>0</v>
      </c>
      <c r="I104" s="332">
        <v>0</v>
      </c>
      <c r="J104" s="331">
        <f t="shared" si="18"/>
        <v>11.25</v>
      </c>
      <c r="K104" s="329">
        <f t="shared" si="26"/>
        <v>7333.5375000000004</v>
      </c>
      <c r="L104" s="298">
        <f t="shared" si="19"/>
        <v>0</v>
      </c>
      <c r="M104" s="298">
        <f t="shared" si="20"/>
        <v>0</v>
      </c>
      <c r="N104" s="603">
        <f t="shared" si="21"/>
        <v>7333.5375000000004</v>
      </c>
      <c r="O104" s="330"/>
      <c r="P104" s="333"/>
      <c r="Q104" s="330"/>
      <c r="R104" s="333"/>
    </row>
    <row r="105" spans="1:18">
      <c r="A105" s="324" t="s">
        <v>1060</v>
      </c>
      <c r="B105" s="419">
        <v>210322</v>
      </c>
      <c r="C105" s="328" t="s">
        <v>216</v>
      </c>
      <c r="D105" s="327" t="s">
        <v>1114</v>
      </c>
      <c r="E105" s="328" t="s">
        <v>51</v>
      </c>
      <c r="F105" s="329">
        <f>[33]FINANCEIRO!F121</f>
        <v>91.5</v>
      </c>
      <c r="G105" s="330">
        <f>[33]FINANCEIRO!G121</f>
        <v>17.55</v>
      </c>
      <c r="H105" s="331">
        <v>0</v>
      </c>
      <c r="I105" s="332">
        <v>0</v>
      </c>
      <c r="J105" s="331">
        <f t="shared" si="18"/>
        <v>17.55</v>
      </c>
      <c r="K105" s="329">
        <f t="shared" si="26"/>
        <v>1605.825</v>
      </c>
      <c r="L105" s="298">
        <f t="shared" si="19"/>
        <v>0</v>
      </c>
      <c r="M105" s="298">
        <f t="shared" si="20"/>
        <v>0</v>
      </c>
      <c r="N105" s="603">
        <f t="shared" si="21"/>
        <v>1605.825</v>
      </c>
      <c r="O105" s="330"/>
      <c r="P105" s="333"/>
      <c r="Q105" s="330"/>
      <c r="R105" s="333"/>
    </row>
    <row r="106" spans="1:18" ht="30">
      <c r="A106" s="324" t="s">
        <v>1056</v>
      </c>
      <c r="B106" s="325" t="s">
        <v>227</v>
      </c>
      <c r="C106" s="328" t="s">
        <v>217</v>
      </c>
      <c r="D106" s="348" t="s">
        <v>233</v>
      </c>
      <c r="E106" s="328" t="s">
        <v>51</v>
      </c>
      <c r="F106" s="329">
        <f>[33]FINANCEIRO!F122</f>
        <v>366.23</v>
      </c>
      <c r="G106" s="330">
        <f>[33]FINANCEIRO!G122</f>
        <v>4.1500000000000004</v>
      </c>
      <c r="H106" s="331">
        <v>0</v>
      </c>
      <c r="I106" s="332">
        <v>0</v>
      </c>
      <c r="J106" s="331">
        <f t="shared" si="18"/>
        <v>4.1500000000000004</v>
      </c>
      <c r="K106" s="329">
        <f t="shared" si="26"/>
        <v>1519.8545000000001</v>
      </c>
      <c r="L106" s="298">
        <f t="shared" si="19"/>
        <v>0</v>
      </c>
      <c r="M106" s="298">
        <f t="shared" si="20"/>
        <v>0</v>
      </c>
      <c r="N106" s="603">
        <f t="shared" si="21"/>
        <v>1519.8545000000001</v>
      </c>
      <c r="O106" s="330"/>
      <c r="P106" s="333"/>
      <c r="Q106" s="330"/>
      <c r="R106" s="333"/>
    </row>
    <row r="107" spans="1:18" ht="45">
      <c r="A107" s="346" t="s">
        <v>1060</v>
      </c>
      <c r="B107" s="347">
        <v>50608</v>
      </c>
      <c r="C107" s="328" t="s">
        <v>218</v>
      </c>
      <c r="D107" s="327" t="s">
        <v>1115</v>
      </c>
      <c r="E107" s="328" t="s">
        <v>57</v>
      </c>
      <c r="F107" s="329">
        <f>[33]FINANCEIRO!F123</f>
        <v>88.68</v>
      </c>
      <c r="G107" s="330">
        <f>[33]FINANCEIRO!G123</f>
        <v>6.97</v>
      </c>
      <c r="H107" s="331">
        <v>0</v>
      </c>
      <c r="I107" s="332">
        <v>0</v>
      </c>
      <c r="J107" s="331">
        <f t="shared" si="18"/>
        <v>6.97</v>
      </c>
      <c r="K107" s="329">
        <f t="shared" si="26"/>
        <v>618.09960000000001</v>
      </c>
      <c r="L107" s="298">
        <f t="shared" si="19"/>
        <v>0</v>
      </c>
      <c r="M107" s="298">
        <f t="shared" si="20"/>
        <v>0</v>
      </c>
      <c r="N107" s="603">
        <f t="shared" si="21"/>
        <v>618.09960000000001</v>
      </c>
      <c r="O107" s="330"/>
      <c r="P107" s="333"/>
      <c r="Q107" s="330"/>
      <c r="R107" s="333"/>
    </row>
    <row r="108" spans="1:18" ht="30">
      <c r="A108" s="324" t="s">
        <v>1060</v>
      </c>
      <c r="B108" s="419">
        <v>120101</v>
      </c>
      <c r="C108" s="328" t="s">
        <v>219</v>
      </c>
      <c r="D108" s="348" t="s">
        <v>235</v>
      </c>
      <c r="E108" s="328" t="s">
        <v>57</v>
      </c>
      <c r="F108" s="329">
        <f>[33]FINANCEIRO!F124</f>
        <v>5.64</v>
      </c>
      <c r="G108" s="330">
        <f>[33]FINANCEIRO!G124</f>
        <v>540.16999999999996</v>
      </c>
      <c r="H108" s="331">
        <v>0</v>
      </c>
      <c r="I108" s="332">
        <v>0</v>
      </c>
      <c r="J108" s="331">
        <f t="shared" si="18"/>
        <v>540.16999999999996</v>
      </c>
      <c r="K108" s="329">
        <f t="shared" si="26"/>
        <v>3046.5587999999998</v>
      </c>
      <c r="L108" s="298">
        <f t="shared" si="19"/>
        <v>0</v>
      </c>
      <c r="M108" s="298">
        <f t="shared" si="20"/>
        <v>0</v>
      </c>
      <c r="N108" s="603">
        <f t="shared" si="21"/>
        <v>3046.5587999999998</v>
      </c>
      <c r="O108" s="330"/>
      <c r="P108" s="333"/>
      <c r="Q108" s="330"/>
      <c r="R108" s="333"/>
    </row>
    <row r="109" spans="1:18" ht="30">
      <c r="A109" s="324" t="s">
        <v>1060</v>
      </c>
      <c r="B109" s="419">
        <v>120303</v>
      </c>
      <c r="C109" s="328" t="s">
        <v>220</v>
      </c>
      <c r="D109" s="348" t="s">
        <v>236</v>
      </c>
      <c r="E109" s="328" t="s">
        <v>57</v>
      </c>
      <c r="F109" s="329">
        <f>[33]FINANCEIRO!F125</f>
        <v>49.24</v>
      </c>
      <c r="G109" s="330">
        <f>[33]FINANCEIRO!G125</f>
        <v>540.16999999999996</v>
      </c>
      <c r="H109" s="331">
        <v>0</v>
      </c>
      <c r="I109" s="332">
        <v>0</v>
      </c>
      <c r="J109" s="331">
        <f t="shared" si="18"/>
        <v>540.16999999999996</v>
      </c>
      <c r="K109" s="329">
        <f t="shared" si="26"/>
        <v>26597.970799999999</v>
      </c>
      <c r="L109" s="298">
        <f t="shared" si="19"/>
        <v>0</v>
      </c>
      <c r="M109" s="298">
        <f t="shared" si="20"/>
        <v>0</v>
      </c>
      <c r="N109" s="603">
        <f t="shared" si="21"/>
        <v>26597.970799999999</v>
      </c>
      <c r="O109" s="330"/>
      <c r="P109" s="333"/>
      <c r="Q109" s="330"/>
      <c r="R109" s="333"/>
    </row>
    <row r="110" spans="1:18" ht="30">
      <c r="A110" s="324" t="s">
        <v>1060</v>
      </c>
      <c r="B110" s="419">
        <v>190117</v>
      </c>
      <c r="C110" s="328" t="s">
        <v>221</v>
      </c>
      <c r="D110" s="348" t="s">
        <v>237</v>
      </c>
      <c r="E110" s="328" t="s">
        <v>57</v>
      </c>
      <c r="F110" s="329">
        <f>[33]FINANCEIRO!F126</f>
        <v>18.27</v>
      </c>
      <c r="G110" s="330">
        <f>[33]FINANCEIRO!G126</f>
        <v>540.16999999999996</v>
      </c>
      <c r="H110" s="331">
        <v>0</v>
      </c>
      <c r="I110" s="332">
        <v>0</v>
      </c>
      <c r="J110" s="331">
        <f t="shared" si="18"/>
        <v>540.16999999999996</v>
      </c>
      <c r="K110" s="329">
        <f t="shared" si="26"/>
        <v>9868.9058999999997</v>
      </c>
      <c r="L110" s="298">
        <f t="shared" si="19"/>
        <v>0</v>
      </c>
      <c r="M110" s="298">
        <f t="shared" si="20"/>
        <v>0</v>
      </c>
      <c r="N110" s="603">
        <f t="shared" si="21"/>
        <v>9868.9058999999997</v>
      </c>
      <c r="O110" s="330"/>
      <c r="P110" s="333"/>
      <c r="Q110" s="330"/>
      <c r="R110" s="333"/>
    </row>
    <row r="111" spans="1:18" ht="45">
      <c r="A111" s="346" t="s">
        <v>1060</v>
      </c>
      <c r="B111" s="426">
        <v>130230</v>
      </c>
      <c r="C111" s="328" t="s">
        <v>222</v>
      </c>
      <c r="D111" s="348" t="s">
        <v>238</v>
      </c>
      <c r="E111" s="328" t="s">
        <v>57</v>
      </c>
      <c r="F111" s="329">
        <f>[33]FINANCEIRO!F127</f>
        <v>106.19</v>
      </c>
      <c r="G111" s="330">
        <f>[33]FINANCEIRO!G127</f>
        <v>157.13</v>
      </c>
      <c r="H111" s="331">
        <v>0</v>
      </c>
      <c r="I111" s="332">
        <v>0</v>
      </c>
      <c r="J111" s="331">
        <f t="shared" si="18"/>
        <v>157.13</v>
      </c>
      <c r="K111" s="329">
        <f t="shared" si="26"/>
        <v>16685.634699999999</v>
      </c>
      <c r="L111" s="298">
        <f t="shared" si="19"/>
        <v>0</v>
      </c>
      <c r="M111" s="298">
        <f t="shared" si="20"/>
        <v>0</v>
      </c>
      <c r="N111" s="603">
        <f t="shared" si="21"/>
        <v>16685.634699999999</v>
      </c>
      <c r="O111" s="330"/>
      <c r="P111" s="333"/>
      <c r="Q111" s="330"/>
      <c r="R111" s="333"/>
    </row>
    <row r="112" spans="1:18" ht="30">
      <c r="A112" s="324" t="s">
        <v>1056</v>
      </c>
      <c r="B112" s="325" t="s">
        <v>228</v>
      </c>
      <c r="C112" s="328" t="s">
        <v>223</v>
      </c>
      <c r="D112" s="348" t="s">
        <v>239</v>
      </c>
      <c r="E112" s="328" t="s">
        <v>72</v>
      </c>
      <c r="F112" s="329">
        <f>[33]FINANCEIRO!F128</f>
        <v>333.45</v>
      </c>
      <c r="G112" s="330">
        <f>[33]FINANCEIRO!G128</f>
        <v>22</v>
      </c>
      <c r="H112" s="331">
        <v>0</v>
      </c>
      <c r="I112" s="332">
        <v>0</v>
      </c>
      <c r="J112" s="331">
        <f t="shared" si="18"/>
        <v>22</v>
      </c>
      <c r="K112" s="329">
        <f t="shared" si="26"/>
        <v>7335.9</v>
      </c>
      <c r="L112" s="298">
        <f t="shared" si="19"/>
        <v>0</v>
      </c>
      <c r="M112" s="298">
        <f t="shared" si="20"/>
        <v>0</v>
      </c>
      <c r="N112" s="603">
        <f t="shared" si="21"/>
        <v>7335.9</v>
      </c>
      <c r="O112" s="330"/>
      <c r="P112" s="333"/>
      <c r="Q112" s="330"/>
      <c r="R112" s="333"/>
    </row>
    <row r="113" spans="1:18" s="312" customFormat="1">
      <c r="A113" s="392"/>
      <c r="B113" s="393"/>
      <c r="C113" s="394" t="s">
        <v>24</v>
      </c>
      <c r="D113" s="395" t="s">
        <v>1116</v>
      </c>
      <c r="E113" s="396"/>
      <c r="F113" s="397"/>
      <c r="G113" s="398"/>
      <c r="H113" s="427"/>
      <c r="I113" s="428"/>
      <c r="J113" s="427"/>
      <c r="K113" s="407"/>
      <c r="L113" s="298"/>
      <c r="M113" s="298"/>
      <c r="N113" s="603"/>
      <c r="O113" s="398"/>
      <c r="P113" s="402"/>
      <c r="Q113" s="398"/>
      <c r="R113" s="402"/>
    </row>
    <row r="114" spans="1:18" s="345" customFormat="1">
      <c r="A114" s="334"/>
      <c r="B114" s="335"/>
      <c r="C114" s="336" t="s">
        <v>241</v>
      </c>
      <c r="D114" s="337" t="s">
        <v>1117</v>
      </c>
      <c r="E114" s="338"/>
      <c r="F114" s="339"/>
      <c r="G114" s="340"/>
      <c r="H114" s="424"/>
      <c r="I114" s="425"/>
      <c r="J114" s="424"/>
      <c r="K114" s="343"/>
      <c r="L114" s="298"/>
      <c r="M114" s="298"/>
      <c r="N114" s="603"/>
      <c r="O114" s="340"/>
      <c r="P114" s="344"/>
      <c r="Q114" s="340"/>
      <c r="R114" s="344"/>
    </row>
    <row r="115" spans="1:18" s="387" customFormat="1" ht="18">
      <c r="A115" s="375" t="s">
        <v>1060</v>
      </c>
      <c r="B115" s="376">
        <v>40405</v>
      </c>
      <c r="C115" s="377" t="s">
        <v>243</v>
      </c>
      <c r="D115" s="378" t="s">
        <v>264</v>
      </c>
      <c r="E115" s="379" t="s">
        <v>57</v>
      </c>
      <c r="F115" s="380">
        <f>[33]FINANCEIRO!F132</f>
        <v>86.33</v>
      </c>
      <c r="G115" s="381">
        <f>[33]FINANCEIRO!G132</f>
        <v>341</v>
      </c>
      <c r="H115" s="384">
        <v>90</v>
      </c>
      <c r="I115" s="383">
        <v>0</v>
      </c>
      <c r="J115" s="384">
        <f t="shared" si="18"/>
        <v>431</v>
      </c>
      <c r="K115" s="385">
        <f t="shared" ref="K115:K177" si="27">F115*G115</f>
        <v>29438.53</v>
      </c>
      <c r="L115" s="358">
        <f t="shared" si="19"/>
        <v>7769.7</v>
      </c>
      <c r="M115" s="359">
        <f t="shared" si="20"/>
        <v>0</v>
      </c>
      <c r="N115" s="604">
        <f t="shared" si="21"/>
        <v>37208.229999999996</v>
      </c>
      <c r="O115" s="381">
        <f>H115</f>
        <v>90</v>
      </c>
      <c r="P115" s="386">
        <f>O115*F115</f>
        <v>7769.7</v>
      </c>
      <c r="Q115" s="381"/>
      <c r="R115" s="386">
        <f>Q115*H115</f>
        <v>0</v>
      </c>
    </row>
    <row r="116" spans="1:18" s="373" customFormat="1">
      <c r="A116" s="391" t="s">
        <v>1060</v>
      </c>
      <c r="B116" s="389" t="s">
        <v>1118</v>
      </c>
      <c r="C116" s="366" t="s">
        <v>244</v>
      </c>
      <c r="D116" s="365" t="s">
        <v>1119</v>
      </c>
      <c r="E116" s="366" t="s">
        <v>10</v>
      </c>
      <c r="F116" s="429">
        <f>'[34]COMPOSIÇÕES ADITIVO'!I183</f>
        <v>13295.45</v>
      </c>
      <c r="G116" s="368">
        <v>0</v>
      </c>
      <c r="H116" s="369">
        <v>1</v>
      </c>
      <c r="I116" s="430">
        <v>0</v>
      </c>
      <c r="J116" s="369">
        <f t="shared" si="18"/>
        <v>1</v>
      </c>
      <c r="K116" s="429">
        <f t="shared" si="27"/>
        <v>0</v>
      </c>
      <c r="L116" s="298">
        <f t="shared" si="19"/>
        <v>13295.45</v>
      </c>
      <c r="M116" s="598">
        <f t="shared" si="20"/>
        <v>0</v>
      </c>
      <c r="N116" s="605">
        <f t="shared" si="21"/>
        <v>13295.45</v>
      </c>
      <c r="O116" s="368">
        <f>H116</f>
        <v>1</v>
      </c>
      <c r="P116" s="372">
        <f>O116*F116</f>
        <v>13295.45</v>
      </c>
      <c r="Q116" s="368"/>
      <c r="R116" s="372">
        <f>Q116*H116</f>
        <v>0</v>
      </c>
    </row>
    <row r="117" spans="1:18">
      <c r="A117" s="324" t="s">
        <v>1056</v>
      </c>
      <c r="B117" s="325" t="s">
        <v>255</v>
      </c>
      <c r="C117" s="328" t="s">
        <v>245</v>
      </c>
      <c r="D117" s="327" t="s">
        <v>1120</v>
      </c>
      <c r="E117" s="328" t="s">
        <v>29</v>
      </c>
      <c r="F117" s="329">
        <f>[33]FINANCEIRO!F133</f>
        <v>7.33</v>
      </c>
      <c r="G117" s="330">
        <f>[33]FINANCEIRO!G133</f>
        <v>3966.02</v>
      </c>
      <c r="H117" s="331">
        <v>0</v>
      </c>
      <c r="I117" s="332">
        <v>0</v>
      </c>
      <c r="J117" s="331">
        <f t="shared" si="18"/>
        <v>3966.02</v>
      </c>
      <c r="K117" s="329">
        <f t="shared" si="27"/>
        <v>29070.926599999999</v>
      </c>
      <c r="L117" s="298">
        <f t="shared" si="19"/>
        <v>0</v>
      </c>
      <c r="M117" s="298">
        <f t="shared" si="20"/>
        <v>0</v>
      </c>
      <c r="N117" s="603">
        <f t="shared" si="21"/>
        <v>29070.926599999999</v>
      </c>
      <c r="O117" s="330"/>
      <c r="P117" s="333"/>
      <c r="Q117" s="330"/>
      <c r="R117" s="333"/>
    </row>
    <row r="118" spans="1:18" ht="30">
      <c r="A118" s="324" t="s">
        <v>1060</v>
      </c>
      <c r="B118" s="349">
        <v>40328</v>
      </c>
      <c r="C118" s="328" t="s">
        <v>246</v>
      </c>
      <c r="D118" s="348" t="s">
        <v>147</v>
      </c>
      <c r="E118" s="328" t="s">
        <v>29</v>
      </c>
      <c r="F118" s="329">
        <f>[33]FINANCEIRO!F134</f>
        <v>7.98</v>
      </c>
      <c r="G118" s="330">
        <f>[33]FINANCEIRO!G134</f>
        <v>1880</v>
      </c>
      <c r="H118" s="331">
        <v>0</v>
      </c>
      <c r="I118" s="332">
        <v>0</v>
      </c>
      <c r="J118" s="331">
        <f t="shared" si="18"/>
        <v>1880</v>
      </c>
      <c r="K118" s="329">
        <f t="shared" si="27"/>
        <v>15002.400000000001</v>
      </c>
      <c r="L118" s="298">
        <f t="shared" si="19"/>
        <v>0</v>
      </c>
      <c r="M118" s="298">
        <f t="shared" si="20"/>
        <v>0</v>
      </c>
      <c r="N118" s="603">
        <f t="shared" si="21"/>
        <v>15002.400000000001</v>
      </c>
      <c r="O118" s="330"/>
      <c r="P118" s="333"/>
      <c r="Q118" s="330"/>
      <c r="R118" s="333"/>
    </row>
    <row r="119" spans="1:18">
      <c r="A119" s="324" t="s">
        <v>1056</v>
      </c>
      <c r="B119" s="325" t="s">
        <v>256</v>
      </c>
      <c r="C119" s="328" t="s">
        <v>247</v>
      </c>
      <c r="D119" s="348" t="s">
        <v>266</v>
      </c>
      <c r="E119" s="328" t="s">
        <v>29</v>
      </c>
      <c r="F119" s="329">
        <f>[33]FINANCEIRO!F135</f>
        <v>11.02</v>
      </c>
      <c r="G119" s="330">
        <f>[33]FINANCEIRO!G135</f>
        <v>73</v>
      </c>
      <c r="H119" s="331">
        <v>0</v>
      </c>
      <c r="I119" s="332">
        <v>0</v>
      </c>
      <c r="J119" s="331">
        <f t="shared" si="18"/>
        <v>73</v>
      </c>
      <c r="K119" s="329">
        <f t="shared" si="27"/>
        <v>804.45999999999992</v>
      </c>
      <c r="L119" s="298">
        <f t="shared" si="19"/>
        <v>0</v>
      </c>
      <c r="M119" s="298">
        <f t="shared" si="20"/>
        <v>0</v>
      </c>
      <c r="N119" s="603">
        <f t="shared" si="21"/>
        <v>804.45999999999992</v>
      </c>
      <c r="O119" s="330"/>
      <c r="P119" s="333"/>
      <c r="Q119" s="330"/>
      <c r="R119" s="333"/>
    </row>
    <row r="120" spans="1:18" ht="45">
      <c r="A120" s="324" t="s">
        <v>1056</v>
      </c>
      <c r="B120" s="325" t="s">
        <v>257</v>
      </c>
      <c r="C120" s="328" t="s">
        <v>248</v>
      </c>
      <c r="D120" s="348" t="s">
        <v>267</v>
      </c>
      <c r="E120" s="328" t="s">
        <v>58</v>
      </c>
      <c r="F120" s="329">
        <f>[33]FINANCEIRO!F136</f>
        <v>777.83</v>
      </c>
      <c r="G120" s="330">
        <f>[33]FINANCEIRO!G136</f>
        <v>28.05</v>
      </c>
      <c r="H120" s="331">
        <v>0</v>
      </c>
      <c r="I120" s="332">
        <v>0</v>
      </c>
      <c r="J120" s="331">
        <f>G120+H120-I120</f>
        <v>28.05</v>
      </c>
      <c r="K120" s="329">
        <f>F120*G120</f>
        <v>21818.131500000003</v>
      </c>
      <c r="L120" s="298">
        <f>H120*F120</f>
        <v>0</v>
      </c>
      <c r="M120" s="298">
        <f t="shared" si="20"/>
        <v>0</v>
      </c>
      <c r="N120" s="603">
        <f t="shared" si="21"/>
        <v>21818.131500000003</v>
      </c>
      <c r="O120" s="330"/>
      <c r="P120" s="333"/>
      <c r="Q120" s="330"/>
      <c r="R120" s="333"/>
    </row>
    <row r="121" spans="1:18">
      <c r="A121" s="324" t="s">
        <v>1056</v>
      </c>
      <c r="B121" s="325" t="s">
        <v>258</v>
      </c>
      <c r="C121" s="408" t="s">
        <v>250</v>
      </c>
      <c r="D121" s="348" t="s">
        <v>268</v>
      </c>
      <c r="E121" s="328" t="s">
        <v>58</v>
      </c>
      <c r="F121" s="329">
        <f>[33]FINANCEIRO!F137</f>
        <v>641.15</v>
      </c>
      <c r="G121" s="330">
        <f>[33]FINANCEIRO!G137</f>
        <v>113.84</v>
      </c>
      <c r="H121" s="331">
        <v>0</v>
      </c>
      <c r="I121" s="332">
        <v>0</v>
      </c>
      <c r="J121" s="331">
        <f t="shared" si="18"/>
        <v>113.84</v>
      </c>
      <c r="K121" s="329">
        <f>F121*G121</f>
        <v>72988.516000000003</v>
      </c>
      <c r="L121" s="298">
        <f t="shared" si="19"/>
        <v>0</v>
      </c>
      <c r="M121" s="298">
        <f t="shared" si="20"/>
        <v>0</v>
      </c>
      <c r="N121" s="603">
        <f t="shared" si="21"/>
        <v>72988.516000000003</v>
      </c>
      <c r="O121" s="330"/>
      <c r="P121" s="333"/>
      <c r="Q121" s="330"/>
      <c r="R121" s="333"/>
    </row>
    <row r="122" spans="1:18">
      <c r="A122" s="324" t="s">
        <v>1056</v>
      </c>
      <c r="B122" s="325" t="s">
        <v>259</v>
      </c>
      <c r="C122" s="408" t="s">
        <v>251</v>
      </c>
      <c r="D122" s="327" t="s">
        <v>1121</v>
      </c>
      <c r="E122" s="328" t="s">
        <v>72</v>
      </c>
      <c r="F122" s="329">
        <f>[33]FINANCEIRO!F138</f>
        <v>14345.61</v>
      </c>
      <c r="G122" s="330">
        <f>[33]FINANCEIRO!G138</f>
        <v>4</v>
      </c>
      <c r="H122" s="331">
        <v>0</v>
      </c>
      <c r="I122" s="332">
        <v>0</v>
      </c>
      <c r="J122" s="331">
        <f t="shared" si="18"/>
        <v>4</v>
      </c>
      <c r="K122" s="329">
        <f t="shared" ref="K122:K125" si="28">F122*G122</f>
        <v>57382.44</v>
      </c>
      <c r="L122" s="298">
        <f t="shared" si="19"/>
        <v>0</v>
      </c>
      <c r="M122" s="298">
        <f t="shared" si="20"/>
        <v>0</v>
      </c>
      <c r="N122" s="603">
        <f t="shared" si="21"/>
        <v>57382.44</v>
      </c>
      <c r="O122" s="330"/>
      <c r="P122" s="333"/>
      <c r="Q122" s="330"/>
      <c r="R122" s="333"/>
    </row>
    <row r="123" spans="1:18">
      <c r="A123" s="324" t="s">
        <v>1056</v>
      </c>
      <c r="B123" s="325" t="s">
        <v>260</v>
      </c>
      <c r="C123" s="408" t="s">
        <v>252</v>
      </c>
      <c r="D123" s="327" t="s">
        <v>1122</v>
      </c>
      <c r="E123" s="328" t="s">
        <v>72</v>
      </c>
      <c r="F123" s="329">
        <f>[33]FINANCEIRO!F139</f>
        <v>5478.19</v>
      </c>
      <c r="G123" s="330">
        <f>[33]FINANCEIRO!G139</f>
        <v>2</v>
      </c>
      <c r="H123" s="331">
        <v>0</v>
      </c>
      <c r="I123" s="332">
        <v>0</v>
      </c>
      <c r="J123" s="331">
        <f t="shared" si="18"/>
        <v>2</v>
      </c>
      <c r="K123" s="329">
        <f t="shared" si="28"/>
        <v>10956.38</v>
      </c>
      <c r="L123" s="298">
        <f t="shared" si="19"/>
        <v>0</v>
      </c>
      <c r="M123" s="298">
        <f t="shared" si="20"/>
        <v>0</v>
      </c>
      <c r="N123" s="603">
        <f t="shared" si="21"/>
        <v>10956.38</v>
      </c>
      <c r="O123" s="330"/>
      <c r="P123" s="333"/>
      <c r="Q123" s="330"/>
      <c r="R123" s="333"/>
    </row>
    <row r="124" spans="1:18" ht="30">
      <c r="A124" s="324" t="s">
        <v>1060</v>
      </c>
      <c r="B124" s="349">
        <v>40817</v>
      </c>
      <c r="C124" s="408" t="s">
        <v>253</v>
      </c>
      <c r="D124" s="348" t="s">
        <v>271</v>
      </c>
      <c r="E124" s="328" t="s">
        <v>58</v>
      </c>
      <c r="F124" s="329">
        <f>[33]FINANCEIRO!F140</f>
        <v>3001.6</v>
      </c>
      <c r="G124" s="330">
        <f>[33]FINANCEIRO!G140</f>
        <v>0.03</v>
      </c>
      <c r="H124" s="331">
        <v>0</v>
      </c>
      <c r="I124" s="332">
        <v>0</v>
      </c>
      <c r="J124" s="331">
        <f t="shared" si="18"/>
        <v>0.03</v>
      </c>
      <c r="K124" s="329">
        <f t="shared" si="28"/>
        <v>90.047999999999988</v>
      </c>
      <c r="L124" s="298">
        <f t="shared" si="19"/>
        <v>0</v>
      </c>
      <c r="M124" s="298">
        <f t="shared" si="20"/>
        <v>0</v>
      </c>
      <c r="N124" s="603">
        <f t="shared" si="21"/>
        <v>90.047999999999988</v>
      </c>
      <c r="O124" s="330"/>
      <c r="P124" s="333"/>
      <c r="Q124" s="330"/>
      <c r="R124" s="333"/>
    </row>
    <row r="125" spans="1:18">
      <c r="A125" s="324" t="s">
        <v>1056</v>
      </c>
      <c r="B125" s="325" t="s">
        <v>261</v>
      </c>
      <c r="C125" s="408" t="s">
        <v>254</v>
      </c>
      <c r="D125" s="327" t="s">
        <v>1123</v>
      </c>
      <c r="E125" s="328" t="s">
        <v>72</v>
      </c>
      <c r="F125" s="329">
        <f>[33]FINANCEIRO!F141</f>
        <v>2011.04</v>
      </c>
      <c r="G125" s="330">
        <f>[33]FINANCEIRO!G141</f>
        <v>15</v>
      </c>
      <c r="H125" s="331">
        <v>0</v>
      </c>
      <c r="I125" s="332">
        <v>0</v>
      </c>
      <c r="J125" s="331">
        <f t="shared" si="18"/>
        <v>15</v>
      </c>
      <c r="K125" s="329">
        <f t="shared" si="28"/>
        <v>30165.599999999999</v>
      </c>
      <c r="L125" s="298">
        <f t="shared" si="19"/>
        <v>0</v>
      </c>
      <c r="M125" s="298">
        <f t="shared" si="20"/>
        <v>0</v>
      </c>
      <c r="N125" s="603">
        <f t="shared" si="21"/>
        <v>30165.599999999999</v>
      </c>
      <c r="O125" s="330"/>
      <c r="P125" s="333"/>
      <c r="Q125" s="330"/>
      <c r="R125" s="333"/>
    </row>
    <row r="126" spans="1:18" ht="30">
      <c r="A126" s="324" t="s">
        <v>1056</v>
      </c>
      <c r="B126" s="325" t="s">
        <v>262</v>
      </c>
      <c r="C126" s="408" t="s">
        <v>1124</v>
      </c>
      <c r="D126" s="327" t="s">
        <v>273</v>
      </c>
      <c r="E126" s="328" t="s">
        <v>72</v>
      </c>
      <c r="F126" s="329">
        <f>[33]FINANCEIRO!F142</f>
        <v>28185.33</v>
      </c>
      <c r="G126" s="330">
        <v>1</v>
      </c>
      <c r="H126" s="331">
        <v>0</v>
      </c>
      <c r="I126" s="332">
        <v>0</v>
      </c>
      <c r="J126" s="331">
        <f t="shared" si="18"/>
        <v>1</v>
      </c>
      <c r="K126" s="329">
        <f>F126*G126</f>
        <v>28185.33</v>
      </c>
      <c r="L126" s="298">
        <f t="shared" si="19"/>
        <v>0</v>
      </c>
      <c r="M126" s="298">
        <f t="shared" si="20"/>
        <v>0</v>
      </c>
      <c r="N126" s="603">
        <f t="shared" si="21"/>
        <v>28185.33</v>
      </c>
      <c r="O126" s="330"/>
      <c r="P126" s="333"/>
      <c r="Q126" s="330"/>
      <c r="R126" s="333"/>
    </row>
    <row r="127" spans="1:18">
      <c r="A127" s="324" t="s">
        <v>1056</v>
      </c>
      <c r="B127" s="325" t="s">
        <v>263</v>
      </c>
      <c r="C127" s="408" t="s">
        <v>1125</v>
      </c>
      <c r="D127" s="327" t="s">
        <v>1126</v>
      </c>
      <c r="E127" s="328" t="s">
        <v>72</v>
      </c>
      <c r="F127" s="329">
        <f>[33]FINANCEIRO!F143</f>
        <v>340.73</v>
      </c>
      <c r="G127" s="330">
        <v>2</v>
      </c>
      <c r="H127" s="331">
        <v>0</v>
      </c>
      <c r="I127" s="332">
        <v>0</v>
      </c>
      <c r="J127" s="331">
        <f t="shared" si="18"/>
        <v>2</v>
      </c>
      <c r="K127" s="329">
        <f>F127*G127</f>
        <v>681.46</v>
      </c>
      <c r="L127" s="298">
        <f t="shared" si="19"/>
        <v>0</v>
      </c>
      <c r="M127" s="298">
        <f t="shared" si="20"/>
        <v>0</v>
      </c>
      <c r="N127" s="603">
        <f t="shared" si="21"/>
        <v>681.46</v>
      </c>
      <c r="O127" s="330"/>
      <c r="P127" s="333"/>
      <c r="Q127" s="330"/>
      <c r="R127" s="333"/>
    </row>
    <row r="128" spans="1:18" s="345" customFormat="1">
      <c r="A128" s="334"/>
      <c r="B128" s="335"/>
      <c r="C128" s="336" t="s">
        <v>275</v>
      </c>
      <c r="D128" s="337" t="s">
        <v>1127</v>
      </c>
      <c r="E128" s="338"/>
      <c r="F128" s="339"/>
      <c r="G128" s="340"/>
      <c r="H128" s="338"/>
      <c r="I128" s="340"/>
      <c r="J128" s="338"/>
      <c r="K128" s="343"/>
      <c r="L128" s="298"/>
      <c r="M128" s="298"/>
      <c r="N128" s="603"/>
      <c r="O128" s="340"/>
      <c r="P128" s="344"/>
      <c r="Q128" s="340"/>
      <c r="R128" s="344"/>
    </row>
    <row r="129" spans="1:18" s="434" customFormat="1" ht="30">
      <c r="A129" s="346" t="s">
        <v>1056</v>
      </c>
      <c r="B129" s="420" t="s">
        <v>278</v>
      </c>
      <c r="C129" s="328" t="s">
        <v>277</v>
      </c>
      <c r="D129" s="431" t="s">
        <v>279</v>
      </c>
      <c r="E129" s="328" t="s">
        <v>72</v>
      </c>
      <c r="F129" s="329">
        <f>[33]FINANCEIRO!F146</f>
        <v>1246.9100000000001</v>
      </c>
      <c r="G129" s="330">
        <v>1</v>
      </c>
      <c r="H129" s="331">
        <v>0</v>
      </c>
      <c r="I129" s="332">
        <v>0</v>
      </c>
      <c r="J129" s="331">
        <f t="shared" si="18"/>
        <v>1</v>
      </c>
      <c r="K129" s="432">
        <f>F129*G129</f>
        <v>1246.9100000000001</v>
      </c>
      <c r="L129" s="418">
        <f>H129*F129</f>
        <v>0</v>
      </c>
      <c r="M129" s="418">
        <f t="shared" si="20"/>
        <v>0</v>
      </c>
      <c r="N129" s="605">
        <f t="shared" si="21"/>
        <v>1246.9100000000001</v>
      </c>
      <c r="O129" s="330"/>
      <c r="P129" s="433"/>
      <c r="Q129" s="330"/>
      <c r="R129" s="433"/>
    </row>
    <row r="130" spans="1:18" s="345" customFormat="1">
      <c r="A130" s="334"/>
      <c r="B130" s="335"/>
      <c r="C130" s="336" t="s">
        <v>280</v>
      </c>
      <c r="D130" s="417" t="s">
        <v>281</v>
      </c>
      <c r="E130" s="338"/>
      <c r="F130" s="339"/>
      <c r="G130" s="340"/>
      <c r="H130" s="338"/>
      <c r="I130" s="340"/>
      <c r="J130" s="338"/>
      <c r="K130" s="343"/>
      <c r="L130" s="298"/>
      <c r="M130" s="298"/>
      <c r="N130" s="603"/>
      <c r="O130" s="340"/>
      <c r="P130" s="344"/>
      <c r="Q130" s="340"/>
      <c r="R130" s="344"/>
    </row>
    <row r="131" spans="1:18" ht="30">
      <c r="A131" s="324" t="s">
        <v>1096</v>
      </c>
      <c r="B131" s="325" t="s">
        <v>294</v>
      </c>
      <c r="C131" s="408" t="s">
        <v>282</v>
      </c>
      <c r="D131" s="348" t="s">
        <v>304</v>
      </c>
      <c r="E131" s="328" t="s">
        <v>315</v>
      </c>
      <c r="F131" s="329">
        <f>[33]FINANCEIRO!F149</f>
        <v>18178.13</v>
      </c>
      <c r="G131" s="330">
        <v>2</v>
      </c>
      <c r="H131" s="331">
        <v>0</v>
      </c>
      <c r="I131" s="332">
        <v>0</v>
      </c>
      <c r="J131" s="331">
        <f>G131+H131-I131</f>
        <v>2</v>
      </c>
      <c r="K131" s="329">
        <f>F131*G131</f>
        <v>36356.26</v>
      </c>
      <c r="L131" s="298">
        <f t="shared" si="19"/>
        <v>0</v>
      </c>
      <c r="M131" s="298">
        <f t="shared" si="20"/>
        <v>0</v>
      </c>
      <c r="N131" s="603">
        <f t="shared" si="21"/>
        <v>36356.26</v>
      </c>
      <c r="O131" s="330"/>
      <c r="P131" s="333"/>
      <c r="Q131" s="330"/>
      <c r="R131" s="333"/>
    </row>
    <row r="132" spans="1:18" ht="30">
      <c r="A132" s="324" t="s">
        <v>1056</v>
      </c>
      <c r="B132" s="325" t="s">
        <v>295</v>
      </c>
      <c r="C132" s="408" t="s">
        <v>283</v>
      </c>
      <c r="D132" s="348" t="s">
        <v>305</v>
      </c>
      <c r="E132" s="328" t="s">
        <v>51</v>
      </c>
      <c r="F132" s="329">
        <f>[33]FINANCEIRO!F150</f>
        <v>1268.83</v>
      </c>
      <c r="G132" s="330">
        <f>[33]FINANCEIRO!G150</f>
        <v>86.8</v>
      </c>
      <c r="H132" s="331">
        <v>0</v>
      </c>
      <c r="I132" s="332">
        <v>0</v>
      </c>
      <c r="J132" s="331">
        <f t="shared" si="18"/>
        <v>86.8</v>
      </c>
      <c r="K132" s="329">
        <f t="shared" si="27"/>
        <v>110134.44399999999</v>
      </c>
      <c r="L132" s="298">
        <f t="shared" si="19"/>
        <v>0</v>
      </c>
      <c r="M132" s="298">
        <f t="shared" si="20"/>
        <v>0</v>
      </c>
      <c r="N132" s="603">
        <f t="shared" si="21"/>
        <v>110134.44399999999</v>
      </c>
      <c r="O132" s="330"/>
      <c r="P132" s="333"/>
      <c r="Q132" s="330"/>
      <c r="R132" s="333"/>
    </row>
    <row r="133" spans="1:18" s="445" customFormat="1" ht="30" hidden="1">
      <c r="A133" s="435" t="s">
        <v>1056</v>
      </c>
      <c r="B133" s="436" t="s">
        <v>295</v>
      </c>
      <c r="C133" s="437" t="s">
        <v>284</v>
      </c>
      <c r="D133" s="438" t="s">
        <v>1128</v>
      </c>
      <c r="E133" s="439" t="s">
        <v>51</v>
      </c>
      <c r="F133" s="440">
        <f>'[33]COMPOSIÇÃO CAMISAS 400 MM'!J41</f>
        <v>689.21</v>
      </c>
      <c r="G133" s="441">
        <v>0</v>
      </c>
      <c r="H133" s="442"/>
      <c r="I133" s="443">
        <v>0</v>
      </c>
      <c r="J133" s="442">
        <f t="shared" si="18"/>
        <v>0</v>
      </c>
      <c r="K133" s="440">
        <f>F133*G133</f>
        <v>0</v>
      </c>
      <c r="L133" s="298">
        <f t="shared" si="19"/>
        <v>0</v>
      </c>
      <c r="M133" s="298">
        <f t="shared" si="20"/>
        <v>0</v>
      </c>
      <c r="N133" s="605">
        <f t="shared" si="21"/>
        <v>0</v>
      </c>
      <c r="O133" s="441"/>
      <c r="P133" s="444"/>
      <c r="Q133" s="441"/>
      <c r="R133" s="444"/>
    </row>
    <row r="134" spans="1:18">
      <c r="A134" s="324" t="s">
        <v>1056</v>
      </c>
      <c r="B134" s="325" t="s">
        <v>296</v>
      </c>
      <c r="C134" s="408" t="s">
        <v>285</v>
      </c>
      <c r="D134" s="348" t="s">
        <v>1129</v>
      </c>
      <c r="E134" s="328" t="s">
        <v>51</v>
      </c>
      <c r="F134" s="329">
        <v>294.97000000000003</v>
      </c>
      <c r="G134" s="330">
        <v>86.8</v>
      </c>
      <c r="H134" s="331">
        <v>0</v>
      </c>
      <c r="I134" s="332">
        <v>0</v>
      </c>
      <c r="J134" s="331">
        <f t="shared" si="18"/>
        <v>86.8</v>
      </c>
      <c r="K134" s="329">
        <f t="shared" si="27"/>
        <v>25603.396000000001</v>
      </c>
      <c r="L134" s="298">
        <f t="shared" si="19"/>
        <v>0</v>
      </c>
      <c r="M134" s="298">
        <f t="shared" si="20"/>
        <v>0</v>
      </c>
      <c r="N134" s="603">
        <f t="shared" si="21"/>
        <v>25603.396000000001</v>
      </c>
      <c r="O134" s="330"/>
      <c r="P134" s="333"/>
      <c r="Q134" s="330"/>
      <c r="R134" s="333"/>
    </row>
    <row r="135" spans="1:18">
      <c r="A135" s="324" t="s">
        <v>1056</v>
      </c>
      <c r="B135" s="325" t="s">
        <v>297</v>
      </c>
      <c r="C135" s="408" t="s">
        <v>286</v>
      </c>
      <c r="D135" s="348" t="s">
        <v>307</v>
      </c>
      <c r="E135" s="328" t="s">
        <v>51</v>
      </c>
      <c r="F135" s="329">
        <v>309.62</v>
      </c>
      <c r="G135" s="330">
        <v>64</v>
      </c>
      <c r="H135" s="331">
        <v>0</v>
      </c>
      <c r="I135" s="332">
        <v>0</v>
      </c>
      <c r="J135" s="331">
        <f t="shared" si="18"/>
        <v>64</v>
      </c>
      <c r="K135" s="329">
        <f t="shared" si="27"/>
        <v>19815.68</v>
      </c>
      <c r="L135" s="298">
        <f t="shared" si="19"/>
        <v>0</v>
      </c>
      <c r="M135" s="298">
        <f t="shared" si="20"/>
        <v>0</v>
      </c>
      <c r="N135" s="603">
        <f t="shared" si="21"/>
        <v>19815.68</v>
      </c>
      <c r="O135" s="330"/>
      <c r="P135" s="333"/>
      <c r="Q135" s="330"/>
      <c r="R135" s="333"/>
    </row>
    <row r="136" spans="1:18" ht="30">
      <c r="A136" s="324" t="s">
        <v>1056</v>
      </c>
      <c r="B136" s="325" t="s">
        <v>1130</v>
      </c>
      <c r="C136" s="408" t="s">
        <v>287</v>
      </c>
      <c r="D136" s="348" t="s">
        <v>1131</v>
      </c>
      <c r="E136" s="328" t="s">
        <v>51</v>
      </c>
      <c r="F136" s="329">
        <f>'[34]COMPOSIÇÕES ADITIVO'!I363</f>
        <v>147.34</v>
      </c>
      <c r="G136" s="330">
        <v>0</v>
      </c>
      <c r="H136" s="331">
        <v>0</v>
      </c>
      <c r="I136" s="332">
        <v>0</v>
      </c>
      <c r="J136" s="331">
        <f t="shared" si="18"/>
        <v>0</v>
      </c>
      <c r="K136" s="329">
        <f t="shared" si="27"/>
        <v>0</v>
      </c>
      <c r="L136" s="298">
        <f t="shared" si="19"/>
        <v>0</v>
      </c>
      <c r="M136" s="298">
        <f t="shared" si="20"/>
        <v>0</v>
      </c>
      <c r="N136" s="603">
        <f t="shared" si="21"/>
        <v>0</v>
      </c>
      <c r="O136" s="330"/>
      <c r="P136" s="333"/>
      <c r="Q136" s="330"/>
      <c r="R136" s="333"/>
    </row>
    <row r="137" spans="1:18">
      <c r="A137" s="324" t="s">
        <v>1056</v>
      </c>
      <c r="B137" s="325" t="s">
        <v>298</v>
      </c>
      <c r="C137" s="408" t="s">
        <v>288</v>
      </c>
      <c r="D137" s="348" t="s">
        <v>308</v>
      </c>
      <c r="E137" s="328" t="s">
        <v>51</v>
      </c>
      <c r="F137" s="329">
        <v>358.26</v>
      </c>
      <c r="G137" s="330">
        <v>64</v>
      </c>
      <c r="H137" s="331">
        <v>0</v>
      </c>
      <c r="I137" s="332">
        <v>0</v>
      </c>
      <c r="J137" s="331">
        <f t="shared" si="18"/>
        <v>64</v>
      </c>
      <c r="K137" s="329">
        <f t="shared" si="27"/>
        <v>22928.639999999999</v>
      </c>
      <c r="L137" s="298">
        <f t="shared" si="19"/>
        <v>0</v>
      </c>
      <c r="M137" s="298">
        <f t="shared" si="20"/>
        <v>0</v>
      </c>
      <c r="N137" s="603">
        <f t="shared" si="21"/>
        <v>22928.639999999999</v>
      </c>
      <c r="O137" s="330"/>
      <c r="P137" s="333"/>
      <c r="Q137" s="330"/>
      <c r="R137" s="333"/>
    </row>
    <row r="138" spans="1:18" ht="30">
      <c r="A138" s="446" t="s">
        <v>1056</v>
      </c>
      <c r="B138" s="325" t="s">
        <v>299</v>
      </c>
      <c r="C138" s="328" t="s">
        <v>289</v>
      </c>
      <c r="D138" s="327" t="s">
        <v>309</v>
      </c>
      <c r="E138" s="328" t="s">
        <v>29</v>
      </c>
      <c r="F138" s="329">
        <v>8.1199999999999992</v>
      </c>
      <c r="G138" s="330">
        <v>5048</v>
      </c>
      <c r="H138" s="331">
        <v>0</v>
      </c>
      <c r="I138" s="332">
        <v>0</v>
      </c>
      <c r="J138" s="331">
        <f t="shared" si="18"/>
        <v>5048</v>
      </c>
      <c r="K138" s="329">
        <f t="shared" si="27"/>
        <v>40989.759999999995</v>
      </c>
      <c r="L138" s="298">
        <f t="shared" si="19"/>
        <v>0</v>
      </c>
      <c r="M138" s="298">
        <f t="shared" si="20"/>
        <v>0</v>
      </c>
      <c r="N138" s="603">
        <f t="shared" si="21"/>
        <v>40989.759999999995</v>
      </c>
      <c r="O138" s="330"/>
      <c r="P138" s="333"/>
      <c r="Q138" s="330"/>
      <c r="R138" s="333"/>
    </row>
    <row r="139" spans="1:18">
      <c r="A139" s="446" t="s">
        <v>1056</v>
      </c>
      <c r="B139" s="325" t="s">
        <v>300</v>
      </c>
      <c r="C139" s="328" t="s">
        <v>290</v>
      </c>
      <c r="D139" s="327" t="s">
        <v>310</v>
      </c>
      <c r="E139" s="328" t="s">
        <v>29</v>
      </c>
      <c r="F139" s="329">
        <v>0.64</v>
      </c>
      <c r="G139" s="330">
        <v>5048</v>
      </c>
      <c r="H139" s="331">
        <v>0</v>
      </c>
      <c r="I139" s="332">
        <v>0</v>
      </c>
      <c r="J139" s="331">
        <f t="shared" si="18"/>
        <v>5048</v>
      </c>
      <c r="K139" s="329">
        <f t="shared" si="27"/>
        <v>3230.7200000000003</v>
      </c>
      <c r="L139" s="298">
        <f t="shared" si="19"/>
        <v>0</v>
      </c>
      <c r="M139" s="298">
        <f t="shared" si="20"/>
        <v>0</v>
      </c>
      <c r="N139" s="603">
        <f t="shared" si="21"/>
        <v>3230.7200000000003</v>
      </c>
      <c r="O139" s="330"/>
      <c r="P139" s="333"/>
      <c r="Q139" s="330"/>
      <c r="R139" s="333"/>
    </row>
    <row r="140" spans="1:18" ht="45">
      <c r="A140" s="446" t="s">
        <v>1056</v>
      </c>
      <c r="B140" s="325" t="s">
        <v>140</v>
      </c>
      <c r="C140" s="328" t="s">
        <v>291</v>
      </c>
      <c r="D140" s="327" t="s">
        <v>1132</v>
      </c>
      <c r="E140" s="328" t="s">
        <v>58</v>
      </c>
      <c r="F140" s="329">
        <v>486.08</v>
      </c>
      <c r="G140" s="330">
        <v>31.89</v>
      </c>
      <c r="H140" s="331">
        <v>0</v>
      </c>
      <c r="I140" s="332">
        <v>0</v>
      </c>
      <c r="J140" s="331">
        <f t="shared" ref="J140:J208" si="29">G140+H140-I140</f>
        <v>31.89</v>
      </c>
      <c r="K140" s="329">
        <f t="shared" si="27"/>
        <v>15501.091199999999</v>
      </c>
      <c r="L140" s="298">
        <f t="shared" si="19"/>
        <v>0</v>
      </c>
      <c r="M140" s="298">
        <f t="shared" si="20"/>
        <v>0</v>
      </c>
      <c r="N140" s="603">
        <f t="shared" si="21"/>
        <v>15501.091199999999</v>
      </c>
      <c r="O140" s="330"/>
      <c r="P140" s="333"/>
      <c r="Q140" s="330"/>
      <c r="R140" s="333"/>
    </row>
    <row r="141" spans="1:18">
      <c r="A141" s="446" t="s">
        <v>1056</v>
      </c>
      <c r="B141" s="325" t="s">
        <v>301</v>
      </c>
      <c r="C141" s="328" t="s">
        <v>292</v>
      </c>
      <c r="D141" s="327" t="s">
        <v>311</v>
      </c>
      <c r="E141" s="328" t="s">
        <v>49</v>
      </c>
      <c r="F141" s="329">
        <v>105.97</v>
      </c>
      <c r="G141" s="330">
        <v>31.89</v>
      </c>
      <c r="H141" s="331">
        <v>0</v>
      </c>
      <c r="I141" s="332">
        <v>0</v>
      </c>
      <c r="J141" s="331">
        <f t="shared" si="29"/>
        <v>31.89</v>
      </c>
      <c r="K141" s="329">
        <f t="shared" si="27"/>
        <v>3379.3833</v>
      </c>
      <c r="L141" s="298">
        <f t="shared" ref="L141:L206" si="30">H141*F141</f>
        <v>0</v>
      </c>
      <c r="M141" s="298">
        <f t="shared" ref="M141:M200" si="31">I141*F141</f>
        <v>0</v>
      </c>
      <c r="N141" s="603">
        <f t="shared" si="21"/>
        <v>3379.3833</v>
      </c>
      <c r="O141" s="330"/>
      <c r="P141" s="333"/>
      <c r="Q141" s="330"/>
      <c r="R141" s="333"/>
    </row>
    <row r="142" spans="1:18">
      <c r="A142" s="446" t="s">
        <v>1056</v>
      </c>
      <c r="B142" s="325" t="s">
        <v>302</v>
      </c>
      <c r="C142" s="328" t="s">
        <v>293</v>
      </c>
      <c r="D142" s="327" t="s">
        <v>1133</v>
      </c>
      <c r="E142" s="328" t="s">
        <v>72</v>
      </c>
      <c r="F142" s="329">
        <v>1.62</v>
      </c>
      <c r="G142" s="330">
        <v>4</v>
      </c>
      <c r="H142" s="331">
        <v>0</v>
      </c>
      <c r="I142" s="332">
        <v>0</v>
      </c>
      <c r="J142" s="331">
        <f t="shared" si="29"/>
        <v>4</v>
      </c>
      <c r="K142" s="329">
        <f t="shared" si="27"/>
        <v>6.48</v>
      </c>
      <c r="L142" s="298">
        <f t="shared" si="30"/>
        <v>0</v>
      </c>
      <c r="M142" s="298">
        <f t="shared" si="31"/>
        <v>0</v>
      </c>
      <c r="N142" s="603">
        <f t="shared" si="21"/>
        <v>6.48</v>
      </c>
      <c r="O142" s="330"/>
      <c r="P142" s="333"/>
      <c r="Q142" s="330"/>
      <c r="R142" s="333"/>
    </row>
    <row r="143" spans="1:18">
      <c r="A143" s="446" t="s">
        <v>1056</v>
      </c>
      <c r="B143" s="325" t="s">
        <v>303</v>
      </c>
      <c r="C143" s="328" t="s">
        <v>1134</v>
      </c>
      <c r="D143" s="327" t="s">
        <v>313</v>
      </c>
      <c r="E143" s="328" t="s">
        <v>72</v>
      </c>
      <c r="F143" s="329">
        <v>5793.75</v>
      </c>
      <c r="G143" s="330">
        <v>2</v>
      </c>
      <c r="H143" s="331">
        <v>0</v>
      </c>
      <c r="I143" s="332">
        <v>0</v>
      </c>
      <c r="J143" s="331">
        <f t="shared" si="29"/>
        <v>2</v>
      </c>
      <c r="K143" s="329">
        <f t="shared" si="27"/>
        <v>11587.5</v>
      </c>
      <c r="L143" s="298">
        <f t="shared" si="30"/>
        <v>0</v>
      </c>
      <c r="M143" s="298">
        <f t="shared" si="31"/>
        <v>0</v>
      </c>
      <c r="N143" s="603">
        <f t="shared" ref="N143:N208" si="32">J143*F143</f>
        <v>11587.5</v>
      </c>
      <c r="O143" s="330"/>
      <c r="P143" s="333"/>
      <c r="Q143" s="330"/>
      <c r="R143" s="333"/>
    </row>
    <row r="144" spans="1:18" ht="30">
      <c r="A144" s="324" t="s">
        <v>1060</v>
      </c>
      <c r="B144" s="419">
        <v>190418</v>
      </c>
      <c r="C144" s="408" t="s">
        <v>1135</v>
      </c>
      <c r="D144" s="348" t="s">
        <v>314</v>
      </c>
      <c r="E144" s="328" t="s">
        <v>57</v>
      </c>
      <c r="F144" s="329">
        <v>33.049999999999997</v>
      </c>
      <c r="G144" s="330">
        <v>36.71</v>
      </c>
      <c r="H144" s="331">
        <v>0</v>
      </c>
      <c r="I144" s="332">
        <v>0</v>
      </c>
      <c r="J144" s="331">
        <f t="shared" si="29"/>
        <v>36.71</v>
      </c>
      <c r="K144" s="329">
        <f t="shared" si="27"/>
        <v>1213.2655</v>
      </c>
      <c r="L144" s="298">
        <f t="shared" si="30"/>
        <v>0</v>
      </c>
      <c r="M144" s="298">
        <f t="shared" si="31"/>
        <v>0</v>
      </c>
      <c r="N144" s="603">
        <f t="shared" si="32"/>
        <v>1213.2655</v>
      </c>
      <c r="O144" s="330"/>
      <c r="P144" s="333"/>
      <c r="Q144" s="330"/>
      <c r="R144" s="333"/>
    </row>
    <row r="145" spans="1:18" s="345" customFormat="1">
      <c r="A145" s="334"/>
      <c r="B145" s="335"/>
      <c r="C145" s="336" t="s">
        <v>316</v>
      </c>
      <c r="D145" s="337" t="s">
        <v>1110</v>
      </c>
      <c r="E145" s="338"/>
      <c r="F145" s="339"/>
      <c r="G145" s="340"/>
      <c r="H145" s="424">
        <v>0</v>
      </c>
      <c r="I145" s="425">
        <v>0</v>
      </c>
      <c r="J145" s="424">
        <f t="shared" si="29"/>
        <v>0</v>
      </c>
      <c r="K145" s="343"/>
      <c r="L145" s="298"/>
      <c r="M145" s="298"/>
      <c r="N145" s="603"/>
      <c r="O145" s="340"/>
      <c r="P145" s="344"/>
      <c r="Q145" s="340"/>
      <c r="R145" s="344"/>
    </row>
    <row r="146" spans="1:18" ht="30">
      <c r="A146" s="324" t="s">
        <v>1056</v>
      </c>
      <c r="B146" s="325" t="s">
        <v>227</v>
      </c>
      <c r="C146" s="408" t="s">
        <v>317</v>
      </c>
      <c r="D146" s="348" t="s">
        <v>233</v>
      </c>
      <c r="E146" s="328" t="s">
        <v>51</v>
      </c>
      <c r="F146" s="329">
        <v>366.23</v>
      </c>
      <c r="G146" s="330">
        <v>23.86</v>
      </c>
      <c r="H146" s="331">
        <v>0</v>
      </c>
      <c r="I146" s="332">
        <v>0</v>
      </c>
      <c r="J146" s="331">
        <f t="shared" si="29"/>
        <v>23.86</v>
      </c>
      <c r="K146" s="329">
        <f t="shared" si="27"/>
        <v>8738.247800000001</v>
      </c>
      <c r="L146" s="298">
        <f t="shared" si="30"/>
        <v>0</v>
      </c>
      <c r="M146" s="298">
        <f t="shared" si="31"/>
        <v>0</v>
      </c>
      <c r="N146" s="603">
        <f t="shared" si="32"/>
        <v>8738.247800000001</v>
      </c>
      <c r="O146" s="330"/>
      <c r="P146" s="333"/>
      <c r="Q146" s="330"/>
      <c r="R146" s="333"/>
    </row>
    <row r="147" spans="1:18" s="312" customFormat="1">
      <c r="A147" s="392"/>
      <c r="B147" s="393"/>
      <c r="C147" s="394" t="s">
        <v>25</v>
      </c>
      <c r="D147" s="395" t="s">
        <v>1136</v>
      </c>
      <c r="E147" s="396"/>
      <c r="F147" s="397"/>
      <c r="G147" s="398"/>
      <c r="H147" s="399"/>
      <c r="I147" s="400"/>
      <c r="J147" s="399">
        <f t="shared" si="29"/>
        <v>0</v>
      </c>
      <c r="K147" s="407"/>
      <c r="L147" s="298"/>
      <c r="M147" s="298"/>
      <c r="N147" s="603"/>
      <c r="O147" s="398"/>
      <c r="P147" s="402"/>
      <c r="Q147" s="398"/>
      <c r="R147" s="402"/>
    </row>
    <row r="148" spans="1:18" s="345" customFormat="1">
      <c r="A148" s="334"/>
      <c r="B148" s="335"/>
      <c r="C148" s="336" t="s">
        <v>319</v>
      </c>
      <c r="D148" s="337" t="s">
        <v>1136</v>
      </c>
      <c r="E148" s="338"/>
      <c r="F148" s="339"/>
      <c r="G148" s="340"/>
      <c r="H148" s="341"/>
      <c r="I148" s="342"/>
      <c r="J148" s="341">
        <f t="shared" si="29"/>
        <v>0</v>
      </c>
      <c r="K148" s="343"/>
      <c r="L148" s="298"/>
      <c r="M148" s="298"/>
      <c r="N148" s="603"/>
      <c r="O148" s="340"/>
      <c r="P148" s="344"/>
      <c r="Q148" s="340"/>
      <c r="R148" s="344"/>
    </row>
    <row r="149" spans="1:18">
      <c r="A149" s="324" t="s">
        <v>1056</v>
      </c>
      <c r="B149" s="325" t="s">
        <v>323</v>
      </c>
      <c r="C149" s="408" t="s">
        <v>320</v>
      </c>
      <c r="D149" s="327" t="s">
        <v>1137</v>
      </c>
      <c r="E149" s="328" t="s">
        <v>59</v>
      </c>
      <c r="F149" s="329">
        <v>409453.83</v>
      </c>
      <c r="G149" s="330">
        <v>1</v>
      </c>
      <c r="H149" s="331">
        <v>0</v>
      </c>
      <c r="I149" s="332">
        <v>0</v>
      </c>
      <c r="J149" s="331">
        <f t="shared" si="29"/>
        <v>1</v>
      </c>
      <c r="K149" s="329">
        <f t="shared" si="27"/>
        <v>409453.83</v>
      </c>
      <c r="L149" s="298">
        <f t="shared" si="30"/>
        <v>0</v>
      </c>
      <c r="M149" s="298">
        <f t="shared" si="31"/>
        <v>0</v>
      </c>
      <c r="N149" s="603">
        <f t="shared" si="32"/>
        <v>409453.83</v>
      </c>
      <c r="O149" s="330"/>
      <c r="P149" s="333"/>
      <c r="Q149" s="330"/>
      <c r="R149" s="333"/>
    </row>
    <row r="150" spans="1:18">
      <c r="A150" s="324" t="s">
        <v>324</v>
      </c>
      <c r="B150" s="325" t="s">
        <v>324</v>
      </c>
      <c r="C150" s="408" t="s">
        <v>321</v>
      </c>
      <c r="D150" s="327" t="s">
        <v>327</v>
      </c>
      <c r="E150" s="328" t="s">
        <v>59</v>
      </c>
      <c r="F150" s="329">
        <v>3812.11</v>
      </c>
      <c r="G150" s="330">
        <v>1</v>
      </c>
      <c r="H150" s="331">
        <v>0</v>
      </c>
      <c r="I150" s="332">
        <v>0</v>
      </c>
      <c r="J150" s="331">
        <f t="shared" si="29"/>
        <v>1</v>
      </c>
      <c r="K150" s="329">
        <f t="shared" si="27"/>
        <v>3812.11</v>
      </c>
      <c r="L150" s="298">
        <f t="shared" si="30"/>
        <v>0</v>
      </c>
      <c r="M150" s="298">
        <f t="shared" si="31"/>
        <v>0</v>
      </c>
      <c r="N150" s="603">
        <f t="shared" si="32"/>
        <v>3812.11</v>
      </c>
      <c r="O150" s="330"/>
      <c r="P150" s="333"/>
      <c r="Q150" s="330"/>
      <c r="R150" s="333"/>
    </row>
    <row r="151" spans="1:18">
      <c r="A151" s="324" t="s">
        <v>1056</v>
      </c>
      <c r="B151" s="325" t="s">
        <v>325</v>
      </c>
      <c r="C151" s="408" t="s">
        <v>322</v>
      </c>
      <c r="D151" s="327" t="s">
        <v>1138</v>
      </c>
      <c r="E151" s="328" t="s">
        <v>50</v>
      </c>
      <c r="F151" s="329">
        <v>115.83</v>
      </c>
      <c r="G151" s="330">
        <v>120.68</v>
      </c>
      <c r="H151" s="331">
        <v>0</v>
      </c>
      <c r="I151" s="332">
        <v>0</v>
      </c>
      <c r="J151" s="331">
        <f t="shared" si="29"/>
        <v>120.68</v>
      </c>
      <c r="K151" s="329">
        <f t="shared" si="27"/>
        <v>13978.3644</v>
      </c>
      <c r="L151" s="298">
        <f t="shared" si="30"/>
        <v>0</v>
      </c>
      <c r="M151" s="298">
        <f t="shared" si="31"/>
        <v>0</v>
      </c>
      <c r="N151" s="603">
        <f t="shared" si="32"/>
        <v>13978.3644</v>
      </c>
      <c r="O151" s="330"/>
      <c r="P151" s="333"/>
      <c r="Q151" s="330"/>
      <c r="R151" s="333"/>
    </row>
    <row r="152" spans="1:18" s="312" customFormat="1">
      <c r="A152" s="392"/>
      <c r="B152" s="393"/>
      <c r="C152" s="394" t="s">
        <v>26</v>
      </c>
      <c r="D152" s="395" t="s">
        <v>1139</v>
      </c>
      <c r="E152" s="396"/>
      <c r="F152" s="397"/>
      <c r="G152" s="398"/>
      <c r="H152" s="399"/>
      <c r="I152" s="400"/>
      <c r="J152" s="399">
        <f t="shared" si="29"/>
        <v>0</v>
      </c>
      <c r="K152" s="407"/>
      <c r="L152" s="298"/>
      <c r="M152" s="298"/>
      <c r="N152" s="603"/>
      <c r="O152" s="398"/>
      <c r="P152" s="402"/>
      <c r="Q152" s="398"/>
      <c r="R152" s="402"/>
    </row>
    <row r="153" spans="1:18" s="345" customFormat="1">
      <c r="A153" s="334"/>
      <c r="B153" s="335"/>
      <c r="C153" s="336" t="s">
        <v>330</v>
      </c>
      <c r="D153" s="337" t="s">
        <v>1139</v>
      </c>
      <c r="E153" s="338"/>
      <c r="F153" s="339"/>
      <c r="G153" s="340"/>
      <c r="H153" s="341"/>
      <c r="I153" s="342"/>
      <c r="J153" s="341">
        <f t="shared" si="29"/>
        <v>0</v>
      </c>
      <c r="K153" s="343"/>
      <c r="L153" s="298"/>
      <c r="M153" s="298"/>
      <c r="N153" s="603"/>
      <c r="O153" s="340"/>
      <c r="P153" s="344"/>
      <c r="Q153" s="340"/>
      <c r="R153" s="344"/>
    </row>
    <row r="154" spans="1:18" ht="30">
      <c r="A154" s="324" t="s">
        <v>1060</v>
      </c>
      <c r="B154" s="419">
        <v>151701</v>
      </c>
      <c r="C154" s="408" t="s">
        <v>331</v>
      </c>
      <c r="D154" s="327" t="s">
        <v>1140</v>
      </c>
      <c r="E154" s="328" t="s">
        <v>59</v>
      </c>
      <c r="F154" s="329">
        <v>1510.64</v>
      </c>
      <c r="G154" s="330">
        <v>1</v>
      </c>
      <c r="H154" s="331">
        <v>0</v>
      </c>
      <c r="I154" s="332">
        <v>0</v>
      </c>
      <c r="J154" s="331">
        <f t="shared" si="29"/>
        <v>1</v>
      </c>
      <c r="K154" s="329">
        <f t="shared" si="27"/>
        <v>1510.64</v>
      </c>
      <c r="L154" s="298">
        <f t="shared" si="30"/>
        <v>0</v>
      </c>
      <c r="M154" s="298">
        <f t="shared" si="31"/>
        <v>0</v>
      </c>
      <c r="N154" s="603">
        <f t="shared" si="32"/>
        <v>1510.64</v>
      </c>
      <c r="O154" s="330"/>
      <c r="P154" s="333"/>
      <c r="Q154" s="330"/>
      <c r="R154" s="333"/>
    </row>
    <row r="155" spans="1:18">
      <c r="A155" s="324" t="s">
        <v>1060</v>
      </c>
      <c r="B155" s="419">
        <v>150312</v>
      </c>
      <c r="C155" s="408" t="s">
        <v>332</v>
      </c>
      <c r="D155" s="327" t="s">
        <v>1141</v>
      </c>
      <c r="E155" s="328" t="s">
        <v>59</v>
      </c>
      <c r="F155" s="329">
        <v>103.79</v>
      </c>
      <c r="G155" s="330">
        <v>1</v>
      </c>
      <c r="H155" s="331">
        <v>0</v>
      </c>
      <c r="I155" s="332">
        <v>0</v>
      </c>
      <c r="J155" s="331">
        <f t="shared" si="29"/>
        <v>1</v>
      </c>
      <c r="K155" s="329">
        <f t="shared" si="27"/>
        <v>103.79</v>
      </c>
      <c r="L155" s="298">
        <f t="shared" si="30"/>
        <v>0</v>
      </c>
      <c r="M155" s="298">
        <f t="shared" si="31"/>
        <v>0</v>
      </c>
      <c r="N155" s="603">
        <f t="shared" si="32"/>
        <v>103.79</v>
      </c>
      <c r="O155" s="330"/>
      <c r="P155" s="333"/>
      <c r="Q155" s="330"/>
      <c r="R155" s="333"/>
    </row>
    <row r="156" spans="1:18">
      <c r="A156" s="324" t="s">
        <v>1060</v>
      </c>
      <c r="B156" s="419">
        <v>150628</v>
      </c>
      <c r="C156" s="408" t="s">
        <v>333</v>
      </c>
      <c r="D156" s="327" t="s">
        <v>1142</v>
      </c>
      <c r="E156" s="328" t="s">
        <v>59</v>
      </c>
      <c r="F156" s="329">
        <v>7.47</v>
      </c>
      <c r="G156" s="330">
        <v>19</v>
      </c>
      <c r="H156" s="331">
        <v>0</v>
      </c>
      <c r="I156" s="332">
        <v>0</v>
      </c>
      <c r="J156" s="331">
        <f t="shared" si="29"/>
        <v>19</v>
      </c>
      <c r="K156" s="329">
        <f t="shared" si="27"/>
        <v>141.93</v>
      </c>
      <c r="L156" s="298">
        <f t="shared" si="30"/>
        <v>0</v>
      </c>
      <c r="M156" s="298">
        <f t="shared" si="31"/>
        <v>0</v>
      </c>
      <c r="N156" s="603">
        <f t="shared" si="32"/>
        <v>141.93</v>
      </c>
      <c r="O156" s="330"/>
      <c r="P156" s="333"/>
      <c r="Q156" s="330"/>
      <c r="R156" s="333"/>
    </row>
    <row r="157" spans="1:18">
      <c r="A157" s="324" t="s">
        <v>1060</v>
      </c>
      <c r="B157" s="419">
        <v>151417</v>
      </c>
      <c r="C157" s="408" t="s">
        <v>334</v>
      </c>
      <c r="D157" s="327" t="s">
        <v>1143</v>
      </c>
      <c r="E157" s="328" t="s">
        <v>51</v>
      </c>
      <c r="F157" s="329">
        <v>5.86</v>
      </c>
      <c r="G157" s="330">
        <v>147.4</v>
      </c>
      <c r="H157" s="331">
        <v>0</v>
      </c>
      <c r="I157" s="332">
        <v>0</v>
      </c>
      <c r="J157" s="331">
        <f t="shared" si="29"/>
        <v>147.4</v>
      </c>
      <c r="K157" s="329">
        <f t="shared" si="27"/>
        <v>863.76400000000012</v>
      </c>
      <c r="L157" s="298">
        <f t="shared" si="30"/>
        <v>0</v>
      </c>
      <c r="M157" s="298">
        <f t="shared" si="31"/>
        <v>0</v>
      </c>
      <c r="N157" s="603">
        <f t="shared" si="32"/>
        <v>863.76400000000012</v>
      </c>
      <c r="O157" s="330"/>
      <c r="P157" s="333"/>
      <c r="Q157" s="330"/>
      <c r="R157" s="333"/>
    </row>
    <row r="158" spans="1:18">
      <c r="A158" s="324" t="s">
        <v>1060</v>
      </c>
      <c r="B158" s="419">
        <v>151418</v>
      </c>
      <c r="C158" s="408" t="s">
        <v>335</v>
      </c>
      <c r="D158" s="327" t="s">
        <v>1144</v>
      </c>
      <c r="E158" s="328" t="s">
        <v>51</v>
      </c>
      <c r="F158" s="329">
        <v>6.74</v>
      </c>
      <c r="G158" s="330">
        <v>315.39999999999998</v>
      </c>
      <c r="H158" s="331">
        <v>0</v>
      </c>
      <c r="I158" s="332">
        <v>0</v>
      </c>
      <c r="J158" s="331">
        <f t="shared" si="29"/>
        <v>315.39999999999998</v>
      </c>
      <c r="K158" s="329">
        <f t="shared" si="27"/>
        <v>2125.7959999999998</v>
      </c>
      <c r="L158" s="298">
        <f t="shared" si="30"/>
        <v>0</v>
      </c>
      <c r="M158" s="298">
        <f t="shared" si="31"/>
        <v>0</v>
      </c>
      <c r="N158" s="603">
        <f t="shared" si="32"/>
        <v>2125.7959999999998</v>
      </c>
      <c r="O158" s="330"/>
      <c r="P158" s="333"/>
      <c r="Q158" s="330"/>
      <c r="R158" s="333"/>
    </row>
    <row r="159" spans="1:18">
      <c r="A159" s="324" t="s">
        <v>1060</v>
      </c>
      <c r="B159" s="419">
        <v>151420</v>
      </c>
      <c r="C159" s="408" t="s">
        <v>336</v>
      </c>
      <c r="D159" s="327" t="s">
        <v>1145</v>
      </c>
      <c r="E159" s="328" t="s">
        <v>51</v>
      </c>
      <c r="F159" s="329">
        <v>10.63</v>
      </c>
      <c r="G159" s="330">
        <v>60</v>
      </c>
      <c r="H159" s="331">
        <v>0</v>
      </c>
      <c r="I159" s="332">
        <v>0</v>
      </c>
      <c r="J159" s="331">
        <f t="shared" si="29"/>
        <v>60</v>
      </c>
      <c r="K159" s="329">
        <f t="shared" si="27"/>
        <v>637.80000000000007</v>
      </c>
      <c r="L159" s="298">
        <f t="shared" si="30"/>
        <v>0</v>
      </c>
      <c r="M159" s="298">
        <f t="shared" si="31"/>
        <v>0</v>
      </c>
      <c r="N159" s="603">
        <f t="shared" si="32"/>
        <v>637.80000000000007</v>
      </c>
      <c r="O159" s="330"/>
      <c r="P159" s="333"/>
      <c r="Q159" s="330"/>
      <c r="R159" s="333"/>
    </row>
    <row r="160" spans="1:18" ht="30">
      <c r="A160" s="346" t="s">
        <v>1060</v>
      </c>
      <c r="B160" s="426">
        <v>151809</v>
      </c>
      <c r="C160" s="328" t="s">
        <v>337</v>
      </c>
      <c r="D160" s="327" t="s">
        <v>1146</v>
      </c>
      <c r="E160" s="328" t="s">
        <v>59</v>
      </c>
      <c r="F160" s="329">
        <v>150.13</v>
      </c>
      <c r="G160" s="330">
        <v>1</v>
      </c>
      <c r="H160" s="331">
        <v>0</v>
      </c>
      <c r="I160" s="332">
        <v>0</v>
      </c>
      <c r="J160" s="331">
        <f t="shared" si="29"/>
        <v>1</v>
      </c>
      <c r="K160" s="329">
        <f t="shared" si="27"/>
        <v>150.13</v>
      </c>
      <c r="L160" s="298">
        <f t="shared" si="30"/>
        <v>0</v>
      </c>
      <c r="M160" s="298">
        <f t="shared" si="31"/>
        <v>0</v>
      </c>
      <c r="N160" s="603">
        <f t="shared" si="32"/>
        <v>150.13</v>
      </c>
      <c r="O160" s="330"/>
      <c r="P160" s="333"/>
      <c r="Q160" s="330"/>
      <c r="R160" s="333"/>
    </row>
    <row r="161" spans="1:18" ht="30">
      <c r="A161" s="346" t="s">
        <v>1060</v>
      </c>
      <c r="B161" s="426">
        <v>151803</v>
      </c>
      <c r="C161" s="328" t="s">
        <v>338</v>
      </c>
      <c r="D161" s="327" t="s">
        <v>1147</v>
      </c>
      <c r="E161" s="328" t="s">
        <v>59</v>
      </c>
      <c r="F161" s="329">
        <v>170.86</v>
      </c>
      <c r="G161" s="330">
        <v>10</v>
      </c>
      <c r="H161" s="331">
        <v>0</v>
      </c>
      <c r="I161" s="332">
        <v>0</v>
      </c>
      <c r="J161" s="331">
        <f t="shared" si="29"/>
        <v>10</v>
      </c>
      <c r="K161" s="329">
        <f t="shared" si="27"/>
        <v>1708.6000000000001</v>
      </c>
      <c r="L161" s="298">
        <f t="shared" si="30"/>
        <v>0</v>
      </c>
      <c r="M161" s="298">
        <f t="shared" si="31"/>
        <v>0</v>
      </c>
      <c r="N161" s="603">
        <f t="shared" si="32"/>
        <v>1708.6000000000001</v>
      </c>
      <c r="O161" s="330"/>
      <c r="P161" s="333"/>
      <c r="Q161" s="330"/>
      <c r="R161" s="333"/>
    </row>
    <row r="162" spans="1:18" ht="30">
      <c r="A162" s="324" t="s">
        <v>1060</v>
      </c>
      <c r="B162" s="419">
        <v>151338</v>
      </c>
      <c r="C162" s="408" t="s">
        <v>339</v>
      </c>
      <c r="D162" s="348" t="s">
        <v>357</v>
      </c>
      <c r="E162" s="328" t="s">
        <v>59</v>
      </c>
      <c r="F162" s="329">
        <v>18.14</v>
      </c>
      <c r="G162" s="330">
        <v>1</v>
      </c>
      <c r="H162" s="331">
        <v>0</v>
      </c>
      <c r="I162" s="332">
        <v>0</v>
      </c>
      <c r="J162" s="331">
        <f t="shared" si="29"/>
        <v>1</v>
      </c>
      <c r="K162" s="329">
        <f t="shared" si="27"/>
        <v>18.14</v>
      </c>
      <c r="L162" s="298">
        <f t="shared" si="30"/>
        <v>0</v>
      </c>
      <c r="M162" s="298">
        <f t="shared" si="31"/>
        <v>0</v>
      </c>
      <c r="N162" s="603">
        <f t="shared" si="32"/>
        <v>18.14</v>
      </c>
      <c r="O162" s="330"/>
      <c r="P162" s="333"/>
      <c r="Q162" s="330"/>
      <c r="R162" s="333"/>
    </row>
    <row r="163" spans="1:18" ht="30">
      <c r="A163" s="324" t="s">
        <v>1060</v>
      </c>
      <c r="B163" s="419">
        <v>151301</v>
      </c>
      <c r="C163" s="408" t="s">
        <v>340</v>
      </c>
      <c r="D163" s="348" t="s">
        <v>358</v>
      </c>
      <c r="E163" s="328" t="s">
        <v>59</v>
      </c>
      <c r="F163" s="329">
        <v>18.14</v>
      </c>
      <c r="G163" s="330">
        <v>1</v>
      </c>
      <c r="H163" s="331">
        <v>0</v>
      </c>
      <c r="I163" s="332">
        <v>0</v>
      </c>
      <c r="J163" s="331">
        <f t="shared" si="29"/>
        <v>1</v>
      </c>
      <c r="K163" s="329">
        <f t="shared" si="27"/>
        <v>18.14</v>
      </c>
      <c r="L163" s="298">
        <f t="shared" si="30"/>
        <v>0</v>
      </c>
      <c r="M163" s="298">
        <f t="shared" si="31"/>
        <v>0</v>
      </c>
      <c r="N163" s="603">
        <f t="shared" si="32"/>
        <v>18.14</v>
      </c>
      <c r="O163" s="330"/>
      <c r="P163" s="333"/>
      <c r="Q163" s="330"/>
      <c r="R163" s="333"/>
    </row>
    <row r="164" spans="1:18" ht="30">
      <c r="A164" s="324" t="s">
        <v>1060</v>
      </c>
      <c r="B164" s="419">
        <v>151303</v>
      </c>
      <c r="C164" s="408" t="s">
        <v>341</v>
      </c>
      <c r="D164" s="348" t="s">
        <v>359</v>
      </c>
      <c r="E164" s="328" t="s">
        <v>59</v>
      </c>
      <c r="F164" s="329">
        <v>18.14</v>
      </c>
      <c r="G164" s="330">
        <v>1</v>
      </c>
      <c r="H164" s="331">
        <v>0</v>
      </c>
      <c r="I164" s="332">
        <v>0</v>
      </c>
      <c r="J164" s="331">
        <f t="shared" si="29"/>
        <v>1</v>
      </c>
      <c r="K164" s="329">
        <f t="shared" si="27"/>
        <v>18.14</v>
      </c>
      <c r="L164" s="298">
        <f t="shared" si="30"/>
        <v>0</v>
      </c>
      <c r="M164" s="298">
        <f t="shared" si="31"/>
        <v>0</v>
      </c>
      <c r="N164" s="603">
        <f t="shared" si="32"/>
        <v>18.14</v>
      </c>
      <c r="O164" s="330"/>
      <c r="P164" s="333"/>
      <c r="Q164" s="330"/>
      <c r="R164" s="333"/>
    </row>
    <row r="165" spans="1:18" ht="30">
      <c r="A165" s="324" t="s">
        <v>1060</v>
      </c>
      <c r="B165" s="419">
        <v>151318</v>
      </c>
      <c r="C165" s="408" t="s">
        <v>342</v>
      </c>
      <c r="D165" s="327" t="s">
        <v>1148</v>
      </c>
      <c r="E165" s="328" t="s">
        <v>59</v>
      </c>
      <c r="F165" s="329">
        <v>22.63</v>
      </c>
      <c r="G165" s="330">
        <v>1</v>
      </c>
      <c r="H165" s="331">
        <v>0</v>
      </c>
      <c r="I165" s="332">
        <v>0</v>
      </c>
      <c r="J165" s="331">
        <f t="shared" si="29"/>
        <v>1</v>
      </c>
      <c r="K165" s="329">
        <f t="shared" si="27"/>
        <v>22.63</v>
      </c>
      <c r="L165" s="298">
        <f t="shared" si="30"/>
        <v>0</v>
      </c>
      <c r="M165" s="298">
        <f t="shared" si="31"/>
        <v>0</v>
      </c>
      <c r="N165" s="603">
        <f t="shared" si="32"/>
        <v>22.63</v>
      </c>
      <c r="O165" s="330"/>
      <c r="P165" s="333"/>
      <c r="Q165" s="330"/>
      <c r="R165" s="333"/>
    </row>
    <row r="166" spans="1:18">
      <c r="A166" s="324" t="s">
        <v>1060</v>
      </c>
      <c r="B166" s="419">
        <v>151350</v>
      </c>
      <c r="C166" s="408" t="s">
        <v>343</v>
      </c>
      <c r="D166" s="327" t="s">
        <v>1149</v>
      </c>
      <c r="E166" s="328" t="s">
        <v>59</v>
      </c>
      <c r="F166" s="329">
        <v>133.04</v>
      </c>
      <c r="G166" s="330">
        <v>1</v>
      </c>
      <c r="H166" s="331">
        <v>0</v>
      </c>
      <c r="I166" s="332">
        <v>0</v>
      </c>
      <c r="J166" s="331">
        <f t="shared" si="29"/>
        <v>1</v>
      </c>
      <c r="K166" s="329">
        <f t="shared" si="27"/>
        <v>133.04</v>
      </c>
      <c r="L166" s="298">
        <f t="shared" si="30"/>
        <v>0</v>
      </c>
      <c r="M166" s="298">
        <f t="shared" si="31"/>
        <v>0</v>
      </c>
      <c r="N166" s="603">
        <f t="shared" si="32"/>
        <v>133.04</v>
      </c>
      <c r="O166" s="330"/>
      <c r="P166" s="333"/>
      <c r="Q166" s="330"/>
      <c r="R166" s="333"/>
    </row>
    <row r="167" spans="1:18">
      <c r="A167" s="324" t="s">
        <v>1060</v>
      </c>
      <c r="B167" s="419">
        <v>151132</v>
      </c>
      <c r="C167" s="408" t="s">
        <v>344</v>
      </c>
      <c r="D167" s="327" t="s">
        <v>1150</v>
      </c>
      <c r="E167" s="328" t="s">
        <v>51</v>
      </c>
      <c r="F167" s="329">
        <v>7.5</v>
      </c>
      <c r="G167" s="330">
        <v>75.7</v>
      </c>
      <c r="H167" s="331">
        <v>0</v>
      </c>
      <c r="I167" s="332">
        <v>0</v>
      </c>
      <c r="J167" s="331">
        <f t="shared" si="29"/>
        <v>75.7</v>
      </c>
      <c r="K167" s="329">
        <f t="shared" si="27"/>
        <v>567.75</v>
      </c>
      <c r="L167" s="298">
        <f t="shared" si="30"/>
        <v>0</v>
      </c>
      <c r="M167" s="298">
        <f t="shared" si="31"/>
        <v>0</v>
      </c>
      <c r="N167" s="603">
        <f t="shared" si="32"/>
        <v>567.75</v>
      </c>
      <c r="O167" s="330"/>
      <c r="P167" s="333"/>
      <c r="Q167" s="330"/>
      <c r="R167" s="333"/>
    </row>
    <row r="168" spans="1:18">
      <c r="A168" s="324" t="s">
        <v>1060</v>
      </c>
      <c r="B168" s="419">
        <v>150801</v>
      </c>
      <c r="C168" s="408" t="s">
        <v>345</v>
      </c>
      <c r="D168" s="327" t="s">
        <v>1151</v>
      </c>
      <c r="E168" s="328" t="s">
        <v>51</v>
      </c>
      <c r="F168" s="329">
        <v>12.67</v>
      </c>
      <c r="G168" s="330">
        <v>66</v>
      </c>
      <c r="H168" s="331">
        <v>0</v>
      </c>
      <c r="I168" s="332">
        <v>0</v>
      </c>
      <c r="J168" s="331">
        <f t="shared" si="29"/>
        <v>66</v>
      </c>
      <c r="K168" s="329">
        <f t="shared" si="27"/>
        <v>836.22</v>
      </c>
      <c r="L168" s="298">
        <f t="shared" si="30"/>
        <v>0</v>
      </c>
      <c r="M168" s="298">
        <f t="shared" si="31"/>
        <v>0</v>
      </c>
      <c r="N168" s="603">
        <f t="shared" si="32"/>
        <v>836.22</v>
      </c>
      <c r="O168" s="330"/>
      <c r="P168" s="333"/>
      <c r="Q168" s="330"/>
      <c r="R168" s="333"/>
    </row>
    <row r="169" spans="1:18">
      <c r="A169" s="324" t="s">
        <v>1060</v>
      </c>
      <c r="B169" s="419">
        <v>180110</v>
      </c>
      <c r="C169" s="408" t="s">
        <v>346</v>
      </c>
      <c r="D169" s="327" t="s">
        <v>1152</v>
      </c>
      <c r="E169" s="328" t="s">
        <v>59</v>
      </c>
      <c r="F169" s="329">
        <v>106.15</v>
      </c>
      <c r="G169" s="330">
        <v>5</v>
      </c>
      <c r="H169" s="331">
        <v>0</v>
      </c>
      <c r="I169" s="332">
        <v>0</v>
      </c>
      <c r="J169" s="331">
        <f t="shared" si="29"/>
        <v>5</v>
      </c>
      <c r="K169" s="329">
        <f t="shared" si="27"/>
        <v>530.75</v>
      </c>
      <c r="L169" s="298">
        <f t="shared" si="30"/>
        <v>0</v>
      </c>
      <c r="M169" s="298">
        <f t="shared" si="31"/>
        <v>0</v>
      </c>
      <c r="N169" s="603">
        <f t="shared" si="32"/>
        <v>530.75</v>
      </c>
      <c r="O169" s="330"/>
      <c r="P169" s="333"/>
      <c r="Q169" s="330"/>
      <c r="R169" s="333"/>
    </row>
    <row r="170" spans="1:18">
      <c r="A170" s="324" t="s">
        <v>1056</v>
      </c>
      <c r="B170" s="325" t="s">
        <v>367</v>
      </c>
      <c r="C170" s="408" t="s">
        <v>347</v>
      </c>
      <c r="D170" s="327" t="s">
        <v>1153</v>
      </c>
      <c r="E170" s="328" t="s">
        <v>72</v>
      </c>
      <c r="F170" s="329">
        <v>362.44</v>
      </c>
      <c r="G170" s="330">
        <v>19</v>
      </c>
      <c r="H170" s="331">
        <v>0</v>
      </c>
      <c r="I170" s="332">
        <v>0</v>
      </c>
      <c r="J170" s="331">
        <f t="shared" si="29"/>
        <v>19</v>
      </c>
      <c r="K170" s="329">
        <f t="shared" si="27"/>
        <v>6886.36</v>
      </c>
      <c r="L170" s="298">
        <f t="shared" si="30"/>
        <v>0</v>
      </c>
      <c r="M170" s="298">
        <f t="shared" si="31"/>
        <v>0</v>
      </c>
      <c r="N170" s="603">
        <f t="shared" si="32"/>
        <v>6886.36</v>
      </c>
      <c r="O170" s="330"/>
      <c r="P170" s="333"/>
      <c r="Q170" s="330"/>
      <c r="R170" s="333"/>
    </row>
    <row r="171" spans="1:18">
      <c r="A171" s="324" t="s">
        <v>1056</v>
      </c>
      <c r="B171" s="325" t="s">
        <v>368</v>
      </c>
      <c r="C171" s="408" t="s">
        <v>348</v>
      </c>
      <c r="D171" s="327" t="s">
        <v>1154</v>
      </c>
      <c r="E171" s="328" t="s">
        <v>72</v>
      </c>
      <c r="F171" s="329">
        <v>4976.67</v>
      </c>
      <c r="G171" s="330">
        <v>2</v>
      </c>
      <c r="H171" s="331">
        <v>0</v>
      </c>
      <c r="I171" s="332">
        <v>0</v>
      </c>
      <c r="J171" s="331">
        <f t="shared" si="29"/>
        <v>2</v>
      </c>
      <c r="K171" s="329">
        <f t="shared" si="27"/>
        <v>9953.34</v>
      </c>
      <c r="L171" s="298">
        <f t="shared" si="30"/>
        <v>0</v>
      </c>
      <c r="M171" s="298">
        <f t="shared" si="31"/>
        <v>0</v>
      </c>
      <c r="N171" s="603">
        <f t="shared" si="32"/>
        <v>9953.34</v>
      </c>
      <c r="O171" s="330"/>
      <c r="P171" s="333"/>
      <c r="Q171" s="330"/>
      <c r="R171" s="333"/>
    </row>
    <row r="172" spans="1:18" ht="30">
      <c r="A172" s="324" t="s">
        <v>1096</v>
      </c>
      <c r="B172" s="325" t="s">
        <v>369</v>
      </c>
      <c r="C172" s="408" t="s">
        <v>349</v>
      </c>
      <c r="D172" s="348" t="s">
        <v>366</v>
      </c>
      <c r="E172" s="328" t="s">
        <v>10</v>
      </c>
      <c r="F172" s="329">
        <v>12903.37</v>
      </c>
      <c r="G172" s="330">
        <v>1</v>
      </c>
      <c r="H172" s="331">
        <v>0</v>
      </c>
      <c r="I172" s="332">
        <v>0</v>
      </c>
      <c r="J172" s="331">
        <f t="shared" si="29"/>
        <v>1</v>
      </c>
      <c r="K172" s="329">
        <f t="shared" si="27"/>
        <v>12903.37</v>
      </c>
      <c r="L172" s="298">
        <f t="shared" si="30"/>
        <v>0</v>
      </c>
      <c r="M172" s="298">
        <f t="shared" si="31"/>
        <v>0</v>
      </c>
      <c r="N172" s="603">
        <f t="shared" si="32"/>
        <v>12903.37</v>
      </c>
      <c r="O172" s="330"/>
      <c r="P172" s="333"/>
      <c r="Q172" s="330"/>
      <c r="R172" s="333"/>
    </row>
    <row r="173" spans="1:18" s="345" customFormat="1">
      <c r="A173" s="334"/>
      <c r="B173" s="335"/>
      <c r="C173" s="336" t="s">
        <v>370</v>
      </c>
      <c r="D173" s="417" t="s">
        <v>371</v>
      </c>
      <c r="E173" s="338"/>
      <c r="F173" s="339"/>
      <c r="G173" s="340"/>
      <c r="H173" s="341"/>
      <c r="I173" s="342"/>
      <c r="J173" s="341"/>
      <c r="K173" s="343"/>
      <c r="L173" s="298"/>
      <c r="M173" s="298"/>
      <c r="N173" s="603"/>
      <c r="O173" s="340"/>
      <c r="P173" s="344"/>
      <c r="Q173" s="340"/>
      <c r="R173" s="344"/>
    </row>
    <row r="174" spans="1:18" ht="45">
      <c r="A174" s="346" t="s">
        <v>1060</v>
      </c>
      <c r="B174" s="426">
        <v>150610</v>
      </c>
      <c r="C174" s="328" t="s">
        <v>372</v>
      </c>
      <c r="D174" s="348" t="s">
        <v>376</v>
      </c>
      <c r="E174" s="328" t="s">
        <v>59</v>
      </c>
      <c r="F174" s="329">
        <v>188.46</v>
      </c>
      <c r="G174" s="330">
        <v>4</v>
      </c>
      <c r="H174" s="331">
        <v>0</v>
      </c>
      <c r="I174" s="332">
        <v>0</v>
      </c>
      <c r="J174" s="331">
        <f t="shared" si="29"/>
        <v>4</v>
      </c>
      <c r="K174" s="329">
        <f t="shared" si="27"/>
        <v>753.84</v>
      </c>
      <c r="L174" s="298">
        <f t="shared" si="30"/>
        <v>0</v>
      </c>
      <c r="M174" s="298">
        <f t="shared" si="31"/>
        <v>0</v>
      </c>
      <c r="N174" s="603">
        <f t="shared" si="32"/>
        <v>753.84</v>
      </c>
      <c r="O174" s="330"/>
      <c r="P174" s="333"/>
      <c r="Q174" s="330"/>
      <c r="R174" s="333"/>
    </row>
    <row r="175" spans="1:18" ht="45">
      <c r="A175" s="346" t="s">
        <v>1060</v>
      </c>
      <c r="B175" s="426">
        <v>160324</v>
      </c>
      <c r="C175" s="328" t="s">
        <v>373</v>
      </c>
      <c r="D175" s="327" t="s">
        <v>1155</v>
      </c>
      <c r="E175" s="328" t="s">
        <v>59</v>
      </c>
      <c r="F175" s="329">
        <v>199.91</v>
      </c>
      <c r="G175" s="330">
        <v>1</v>
      </c>
      <c r="H175" s="331">
        <v>0</v>
      </c>
      <c r="I175" s="332">
        <v>0</v>
      </c>
      <c r="J175" s="331">
        <f t="shared" si="29"/>
        <v>1</v>
      </c>
      <c r="K175" s="329">
        <f t="shared" si="27"/>
        <v>199.91</v>
      </c>
      <c r="L175" s="298">
        <f t="shared" si="30"/>
        <v>0</v>
      </c>
      <c r="M175" s="298">
        <f t="shared" si="31"/>
        <v>0</v>
      </c>
      <c r="N175" s="603">
        <f t="shared" si="32"/>
        <v>199.91</v>
      </c>
      <c r="O175" s="330"/>
      <c r="P175" s="333"/>
      <c r="Q175" s="330"/>
      <c r="R175" s="333"/>
    </row>
    <row r="176" spans="1:18">
      <c r="A176" s="324" t="s">
        <v>1060</v>
      </c>
      <c r="B176" s="419">
        <v>160317</v>
      </c>
      <c r="C176" s="408" t="s">
        <v>374</v>
      </c>
      <c r="D176" s="327" t="s">
        <v>1156</v>
      </c>
      <c r="E176" s="328" t="s">
        <v>51</v>
      </c>
      <c r="F176" s="329">
        <v>33.369999999999997</v>
      </c>
      <c r="G176" s="330">
        <v>68.900000000000006</v>
      </c>
      <c r="H176" s="331">
        <v>0</v>
      </c>
      <c r="I176" s="332">
        <v>0</v>
      </c>
      <c r="J176" s="331">
        <f t="shared" si="29"/>
        <v>68.900000000000006</v>
      </c>
      <c r="K176" s="329">
        <f t="shared" si="27"/>
        <v>2299.1930000000002</v>
      </c>
      <c r="L176" s="298">
        <f t="shared" si="30"/>
        <v>0</v>
      </c>
      <c r="M176" s="298">
        <f t="shared" si="31"/>
        <v>0</v>
      </c>
      <c r="N176" s="603">
        <f t="shared" si="32"/>
        <v>2299.1930000000002</v>
      </c>
      <c r="O176" s="330"/>
      <c r="P176" s="333"/>
      <c r="Q176" s="330"/>
      <c r="R176" s="333"/>
    </row>
    <row r="177" spans="1:18" ht="30">
      <c r="A177" s="324" t="s">
        <v>1060</v>
      </c>
      <c r="B177" s="419">
        <v>160334</v>
      </c>
      <c r="C177" s="408" t="s">
        <v>375</v>
      </c>
      <c r="D177" s="348" t="s">
        <v>378</v>
      </c>
      <c r="E177" s="328" t="s">
        <v>59</v>
      </c>
      <c r="F177" s="329">
        <v>29.65</v>
      </c>
      <c r="G177" s="330">
        <v>2</v>
      </c>
      <c r="H177" s="331">
        <v>0</v>
      </c>
      <c r="I177" s="332">
        <v>0</v>
      </c>
      <c r="J177" s="331">
        <f t="shared" si="29"/>
        <v>2</v>
      </c>
      <c r="K177" s="329">
        <f t="shared" si="27"/>
        <v>59.3</v>
      </c>
      <c r="L177" s="298">
        <f t="shared" si="30"/>
        <v>0</v>
      </c>
      <c r="M177" s="298">
        <f t="shared" si="31"/>
        <v>0</v>
      </c>
      <c r="N177" s="603">
        <f t="shared" si="32"/>
        <v>59.3</v>
      </c>
      <c r="O177" s="330"/>
      <c r="P177" s="333"/>
      <c r="Q177" s="330"/>
      <c r="R177" s="333"/>
    </row>
    <row r="178" spans="1:18" s="312" customFormat="1">
      <c r="A178" s="392"/>
      <c r="B178" s="393"/>
      <c r="C178" s="394" t="s">
        <v>379</v>
      </c>
      <c r="D178" s="395" t="s">
        <v>1157</v>
      </c>
      <c r="E178" s="396"/>
      <c r="F178" s="397"/>
      <c r="G178" s="398"/>
      <c r="H178" s="399"/>
      <c r="I178" s="400"/>
      <c r="J178" s="399"/>
      <c r="K178" s="407"/>
      <c r="L178" s="298"/>
      <c r="M178" s="298"/>
      <c r="N178" s="603"/>
      <c r="O178" s="398"/>
      <c r="P178" s="402"/>
      <c r="Q178" s="398"/>
      <c r="R178" s="402"/>
    </row>
    <row r="179" spans="1:18" s="345" customFormat="1">
      <c r="A179" s="334"/>
      <c r="B179" s="335"/>
      <c r="C179" s="336" t="s">
        <v>381</v>
      </c>
      <c r="D179" s="337" t="s">
        <v>1157</v>
      </c>
      <c r="E179" s="338"/>
      <c r="F179" s="339"/>
      <c r="G179" s="340"/>
      <c r="H179" s="341"/>
      <c r="I179" s="342"/>
      <c r="J179" s="341"/>
      <c r="K179" s="343"/>
      <c r="L179" s="298"/>
      <c r="M179" s="298"/>
      <c r="N179" s="603"/>
      <c r="O179" s="340"/>
      <c r="P179" s="344"/>
      <c r="Q179" s="340"/>
      <c r="R179" s="344"/>
    </row>
    <row r="180" spans="1:18" ht="30">
      <c r="A180" s="324" t="s">
        <v>1060</v>
      </c>
      <c r="B180" s="419">
        <v>160612</v>
      </c>
      <c r="C180" s="408" t="s">
        <v>382</v>
      </c>
      <c r="D180" s="348" t="s">
        <v>387</v>
      </c>
      <c r="E180" s="328" t="s">
        <v>59</v>
      </c>
      <c r="F180" s="329">
        <v>29.96</v>
      </c>
      <c r="G180" s="330">
        <v>2</v>
      </c>
      <c r="H180" s="331">
        <v>0</v>
      </c>
      <c r="I180" s="332">
        <v>0</v>
      </c>
      <c r="J180" s="331">
        <f t="shared" si="29"/>
        <v>2</v>
      </c>
      <c r="K180" s="329">
        <f t="shared" ref="K180:K244" si="33">F180*G180</f>
        <v>59.92</v>
      </c>
      <c r="L180" s="298">
        <f t="shared" si="30"/>
        <v>0</v>
      </c>
      <c r="M180" s="298">
        <f t="shared" si="31"/>
        <v>0</v>
      </c>
      <c r="N180" s="603">
        <f t="shared" si="32"/>
        <v>59.92</v>
      </c>
      <c r="O180" s="330"/>
      <c r="P180" s="333"/>
      <c r="Q180" s="330"/>
      <c r="R180" s="333"/>
    </row>
    <row r="181" spans="1:18" ht="45">
      <c r="A181" s="346" t="s">
        <v>1060</v>
      </c>
      <c r="B181" s="426">
        <v>160608</v>
      </c>
      <c r="C181" s="328" t="s">
        <v>383</v>
      </c>
      <c r="D181" s="327" t="s">
        <v>1158</v>
      </c>
      <c r="E181" s="328" t="s">
        <v>59</v>
      </c>
      <c r="F181" s="329">
        <v>320.60000000000002</v>
      </c>
      <c r="G181" s="330">
        <v>3</v>
      </c>
      <c r="H181" s="331">
        <v>0</v>
      </c>
      <c r="I181" s="332">
        <v>0</v>
      </c>
      <c r="J181" s="331">
        <f t="shared" si="29"/>
        <v>3</v>
      </c>
      <c r="K181" s="329">
        <f t="shared" si="33"/>
        <v>961.80000000000007</v>
      </c>
      <c r="L181" s="298">
        <f t="shared" si="30"/>
        <v>0</v>
      </c>
      <c r="M181" s="298">
        <f t="shared" si="31"/>
        <v>0</v>
      </c>
      <c r="N181" s="603">
        <f t="shared" si="32"/>
        <v>961.80000000000007</v>
      </c>
      <c r="O181" s="330"/>
      <c r="P181" s="333"/>
      <c r="Q181" s="330"/>
      <c r="R181" s="333"/>
    </row>
    <row r="182" spans="1:18" ht="30">
      <c r="A182" s="324" t="s">
        <v>1060</v>
      </c>
      <c r="B182" s="419">
        <v>160613</v>
      </c>
      <c r="C182" s="408" t="s">
        <v>384</v>
      </c>
      <c r="D182" s="348" t="s">
        <v>389</v>
      </c>
      <c r="E182" s="328" t="s">
        <v>59</v>
      </c>
      <c r="F182" s="329">
        <v>197.45</v>
      </c>
      <c r="G182" s="330">
        <v>3</v>
      </c>
      <c r="H182" s="331">
        <v>0</v>
      </c>
      <c r="I182" s="332">
        <v>0</v>
      </c>
      <c r="J182" s="331">
        <f t="shared" si="29"/>
        <v>3</v>
      </c>
      <c r="K182" s="329">
        <f t="shared" si="33"/>
        <v>592.34999999999991</v>
      </c>
      <c r="L182" s="298">
        <f t="shared" si="30"/>
        <v>0</v>
      </c>
      <c r="M182" s="298">
        <f t="shared" si="31"/>
        <v>0</v>
      </c>
      <c r="N182" s="603">
        <f t="shared" si="32"/>
        <v>592.34999999999991</v>
      </c>
      <c r="O182" s="330"/>
      <c r="P182" s="333"/>
      <c r="Q182" s="330"/>
      <c r="R182" s="333"/>
    </row>
    <row r="183" spans="1:18" ht="30">
      <c r="A183" s="346" t="s">
        <v>1060</v>
      </c>
      <c r="B183" s="426">
        <v>160607</v>
      </c>
      <c r="C183" s="328" t="s">
        <v>385</v>
      </c>
      <c r="D183" s="327" t="s">
        <v>1159</v>
      </c>
      <c r="E183" s="328" t="s">
        <v>59</v>
      </c>
      <c r="F183" s="329">
        <v>178.48</v>
      </c>
      <c r="G183" s="330">
        <v>2</v>
      </c>
      <c r="H183" s="331">
        <v>0</v>
      </c>
      <c r="I183" s="332">
        <v>0</v>
      </c>
      <c r="J183" s="331">
        <f t="shared" si="29"/>
        <v>2</v>
      </c>
      <c r="K183" s="329">
        <f t="shared" si="33"/>
        <v>356.96</v>
      </c>
      <c r="L183" s="298">
        <f t="shared" si="30"/>
        <v>0</v>
      </c>
      <c r="M183" s="298">
        <f t="shared" si="31"/>
        <v>0</v>
      </c>
      <c r="N183" s="603">
        <f t="shared" si="32"/>
        <v>356.96</v>
      </c>
      <c r="O183" s="330"/>
      <c r="P183" s="333"/>
      <c r="Q183" s="330"/>
      <c r="R183" s="333"/>
    </row>
    <row r="184" spans="1:18" ht="45">
      <c r="A184" s="346" t="s">
        <v>1060</v>
      </c>
      <c r="B184" s="426">
        <v>190605</v>
      </c>
      <c r="C184" s="328" t="s">
        <v>386</v>
      </c>
      <c r="D184" s="327" t="s">
        <v>1160</v>
      </c>
      <c r="E184" s="328" t="s">
        <v>57</v>
      </c>
      <c r="F184" s="329">
        <v>50.18</v>
      </c>
      <c r="G184" s="330">
        <v>1.8</v>
      </c>
      <c r="H184" s="331">
        <v>0</v>
      </c>
      <c r="I184" s="332">
        <v>0</v>
      </c>
      <c r="J184" s="331">
        <f t="shared" si="29"/>
        <v>1.8</v>
      </c>
      <c r="K184" s="329">
        <f t="shared" si="33"/>
        <v>90.323999999999998</v>
      </c>
      <c r="L184" s="298">
        <f t="shared" si="30"/>
        <v>0</v>
      </c>
      <c r="M184" s="298">
        <f t="shared" si="31"/>
        <v>0</v>
      </c>
      <c r="N184" s="603">
        <f t="shared" si="32"/>
        <v>90.323999999999998</v>
      </c>
      <c r="O184" s="330"/>
      <c r="P184" s="333"/>
      <c r="Q184" s="330"/>
      <c r="R184" s="333"/>
    </row>
    <row r="185" spans="1:18" s="403" customFormat="1">
      <c r="C185" s="447">
        <v>3</v>
      </c>
      <c r="D185" s="403" t="s">
        <v>1161</v>
      </c>
      <c r="F185" s="404"/>
      <c r="G185" s="405"/>
      <c r="I185" s="405"/>
      <c r="J185" s="403">
        <f t="shared" si="29"/>
        <v>0</v>
      </c>
      <c r="K185" s="404"/>
      <c r="L185" s="596"/>
      <c r="M185" s="599"/>
      <c r="N185" s="606">
        <f t="shared" si="32"/>
        <v>0</v>
      </c>
      <c r="O185" s="405"/>
      <c r="P185" s="406"/>
      <c r="Q185" s="405"/>
      <c r="R185" s="406"/>
    </row>
    <row r="186" spans="1:18" s="312" customFormat="1">
      <c r="A186" s="392"/>
      <c r="B186" s="393"/>
      <c r="C186" s="394" t="s">
        <v>0</v>
      </c>
      <c r="D186" s="395" t="s">
        <v>1054</v>
      </c>
      <c r="E186" s="396"/>
      <c r="F186" s="397"/>
      <c r="G186" s="398"/>
      <c r="H186" s="399"/>
      <c r="I186" s="400"/>
      <c r="J186" s="399">
        <f t="shared" si="29"/>
        <v>0</v>
      </c>
      <c r="K186" s="407">
        <f t="shared" si="33"/>
        <v>0</v>
      </c>
      <c r="L186" s="298">
        <f t="shared" si="30"/>
        <v>0</v>
      </c>
      <c r="M186" s="298">
        <f t="shared" si="31"/>
        <v>0</v>
      </c>
      <c r="N186" s="603">
        <f t="shared" si="32"/>
        <v>0</v>
      </c>
      <c r="O186" s="398"/>
      <c r="P186" s="402"/>
      <c r="Q186" s="398"/>
      <c r="R186" s="402"/>
    </row>
    <row r="187" spans="1:18" s="345" customFormat="1">
      <c r="A187" s="334"/>
      <c r="B187" s="335"/>
      <c r="C187" s="336" t="s">
        <v>392</v>
      </c>
      <c r="D187" s="337" t="s">
        <v>1084</v>
      </c>
      <c r="E187" s="338"/>
      <c r="F187" s="339"/>
      <c r="G187" s="340"/>
      <c r="H187" s="338"/>
      <c r="I187" s="340"/>
      <c r="J187" s="338">
        <f t="shared" si="29"/>
        <v>0</v>
      </c>
      <c r="K187" s="343"/>
      <c r="L187" s="298"/>
      <c r="M187" s="298"/>
      <c r="N187" s="603">
        <f t="shared" si="32"/>
        <v>0</v>
      </c>
      <c r="O187" s="340"/>
      <c r="P187" s="344"/>
      <c r="Q187" s="340"/>
      <c r="R187" s="344"/>
    </row>
    <row r="188" spans="1:18">
      <c r="A188" s="324" t="s">
        <v>1060</v>
      </c>
      <c r="B188" s="349">
        <v>20305</v>
      </c>
      <c r="C188" s="408" t="s">
        <v>393</v>
      </c>
      <c r="D188" s="327" t="s">
        <v>1085</v>
      </c>
      <c r="E188" s="328" t="s">
        <v>57</v>
      </c>
      <c r="F188" s="329">
        <v>222.96</v>
      </c>
      <c r="G188" s="330">
        <v>8</v>
      </c>
      <c r="H188" s="331">
        <v>0</v>
      </c>
      <c r="I188" s="332">
        <v>0</v>
      </c>
      <c r="J188" s="331">
        <f t="shared" si="29"/>
        <v>8</v>
      </c>
      <c r="K188" s="329">
        <f t="shared" si="33"/>
        <v>1783.68</v>
      </c>
      <c r="L188" s="298">
        <f t="shared" si="30"/>
        <v>0</v>
      </c>
      <c r="M188" s="298">
        <f t="shared" si="31"/>
        <v>0</v>
      </c>
      <c r="N188" s="603">
        <f t="shared" si="32"/>
        <v>1783.68</v>
      </c>
      <c r="O188" s="330"/>
      <c r="P188" s="333"/>
      <c r="Q188" s="330"/>
      <c r="R188" s="333"/>
    </row>
    <row r="189" spans="1:18" s="345" customFormat="1">
      <c r="A189" s="334"/>
      <c r="B189" s="335"/>
      <c r="C189" s="336" t="s">
        <v>394</v>
      </c>
      <c r="D189" s="337" t="s">
        <v>1086</v>
      </c>
      <c r="E189" s="338"/>
      <c r="F189" s="339"/>
      <c r="G189" s="340"/>
      <c r="H189" s="338"/>
      <c r="I189" s="340"/>
      <c r="J189" s="338">
        <f t="shared" si="29"/>
        <v>0</v>
      </c>
      <c r="K189" s="343"/>
      <c r="L189" s="298"/>
      <c r="M189" s="298"/>
      <c r="N189" s="603">
        <f t="shared" si="32"/>
        <v>0</v>
      </c>
      <c r="O189" s="340"/>
      <c r="P189" s="344"/>
      <c r="Q189" s="340"/>
      <c r="R189" s="344"/>
    </row>
    <row r="190" spans="1:18" s="361" customFormat="1" ht="18">
      <c r="A190" s="350" t="s">
        <v>1060</v>
      </c>
      <c r="B190" s="351">
        <v>10201</v>
      </c>
      <c r="C190" s="328" t="s">
        <v>395</v>
      </c>
      <c r="D190" s="352" t="s">
        <v>1162</v>
      </c>
      <c r="E190" s="353" t="s">
        <v>57</v>
      </c>
      <c r="F190" s="354">
        <v>22.08</v>
      </c>
      <c r="G190" s="355">
        <v>268.29000000000002</v>
      </c>
      <c r="H190" s="331">
        <v>0</v>
      </c>
      <c r="I190" s="356">
        <v>268.29000000000002</v>
      </c>
      <c r="J190" s="331">
        <f t="shared" si="29"/>
        <v>0</v>
      </c>
      <c r="K190" s="418">
        <f t="shared" si="33"/>
        <v>5923.8432000000003</v>
      </c>
      <c r="L190" s="358">
        <f t="shared" si="30"/>
        <v>0</v>
      </c>
      <c r="M190" s="359">
        <f t="shared" si="31"/>
        <v>5923.8432000000003</v>
      </c>
      <c r="N190" s="604">
        <f t="shared" si="32"/>
        <v>0</v>
      </c>
      <c r="O190" s="355"/>
      <c r="P190" s="360"/>
      <c r="Q190" s="355"/>
      <c r="R190" s="360"/>
    </row>
    <row r="191" spans="1:18" s="445" customFormat="1">
      <c r="A191" s="435" t="s">
        <v>1060</v>
      </c>
      <c r="B191" s="448">
        <v>10219</v>
      </c>
      <c r="C191" s="437" t="s">
        <v>396</v>
      </c>
      <c r="D191" s="438" t="s">
        <v>1163</v>
      </c>
      <c r="E191" s="439" t="s">
        <v>58</v>
      </c>
      <c r="F191" s="440">
        <f>239.18*1.2993*0.905</f>
        <v>281.24374947000001</v>
      </c>
      <c r="G191" s="449">
        <v>0</v>
      </c>
      <c r="H191" s="450">
        <v>40.24</v>
      </c>
      <c r="I191" s="443"/>
      <c r="J191" s="442"/>
      <c r="K191" s="440">
        <f t="shared" si="33"/>
        <v>0</v>
      </c>
      <c r="L191" s="298">
        <f>H191*F191</f>
        <v>11317.248478672802</v>
      </c>
      <c r="M191" s="298">
        <f t="shared" si="31"/>
        <v>0</v>
      </c>
      <c r="N191" s="605">
        <f t="shared" si="32"/>
        <v>0</v>
      </c>
      <c r="O191" s="449">
        <f>H191</f>
        <v>40.24</v>
      </c>
      <c r="P191" s="444">
        <f>O191*F191</f>
        <v>11317.248478672802</v>
      </c>
      <c r="Q191" s="449"/>
      <c r="R191" s="444">
        <f>Q191*H191</f>
        <v>0</v>
      </c>
    </row>
    <row r="192" spans="1:18" s="387" customFormat="1" ht="45">
      <c r="A192" s="375" t="s">
        <v>1060</v>
      </c>
      <c r="B192" s="376">
        <v>30304</v>
      </c>
      <c r="C192" s="377" t="s">
        <v>1164</v>
      </c>
      <c r="D192" s="378" t="s">
        <v>109</v>
      </c>
      <c r="E192" s="379" t="s">
        <v>58</v>
      </c>
      <c r="F192" s="380">
        <v>56.45</v>
      </c>
      <c r="G192" s="381">
        <v>40.24</v>
      </c>
      <c r="H192" s="384">
        <v>64.39</v>
      </c>
      <c r="I192" s="383">
        <v>0</v>
      </c>
      <c r="J192" s="384">
        <f t="shared" si="29"/>
        <v>104.63</v>
      </c>
      <c r="K192" s="385">
        <f t="shared" si="33"/>
        <v>2271.5480000000002</v>
      </c>
      <c r="L192" s="358">
        <f t="shared" si="30"/>
        <v>3634.8155000000002</v>
      </c>
      <c r="M192" s="359">
        <f t="shared" si="31"/>
        <v>0</v>
      </c>
      <c r="N192" s="604">
        <f t="shared" si="32"/>
        <v>5906.3635000000004</v>
      </c>
      <c r="O192" s="381">
        <f>H192</f>
        <v>64.39</v>
      </c>
      <c r="P192" s="386">
        <f>O192*F192</f>
        <v>3634.8155000000002</v>
      </c>
      <c r="Q192" s="381"/>
      <c r="R192" s="386">
        <f>Q192*H192</f>
        <v>0</v>
      </c>
    </row>
    <row r="193" spans="1:18" s="312" customFormat="1">
      <c r="A193" s="392"/>
      <c r="B193" s="393"/>
      <c r="C193" s="394" t="s">
        <v>398</v>
      </c>
      <c r="D193" s="409" t="s">
        <v>56</v>
      </c>
      <c r="E193" s="396"/>
      <c r="F193" s="397"/>
      <c r="G193" s="398"/>
      <c r="H193" s="399"/>
      <c r="I193" s="400"/>
      <c r="J193" s="399"/>
      <c r="K193" s="407"/>
      <c r="L193" s="298"/>
      <c r="M193" s="298"/>
      <c r="N193" s="603">
        <f t="shared" si="32"/>
        <v>0</v>
      </c>
      <c r="O193" s="398"/>
      <c r="P193" s="402"/>
      <c r="Q193" s="398"/>
      <c r="R193" s="402"/>
    </row>
    <row r="194" spans="1:18" s="345" customFormat="1">
      <c r="A194" s="334"/>
      <c r="B194" s="335"/>
      <c r="C194" s="336" t="s">
        <v>399</v>
      </c>
      <c r="D194" s="337" t="s">
        <v>1088</v>
      </c>
      <c r="E194" s="338"/>
      <c r="F194" s="339"/>
      <c r="G194" s="340"/>
      <c r="H194" s="341"/>
      <c r="I194" s="342"/>
      <c r="J194" s="341"/>
      <c r="K194" s="343"/>
      <c r="L194" s="298"/>
      <c r="M194" s="298"/>
      <c r="N194" s="603">
        <f t="shared" si="32"/>
        <v>0</v>
      </c>
      <c r="O194" s="340"/>
      <c r="P194" s="344"/>
      <c r="Q194" s="340"/>
      <c r="R194" s="344"/>
    </row>
    <row r="195" spans="1:18">
      <c r="A195" s="324" t="s">
        <v>1060</v>
      </c>
      <c r="B195" s="349">
        <v>30103</v>
      </c>
      <c r="C195" s="408" t="s">
        <v>400</v>
      </c>
      <c r="D195" s="327" t="s">
        <v>1089</v>
      </c>
      <c r="E195" s="328" t="s">
        <v>58</v>
      </c>
      <c r="F195" s="329">
        <v>9.81</v>
      </c>
      <c r="G195" s="330">
        <v>349.44</v>
      </c>
      <c r="H195" s="331">
        <v>0</v>
      </c>
      <c r="I195" s="332">
        <v>0</v>
      </c>
      <c r="J195" s="331">
        <f t="shared" si="29"/>
        <v>349.44</v>
      </c>
      <c r="K195" s="329">
        <f t="shared" si="33"/>
        <v>3428.0064000000002</v>
      </c>
      <c r="L195" s="298">
        <f t="shared" si="30"/>
        <v>0</v>
      </c>
      <c r="M195" s="298">
        <f t="shared" si="31"/>
        <v>0</v>
      </c>
      <c r="N195" s="603">
        <f t="shared" si="32"/>
        <v>3428.0064000000002</v>
      </c>
      <c r="O195" s="330"/>
      <c r="P195" s="333"/>
      <c r="Q195" s="330"/>
      <c r="R195" s="333"/>
    </row>
    <row r="196" spans="1:18" ht="45">
      <c r="A196" s="346" t="s">
        <v>1060</v>
      </c>
      <c r="B196" s="347">
        <v>30304</v>
      </c>
      <c r="C196" s="328" t="s">
        <v>401</v>
      </c>
      <c r="D196" s="348" t="s">
        <v>109</v>
      </c>
      <c r="E196" s="328" t="s">
        <v>58</v>
      </c>
      <c r="F196" s="329">
        <v>56.45</v>
      </c>
      <c r="G196" s="330">
        <v>349.44</v>
      </c>
      <c r="H196" s="331">
        <v>0</v>
      </c>
      <c r="I196" s="332">
        <v>0</v>
      </c>
      <c r="J196" s="331">
        <f t="shared" si="29"/>
        <v>349.44</v>
      </c>
      <c r="K196" s="329">
        <f t="shared" si="33"/>
        <v>19725.888000000003</v>
      </c>
      <c r="L196" s="298">
        <f t="shared" si="30"/>
        <v>0</v>
      </c>
      <c r="M196" s="298">
        <f t="shared" si="31"/>
        <v>0</v>
      </c>
      <c r="N196" s="603">
        <f t="shared" si="32"/>
        <v>19725.888000000003</v>
      </c>
      <c r="O196" s="330"/>
      <c r="P196" s="333"/>
      <c r="Q196" s="330"/>
      <c r="R196" s="333"/>
    </row>
    <row r="197" spans="1:18" s="312" customFormat="1">
      <c r="A197" s="392"/>
      <c r="B197" s="393"/>
      <c r="C197" s="394" t="s">
        <v>403</v>
      </c>
      <c r="D197" s="395" t="s">
        <v>1091</v>
      </c>
      <c r="E197" s="396"/>
      <c r="F197" s="397"/>
      <c r="G197" s="398"/>
      <c r="H197" s="399"/>
      <c r="I197" s="400"/>
      <c r="J197" s="399"/>
      <c r="K197" s="407"/>
      <c r="L197" s="298"/>
      <c r="M197" s="298"/>
      <c r="N197" s="603"/>
      <c r="O197" s="398"/>
      <c r="P197" s="402"/>
      <c r="Q197" s="398"/>
      <c r="R197" s="402"/>
    </row>
    <row r="198" spans="1:18" s="345" customFormat="1">
      <c r="A198" s="334"/>
      <c r="B198" s="335"/>
      <c r="C198" s="336" t="s">
        <v>404</v>
      </c>
      <c r="D198" s="337" t="s">
        <v>1081</v>
      </c>
      <c r="E198" s="338"/>
      <c r="F198" s="339"/>
      <c r="G198" s="340"/>
      <c r="H198" s="341"/>
      <c r="I198" s="342"/>
      <c r="J198" s="341"/>
      <c r="K198" s="343"/>
      <c r="L198" s="298"/>
      <c r="M198" s="298"/>
      <c r="N198" s="603"/>
      <c r="O198" s="340"/>
      <c r="P198" s="344"/>
      <c r="Q198" s="340"/>
      <c r="R198" s="344"/>
    </row>
    <row r="199" spans="1:18">
      <c r="A199" s="324" t="s">
        <v>1060</v>
      </c>
      <c r="B199" s="349">
        <v>10501</v>
      </c>
      <c r="C199" s="408" t="s">
        <v>402</v>
      </c>
      <c r="D199" s="327" t="s">
        <v>1092</v>
      </c>
      <c r="E199" s="328" t="s">
        <v>57</v>
      </c>
      <c r="F199" s="329">
        <v>7.69</v>
      </c>
      <c r="G199" s="330">
        <v>200.9</v>
      </c>
      <c r="H199" s="331">
        <v>0</v>
      </c>
      <c r="I199" s="332">
        <v>0</v>
      </c>
      <c r="J199" s="331">
        <f t="shared" si="29"/>
        <v>200.9</v>
      </c>
      <c r="K199" s="329">
        <f t="shared" si="33"/>
        <v>1544.921</v>
      </c>
      <c r="L199" s="298">
        <f t="shared" si="30"/>
        <v>0</v>
      </c>
      <c r="M199" s="298">
        <f t="shared" si="31"/>
        <v>0</v>
      </c>
      <c r="N199" s="603">
        <f t="shared" si="32"/>
        <v>1544.921</v>
      </c>
      <c r="O199" s="330"/>
      <c r="P199" s="333"/>
      <c r="Q199" s="330"/>
      <c r="R199" s="333"/>
    </row>
    <row r="200" spans="1:18" s="416" customFormat="1">
      <c r="A200" s="410" t="s">
        <v>1060</v>
      </c>
      <c r="B200" s="411" t="s">
        <v>1093</v>
      </c>
      <c r="C200" s="412" t="s">
        <v>1165</v>
      </c>
      <c r="D200" s="413" t="s">
        <v>1095</v>
      </c>
      <c r="E200" s="412" t="s">
        <v>51</v>
      </c>
      <c r="F200" s="367">
        <v>8.0299999999999994</v>
      </c>
      <c r="G200" s="414">
        <v>0</v>
      </c>
      <c r="H200" s="371">
        <v>109.2</v>
      </c>
      <c r="I200" s="370">
        <v>0</v>
      </c>
      <c r="J200" s="371">
        <f t="shared" si="29"/>
        <v>109.2</v>
      </c>
      <c r="K200" s="367">
        <f>F200*G200</f>
        <v>0</v>
      </c>
      <c r="L200" s="298">
        <f t="shared" si="30"/>
        <v>876.87599999999998</v>
      </c>
      <c r="M200" s="298">
        <f t="shared" si="31"/>
        <v>0</v>
      </c>
      <c r="N200" s="607">
        <f t="shared" si="32"/>
        <v>876.87599999999998</v>
      </c>
      <c r="O200" s="414">
        <f>H200</f>
        <v>109.2</v>
      </c>
      <c r="P200" s="415">
        <f>O200*F200</f>
        <v>876.87599999999998</v>
      </c>
      <c r="Q200" s="414"/>
      <c r="R200" s="415">
        <f>Q200*H200</f>
        <v>0</v>
      </c>
    </row>
    <row r="201" spans="1:18" s="345" customFormat="1">
      <c r="A201" s="334"/>
      <c r="B201" s="335"/>
      <c r="C201" s="336" t="s">
        <v>405</v>
      </c>
      <c r="D201" s="417" t="s">
        <v>124</v>
      </c>
      <c r="E201" s="338"/>
      <c r="F201" s="339"/>
      <c r="G201" s="340"/>
      <c r="H201" s="341"/>
      <c r="I201" s="342"/>
      <c r="J201" s="341"/>
      <c r="K201" s="343"/>
      <c r="L201" s="298"/>
      <c r="M201" s="298"/>
      <c r="N201" s="603"/>
      <c r="O201" s="340"/>
      <c r="P201" s="344"/>
      <c r="Q201" s="340"/>
      <c r="R201" s="344"/>
    </row>
    <row r="202" spans="1:18" s="454" customFormat="1" ht="30">
      <c r="A202" s="451" t="s">
        <v>1060</v>
      </c>
      <c r="B202" s="452">
        <v>30206</v>
      </c>
      <c r="C202" s="439" t="s">
        <v>406</v>
      </c>
      <c r="D202" s="453" t="s">
        <v>1166</v>
      </c>
      <c r="E202" s="439" t="s">
        <v>58</v>
      </c>
      <c r="F202" s="440">
        <f>'[34]COMPOSIÇÕES ADITIVO'!I635</f>
        <v>118.92</v>
      </c>
      <c r="G202" s="449">
        <v>0</v>
      </c>
      <c r="H202" s="442">
        <f>H191</f>
        <v>40.24</v>
      </c>
      <c r="I202" s="443">
        <v>0</v>
      </c>
      <c r="J202" s="442">
        <f t="shared" si="29"/>
        <v>40.24</v>
      </c>
      <c r="K202" s="440">
        <f>F202*G202</f>
        <v>0</v>
      </c>
      <c r="L202" s="298">
        <f t="shared" ref="L202" si="34">H202*F202</f>
        <v>4785.3407999999999</v>
      </c>
      <c r="M202" s="298">
        <f t="shared" ref="M202" si="35">I202*F202</f>
        <v>0</v>
      </c>
      <c r="N202" s="605">
        <f t="shared" ref="N202" si="36">J202*F202</f>
        <v>4785.3407999999999</v>
      </c>
      <c r="O202" s="449">
        <f>H202</f>
        <v>40.24</v>
      </c>
      <c r="P202" s="444">
        <f>O202*F202</f>
        <v>4785.3407999999999</v>
      </c>
      <c r="Q202" s="449"/>
      <c r="R202" s="444">
        <f>Q202*H202</f>
        <v>0</v>
      </c>
    </row>
    <row r="203" spans="1:18" ht="30">
      <c r="A203" s="324" t="s">
        <v>1096</v>
      </c>
      <c r="B203" s="325" t="s">
        <v>136</v>
      </c>
      <c r="C203" s="328" t="s">
        <v>407</v>
      </c>
      <c r="D203" s="348" t="s">
        <v>141</v>
      </c>
      <c r="E203" s="328" t="s">
        <v>60</v>
      </c>
      <c r="F203" s="329">
        <v>462.96</v>
      </c>
      <c r="G203" s="330">
        <v>85</v>
      </c>
      <c r="H203" s="331">
        <v>0</v>
      </c>
      <c r="I203" s="332">
        <v>0</v>
      </c>
      <c r="J203" s="331">
        <f t="shared" si="29"/>
        <v>85</v>
      </c>
      <c r="K203" s="329">
        <f t="shared" si="33"/>
        <v>39351.599999999999</v>
      </c>
      <c r="L203" s="298">
        <f t="shared" si="30"/>
        <v>0</v>
      </c>
      <c r="M203" s="298">
        <f>I203*F203</f>
        <v>0</v>
      </c>
      <c r="N203" s="603">
        <f t="shared" si="32"/>
        <v>39351.599999999999</v>
      </c>
      <c r="O203" s="330"/>
      <c r="P203" s="333"/>
      <c r="Q203" s="330"/>
      <c r="R203" s="333"/>
    </row>
    <row r="204" spans="1:18" s="464" customFormat="1">
      <c r="A204" s="455" t="s">
        <v>1056</v>
      </c>
      <c r="B204" s="456" t="s">
        <v>137</v>
      </c>
      <c r="C204" s="457" t="s">
        <v>408</v>
      </c>
      <c r="D204" s="458" t="s">
        <v>142</v>
      </c>
      <c r="E204" s="457" t="s">
        <v>49</v>
      </c>
      <c r="F204" s="459">
        <v>596.34</v>
      </c>
      <c r="G204" s="460">
        <v>35.71</v>
      </c>
      <c r="H204" s="461">
        <v>0</v>
      </c>
      <c r="I204" s="462">
        <f>G204</f>
        <v>35.71</v>
      </c>
      <c r="J204" s="461">
        <f t="shared" si="29"/>
        <v>0</v>
      </c>
      <c r="K204" s="459">
        <f t="shared" si="33"/>
        <v>21295.3014</v>
      </c>
      <c r="L204" s="298">
        <f t="shared" si="30"/>
        <v>0</v>
      </c>
      <c r="M204" s="298">
        <f t="shared" ref="M204:M267" si="37">I204*F204</f>
        <v>21295.3014</v>
      </c>
      <c r="N204" s="605">
        <f t="shared" si="32"/>
        <v>0</v>
      </c>
      <c r="O204" s="460"/>
      <c r="P204" s="463"/>
      <c r="Q204" s="460"/>
      <c r="R204" s="463"/>
    </row>
    <row r="205" spans="1:18" s="469" customFormat="1">
      <c r="A205" s="455" t="s">
        <v>1056</v>
      </c>
      <c r="B205" s="456" t="s">
        <v>138</v>
      </c>
      <c r="C205" s="457" t="s">
        <v>409</v>
      </c>
      <c r="D205" s="465" t="s">
        <v>1167</v>
      </c>
      <c r="E205" s="457" t="s">
        <v>29</v>
      </c>
      <c r="F205" s="466">
        <v>4.82</v>
      </c>
      <c r="G205" s="467">
        <v>512</v>
      </c>
      <c r="H205" s="461">
        <v>0</v>
      </c>
      <c r="I205" s="462">
        <f>G205</f>
        <v>512</v>
      </c>
      <c r="J205" s="461">
        <f t="shared" si="29"/>
        <v>0</v>
      </c>
      <c r="K205" s="466">
        <f t="shared" si="33"/>
        <v>2467.84</v>
      </c>
      <c r="L205" s="298">
        <f t="shared" si="30"/>
        <v>0</v>
      </c>
      <c r="M205" s="298">
        <f t="shared" si="37"/>
        <v>2467.84</v>
      </c>
      <c r="N205" s="603">
        <f t="shared" si="32"/>
        <v>0</v>
      </c>
      <c r="O205" s="467"/>
      <c r="P205" s="468"/>
      <c r="Q205" s="467"/>
      <c r="R205" s="468"/>
    </row>
    <row r="206" spans="1:18" s="464" customFormat="1" ht="30">
      <c r="A206" s="455" t="s">
        <v>1056</v>
      </c>
      <c r="B206" s="456" t="s">
        <v>139</v>
      </c>
      <c r="C206" s="457" t="s">
        <v>410</v>
      </c>
      <c r="D206" s="458" t="s">
        <v>144</v>
      </c>
      <c r="E206" s="457" t="s">
        <v>29</v>
      </c>
      <c r="F206" s="459">
        <v>6.12</v>
      </c>
      <c r="G206" s="460">
        <v>4419.01</v>
      </c>
      <c r="H206" s="461">
        <v>0</v>
      </c>
      <c r="I206" s="462">
        <f>G206</f>
        <v>4419.01</v>
      </c>
      <c r="J206" s="461">
        <f t="shared" si="29"/>
        <v>0</v>
      </c>
      <c r="K206" s="459">
        <f t="shared" si="33"/>
        <v>27044.341200000003</v>
      </c>
      <c r="L206" s="298">
        <f t="shared" si="30"/>
        <v>0</v>
      </c>
      <c r="M206" s="298">
        <f>I206*F206</f>
        <v>27044.341200000003</v>
      </c>
      <c r="N206" s="605">
        <f t="shared" si="32"/>
        <v>0</v>
      </c>
      <c r="O206" s="460"/>
      <c r="P206" s="463"/>
      <c r="Q206" s="460"/>
      <c r="R206" s="463"/>
    </row>
    <row r="207" spans="1:18" s="387" customFormat="1" ht="18">
      <c r="A207" s="375" t="s">
        <v>1060</v>
      </c>
      <c r="B207" s="376">
        <v>30101</v>
      </c>
      <c r="C207" s="377" t="s">
        <v>411</v>
      </c>
      <c r="D207" s="378" t="s">
        <v>145</v>
      </c>
      <c r="E207" s="379" t="s">
        <v>58</v>
      </c>
      <c r="F207" s="380">
        <v>48.58</v>
      </c>
      <c r="G207" s="381">
        <v>6.3</v>
      </c>
      <c r="H207" s="384">
        <v>36.909999999999997</v>
      </c>
      <c r="I207" s="383">
        <v>0</v>
      </c>
      <c r="J207" s="384">
        <f t="shared" si="29"/>
        <v>43.209999999999994</v>
      </c>
      <c r="K207" s="385">
        <f t="shared" si="33"/>
        <v>306.05399999999997</v>
      </c>
      <c r="L207" s="358">
        <f t="shared" ref="L207:L270" si="38">H207*F207</f>
        <v>1793.0877999999998</v>
      </c>
      <c r="M207" s="359">
        <f t="shared" si="37"/>
        <v>0</v>
      </c>
      <c r="N207" s="604">
        <f t="shared" si="32"/>
        <v>2099.1417999999994</v>
      </c>
      <c r="O207" s="381">
        <f>H207</f>
        <v>36.909999999999997</v>
      </c>
      <c r="P207" s="386">
        <f>O207*F207</f>
        <v>1793.0877999999998</v>
      </c>
      <c r="Q207" s="381"/>
      <c r="R207" s="386">
        <f>Q207*H207</f>
        <v>0</v>
      </c>
    </row>
    <row r="208" spans="1:18" s="387" customFormat="1" ht="45">
      <c r="A208" s="375" t="s">
        <v>1060</v>
      </c>
      <c r="B208" s="376">
        <v>40339</v>
      </c>
      <c r="C208" s="377" t="s">
        <v>412</v>
      </c>
      <c r="D208" s="378" t="s">
        <v>184</v>
      </c>
      <c r="E208" s="379" t="s">
        <v>57</v>
      </c>
      <c r="F208" s="380">
        <v>91.04</v>
      </c>
      <c r="G208" s="381">
        <v>108</v>
      </c>
      <c r="H208" s="384">
        <v>34.840000000000003</v>
      </c>
      <c r="I208" s="383">
        <v>0</v>
      </c>
      <c r="J208" s="384">
        <f t="shared" si="29"/>
        <v>142.84</v>
      </c>
      <c r="K208" s="385">
        <f t="shared" si="33"/>
        <v>9832.3200000000015</v>
      </c>
      <c r="L208" s="358">
        <f t="shared" si="38"/>
        <v>3171.8336000000004</v>
      </c>
      <c r="M208" s="359">
        <f t="shared" si="37"/>
        <v>0</v>
      </c>
      <c r="N208" s="604">
        <f t="shared" si="32"/>
        <v>13004.153600000001</v>
      </c>
      <c r="O208" s="381">
        <f t="shared" ref="O208:O210" si="39">H208</f>
        <v>34.840000000000003</v>
      </c>
      <c r="P208" s="386">
        <f t="shared" ref="P208:P210" si="40">O208*F208</f>
        <v>3171.8336000000004</v>
      </c>
      <c r="Q208" s="381"/>
      <c r="R208" s="386">
        <f t="shared" ref="R208:R210" si="41">Q208*H208</f>
        <v>0</v>
      </c>
    </row>
    <row r="209" spans="1:18" s="387" customFormat="1" ht="30">
      <c r="A209" s="375" t="s">
        <v>1060</v>
      </c>
      <c r="B209" s="376">
        <v>40328</v>
      </c>
      <c r="C209" s="377" t="s">
        <v>413</v>
      </c>
      <c r="D209" s="378" t="s">
        <v>147</v>
      </c>
      <c r="E209" s="379" t="s">
        <v>29</v>
      </c>
      <c r="F209" s="380">
        <v>7.98</v>
      </c>
      <c r="G209" s="381">
        <v>594</v>
      </c>
      <c r="H209" s="384">
        <v>521</v>
      </c>
      <c r="I209" s="383">
        <v>0</v>
      </c>
      <c r="J209" s="384">
        <f t="shared" ref="J209:J273" si="42">G209+H209-I209</f>
        <v>1115</v>
      </c>
      <c r="K209" s="385">
        <f t="shared" si="33"/>
        <v>4740.12</v>
      </c>
      <c r="L209" s="358">
        <f t="shared" si="38"/>
        <v>4157.58</v>
      </c>
      <c r="M209" s="359">
        <f t="shared" si="37"/>
        <v>0</v>
      </c>
      <c r="N209" s="604">
        <f t="shared" ref="N209:N272" si="43">J209*F209</f>
        <v>8897.7000000000007</v>
      </c>
      <c r="O209" s="381">
        <f t="shared" si="39"/>
        <v>521</v>
      </c>
      <c r="P209" s="386">
        <f t="shared" si="40"/>
        <v>4157.58</v>
      </c>
      <c r="Q209" s="381"/>
      <c r="R209" s="386">
        <f t="shared" si="41"/>
        <v>0</v>
      </c>
    </row>
    <row r="210" spans="1:18" s="387" customFormat="1" ht="30">
      <c r="A210" s="375" t="s">
        <v>1060</v>
      </c>
      <c r="B210" s="376">
        <v>40245</v>
      </c>
      <c r="C210" s="377" t="s">
        <v>414</v>
      </c>
      <c r="D210" s="378" t="s">
        <v>148</v>
      </c>
      <c r="E210" s="379" t="s">
        <v>29</v>
      </c>
      <c r="F210" s="380">
        <v>8.41</v>
      </c>
      <c r="G210" s="381">
        <v>40</v>
      </c>
      <c r="H210" s="384">
        <v>26</v>
      </c>
      <c r="I210" s="383">
        <v>0</v>
      </c>
      <c r="J210" s="384">
        <f t="shared" si="42"/>
        <v>66</v>
      </c>
      <c r="K210" s="385">
        <f t="shared" si="33"/>
        <v>336.4</v>
      </c>
      <c r="L210" s="358">
        <f t="shared" si="38"/>
        <v>218.66</v>
      </c>
      <c r="M210" s="359">
        <f t="shared" si="37"/>
        <v>0</v>
      </c>
      <c r="N210" s="604">
        <f t="shared" si="43"/>
        <v>555.06000000000006</v>
      </c>
      <c r="O210" s="381">
        <f t="shared" si="39"/>
        <v>26</v>
      </c>
      <c r="P210" s="386">
        <f t="shared" si="40"/>
        <v>218.66</v>
      </c>
      <c r="Q210" s="381"/>
      <c r="R210" s="386">
        <f t="shared" si="41"/>
        <v>0</v>
      </c>
    </row>
    <row r="211" spans="1:18" s="469" customFormat="1" ht="30">
      <c r="A211" s="470" t="s">
        <v>1060</v>
      </c>
      <c r="B211" s="471">
        <v>40246</v>
      </c>
      <c r="C211" s="472" t="s">
        <v>415</v>
      </c>
      <c r="D211" s="458" t="s">
        <v>149</v>
      </c>
      <c r="E211" s="457" t="s">
        <v>29</v>
      </c>
      <c r="F211" s="466">
        <v>8.08</v>
      </c>
      <c r="G211" s="467">
        <v>29</v>
      </c>
      <c r="H211" s="461">
        <v>0</v>
      </c>
      <c r="I211" s="462">
        <f>G211</f>
        <v>29</v>
      </c>
      <c r="J211" s="461">
        <f t="shared" si="42"/>
        <v>0</v>
      </c>
      <c r="K211" s="466">
        <f t="shared" si="33"/>
        <v>234.32</v>
      </c>
      <c r="L211" s="298">
        <f t="shared" si="38"/>
        <v>0</v>
      </c>
      <c r="M211" s="298">
        <f t="shared" si="37"/>
        <v>234.32</v>
      </c>
      <c r="N211" s="603">
        <f t="shared" si="43"/>
        <v>0</v>
      </c>
      <c r="O211" s="467"/>
      <c r="P211" s="468"/>
      <c r="Q211" s="467"/>
      <c r="R211" s="468"/>
    </row>
    <row r="212" spans="1:18" s="445" customFormat="1">
      <c r="A212" s="435" t="s">
        <v>1060</v>
      </c>
      <c r="B212" s="473">
        <v>130110</v>
      </c>
      <c r="C212" s="474" t="s">
        <v>416</v>
      </c>
      <c r="D212" s="475" t="s">
        <v>1168</v>
      </c>
      <c r="E212" s="474" t="s">
        <v>57</v>
      </c>
      <c r="F212" s="476">
        <f>'[34]COMPOSIÇÕES ADITIVO'!I674</f>
        <v>51.84</v>
      </c>
      <c r="G212" s="449">
        <v>0</v>
      </c>
      <c r="H212" s="442">
        <f>26.59</f>
        <v>26.59</v>
      </c>
      <c r="I212" s="443">
        <v>0</v>
      </c>
      <c r="J212" s="442">
        <f t="shared" si="42"/>
        <v>26.59</v>
      </c>
      <c r="K212" s="440">
        <f>F212*G212</f>
        <v>0</v>
      </c>
      <c r="L212" s="298">
        <f t="shared" si="38"/>
        <v>1378.4256</v>
      </c>
      <c r="M212" s="298">
        <f t="shared" si="37"/>
        <v>0</v>
      </c>
      <c r="N212" s="605">
        <f t="shared" si="43"/>
        <v>1378.4256</v>
      </c>
      <c r="O212" s="449">
        <f>H212</f>
        <v>26.59</v>
      </c>
      <c r="P212" s="444">
        <f>O212*F212</f>
        <v>1378.4256</v>
      </c>
      <c r="Q212" s="449"/>
      <c r="R212" s="444">
        <f>Q212*H212</f>
        <v>0</v>
      </c>
    </row>
    <row r="213" spans="1:18" s="387" customFormat="1" ht="45">
      <c r="A213" s="375" t="s">
        <v>1056</v>
      </c>
      <c r="B213" s="376" t="s">
        <v>140</v>
      </c>
      <c r="C213" s="377" t="s">
        <v>1169</v>
      </c>
      <c r="D213" s="378" t="s">
        <v>150</v>
      </c>
      <c r="E213" s="379" t="s">
        <v>58</v>
      </c>
      <c r="F213" s="380">
        <v>486.08</v>
      </c>
      <c r="G213" s="381">
        <v>14.5</v>
      </c>
      <c r="H213" s="384">
        <f>17.03-G213</f>
        <v>2.5300000000000011</v>
      </c>
      <c r="I213" s="383">
        <v>0</v>
      </c>
      <c r="J213" s="384">
        <f t="shared" si="42"/>
        <v>17.03</v>
      </c>
      <c r="K213" s="385">
        <f t="shared" si="33"/>
        <v>7048.16</v>
      </c>
      <c r="L213" s="358">
        <f t="shared" si="38"/>
        <v>1229.7824000000005</v>
      </c>
      <c r="M213" s="359">
        <f t="shared" si="37"/>
        <v>0</v>
      </c>
      <c r="N213" s="604">
        <f t="shared" si="43"/>
        <v>8277.9423999999999</v>
      </c>
      <c r="O213" s="381">
        <f>H213</f>
        <v>2.5300000000000011</v>
      </c>
      <c r="P213" s="386">
        <f>O213*F213</f>
        <v>1229.7824000000005</v>
      </c>
      <c r="Q213" s="381"/>
      <c r="R213" s="386">
        <f>Q213*H213</f>
        <v>0</v>
      </c>
    </row>
    <row r="214" spans="1:18" s="361" customFormat="1" ht="18">
      <c r="A214" s="350" t="s">
        <v>1060</v>
      </c>
      <c r="B214" s="351">
        <v>40813</v>
      </c>
      <c r="C214" s="328" t="s">
        <v>1170</v>
      </c>
      <c r="D214" s="352" t="s">
        <v>151</v>
      </c>
      <c r="E214" s="353" t="s">
        <v>57</v>
      </c>
      <c r="F214" s="354">
        <v>64.3</v>
      </c>
      <c r="G214" s="355">
        <v>134.87</v>
      </c>
      <c r="H214" s="331"/>
      <c r="I214" s="356">
        <v>0</v>
      </c>
      <c r="J214" s="331">
        <f t="shared" si="42"/>
        <v>134.87</v>
      </c>
      <c r="K214" s="418">
        <f t="shared" si="33"/>
        <v>8672.1409999999996</v>
      </c>
      <c r="L214" s="358">
        <f t="shared" si="38"/>
        <v>0</v>
      </c>
      <c r="M214" s="359">
        <f t="shared" si="37"/>
        <v>0</v>
      </c>
      <c r="N214" s="604">
        <f t="shared" si="43"/>
        <v>8672.1409999999996</v>
      </c>
      <c r="O214" s="355"/>
      <c r="P214" s="360"/>
      <c r="Q214" s="355"/>
      <c r="R214" s="360"/>
    </row>
    <row r="215" spans="1:18" s="345" customFormat="1">
      <c r="A215" s="334"/>
      <c r="B215" s="335"/>
      <c r="C215" s="336" t="s">
        <v>417</v>
      </c>
      <c r="D215" s="417" t="s">
        <v>153</v>
      </c>
      <c r="E215" s="338"/>
      <c r="F215" s="339"/>
      <c r="G215" s="340"/>
      <c r="H215" s="341"/>
      <c r="I215" s="342"/>
      <c r="J215" s="341"/>
      <c r="K215" s="343"/>
      <c r="L215" s="298"/>
      <c r="M215" s="298"/>
      <c r="N215" s="603"/>
      <c r="O215" s="340"/>
      <c r="P215" s="344"/>
      <c r="Q215" s="340"/>
      <c r="R215" s="344"/>
    </row>
    <row r="216" spans="1:18" ht="30">
      <c r="A216" s="324" t="s">
        <v>1056</v>
      </c>
      <c r="B216" s="325" t="s">
        <v>155</v>
      </c>
      <c r="C216" s="408" t="s">
        <v>418</v>
      </c>
      <c r="D216" s="348" t="s">
        <v>156</v>
      </c>
      <c r="E216" s="328" t="s">
        <v>50</v>
      </c>
      <c r="F216" s="329">
        <v>91.41</v>
      </c>
      <c r="G216" s="330">
        <v>165.9</v>
      </c>
      <c r="H216" s="331">
        <v>0</v>
      </c>
      <c r="I216" s="332">
        <v>0</v>
      </c>
      <c r="J216" s="331">
        <f t="shared" si="42"/>
        <v>165.9</v>
      </c>
      <c r="K216" s="329">
        <f t="shared" si="33"/>
        <v>15164.919</v>
      </c>
      <c r="L216" s="298">
        <f t="shared" si="38"/>
        <v>0</v>
      </c>
      <c r="M216" s="298">
        <f t="shared" si="37"/>
        <v>0</v>
      </c>
      <c r="N216" s="603">
        <f t="shared" si="43"/>
        <v>15164.919</v>
      </c>
      <c r="O216" s="330"/>
      <c r="P216" s="333"/>
      <c r="Q216" s="330"/>
      <c r="R216" s="333"/>
    </row>
    <row r="217" spans="1:18" s="345" customFormat="1">
      <c r="A217" s="334"/>
      <c r="B217" s="335"/>
      <c r="C217" s="336" t="s">
        <v>419</v>
      </c>
      <c r="D217" s="337" t="s">
        <v>1097</v>
      </c>
      <c r="E217" s="338"/>
      <c r="F217" s="339"/>
      <c r="G217" s="340"/>
      <c r="H217" s="341"/>
      <c r="I217" s="342"/>
      <c r="J217" s="341"/>
      <c r="K217" s="343"/>
      <c r="L217" s="298"/>
      <c r="M217" s="298"/>
      <c r="N217" s="603"/>
      <c r="O217" s="340"/>
      <c r="P217" s="344"/>
      <c r="Q217" s="340"/>
      <c r="R217" s="344"/>
    </row>
    <row r="218" spans="1:18" ht="30">
      <c r="A218" s="324" t="s">
        <v>1056</v>
      </c>
      <c r="B218" s="325" t="s">
        <v>155</v>
      </c>
      <c r="C218" s="408" t="s">
        <v>420</v>
      </c>
      <c r="D218" s="348" t="s">
        <v>156</v>
      </c>
      <c r="E218" s="328" t="s">
        <v>50</v>
      </c>
      <c r="F218" s="329">
        <v>91.41</v>
      </c>
      <c r="G218" s="330">
        <v>29.33</v>
      </c>
      <c r="H218" s="331">
        <v>0</v>
      </c>
      <c r="I218" s="332">
        <v>0</v>
      </c>
      <c r="J218" s="331">
        <f t="shared" si="42"/>
        <v>29.33</v>
      </c>
      <c r="K218" s="329">
        <f t="shared" si="33"/>
        <v>2681.0552999999995</v>
      </c>
      <c r="L218" s="298">
        <f t="shared" si="38"/>
        <v>0</v>
      </c>
      <c r="M218" s="298">
        <f t="shared" si="37"/>
        <v>0</v>
      </c>
      <c r="N218" s="603">
        <f t="shared" si="43"/>
        <v>2681.0552999999995</v>
      </c>
      <c r="O218" s="330"/>
      <c r="P218" s="333"/>
      <c r="Q218" s="330"/>
      <c r="R218" s="333"/>
    </row>
    <row r="219" spans="1:18">
      <c r="A219" s="324" t="s">
        <v>1060</v>
      </c>
      <c r="B219" s="419">
        <v>200323</v>
      </c>
      <c r="C219" s="408" t="s">
        <v>421</v>
      </c>
      <c r="D219" s="327" t="s">
        <v>1099</v>
      </c>
      <c r="E219" s="328" t="s">
        <v>58</v>
      </c>
      <c r="F219" s="329">
        <v>125.94</v>
      </c>
      <c r="G219" s="330">
        <v>6.62</v>
      </c>
      <c r="H219" s="331">
        <v>0</v>
      </c>
      <c r="I219" s="332">
        <v>0</v>
      </c>
      <c r="J219" s="331">
        <f t="shared" si="42"/>
        <v>6.62</v>
      </c>
      <c r="K219" s="329">
        <f t="shared" si="33"/>
        <v>833.72280000000001</v>
      </c>
      <c r="L219" s="298">
        <f t="shared" si="38"/>
        <v>0</v>
      </c>
      <c r="M219" s="298">
        <f t="shared" si="37"/>
        <v>0</v>
      </c>
      <c r="N219" s="603">
        <f t="shared" si="43"/>
        <v>833.72280000000001</v>
      </c>
      <c r="O219" s="330"/>
      <c r="P219" s="333"/>
      <c r="Q219" s="330"/>
      <c r="R219" s="333"/>
    </row>
    <row r="220" spans="1:18" ht="45">
      <c r="A220" s="346" t="s">
        <v>1060</v>
      </c>
      <c r="B220" s="347">
        <v>50501</v>
      </c>
      <c r="C220" s="328" t="s">
        <v>422</v>
      </c>
      <c r="D220" s="327" t="s">
        <v>1100</v>
      </c>
      <c r="E220" s="328" t="s">
        <v>57</v>
      </c>
      <c r="F220" s="329">
        <v>94.9</v>
      </c>
      <c r="G220" s="330">
        <v>2.7</v>
      </c>
      <c r="H220" s="331">
        <v>0</v>
      </c>
      <c r="I220" s="332">
        <v>0</v>
      </c>
      <c r="J220" s="331">
        <f t="shared" si="42"/>
        <v>2.7</v>
      </c>
      <c r="K220" s="329">
        <f t="shared" si="33"/>
        <v>256.23</v>
      </c>
      <c r="L220" s="298">
        <f t="shared" si="38"/>
        <v>0</v>
      </c>
      <c r="M220" s="298">
        <f t="shared" si="37"/>
        <v>0</v>
      </c>
      <c r="N220" s="603">
        <f t="shared" si="43"/>
        <v>256.23</v>
      </c>
      <c r="O220" s="330"/>
      <c r="P220" s="333"/>
      <c r="Q220" s="330"/>
      <c r="R220" s="333"/>
    </row>
    <row r="221" spans="1:18" s="345" customFormat="1">
      <c r="A221" s="334"/>
      <c r="B221" s="335"/>
      <c r="C221" s="336" t="s">
        <v>423</v>
      </c>
      <c r="D221" s="417" t="s">
        <v>164</v>
      </c>
      <c r="E221" s="338"/>
      <c r="F221" s="339"/>
      <c r="G221" s="340"/>
      <c r="H221" s="341"/>
      <c r="I221" s="342"/>
      <c r="J221" s="341"/>
      <c r="K221" s="343"/>
      <c r="L221" s="298"/>
      <c r="M221" s="298"/>
      <c r="N221" s="603"/>
      <c r="O221" s="340"/>
      <c r="P221" s="344"/>
      <c r="Q221" s="340"/>
      <c r="R221" s="344"/>
    </row>
    <row r="222" spans="1:18" ht="45">
      <c r="A222" s="346" t="s">
        <v>1060</v>
      </c>
      <c r="B222" s="347">
        <v>40339</v>
      </c>
      <c r="C222" s="328" t="s">
        <v>424</v>
      </c>
      <c r="D222" s="327" t="s">
        <v>1101</v>
      </c>
      <c r="E222" s="328" t="s">
        <v>57</v>
      </c>
      <c r="F222" s="329">
        <v>91.04</v>
      </c>
      <c r="G222" s="330">
        <v>51</v>
      </c>
      <c r="H222" s="331">
        <v>0</v>
      </c>
      <c r="I222" s="332">
        <v>0</v>
      </c>
      <c r="J222" s="331">
        <f t="shared" si="42"/>
        <v>51</v>
      </c>
      <c r="K222" s="329">
        <f t="shared" si="33"/>
        <v>4643.04</v>
      </c>
      <c r="L222" s="298">
        <f t="shared" si="38"/>
        <v>0</v>
      </c>
      <c r="M222" s="298">
        <f t="shared" si="37"/>
        <v>0</v>
      </c>
      <c r="N222" s="603">
        <f t="shared" si="43"/>
        <v>4643.04</v>
      </c>
      <c r="O222" s="330"/>
      <c r="P222" s="333"/>
      <c r="Q222" s="330"/>
      <c r="R222" s="333"/>
    </row>
    <row r="223" spans="1:18" ht="30">
      <c r="A223" s="324" t="s">
        <v>1060</v>
      </c>
      <c r="B223" s="349">
        <v>40328</v>
      </c>
      <c r="C223" s="408" t="s">
        <v>425</v>
      </c>
      <c r="D223" s="348" t="s">
        <v>147</v>
      </c>
      <c r="E223" s="328" t="s">
        <v>29</v>
      </c>
      <c r="F223" s="329">
        <v>7.98</v>
      </c>
      <c r="G223" s="330">
        <v>160</v>
      </c>
      <c r="H223" s="331">
        <v>0</v>
      </c>
      <c r="I223" s="332">
        <v>0</v>
      </c>
      <c r="J223" s="331">
        <f t="shared" si="42"/>
        <v>160</v>
      </c>
      <c r="K223" s="329">
        <f t="shared" si="33"/>
        <v>1276.8000000000002</v>
      </c>
      <c r="L223" s="298">
        <f t="shared" si="38"/>
        <v>0</v>
      </c>
      <c r="M223" s="298">
        <f t="shared" si="37"/>
        <v>0</v>
      </c>
      <c r="N223" s="603">
        <f t="shared" si="43"/>
        <v>1276.8000000000002</v>
      </c>
      <c r="O223" s="330"/>
      <c r="P223" s="333"/>
      <c r="Q223" s="330"/>
      <c r="R223" s="333"/>
    </row>
    <row r="224" spans="1:18" ht="30">
      <c r="A224" s="324" t="s">
        <v>1060</v>
      </c>
      <c r="B224" s="349">
        <v>40245</v>
      </c>
      <c r="C224" s="408" t="s">
        <v>426</v>
      </c>
      <c r="D224" s="348" t="s">
        <v>148</v>
      </c>
      <c r="E224" s="328" t="s">
        <v>29</v>
      </c>
      <c r="F224" s="329">
        <v>8.41</v>
      </c>
      <c r="G224" s="330">
        <v>199</v>
      </c>
      <c r="H224" s="331">
        <v>0</v>
      </c>
      <c r="I224" s="332">
        <v>0</v>
      </c>
      <c r="J224" s="331">
        <f t="shared" si="42"/>
        <v>199</v>
      </c>
      <c r="K224" s="329">
        <f t="shared" si="33"/>
        <v>1673.59</v>
      </c>
      <c r="L224" s="298">
        <f t="shared" si="38"/>
        <v>0</v>
      </c>
      <c r="M224" s="298">
        <f t="shared" si="37"/>
        <v>0</v>
      </c>
      <c r="N224" s="603">
        <f t="shared" si="43"/>
        <v>1673.59</v>
      </c>
      <c r="O224" s="330"/>
      <c r="P224" s="333"/>
      <c r="Q224" s="330"/>
      <c r="R224" s="333"/>
    </row>
    <row r="225" spans="1:18" ht="30">
      <c r="A225" s="324" t="s">
        <v>1060</v>
      </c>
      <c r="B225" s="349">
        <v>40246</v>
      </c>
      <c r="C225" s="408" t="s">
        <v>427</v>
      </c>
      <c r="D225" s="348" t="s">
        <v>149</v>
      </c>
      <c r="E225" s="328" t="s">
        <v>29</v>
      </c>
      <c r="F225" s="329">
        <v>8.08</v>
      </c>
      <c r="G225" s="330">
        <v>50</v>
      </c>
      <c r="H225" s="331">
        <v>0</v>
      </c>
      <c r="I225" s="332">
        <v>0</v>
      </c>
      <c r="J225" s="331">
        <f t="shared" si="42"/>
        <v>50</v>
      </c>
      <c r="K225" s="329">
        <f t="shared" si="33"/>
        <v>404</v>
      </c>
      <c r="L225" s="298">
        <f t="shared" si="38"/>
        <v>0</v>
      </c>
      <c r="M225" s="298">
        <f t="shared" si="37"/>
        <v>0</v>
      </c>
      <c r="N225" s="603">
        <f t="shared" si="43"/>
        <v>404</v>
      </c>
      <c r="O225" s="330"/>
      <c r="P225" s="333"/>
      <c r="Q225" s="330"/>
      <c r="R225" s="333"/>
    </row>
    <row r="226" spans="1:18" ht="60">
      <c r="A226" s="346" t="s">
        <v>1056</v>
      </c>
      <c r="B226" s="420" t="s">
        <v>140</v>
      </c>
      <c r="C226" s="328" t="s">
        <v>428</v>
      </c>
      <c r="D226" s="327" t="s">
        <v>1103</v>
      </c>
      <c r="E226" s="328" t="s">
        <v>58</v>
      </c>
      <c r="F226" s="329">
        <v>486.08</v>
      </c>
      <c r="G226" s="330">
        <v>3.3</v>
      </c>
      <c r="H226" s="331">
        <v>0</v>
      </c>
      <c r="I226" s="332">
        <v>0</v>
      </c>
      <c r="J226" s="331">
        <f t="shared" si="42"/>
        <v>3.3</v>
      </c>
      <c r="K226" s="329">
        <f t="shared" si="33"/>
        <v>1604.0639999999999</v>
      </c>
      <c r="L226" s="298">
        <f t="shared" si="38"/>
        <v>0</v>
      </c>
      <c r="M226" s="298">
        <f t="shared" si="37"/>
        <v>0</v>
      </c>
      <c r="N226" s="603">
        <f t="shared" si="43"/>
        <v>1604.0639999999999</v>
      </c>
      <c r="O226" s="330"/>
      <c r="P226" s="333"/>
      <c r="Q226" s="330"/>
      <c r="R226" s="333"/>
    </row>
    <row r="227" spans="1:18" s="345" customFormat="1">
      <c r="A227" s="334"/>
      <c r="B227" s="335"/>
      <c r="C227" s="336" t="s">
        <v>429</v>
      </c>
      <c r="D227" s="337" t="s">
        <v>1102</v>
      </c>
      <c r="E227" s="338"/>
      <c r="F227" s="339"/>
      <c r="G227" s="340"/>
      <c r="H227" s="341"/>
      <c r="I227" s="342"/>
      <c r="J227" s="341">
        <f t="shared" si="42"/>
        <v>0</v>
      </c>
      <c r="K227" s="343"/>
      <c r="L227" s="298"/>
      <c r="M227" s="298"/>
      <c r="N227" s="603"/>
      <c r="O227" s="340"/>
      <c r="P227" s="344"/>
      <c r="Q227" s="340"/>
      <c r="R227" s="344"/>
    </row>
    <row r="228" spans="1:18" ht="45">
      <c r="A228" s="346" t="s">
        <v>1060</v>
      </c>
      <c r="B228" s="347">
        <v>40339</v>
      </c>
      <c r="C228" s="328" t="s">
        <v>430</v>
      </c>
      <c r="D228" s="327" t="s">
        <v>1101</v>
      </c>
      <c r="E228" s="328" t="s">
        <v>57</v>
      </c>
      <c r="F228" s="329">
        <v>91.04</v>
      </c>
      <c r="G228" s="330">
        <v>100</v>
      </c>
      <c r="H228" s="331">
        <v>0</v>
      </c>
      <c r="I228" s="332">
        <v>0</v>
      </c>
      <c r="J228" s="331">
        <f t="shared" si="42"/>
        <v>100</v>
      </c>
      <c r="K228" s="329">
        <f t="shared" si="33"/>
        <v>9104</v>
      </c>
      <c r="L228" s="298">
        <f t="shared" si="38"/>
        <v>0</v>
      </c>
      <c r="M228" s="298">
        <f t="shared" si="37"/>
        <v>0</v>
      </c>
      <c r="N228" s="603">
        <f t="shared" si="43"/>
        <v>9104</v>
      </c>
      <c r="O228" s="330"/>
      <c r="P228" s="333"/>
      <c r="Q228" s="330"/>
      <c r="R228" s="333"/>
    </row>
    <row r="229" spans="1:18" ht="30">
      <c r="A229" s="324" t="s">
        <v>1060</v>
      </c>
      <c r="B229" s="349">
        <v>40328</v>
      </c>
      <c r="C229" s="408" t="s">
        <v>431</v>
      </c>
      <c r="D229" s="348" t="s">
        <v>147</v>
      </c>
      <c r="E229" s="328" t="s">
        <v>29</v>
      </c>
      <c r="F229" s="329">
        <v>7.98</v>
      </c>
      <c r="G229" s="330">
        <v>481</v>
      </c>
      <c r="H229" s="331">
        <v>0</v>
      </c>
      <c r="I229" s="332">
        <v>0</v>
      </c>
      <c r="J229" s="331">
        <f t="shared" si="42"/>
        <v>481</v>
      </c>
      <c r="K229" s="329">
        <f t="shared" si="33"/>
        <v>3838.38</v>
      </c>
      <c r="L229" s="298">
        <f t="shared" si="38"/>
        <v>0</v>
      </c>
      <c r="M229" s="298">
        <f t="shared" si="37"/>
        <v>0</v>
      </c>
      <c r="N229" s="603">
        <f t="shared" si="43"/>
        <v>3838.38</v>
      </c>
      <c r="O229" s="330"/>
      <c r="P229" s="333"/>
      <c r="Q229" s="330"/>
      <c r="R229" s="333"/>
    </row>
    <row r="230" spans="1:18" ht="30">
      <c r="A230" s="324" t="s">
        <v>1060</v>
      </c>
      <c r="B230" s="349">
        <v>40245</v>
      </c>
      <c r="C230" s="408" t="s">
        <v>432</v>
      </c>
      <c r="D230" s="348" t="s">
        <v>148</v>
      </c>
      <c r="E230" s="328" t="s">
        <v>29</v>
      </c>
      <c r="F230" s="329">
        <v>8.41</v>
      </c>
      <c r="G230" s="330">
        <v>287</v>
      </c>
      <c r="H230" s="331">
        <v>0</v>
      </c>
      <c r="I230" s="332">
        <v>0</v>
      </c>
      <c r="J230" s="331">
        <f t="shared" si="42"/>
        <v>287</v>
      </c>
      <c r="K230" s="329">
        <f t="shared" si="33"/>
        <v>2413.67</v>
      </c>
      <c r="L230" s="298">
        <f t="shared" si="38"/>
        <v>0</v>
      </c>
      <c r="M230" s="298">
        <f t="shared" si="37"/>
        <v>0</v>
      </c>
      <c r="N230" s="603">
        <f t="shared" si="43"/>
        <v>2413.67</v>
      </c>
      <c r="O230" s="330"/>
      <c r="P230" s="333"/>
      <c r="Q230" s="330"/>
      <c r="R230" s="333"/>
    </row>
    <row r="231" spans="1:18" ht="30">
      <c r="A231" s="324" t="s">
        <v>1060</v>
      </c>
      <c r="B231" s="349">
        <v>40246</v>
      </c>
      <c r="C231" s="408" t="s">
        <v>433</v>
      </c>
      <c r="D231" s="348" t="s">
        <v>149</v>
      </c>
      <c r="E231" s="328" t="s">
        <v>29</v>
      </c>
      <c r="F231" s="329">
        <v>8.08</v>
      </c>
      <c r="G231" s="330">
        <v>33</v>
      </c>
      <c r="H231" s="331">
        <v>0</v>
      </c>
      <c r="I231" s="332">
        <v>0</v>
      </c>
      <c r="J231" s="331">
        <f t="shared" si="42"/>
        <v>33</v>
      </c>
      <c r="K231" s="329">
        <f t="shared" si="33"/>
        <v>266.64</v>
      </c>
      <c r="L231" s="298">
        <f t="shared" si="38"/>
        <v>0</v>
      </c>
      <c r="M231" s="298">
        <f t="shared" si="37"/>
        <v>0</v>
      </c>
      <c r="N231" s="603">
        <f t="shared" si="43"/>
        <v>266.64</v>
      </c>
      <c r="O231" s="330"/>
      <c r="P231" s="333"/>
      <c r="Q231" s="330"/>
      <c r="R231" s="333"/>
    </row>
    <row r="232" spans="1:18" ht="45">
      <c r="A232" s="346" t="s">
        <v>1056</v>
      </c>
      <c r="B232" s="420" t="s">
        <v>140</v>
      </c>
      <c r="C232" s="328" t="s">
        <v>434</v>
      </c>
      <c r="D232" s="348" t="s">
        <v>150</v>
      </c>
      <c r="E232" s="328" t="s">
        <v>58</v>
      </c>
      <c r="F232" s="329">
        <v>486.08</v>
      </c>
      <c r="G232" s="330">
        <v>10.199999999999999</v>
      </c>
      <c r="H232" s="331">
        <v>0</v>
      </c>
      <c r="I232" s="332">
        <v>0</v>
      </c>
      <c r="J232" s="331">
        <f t="shared" si="42"/>
        <v>10.199999999999999</v>
      </c>
      <c r="K232" s="329">
        <f t="shared" si="33"/>
        <v>4958.0159999999996</v>
      </c>
      <c r="L232" s="298">
        <f t="shared" si="38"/>
        <v>0</v>
      </c>
      <c r="M232" s="298">
        <f t="shared" si="37"/>
        <v>0</v>
      </c>
      <c r="N232" s="603">
        <f t="shared" si="43"/>
        <v>4958.0159999999996</v>
      </c>
      <c r="O232" s="330"/>
      <c r="P232" s="333"/>
      <c r="Q232" s="330"/>
      <c r="R232" s="333"/>
    </row>
    <row r="233" spans="1:18" s="345" customFormat="1">
      <c r="A233" s="334"/>
      <c r="B233" s="335"/>
      <c r="C233" s="336" t="s">
        <v>435</v>
      </c>
      <c r="D233" s="417" t="s">
        <v>179</v>
      </c>
      <c r="E233" s="338"/>
      <c r="F233" s="339"/>
      <c r="G233" s="340"/>
      <c r="H233" s="341"/>
      <c r="I233" s="342"/>
      <c r="J233" s="341">
        <f t="shared" si="42"/>
        <v>0</v>
      </c>
      <c r="K233" s="343"/>
      <c r="L233" s="298"/>
      <c r="M233" s="298"/>
      <c r="N233" s="603"/>
      <c r="O233" s="340"/>
      <c r="P233" s="344"/>
      <c r="Q233" s="340"/>
      <c r="R233" s="344"/>
    </row>
    <row r="234" spans="1:18" ht="45">
      <c r="A234" s="346" t="s">
        <v>1060</v>
      </c>
      <c r="B234" s="347">
        <v>40339</v>
      </c>
      <c r="C234" s="328" t="s">
        <v>436</v>
      </c>
      <c r="D234" s="327" t="s">
        <v>1101</v>
      </c>
      <c r="E234" s="328" t="s">
        <v>57</v>
      </c>
      <c r="F234" s="329">
        <v>91.04</v>
      </c>
      <c r="G234" s="330">
        <v>33</v>
      </c>
      <c r="H234" s="331">
        <v>0</v>
      </c>
      <c r="I234" s="332">
        <v>0</v>
      </c>
      <c r="J234" s="331">
        <f t="shared" si="42"/>
        <v>33</v>
      </c>
      <c r="K234" s="329">
        <f t="shared" si="33"/>
        <v>3004.32</v>
      </c>
      <c r="L234" s="298">
        <f t="shared" si="38"/>
        <v>0</v>
      </c>
      <c r="M234" s="298">
        <f t="shared" si="37"/>
        <v>0</v>
      </c>
      <c r="N234" s="603">
        <f t="shared" si="43"/>
        <v>3004.32</v>
      </c>
      <c r="O234" s="330"/>
      <c r="P234" s="333"/>
      <c r="Q234" s="330"/>
      <c r="R234" s="333"/>
    </row>
    <row r="235" spans="1:18" ht="30">
      <c r="A235" s="324" t="s">
        <v>1060</v>
      </c>
      <c r="B235" s="349">
        <v>40328</v>
      </c>
      <c r="C235" s="408" t="s">
        <v>437</v>
      </c>
      <c r="D235" s="348" t="s">
        <v>147</v>
      </c>
      <c r="E235" s="328" t="s">
        <v>29</v>
      </c>
      <c r="F235" s="329">
        <v>7.98</v>
      </c>
      <c r="G235" s="330">
        <v>344</v>
      </c>
      <c r="H235" s="331">
        <v>0</v>
      </c>
      <c r="I235" s="332">
        <v>0</v>
      </c>
      <c r="J235" s="331">
        <f t="shared" si="42"/>
        <v>344</v>
      </c>
      <c r="K235" s="329">
        <f t="shared" si="33"/>
        <v>2745.1200000000003</v>
      </c>
      <c r="L235" s="298">
        <f t="shared" si="38"/>
        <v>0</v>
      </c>
      <c r="M235" s="298">
        <f t="shared" si="37"/>
        <v>0</v>
      </c>
      <c r="N235" s="603">
        <f t="shared" si="43"/>
        <v>2745.1200000000003</v>
      </c>
      <c r="O235" s="330"/>
      <c r="P235" s="333"/>
      <c r="Q235" s="330"/>
      <c r="R235" s="333"/>
    </row>
    <row r="236" spans="1:18" ht="45">
      <c r="A236" s="346" t="s">
        <v>1056</v>
      </c>
      <c r="B236" s="420" t="s">
        <v>140</v>
      </c>
      <c r="C236" s="328" t="s">
        <v>438</v>
      </c>
      <c r="D236" s="348" t="s">
        <v>804</v>
      </c>
      <c r="E236" s="328" t="s">
        <v>58</v>
      </c>
      <c r="F236" s="329">
        <v>486.08</v>
      </c>
      <c r="G236" s="330">
        <v>7.34</v>
      </c>
      <c r="H236" s="331">
        <v>0</v>
      </c>
      <c r="I236" s="332">
        <v>0</v>
      </c>
      <c r="J236" s="331">
        <f t="shared" si="42"/>
        <v>7.34</v>
      </c>
      <c r="K236" s="329">
        <f t="shared" si="33"/>
        <v>3567.8271999999997</v>
      </c>
      <c r="L236" s="298">
        <f t="shared" si="38"/>
        <v>0</v>
      </c>
      <c r="M236" s="298">
        <f t="shared" si="37"/>
        <v>0</v>
      </c>
      <c r="N236" s="603">
        <f t="shared" si="43"/>
        <v>3567.8271999999997</v>
      </c>
      <c r="O236" s="330"/>
      <c r="P236" s="333"/>
      <c r="Q236" s="330"/>
      <c r="R236" s="333"/>
    </row>
    <row r="237" spans="1:18" ht="30">
      <c r="A237" s="324" t="s">
        <v>1060</v>
      </c>
      <c r="B237" s="349">
        <v>40602</v>
      </c>
      <c r="C237" s="408" t="s">
        <v>439</v>
      </c>
      <c r="D237" s="348" t="s">
        <v>185</v>
      </c>
      <c r="E237" s="328" t="s">
        <v>57</v>
      </c>
      <c r="F237" s="329">
        <v>79.41</v>
      </c>
      <c r="G237" s="330">
        <v>184</v>
      </c>
      <c r="H237" s="331">
        <v>0</v>
      </c>
      <c r="I237" s="332">
        <v>0</v>
      </c>
      <c r="J237" s="331">
        <f t="shared" si="42"/>
        <v>184</v>
      </c>
      <c r="K237" s="329">
        <f t="shared" si="33"/>
        <v>14611.439999999999</v>
      </c>
      <c r="L237" s="298">
        <f t="shared" si="38"/>
        <v>0</v>
      </c>
      <c r="M237" s="298">
        <f t="shared" si="37"/>
        <v>0</v>
      </c>
      <c r="N237" s="603">
        <f t="shared" si="43"/>
        <v>14611.439999999999</v>
      </c>
      <c r="O237" s="330"/>
      <c r="P237" s="333"/>
      <c r="Q237" s="330"/>
      <c r="R237" s="333"/>
    </row>
    <row r="238" spans="1:18" s="345" customFormat="1">
      <c r="A238" s="421"/>
      <c r="B238" s="422"/>
      <c r="C238" s="336" t="s">
        <v>440</v>
      </c>
      <c r="D238" s="417" t="s">
        <v>187</v>
      </c>
      <c r="E238" s="338"/>
      <c r="F238" s="339"/>
      <c r="G238" s="340"/>
      <c r="H238" s="338"/>
      <c r="I238" s="340"/>
      <c r="J238" s="338"/>
      <c r="K238" s="343"/>
      <c r="L238" s="298"/>
      <c r="M238" s="298"/>
      <c r="N238" s="603"/>
      <c r="O238" s="340"/>
      <c r="P238" s="344"/>
      <c r="Q238" s="340"/>
      <c r="R238" s="344"/>
    </row>
    <row r="239" spans="1:18" ht="45">
      <c r="A239" s="346" t="s">
        <v>1060</v>
      </c>
      <c r="B239" s="347">
        <v>90102</v>
      </c>
      <c r="C239" s="328" t="s">
        <v>441</v>
      </c>
      <c r="D239" s="348" t="s">
        <v>1171</v>
      </c>
      <c r="E239" s="328" t="s">
        <v>57</v>
      </c>
      <c r="F239" s="329">
        <v>89.99</v>
      </c>
      <c r="G239" s="330">
        <v>208.03</v>
      </c>
      <c r="H239" s="331">
        <v>0</v>
      </c>
      <c r="I239" s="332">
        <v>0</v>
      </c>
      <c r="J239" s="331">
        <f t="shared" si="42"/>
        <v>208.03</v>
      </c>
      <c r="K239" s="329">
        <f t="shared" si="33"/>
        <v>18720.619699999999</v>
      </c>
      <c r="L239" s="298">
        <f t="shared" si="38"/>
        <v>0</v>
      </c>
      <c r="M239" s="298">
        <f t="shared" si="37"/>
        <v>0</v>
      </c>
      <c r="N239" s="603">
        <f t="shared" si="43"/>
        <v>18720.619699999999</v>
      </c>
      <c r="O239" s="330"/>
      <c r="P239" s="333"/>
      <c r="Q239" s="330"/>
      <c r="R239" s="333"/>
    </row>
    <row r="240" spans="1:18" ht="45">
      <c r="A240" s="346" t="s">
        <v>1060</v>
      </c>
      <c r="B240" s="347">
        <v>90223</v>
      </c>
      <c r="C240" s="328" t="s">
        <v>442</v>
      </c>
      <c r="D240" s="327" t="s">
        <v>1105</v>
      </c>
      <c r="E240" s="328" t="s">
        <v>57</v>
      </c>
      <c r="F240" s="329">
        <v>124.46</v>
      </c>
      <c r="G240" s="330">
        <v>209.41</v>
      </c>
      <c r="H240" s="331">
        <v>0</v>
      </c>
      <c r="I240" s="332">
        <v>0</v>
      </c>
      <c r="J240" s="331">
        <f t="shared" si="42"/>
        <v>209.41</v>
      </c>
      <c r="K240" s="329">
        <f t="shared" si="33"/>
        <v>26063.168599999997</v>
      </c>
      <c r="L240" s="298">
        <f t="shared" si="38"/>
        <v>0</v>
      </c>
      <c r="M240" s="298">
        <f t="shared" si="37"/>
        <v>0</v>
      </c>
      <c r="N240" s="603">
        <f t="shared" si="43"/>
        <v>26063.168599999997</v>
      </c>
      <c r="O240" s="330"/>
      <c r="P240" s="333"/>
      <c r="Q240" s="330"/>
      <c r="R240" s="333"/>
    </row>
    <row r="241" spans="1:18" ht="45">
      <c r="A241" s="346" t="s">
        <v>1060</v>
      </c>
      <c r="B241" s="347">
        <v>40339</v>
      </c>
      <c r="C241" s="328" t="s">
        <v>443</v>
      </c>
      <c r="D241" s="327" t="s">
        <v>1106</v>
      </c>
      <c r="E241" s="328" t="s">
        <v>57</v>
      </c>
      <c r="F241" s="329">
        <v>91.04</v>
      </c>
      <c r="G241" s="330">
        <v>23.5</v>
      </c>
      <c r="H241" s="331">
        <v>0</v>
      </c>
      <c r="I241" s="332">
        <v>0</v>
      </c>
      <c r="J241" s="331">
        <f t="shared" si="42"/>
        <v>23.5</v>
      </c>
      <c r="K241" s="329">
        <f t="shared" si="33"/>
        <v>2139.44</v>
      </c>
      <c r="L241" s="298">
        <f t="shared" si="38"/>
        <v>0</v>
      </c>
      <c r="M241" s="298">
        <f t="shared" si="37"/>
        <v>0</v>
      </c>
      <c r="N241" s="603">
        <f t="shared" si="43"/>
        <v>2139.44</v>
      </c>
      <c r="O241" s="330"/>
      <c r="P241" s="333"/>
      <c r="Q241" s="330"/>
      <c r="R241" s="333"/>
    </row>
    <row r="242" spans="1:18" ht="30">
      <c r="A242" s="324" t="s">
        <v>1060</v>
      </c>
      <c r="B242" s="349">
        <v>40328</v>
      </c>
      <c r="C242" s="408" t="s">
        <v>444</v>
      </c>
      <c r="D242" s="348" t="s">
        <v>197</v>
      </c>
      <c r="E242" s="328" t="s">
        <v>29</v>
      </c>
      <c r="F242" s="329">
        <v>7.98</v>
      </c>
      <c r="G242" s="330">
        <v>112</v>
      </c>
      <c r="H242" s="331">
        <v>0</v>
      </c>
      <c r="I242" s="332">
        <v>0</v>
      </c>
      <c r="J242" s="331">
        <f t="shared" si="42"/>
        <v>112</v>
      </c>
      <c r="K242" s="329">
        <f t="shared" si="33"/>
        <v>893.76</v>
      </c>
      <c r="L242" s="298">
        <f t="shared" si="38"/>
        <v>0</v>
      </c>
      <c r="M242" s="298">
        <f t="shared" si="37"/>
        <v>0</v>
      </c>
      <c r="N242" s="603">
        <f t="shared" si="43"/>
        <v>893.76</v>
      </c>
      <c r="O242" s="330"/>
      <c r="P242" s="333"/>
      <c r="Q242" s="330"/>
      <c r="R242" s="333"/>
    </row>
    <row r="243" spans="1:18" ht="45">
      <c r="A243" s="346" t="s">
        <v>1056</v>
      </c>
      <c r="B243" s="420" t="s">
        <v>140</v>
      </c>
      <c r="C243" s="328" t="s">
        <v>445</v>
      </c>
      <c r="D243" s="348" t="s">
        <v>1172</v>
      </c>
      <c r="E243" s="328" t="s">
        <v>58</v>
      </c>
      <c r="F243" s="329">
        <v>486.08</v>
      </c>
      <c r="G243" s="330">
        <v>1.2</v>
      </c>
      <c r="H243" s="331">
        <v>0</v>
      </c>
      <c r="I243" s="332">
        <v>0</v>
      </c>
      <c r="J243" s="331">
        <f t="shared" si="42"/>
        <v>1.2</v>
      </c>
      <c r="K243" s="329">
        <f t="shared" si="33"/>
        <v>583.29599999999994</v>
      </c>
      <c r="L243" s="298">
        <f t="shared" si="38"/>
        <v>0</v>
      </c>
      <c r="M243" s="298">
        <f t="shared" si="37"/>
        <v>0</v>
      </c>
      <c r="N243" s="603">
        <f t="shared" si="43"/>
        <v>583.29599999999994</v>
      </c>
      <c r="O243" s="330"/>
      <c r="P243" s="333"/>
      <c r="Q243" s="330"/>
      <c r="R243" s="333"/>
    </row>
    <row r="244" spans="1:18" ht="45">
      <c r="A244" s="346" t="s">
        <v>1060</v>
      </c>
      <c r="B244" s="347">
        <v>50602</v>
      </c>
      <c r="C244" s="328" t="s">
        <v>446</v>
      </c>
      <c r="D244" s="327" t="s">
        <v>1107</v>
      </c>
      <c r="E244" s="328" t="s">
        <v>57</v>
      </c>
      <c r="F244" s="329">
        <v>62.2</v>
      </c>
      <c r="G244" s="330">
        <v>59.43</v>
      </c>
      <c r="H244" s="331">
        <v>0</v>
      </c>
      <c r="I244" s="332">
        <v>0</v>
      </c>
      <c r="J244" s="331">
        <f t="shared" si="42"/>
        <v>59.43</v>
      </c>
      <c r="K244" s="329">
        <f t="shared" si="33"/>
        <v>3696.5460000000003</v>
      </c>
      <c r="L244" s="298">
        <f t="shared" si="38"/>
        <v>0</v>
      </c>
      <c r="M244" s="298">
        <f t="shared" si="37"/>
        <v>0</v>
      </c>
      <c r="N244" s="603">
        <f t="shared" si="43"/>
        <v>3696.5460000000003</v>
      </c>
      <c r="O244" s="330"/>
      <c r="P244" s="333"/>
      <c r="Q244" s="330"/>
      <c r="R244" s="333"/>
    </row>
    <row r="245" spans="1:18" s="345" customFormat="1">
      <c r="A245" s="421"/>
      <c r="B245" s="422"/>
      <c r="C245" s="336" t="s">
        <v>447</v>
      </c>
      <c r="D245" s="417" t="s">
        <v>201</v>
      </c>
      <c r="E245" s="338"/>
      <c r="F245" s="339"/>
      <c r="G245" s="340"/>
      <c r="H245" s="341"/>
      <c r="I245" s="342"/>
      <c r="J245" s="341"/>
      <c r="K245" s="343"/>
      <c r="L245" s="298"/>
      <c r="M245" s="298"/>
      <c r="N245" s="603"/>
      <c r="O245" s="340"/>
      <c r="P245" s="344"/>
      <c r="Q245" s="340"/>
      <c r="R245" s="344"/>
    </row>
    <row r="246" spans="1:18" ht="30">
      <c r="A246" s="324" t="s">
        <v>1056</v>
      </c>
      <c r="B246" s="325" t="s">
        <v>206</v>
      </c>
      <c r="C246" s="408" t="s">
        <v>448</v>
      </c>
      <c r="D246" s="327" t="s">
        <v>1173</v>
      </c>
      <c r="E246" s="328" t="s">
        <v>60</v>
      </c>
      <c r="F246" s="329">
        <v>72.83</v>
      </c>
      <c r="G246" s="330">
        <v>39.799999999999997</v>
      </c>
      <c r="H246" s="331">
        <v>0</v>
      </c>
      <c r="I246" s="332">
        <v>0</v>
      </c>
      <c r="J246" s="331">
        <f t="shared" si="42"/>
        <v>39.799999999999997</v>
      </c>
      <c r="K246" s="329">
        <f t="shared" ref="K246:K309" si="44">F246*G246</f>
        <v>2898.6339999999996</v>
      </c>
      <c r="L246" s="298">
        <f t="shared" si="38"/>
        <v>0</v>
      </c>
      <c r="M246" s="298">
        <f t="shared" si="37"/>
        <v>0</v>
      </c>
      <c r="N246" s="603">
        <f t="shared" si="43"/>
        <v>2898.6339999999996</v>
      </c>
      <c r="O246" s="330"/>
      <c r="P246" s="333"/>
      <c r="Q246" s="330"/>
      <c r="R246" s="333"/>
    </row>
    <row r="247" spans="1:18">
      <c r="A247" s="324" t="s">
        <v>1060</v>
      </c>
      <c r="B247" s="349">
        <v>90302</v>
      </c>
      <c r="C247" s="408" t="s">
        <v>449</v>
      </c>
      <c r="D247" s="327" t="s">
        <v>1174</v>
      </c>
      <c r="E247" s="328" t="s">
        <v>51</v>
      </c>
      <c r="F247" s="329">
        <v>31.38</v>
      </c>
      <c r="G247" s="330">
        <v>62.2</v>
      </c>
      <c r="H247" s="331">
        <v>0</v>
      </c>
      <c r="I247" s="332">
        <v>0</v>
      </c>
      <c r="J247" s="331">
        <f t="shared" si="42"/>
        <v>62.2</v>
      </c>
      <c r="K247" s="329">
        <f t="shared" si="44"/>
        <v>1951.836</v>
      </c>
      <c r="L247" s="298">
        <f t="shared" si="38"/>
        <v>0</v>
      </c>
      <c r="M247" s="298">
        <f t="shared" si="37"/>
        <v>0</v>
      </c>
      <c r="N247" s="603">
        <f t="shared" si="43"/>
        <v>1951.836</v>
      </c>
      <c r="O247" s="330"/>
      <c r="P247" s="333"/>
      <c r="Q247" s="330"/>
      <c r="R247" s="333"/>
    </row>
    <row r="248" spans="1:18">
      <c r="A248" s="324" t="s">
        <v>1060</v>
      </c>
      <c r="B248" s="419">
        <v>141909</v>
      </c>
      <c r="C248" s="408" t="s">
        <v>450</v>
      </c>
      <c r="D248" s="327" t="s">
        <v>1108</v>
      </c>
      <c r="E248" s="328" t="s">
        <v>51</v>
      </c>
      <c r="F248" s="329">
        <v>61.57</v>
      </c>
      <c r="G248" s="330">
        <v>10</v>
      </c>
      <c r="H248" s="331">
        <v>0</v>
      </c>
      <c r="I248" s="332">
        <v>0</v>
      </c>
      <c r="J248" s="331">
        <f t="shared" si="42"/>
        <v>10</v>
      </c>
      <c r="K248" s="329">
        <f t="shared" si="44"/>
        <v>615.70000000000005</v>
      </c>
      <c r="L248" s="298">
        <f t="shared" si="38"/>
        <v>0</v>
      </c>
      <c r="M248" s="298">
        <f t="shared" si="37"/>
        <v>0</v>
      </c>
      <c r="N248" s="603">
        <f t="shared" si="43"/>
        <v>615.70000000000005</v>
      </c>
      <c r="O248" s="330"/>
      <c r="P248" s="333"/>
      <c r="Q248" s="330"/>
      <c r="R248" s="333"/>
    </row>
    <row r="249" spans="1:18">
      <c r="A249" s="324" t="s">
        <v>1060</v>
      </c>
      <c r="B249" s="419">
        <v>140904</v>
      </c>
      <c r="C249" s="408" t="s">
        <v>451</v>
      </c>
      <c r="D249" s="327" t="s">
        <v>1109</v>
      </c>
      <c r="E249" s="328" t="s">
        <v>51</v>
      </c>
      <c r="F249" s="329">
        <v>80.5</v>
      </c>
      <c r="G249" s="330">
        <v>11</v>
      </c>
      <c r="H249" s="331">
        <v>0</v>
      </c>
      <c r="I249" s="332">
        <v>0</v>
      </c>
      <c r="J249" s="331">
        <f t="shared" si="42"/>
        <v>11</v>
      </c>
      <c r="K249" s="329">
        <f t="shared" si="44"/>
        <v>885.5</v>
      </c>
      <c r="L249" s="298">
        <f t="shared" si="38"/>
        <v>0</v>
      </c>
      <c r="M249" s="298">
        <f t="shared" si="37"/>
        <v>0</v>
      </c>
      <c r="N249" s="603">
        <f t="shared" si="43"/>
        <v>885.5</v>
      </c>
      <c r="O249" s="330"/>
      <c r="P249" s="333"/>
      <c r="Q249" s="330"/>
      <c r="R249" s="333"/>
    </row>
    <row r="250" spans="1:18" s="345" customFormat="1">
      <c r="A250" s="334"/>
      <c r="B250" s="335"/>
      <c r="C250" s="423">
        <v>40240</v>
      </c>
      <c r="D250" s="337" t="s">
        <v>1110</v>
      </c>
      <c r="E250" s="338"/>
      <c r="F250" s="339"/>
      <c r="G250" s="340"/>
      <c r="H250" s="341"/>
      <c r="I250" s="342"/>
      <c r="J250" s="341"/>
      <c r="K250" s="343"/>
      <c r="L250" s="298"/>
      <c r="M250" s="298"/>
      <c r="N250" s="603"/>
      <c r="O250" s="340"/>
      <c r="P250" s="344"/>
      <c r="Q250" s="340"/>
      <c r="R250" s="344"/>
    </row>
    <row r="251" spans="1:18">
      <c r="A251" s="324" t="s">
        <v>1056</v>
      </c>
      <c r="B251" s="325" t="s">
        <v>224</v>
      </c>
      <c r="C251" s="408" t="s">
        <v>452</v>
      </c>
      <c r="D251" s="327" t="s">
        <v>1111</v>
      </c>
      <c r="E251" s="328" t="s">
        <v>50</v>
      </c>
      <c r="F251" s="329">
        <v>280.31</v>
      </c>
      <c r="G251" s="330">
        <v>118.46</v>
      </c>
      <c r="H251" s="331">
        <v>0</v>
      </c>
      <c r="I251" s="332">
        <v>0</v>
      </c>
      <c r="J251" s="331">
        <f t="shared" si="42"/>
        <v>118.46</v>
      </c>
      <c r="K251" s="329">
        <f t="shared" si="44"/>
        <v>33205.522599999997</v>
      </c>
      <c r="L251" s="298">
        <f t="shared" si="38"/>
        <v>0</v>
      </c>
      <c r="M251" s="298">
        <f t="shared" si="37"/>
        <v>0</v>
      </c>
      <c r="N251" s="603">
        <f t="shared" si="43"/>
        <v>33205.522599999997</v>
      </c>
      <c r="O251" s="330"/>
      <c r="P251" s="333"/>
      <c r="Q251" s="330"/>
      <c r="R251" s="333"/>
    </row>
    <row r="252" spans="1:18">
      <c r="A252" s="324" t="s">
        <v>1056</v>
      </c>
      <c r="B252" s="325" t="s">
        <v>225</v>
      </c>
      <c r="C252" s="408" t="s">
        <v>453</v>
      </c>
      <c r="D252" s="327" t="s">
        <v>1112</v>
      </c>
      <c r="E252" s="328" t="s">
        <v>50</v>
      </c>
      <c r="F252" s="329">
        <v>645.84</v>
      </c>
      <c r="G252" s="330">
        <v>11.14</v>
      </c>
      <c r="H252" s="331">
        <v>0</v>
      </c>
      <c r="I252" s="332">
        <v>0</v>
      </c>
      <c r="J252" s="331">
        <f t="shared" si="42"/>
        <v>11.14</v>
      </c>
      <c r="K252" s="329">
        <f t="shared" si="44"/>
        <v>7194.6576000000005</v>
      </c>
      <c r="L252" s="298">
        <f t="shared" si="38"/>
        <v>0</v>
      </c>
      <c r="M252" s="298">
        <f t="shared" si="37"/>
        <v>0</v>
      </c>
      <c r="N252" s="603">
        <f t="shared" si="43"/>
        <v>7194.6576000000005</v>
      </c>
      <c r="O252" s="330"/>
      <c r="P252" s="333"/>
      <c r="Q252" s="330"/>
      <c r="R252" s="333"/>
    </row>
    <row r="253" spans="1:18">
      <c r="A253" s="324" t="s">
        <v>1056</v>
      </c>
      <c r="B253" s="325" t="s">
        <v>226</v>
      </c>
      <c r="C253" s="408" t="s">
        <v>454</v>
      </c>
      <c r="D253" s="327" t="s">
        <v>1113</v>
      </c>
      <c r="E253" s="328" t="s">
        <v>50</v>
      </c>
      <c r="F253" s="329">
        <v>651.87</v>
      </c>
      <c r="G253" s="330">
        <v>11.25</v>
      </c>
      <c r="H253" s="331">
        <v>0</v>
      </c>
      <c r="I253" s="332">
        <v>0</v>
      </c>
      <c r="J253" s="331">
        <f t="shared" si="42"/>
        <v>11.25</v>
      </c>
      <c r="K253" s="329">
        <f t="shared" si="44"/>
        <v>7333.5375000000004</v>
      </c>
      <c r="L253" s="298">
        <f t="shared" si="38"/>
        <v>0</v>
      </c>
      <c r="M253" s="298">
        <f t="shared" si="37"/>
        <v>0</v>
      </c>
      <c r="N253" s="603">
        <f t="shared" si="43"/>
        <v>7333.5375000000004</v>
      </c>
      <c r="O253" s="330"/>
      <c r="P253" s="333"/>
      <c r="Q253" s="330"/>
      <c r="R253" s="333"/>
    </row>
    <row r="254" spans="1:18">
      <c r="A254" s="324" t="s">
        <v>1060</v>
      </c>
      <c r="B254" s="419">
        <v>210322</v>
      </c>
      <c r="C254" s="408" t="s">
        <v>455</v>
      </c>
      <c r="D254" s="327" t="s">
        <v>1114</v>
      </c>
      <c r="E254" s="328" t="s">
        <v>51</v>
      </c>
      <c r="F254" s="329">
        <v>91.5</v>
      </c>
      <c r="G254" s="330">
        <v>17.55</v>
      </c>
      <c r="H254" s="331">
        <v>0</v>
      </c>
      <c r="I254" s="332">
        <v>0</v>
      </c>
      <c r="J254" s="331">
        <f t="shared" si="42"/>
        <v>17.55</v>
      </c>
      <c r="K254" s="329">
        <f t="shared" si="44"/>
        <v>1605.825</v>
      </c>
      <c r="L254" s="298">
        <f t="shared" si="38"/>
        <v>0</v>
      </c>
      <c r="M254" s="298">
        <f t="shared" si="37"/>
        <v>0</v>
      </c>
      <c r="N254" s="603">
        <f t="shared" si="43"/>
        <v>1605.825</v>
      </c>
      <c r="O254" s="330"/>
      <c r="P254" s="333"/>
      <c r="Q254" s="330"/>
      <c r="R254" s="333"/>
    </row>
    <row r="255" spans="1:18" ht="30">
      <c r="A255" s="324" t="s">
        <v>1056</v>
      </c>
      <c r="B255" s="325" t="s">
        <v>227</v>
      </c>
      <c r="C255" s="408" t="s">
        <v>456</v>
      </c>
      <c r="D255" s="348" t="s">
        <v>233</v>
      </c>
      <c r="E255" s="328" t="s">
        <v>51</v>
      </c>
      <c r="F255" s="329">
        <v>366.23</v>
      </c>
      <c r="G255" s="330">
        <v>4.1500000000000004</v>
      </c>
      <c r="H255" s="331">
        <v>0</v>
      </c>
      <c r="I255" s="332">
        <v>0</v>
      </c>
      <c r="J255" s="331">
        <f t="shared" si="42"/>
        <v>4.1500000000000004</v>
      </c>
      <c r="K255" s="329">
        <f t="shared" si="44"/>
        <v>1519.8545000000001</v>
      </c>
      <c r="L255" s="298">
        <f t="shared" si="38"/>
        <v>0</v>
      </c>
      <c r="M255" s="298">
        <f t="shared" si="37"/>
        <v>0</v>
      </c>
      <c r="N255" s="603">
        <f t="shared" si="43"/>
        <v>1519.8545000000001</v>
      </c>
      <c r="O255" s="330"/>
      <c r="P255" s="333"/>
      <c r="Q255" s="330"/>
      <c r="R255" s="333"/>
    </row>
    <row r="256" spans="1:18" ht="45">
      <c r="A256" s="346" t="s">
        <v>1060</v>
      </c>
      <c r="B256" s="347">
        <v>50608</v>
      </c>
      <c r="C256" s="328" t="s">
        <v>457</v>
      </c>
      <c r="D256" s="327" t="s">
        <v>1115</v>
      </c>
      <c r="E256" s="328" t="s">
        <v>57</v>
      </c>
      <c r="F256" s="329">
        <v>88.68</v>
      </c>
      <c r="G256" s="330">
        <v>6.97</v>
      </c>
      <c r="H256" s="331">
        <v>0</v>
      </c>
      <c r="I256" s="332">
        <v>0</v>
      </c>
      <c r="J256" s="331">
        <f t="shared" si="42"/>
        <v>6.97</v>
      </c>
      <c r="K256" s="329">
        <f t="shared" si="44"/>
        <v>618.09960000000001</v>
      </c>
      <c r="L256" s="298">
        <f t="shared" si="38"/>
        <v>0</v>
      </c>
      <c r="M256" s="298">
        <f t="shared" si="37"/>
        <v>0</v>
      </c>
      <c r="N256" s="603">
        <f t="shared" si="43"/>
        <v>618.09960000000001</v>
      </c>
      <c r="O256" s="330"/>
      <c r="P256" s="333"/>
      <c r="Q256" s="330"/>
      <c r="R256" s="333"/>
    </row>
    <row r="257" spans="1:18" ht="30">
      <c r="A257" s="324" t="s">
        <v>1060</v>
      </c>
      <c r="B257" s="419">
        <v>120101</v>
      </c>
      <c r="C257" s="408" t="s">
        <v>458</v>
      </c>
      <c r="D257" s="327" t="s">
        <v>1175</v>
      </c>
      <c r="E257" s="328" t="s">
        <v>57</v>
      </c>
      <c r="F257" s="329">
        <v>5.64</v>
      </c>
      <c r="G257" s="330">
        <v>540.16999999999996</v>
      </c>
      <c r="H257" s="331">
        <v>0</v>
      </c>
      <c r="I257" s="332">
        <v>0</v>
      </c>
      <c r="J257" s="331">
        <f t="shared" si="42"/>
        <v>540.16999999999996</v>
      </c>
      <c r="K257" s="329">
        <f t="shared" si="44"/>
        <v>3046.5587999999998</v>
      </c>
      <c r="L257" s="298">
        <f t="shared" si="38"/>
        <v>0</v>
      </c>
      <c r="M257" s="298">
        <f t="shared" si="37"/>
        <v>0</v>
      </c>
      <c r="N257" s="603">
        <f t="shared" si="43"/>
        <v>3046.5587999999998</v>
      </c>
      <c r="O257" s="330"/>
      <c r="P257" s="333"/>
      <c r="Q257" s="330"/>
      <c r="R257" s="333"/>
    </row>
    <row r="258" spans="1:18" ht="30">
      <c r="A258" s="324" t="s">
        <v>1060</v>
      </c>
      <c r="B258" s="419">
        <v>120303</v>
      </c>
      <c r="C258" s="408" t="s">
        <v>459</v>
      </c>
      <c r="D258" s="348" t="s">
        <v>236</v>
      </c>
      <c r="E258" s="328" t="s">
        <v>57</v>
      </c>
      <c r="F258" s="329">
        <v>49.24</v>
      </c>
      <c r="G258" s="330">
        <v>540.16999999999996</v>
      </c>
      <c r="H258" s="331">
        <v>0</v>
      </c>
      <c r="I258" s="332">
        <v>0</v>
      </c>
      <c r="J258" s="331">
        <f t="shared" si="42"/>
        <v>540.16999999999996</v>
      </c>
      <c r="K258" s="329">
        <f t="shared" si="44"/>
        <v>26597.970799999999</v>
      </c>
      <c r="L258" s="298">
        <f t="shared" si="38"/>
        <v>0</v>
      </c>
      <c r="M258" s="298">
        <f t="shared" si="37"/>
        <v>0</v>
      </c>
      <c r="N258" s="603">
        <f t="shared" si="43"/>
        <v>26597.970799999999</v>
      </c>
      <c r="O258" s="330"/>
      <c r="P258" s="333"/>
      <c r="Q258" s="330"/>
      <c r="R258" s="333"/>
    </row>
    <row r="259" spans="1:18" ht="30">
      <c r="A259" s="324" t="s">
        <v>1060</v>
      </c>
      <c r="B259" s="419">
        <v>190117</v>
      </c>
      <c r="C259" s="408" t="s">
        <v>460</v>
      </c>
      <c r="D259" s="348" t="s">
        <v>237</v>
      </c>
      <c r="E259" s="328" t="s">
        <v>57</v>
      </c>
      <c r="F259" s="329">
        <v>18.27</v>
      </c>
      <c r="G259" s="330">
        <v>540.16999999999996</v>
      </c>
      <c r="H259" s="331">
        <v>0</v>
      </c>
      <c r="I259" s="332">
        <v>0</v>
      </c>
      <c r="J259" s="331">
        <f t="shared" si="42"/>
        <v>540.16999999999996</v>
      </c>
      <c r="K259" s="329">
        <f t="shared" si="44"/>
        <v>9868.9058999999997</v>
      </c>
      <c r="L259" s="298">
        <f t="shared" si="38"/>
        <v>0</v>
      </c>
      <c r="M259" s="298">
        <f t="shared" si="37"/>
        <v>0</v>
      </c>
      <c r="N259" s="603">
        <f t="shared" si="43"/>
        <v>9868.9058999999997</v>
      </c>
      <c r="O259" s="330"/>
      <c r="P259" s="333"/>
      <c r="Q259" s="330"/>
      <c r="R259" s="333"/>
    </row>
    <row r="260" spans="1:18" ht="45">
      <c r="A260" s="346" t="s">
        <v>1060</v>
      </c>
      <c r="B260" s="426">
        <v>130230</v>
      </c>
      <c r="C260" s="328" t="s">
        <v>461</v>
      </c>
      <c r="D260" s="348" t="s">
        <v>238</v>
      </c>
      <c r="E260" s="328" t="s">
        <v>57</v>
      </c>
      <c r="F260" s="329">
        <v>106.19</v>
      </c>
      <c r="G260" s="330">
        <v>157.13</v>
      </c>
      <c r="H260" s="331">
        <v>0</v>
      </c>
      <c r="I260" s="332">
        <v>0</v>
      </c>
      <c r="J260" s="331">
        <f t="shared" si="42"/>
        <v>157.13</v>
      </c>
      <c r="K260" s="329">
        <f t="shared" si="44"/>
        <v>16685.634699999999</v>
      </c>
      <c r="L260" s="298">
        <f t="shared" si="38"/>
        <v>0</v>
      </c>
      <c r="M260" s="298">
        <f t="shared" si="37"/>
        <v>0</v>
      </c>
      <c r="N260" s="603">
        <f t="shared" si="43"/>
        <v>16685.634699999999</v>
      </c>
      <c r="O260" s="330"/>
      <c r="P260" s="333"/>
      <c r="Q260" s="330"/>
      <c r="R260" s="333"/>
    </row>
    <row r="261" spans="1:18" ht="30">
      <c r="A261" s="324" t="s">
        <v>1056</v>
      </c>
      <c r="B261" s="325" t="s">
        <v>228</v>
      </c>
      <c r="C261" s="408" t="s">
        <v>462</v>
      </c>
      <c r="D261" s="348" t="s">
        <v>239</v>
      </c>
      <c r="E261" s="328" t="s">
        <v>72</v>
      </c>
      <c r="F261" s="329">
        <v>333.45</v>
      </c>
      <c r="G261" s="330">
        <v>22</v>
      </c>
      <c r="H261" s="331">
        <v>0</v>
      </c>
      <c r="I261" s="332">
        <v>0</v>
      </c>
      <c r="J261" s="331">
        <f t="shared" si="42"/>
        <v>22</v>
      </c>
      <c r="K261" s="329">
        <f t="shared" si="44"/>
        <v>7335.9</v>
      </c>
      <c r="L261" s="298">
        <f t="shared" si="38"/>
        <v>0</v>
      </c>
      <c r="M261" s="298">
        <f t="shared" si="37"/>
        <v>0</v>
      </c>
      <c r="N261" s="603">
        <f t="shared" si="43"/>
        <v>7335.9</v>
      </c>
      <c r="O261" s="330"/>
      <c r="P261" s="333"/>
      <c r="Q261" s="330"/>
      <c r="R261" s="333"/>
    </row>
    <row r="262" spans="1:18" s="312" customFormat="1">
      <c r="A262" s="392"/>
      <c r="B262" s="393"/>
      <c r="C262" s="394" t="s">
        <v>463</v>
      </c>
      <c r="D262" s="395" t="s">
        <v>1116</v>
      </c>
      <c r="E262" s="396"/>
      <c r="F262" s="397"/>
      <c r="G262" s="398"/>
      <c r="H262" s="399"/>
      <c r="I262" s="400"/>
      <c r="J262" s="399"/>
      <c r="K262" s="407"/>
      <c r="L262" s="298"/>
      <c r="M262" s="298"/>
      <c r="N262" s="603"/>
      <c r="O262" s="398"/>
      <c r="P262" s="402"/>
      <c r="Q262" s="398"/>
      <c r="R262" s="402"/>
    </row>
    <row r="263" spans="1:18" s="345" customFormat="1">
      <c r="A263" s="334"/>
      <c r="B263" s="335"/>
      <c r="C263" s="336" t="s">
        <v>464</v>
      </c>
      <c r="D263" s="337" t="s">
        <v>1117</v>
      </c>
      <c r="E263" s="338"/>
      <c r="F263" s="339"/>
      <c r="G263" s="340"/>
      <c r="H263" s="341"/>
      <c r="I263" s="342"/>
      <c r="J263" s="341"/>
      <c r="K263" s="343"/>
      <c r="L263" s="298"/>
      <c r="M263" s="298"/>
      <c r="N263" s="603"/>
      <c r="O263" s="340"/>
      <c r="P263" s="344"/>
      <c r="Q263" s="340"/>
      <c r="R263" s="344"/>
    </row>
    <row r="264" spans="1:18" s="387" customFormat="1" ht="18">
      <c r="A264" s="477" t="s">
        <v>1060</v>
      </c>
      <c r="B264" s="376">
        <v>40405</v>
      </c>
      <c r="C264" s="377" t="s">
        <v>465</v>
      </c>
      <c r="D264" s="378" t="s">
        <v>264</v>
      </c>
      <c r="E264" s="379" t="s">
        <v>57</v>
      </c>
      <c r="F264" s="380">
        <v>86.33</v>
      </c>
      <c r="G264" s="381">
        <v>341</v>
      </c>
      <c r="H264" s="384">
        <v>90</v>
      </c>
      <c r="I264" s="383">
        <v>0</v>
      </c>
      <c r="J264" s="384">
        <f t="shared" si="42"/>
        <v>431</v>
      </c>
      <c r="K264" s="385">
        <f t="shared" si="44"/>
        <v>29438.53</v>
      </c>
      <c r="L264" s="358">
        <f t="shared" si="38"/>
        <v>7769.7</v>
      </c>
      <c r="M264" s="359">
        <f t="shared" si="37"/>
        <v>0</v>
      </c>
      <c r="N264" s="604">
        <f t="shared" si="43"/>
        <v>37208.229999999996</v>
      </c>
      <c r="O264" s="381">
        <f>H264</f>
        <v>90</v>
      </c>
      <c r="P264" s="386">
        <f>O264*F264</f>
        <v>7769.7</v>
      </c>
      <c r="Q264" s="381"/>
      <c r="R264" s="386">
        <f>Q264*H264</f>
        <v>0</v>
      </c>
    </row>
    <row r="265" spans="1:18" s="481" customFormat="1">
      <c r="A265" s="435" t="s">
        <v>1060</v>
      </c>
      <c r="B265" s="436"/>
      <c r="C265" s="437" t="s">
        <v>466</v>
      </c>
      <c r="D265" s="438" t="s">
        <v>1119</v>
      </c>
      <c r="E265" s="439" t="s">
        <v>10</v>
      </c>
      <c r="F265" s="478">
        <f>'[34]COMPOSIÇÕES ADITIVO'!I183</f>
        <v>13295.45</v>
      </c>
      <c r="G265" s="479">
        <v>0</v>
      </c>
      <c r="H265" s="442">
        <v>1</v>
      </c>
      <c r="I265" s="443">
        <v>0</v>
      </c>
      <c r="J265" s="442">
        <f t="shared" si="42"/>
        <v>1</v>
      </c>
      <c r="K265" s="478">
        <f t="shared" si="44"/>
        <v>0</v>
      </c>
      <c r="L265" s="298">
        <f t="shared" si="38"/>
        <v>13295.45</v>
      </c>
      <c r="M265" s="298">
        <f t="shared" si="37"/>
        <v>0</v>
      </c>
      <c r="N265" s="603">
        <f t="shared" si="43"/>
        <v>13295.45</v>
      </c>
      <c r="O265" s="479">
        <v>1</v>
      </c>
      <c r="P265" s="480">
        <f>O265*F265</f>
        <v>13295.45</v>
      </c>
      <c r="Q265" s="479"/>
      <c r="R265" s="480">
        <f>Q265*H265</f>
        <v>0</v>
      </c>
    </row>
    <row r="266" spans="1:18">
      <c r="A266" s="324" t="s">
        <v>1056</v>
      </c>
      <c r="B266" s="482" t="s">
        <v>255</v>
      </c>
      <c r="C266" s="483" t="s">
        <v>467</v>
      </c>
      <c r="D266" s="327" t="s">
        <v>1120</v>
      </c>
      <c r="E266" s="328" t="s">
        <v>29</v>
      </c>
      <c r="F266" s="329">
        <v>7.33</v>
      </c>
      <c r="G266" s="330">
        <v>3966.02</v>
      </c>
      <c r="H266" s="331">
        <v>0</v>
      </c>
      <c r="I266" s="332">
        <v>0</v>
      </c>
      <c r="J266" s="331">
        <f t="shared" si="42"/>
        <v>3966.02</v>
      </c>
      <c r="K266" s="329">
        <f t="shared" si="44"/>
        <v>29070.926599999999</v>
      </c>
      <c r="L266" s="298">
        <f t="shared" si="38"/>
        <v>0</v>
      </c>
      <c r="M266" s="298">
        <f t="shared" si="37"/>
        <v>0</v>
      </c>
      <c r="N266" s="603">
        <f t="shared" si="43"/>
        <v>29070.926599999999</v>
      </c>
      <c r="O266" s="330"/>
      <c r="P266" s="333"/>
      <c r="Q266" s="330"/>
      <c r="R266" s="333"/>
    </row>
    <row r="267" spans="1:18" ht="30">
      <c r="A267" s="324" t="s">
        <v>1060</v>
      </c>
      <c r="B267" s="349">
        <v>40328</v>
      </c>
      <c r="C267" s="408" t="s">
        <v>468</v>
      </c>
      <c r="D267" s="348" t="s">
        <v>147</v>
      </c>
      <c r="E267" s="328" t="s">
        <v>29</v>
      </c>
      <c r="F267" s="329">
        <v>7.98</v>
      </c>
      <c r="G267" s="330">
        <v>1880</v>
      </c>
      <c r="H267" s="331">
        <v>0</v>
      </c>
      <c r="I267" s="332">
        <v>0</v>
      </c>
      <c r="J267" s="331">
        <f t="shared" si="42"/>
        <v>1880</v>
      </c>
      <c r="K267" s="329">
        <f t="shared" si="44"/>
        <v>15002.400000000001</v>
      </c>
      <c r="L267" s="298">
        <f t="shared" si="38"/>
        <v>0</v>
      </c>
      <c r="M267" s="298">
        <f t="shared" si="37"/>
        <v>0</v>
      </c>
      <c r="N267" s="603">
        <f t="shared" si="43"/>
        <v>15002.400000000001</v>
      </c>
      <c r="O267" s="330"/>
      <c r="P267" s="333"/>
      <c r="Q267" s="330"/>
      <c r="R267" s="333"/>
    </row>
    <row r="268" spans="1:18">
      <c r="A268" s="324" t="s">
        <v>1056</v>
      </c>
      <c r="B268" s="325" t="s">
        <v>256</v>
      </c>
      <c r="C268" s="408" t="s">
        <v>469</v>
      </c>
      <c r="D268" s="327" t="s">
        <v>1176</v>
      </c>
      <c r="E268" s="328" t="s">
        <v>29</v>
      </c>
      <c r="F268" s="329">
        <v>11.02</v>
      </c>
      <c r="G268" s="330">
        <v>73</v>
      </c>
      <c r="H268" s="331">
        <v>0</v>
      </c>
      <c r="I268" s="332">
        <v>0</v>
      </c>
      <c r="J268" s="331">
        <f t="shared" si="42"/>
        <v>73</v>
      </c>
      <c r="K268" s="329">
        <f t="shared" si="44"/>
        <v>804.45999999999992</v>
      </c>
      <c r="L268" s="298">
        <f t="shared" si="38"/>
        <v>0</v>
      </c>
      <c r="M268" s="298">
        <f t="shared" ref="M268:M331" si="45">I268*F268</f>
        <v>0</v>
      </c>
      <c r="N268" s="603">
        <f t="shared" si="43"/>
        <v>804.45999999999992</v>
      </c>
      <c r="O268" s="330"/>
      <c r="P268" s="333"/>
      <c r="Q268" s="330"/>
      <c r="R268" s="333"/>
    </row>
    <row r="269" spans="1:18" ht="45">
      <c r="A269" s="324" t="s">
        <v>1056</v>
      </c>
      <c r="B269" s="325" t="s">
        <v>257</v>
      </c>
      <c r="C269" s="408" t="s">
        <v>470</v>
      </c>
      <c r="D269" s="327" t="s">
        <v>267</v>
      </c>
      <c r="E269" s="328" t="s">
        <v>58</v>
      </c>
      <c r="F269" s="329">
        <v>777.83</v>
      </c>
      <c r="G269" s="330">
        <v>28.05</v>
      </c>
      <c r="H269" s="331">
        <v>0</v>
      </c>
      <c r="I269" s="332">
        <v>0</v>
      </c>
      <c r="J269" s="331">
        <f t="shared" si="42"/>
        <v>28.05</v>
      </c>
      <c r="K269" s="329">
        <f t="shared" si="44"/>
        <v>21818.131500000003</v>
      </c>
      <c r="L269" s="298">
        <f t="shared" si="38"/>
        <v>0</v>
      </c>
      <c r="M269" s="298">
        <f>I269*F269</f>
        <v>0</v>
      </c>
      <c r="N269" s="603">
        <f t="shared" si="43"/>
        <v>21818.131500000003</v>
      </c>
      <c r="O269" s="330"/>
      <c r="P269" s="333"/>
      <c r="Q269" s="330"/>
      <c r="R269" s="333"/>
    </row>
    <row r="270" spans="1:18">
      <c r="A270" s="324" t="s">
        <v>1056</v>
      </c>
      <c r="B270" s="325" t="s">
        <v>258</v>
      </c>
      <c r="C270" s="408" t="s">
        <v>472</v>
      </c>
      <c r="D270" s="327" t="s">
        <v>1177</v>
      </c>
      <c r="E270" s="328" t="s">
        <v>49</v>
      </c>
      <c r="F270" s="329">
        <v>641.15</v>
      </c>
      <c r="G270" s="330">
        <v>113.84</v>
      </c>
      <c r="H270" s="331">
        <v>0</v>
      </c>
      <c r="I270" s="332">
        <v>0</v>
      </c>
      <c r="J270" s="331">
        <f t="shared" si="42"/>
        <v>113.84</v>
      </c>
      <c r="K270" s="329">
        <f t="shared" si="44"/>
        <v>72988.516000000003</v>
      </c>
      <c r="L270" s="298">
        <f t="shared" si="38"/>
        <v>0</v>
      </c>
      <c r="M270" s="298">
        <f t="shared" si="45"/>
        <v>0</v>
      </c>
      <c r="N270" s="603">
        <f t="shared" si="43"/>
        <v>72988.516000000003</v>
      </c>
      <c r="O270" s="330"/>
      <c r="P270" s="333"/>
      <c r="Q270" s="330"/>
      <c r="R270" s="333"/>
    </row>
    <row r="271" spans="1:18" s="361" customFormat="1" ht="18">
      <c r="A271" s="350" t="s">
        <v>1056</v>
      </c>
      <c r="B271" s="351" t="s">
        <v>259</v>
      </c>
      <c r="C271" s="328" t="s">
        <v>473</v>
      </c>
      <c r="D271" s="352" t="s">
        <v>269</v>
      </c>
      <c r="E271" s="353" t="s">
        <v>72</v>
      </c>
      <c r="F271" s="354">
        <v>14345.61</v>
      </c>
      <c r="G271" s="355">
        <v>4</v>
      </c>
      <c r="H271" s="331"/>
      <c r="I271" s="356">
        <v>0</v>
      </c>
      <c r="J271" s="331">
        <f t="shared" si="42"/>
        <v>4</v>
      </c>
      <c r="K271" s="418">
        <f t="shared" si="44"/>
        <v>57382.44</v>
      </c>
      <c r="L271" s="358">
        <f t="shared" ref="L271:L331" si="46">H271*F271</f>
        <v>0</v>
      </c>
      <c r="M271" s="359">
        <f t="shared" si="45"/>
        <v>0</v>
      </c>
      <c r="N271" s="604">
        <f t="shared" si="43"/>
        <v>57382.44</v>
      </c>
      <c r="O271" s="355"/>
      <c r="P271" s="360"/>
      <c r="Q271" s="355"/>
      <c r="R271" s="360"/>
    </row>
    <row r="272" spans="1:18">
      <c r="A272" s="324" t="s">
        <v>1056</v>
      </c>
      <c r="B272" s="325" t="s">
        <v>260</v>
      </c>
      <c r="C272" s="408" t="s">
        <v>474</v>
      </c>
      <c r="D272" s="327" t="s">
        <v>1122</v>
      </c>
      <c r="E272" s="328" t="s">
        <v>72</v>
      </c>
      <c r="F272" s="329">
        <v>5478.19</v>
      </c>
      <c r="G272" s="330">
        <v>2</v>
      </c>
      <c r="H272" s="331">
        <v>0</v>
      </c>
      <c r="I272" s="332">
        <v>0</v>
      </c>
      <c r="J272" s="331">
        <f t="shared" si="42"/>
        <v>2</v>
      </c>
      <c r="K272" s="329">
        <f t="shared" si="44"/>
        <v>10956.38</v>
      </c>
      <c r="L272" s="298">
        <f t="shared" si="46"/>
        <v>0</v>
      </c>
      <c r="M272" s="298">
        <f t="shared" si="45"/>
        <v>0</v>
      </c>
      <c r="N272" s="603">
        <f t="shared" si="43"/>
        <v>10956.38</v>
      </c>
      <c r="O272" s="330"/>
      <c r="P272" s="333"/>
      <c r="Q272" s="330"/>
      <c r="R272" s="333"/>
    </row>
    <row r="273" spans="1:18" ht="30">
      <c r="A273" s="324" t="s">
        <v>1060</v>
      </c>
      <c r="B273" s="349">
        <v>40817</v>
      </c>
      <c r="C273" s="408" t="s">
        <v>475</v>
      </c>
      <c r="D273" s="348" t="s">
        <v>271</v>
      </c>
      <c r="E273" s="328" t="s">
        <v>58</v>
      </c>
      <c r="F273" s="329">
        <v>3001.6</v>
      </c>
      <c r="G273" s="330">
        <v>0.03</v>
      </c>
      <c r="H273" s="331">
        <v>0</v>
      </c>
      <c r="I273" s="332">
        <v>0</v>
      </c>
      <c r="J273" s="331">
        <f t="shared" si="42"/>
        <v>0.03</v>
      </c>
      <c r="K273" s="329">
        <f t="shared" si="44"/>
        <v>90.047999999999988</v>
      </c>
      <c r="L273" s="298">
        <f t="shared" si="46"/>
        <v>0</v>
      </c>
      <c r="M273" s="298">
        <f t="shared" si="45"/>
        <v>0</v>
      </c>
      <c r="N273" s="603">
        <f t="shared" ref="N273:N337" si="47">J273*F273</f>
        <v>90.047999999999988</v>
      </c>
      <c r="O273" s="330"/>
      <c r="P273" s="333"/>
      <c r="Q273" s="330"/>
      <c r="R273" s="333"/>
    </row>
    <row r="274" spans="1:18">
      <c r="A274" s="324" t="s">
        <v>1056</v>
      </c>
      <c r="B274" s="325" t="s">
        <v>261</v>
      </c>
      <c r="C274" s="408" t="s">
        <v>476</v>
      </c>
      <c r="D274" s="327" t="s">
        <v>1123</v>
      </c>
      <c r="E274" s="328" t="s">
        <v>72</v>
      </c>
      <c r="F274" s="329">
        <v>2011.04</v>
      </c>
      <c r="G274" s="330">
        <v>15</v>
      </c>
      <c r="H274" s="331">
        <v>0</v>
      </c>
      <c r="I274" s="332">
        <v>0</v>
      </c>
      <c r="J274" s="331">
        <f t="shared" ref="J274:J338" si="48">G274+H274-I274</f>
        <v>15</v>
      </c>
      <c r="K274" s="329">
        <f t="shared" si="44"/>
        <v>30165.599999999999</v>
      </c>
      <c r="L274" s="298">
        <f t="shared" si="46"/>
        <v>0</v>
      </c>
      <c r="M274" s="298">
        <f t="shared" si="45"/>
        <v>0</v>
      </c>
      <c r="N274" s="603">
        <f t="shared" si="47"/>
        <v>30165.599999999999</v>
      </c>
      <c r="O274" s="330"/>
      <c r="P274" s="333"/>
      <c r="Q274" s="330"/>
      <c r="R274" s="333"/>
    </row>
    <row r="275" spans="1:18" ht="30">
      <c r="A275" s="324" t="s">
        <v>1056</v>
      </c>
      <c r="B275" s="325" t="s">
        <v>262</v>
      </c>
      <c r="C275" s="408" t="s">
        <v>1178</v>
      </c>
      <c r="D275" s="327" t="s">
        <v>273</v>
      </c>
      <c r="E275" s="328" t="s">
        <v>72</v>
      </c>
      <c r="F275" s="329">
        <v>28185.33</v>
      </c>
      <c r="G275" s="330">
        <v>1</v>
      </c>
      <c r="H275" s="331"/>
      <c r="I275" s="332">
        <v>0</v>
      </c>
      <c r="J275" s="331">
        <f t="shared" si="48"/>
        <v>1</v>
      </c>
      <c r="K275" s="329">
        <f t="shared" si="44"/>
        <v>28185.33</v>
      </c>
      <c r="L275" s="298">
        <f t="shared" si="46"/>
        <v>0</v>
      </c>
      <c r="M275" s="298">
        <f t="shared" si="45"/>
        <v>0</v>
      </c>
      <c r="N275" s="603">
        <f t="shared" si="47"/>
        <v>28185.33</v>
      </c>
      <c r="O275" s="330"/>
      <c r="P275" s="333"/>
      <c r="Q275" s="330"/>
      <c r="R275" s="333"/>
    </row>
    <row r="276" spans="1:18">
      <c r="A276" s="324" t="s">
        <v>1056</v>
      </c>
      <c r="B276" s="325" t="s">
        <v>263</v>
      </c>
      <c r="C276" s="408" t="s">
        <v>1179</v>
      </c>
      <c r="D276" s="327" t="s">
        <v>1126</v>
      </c>
      <c r="E276" s="328" t="s">
        <v>72</v>
      </c>
      <c r="F276" s="329">
        <v>340.73</v>
      </c>
      <c r="G276" s="330">
        <v>2</v>
      </c>
      <c r="H276" s="331">
        <v>0</v>
      </c>
      <c r="I276" s="332">
        <v>0</v>
      </c>
      <c r="J276" s="331">
        <f t="shared" si="48"/>
        <v>2</v>
      </c>
      <c r="K276" s="329">
        <f t="shared" si="44"/>
        <v>681.46</v>
      </c>
      <c r="L276" s="298">
        <f t="shared" si="46"/>
        <v>0</v>
      </c>
      <c r="M276" s="298">
        <f t="shared" si="45"/>
        <v>0</v>
      </c>
      <c r="N276" s="603">
        <f t="shared" si="47"/>
        <v>681.46</v>
      </c>
      <c r="O276" s="330"/>
      <c r="P276" s="333"/>
      <c r="Q276" s="330"/>
      <c r="R276" s="333"/>
    </row>
    <row r="277" spans="1:18" s="345" customFormat="1">
      <c r="A277" s="334"/>
      <c r="B277" s="335"/>
      <c r="C277" s="336" t="s">
        <v>477</v>
      </c>
      <c r="D277" s="337" t="s">
        <v>1127</v>
      </c>
      <c r="E277" s="338"/>
      <c r="F277" s="339"/>
      <c r="G277" s="340"/>
      <c r="H277" s="341"/>
      <c r="I277" s="342"/>
      <c r="J277" s="341"/>
      <c r="K277" s="343"/>
      <c r="L277" s="298"/>
      <c r="M277" s="298"/>
      <c r="N277" s="603"/>
      <c r="O277" s="340"/>
      <c r="P277" s="344"/>
      <c r="Q277" s="340"/>
      <c r="R277" s="344"/>
    </row>
    <row r="278" spans="1:18" ht="30">
      <c r="A278" s="324" t="s">
        <v>1056</v>
      </c>
      <c r="B278" s="325" t="s">
        <v>479</v>
      </c>
      <c r="C278" s="408" t="s">
        <v>478</v>
      </c>
      <c r="D278" s="327" t="s">
        <v>480</v>
      </c>
      <c r="E278" s="328" t="s">
        <v>72</v>
      </c>
      <c r="F278" s="329">
        <v>2219.4899999999998</v>
      </c>
      <c r="G278" s="330">
        <v>1</v>
      </c>
      <c r="H278" s="331"/>
      <c r="I278" s="332">
        <v>0</v>
      </c>
      <c r="J278" s="331">
        <f t="shared" si="48"/>
        <v>1</v>
      </c>
      <c r="K278" s="329">
        <f t="shared" si="44"/>
        <v>2219.4899999999998</v>
      </c>
      <c r="L278" s="298">
        <f t="shared" si="46"/>
        <v>0</v>
      </c>
      <c r="M278" s="298">
        <f t="shared" si="45"/>
        <v>0</v>
      </c>
      <c r="N278" s="603">
        <f t="shared" si="47"/>
        <v>2219.4899999999998</v>
      </c>
      <c r="O278" s="330"/>
      <c r="P278" s="333"/>
      <c r="Q278" s="330"/>
      <c r="R278" s="333"/>
    </row>
    <row r="279" spans="1:18" s="345" customFormat="1">
      <c r="A279" s="334"/>
      <c r="B279" s="335"/>
      <c r="C279" s="336" t="s">
        <v>481</v>
      </c>
      <c r="D279" s="417" t="s">
        <v>281</v>
      </c>
      <c r="E279" s="338"/>
      <c r="F279" s="339"/>
      <c r="G279" s="340"/>
      <c r="H279" s="341"/>
      <c r="I279" s="342"/>
      <c r="J279" s="341"/>
      <c r="K279" s="343"/>
      <c r="L279" s="298"/>
      <c r="M279" s="298"/>
      <c r="N279" s="603"/>
      <c r="O279" s="340"/>
      <c r="P279" s="344"/>
      <c r="Q279" s="340"/>
      <c r="R279" s="344"/>
    </row>
    <row r="280" spans="1:18" ht="30">
      <c r="A280" s="324" t="s">
        <v>1096</v>
      </c>
      <c r="B280" s="325" t="s">
        <v>496</v>
      </c>
      <c r="C280" s="408" t="s">
        <v>482</v>
      </c>
      <c r="D280" s="348" t="s">
        <v>499</v>
      </c>
      <c r="E280" s="328" t="s">
        <v>315</v>
      </c>
      <c r="F280" s="329">
        <v>11945.63</v>
      </c>
      <c r="G280" s="330">
        <v>2</v>
      </c>
      <c r="H280" s="331">
        <v>0</v>
      </c>
      <c r="I280" s="332">
        <v>0</v>
      </c>
      <c r="J280" s="331">
        <f t="shared" si="48"/>
        <v>2</v>
      </c>
      <c r="K280" s="329">
        <f t="shared" si="44"/>
        <v>23891.26</v>
      </c>
      <c r="L280" s="298">
        <f t="shared" si="46"/>
        <v>0</v>
      </c>
      <c r="M280" s="298">
        <f t="shared" si="45"/>
        <v>0</v>
      </c>
      <c r="N280" s="603">
        <f t="shared" si="47"/>
        <v>23891.26</v>
      </c>
      <c r="O280" s="330"/>
      <c r="P280" s="333"/>
      <c r="Q280" s="330"/>
      <c r="R280" s="333"/>
    </row>
    <row r="281" spans="1:18" s="464" customFormat="1" ht="30">
      <c r="A281" s="455" t="s">
        <v>1096</v>
      </c>
      <c r="B281" s="456" t="s">
        <v>496</v>
      </c>
      <c r="C281" s="472" t="s">
        <v>483</v>
      </c>
      <c r="D281" s="458" t="s">
        <v>305</v>
      </c>
      <c r="E281" s="457" t="s">
        <v>60</v>
      </c>
      <c r="F281" s="459">
        <v>1268.83</v>
      </c>
      <c r="G281" s="460">
        <v>35.799999999999997</v>
      </c>
      <c r="H281" s="461">
        <v>0</v>
      </c>
      <c r="I281" s="462">
        <v>35.799999999999997</v>
      </c>
      <c r="J281" s="461">
        <f t="shared" si="48"/>
        <v>0</v>
      </c>
      <c r="K281" s="459">
        <f t="shared" si="44"/>
        <v>45424.113999999994</v>
      </c>
      <c r="L281" s="298">
        <f t="shared" si="46"/>
        <v>0</v>
      </c>
      <c r="M281" s="298">
        <f t="shared" si="45"/>
        <v>45424.113999999994</v>
      </c>
      <c r="N281" s="605">
        <f t="shared" si="47"/>
        <v>0</v>
      </c>
      <c r="O281" s="460"/>
      <c r="P281" s="463"/>
      <c r="Q281" s="460"/>
      <c r="R281" s="463"/>
    </row>
    <row r="282" spans="1:18" s="485" customFormat="1" ht="30">
      <c r="A282" s="451" t="s">
        <v>1056</v>
      </c>
      <c r="B282" s="484" t="s">
        <v>1180</v>
      </c>
      <c r="C282" s="439" t="s">
        <v>484</v>
      </c>
      <c r="D282" s="453" t="s">
        <v>1181</v>
      </c>
      <c r="E282" s="439" t="s">
        <v>51</v>
      </c>
      <c r="F282" s="478">
        <f>'[34]COMPOSIÇÕES ADITIVO'!I231</f>
        <v>742.5</v>
      </c>
      <c r="G282" s="479">
        <v>0</v>
      </c>
      <c r="H282" s="450">
        <f>(6*16.7) + (6*17.5)-H288</f>
        <v>174</v>
      </c>
      <c r="I282" s="449">
        <v>0</v>
      </c>
      <c r="J282" s="450">
        <f t="shared" si="48"/>
        <v>174</v>
      </c>
      <c r="K282" s="478">
        <f t="shared" si="44"/>
        <v>0</v>
      </c>
      <c r="L282" s="298">
        <f>H282*F282</f>
        <v>129195</v>
      </c>
      <c r="M282" s="598">
        <f t="shared" si="45"/>
        <v>0</v>
      </c>
      <c r="N282" s="603">
        <f t="shared" si="47"/>
        <v>129195</v>
      </c>
      <c r="O282" s="479"/>
      <c r="P282" s="480"/>
      <c r="Q282" s="479">
        <f>174/2</f>
        <v>87</v>
      </c>
      <c r="R282" s="480">
        <f>Q282*F282</f>
        <v>64597.5</v>
      </c>
    </row>
    <row r="283" spans="1:18" s="497" customFormat="1" ht="18">
      <c r="A283" s="486" t="s">
        <v>1056</v>
      </c>
      <c r="B283" s="487" t="s">
        <v>296</v>
      </c>
      <c r="C283" s="488" t="s">
        <v>485</v>
      </c>
      <c r="D283" s="489" t="s">
        <v>306</v>
      </c>
      <c r="E283" s="490" t="s">
        <v>51</v>
      </c>
      <c r="F283" s="491">
        <v>294.97000000000003</v>
      </c>
      <c r="G283" s="492">
        <v>35.799999999999997</v>
      </c>
      <c r="H283" s="493">
        <f>H282-G283</f>
        <v>138.19999999999999</v>
      </c>
      <c r="I283" s="494">
        <v>0</v>
      </c>
      <c r="J283" s="493">
        <f>G283+H283-I283</f>
        <v>174</v>
      </c>
      <c r="K283" s="495">
        <f>F283*G283</f>
        <v>10559.925999999999</v>
      </c>
      <c r="L283" s="358">
        <f>H283*F283</f>
        <v>40764.853999999999</v>
      </c>
      <c r="M283" s="359">
        <f>I283*F283</f>
        <v>0</v>
      </c>
      <c r="N283" s="604">
        <f>J283*F283</f>
        <v>51324.780000000006</v>
      </c>
      <c r="O283" s="492"/>
      <c r="P283" s="496"/>
      <c r="Q283" s="492">
        <f>H283/2</f>
        <v>69.099999999999994</v>
      </c>
      <c r="R283" s="496">
        <f>Q283*F283</f>
        <v>20382.427</v>
      </c>
    </row>
    <row r="284" spans="1:18" s="464" customFormat="1">
      <c r="A284" s="455" t="s">
        <v>1056</v>
      </c>
      <c r="B284" s="456" t="s">
        <v>297</v>
      </c>
      <c r="C284" s="472" t="s">
        <v>486</v>
      </c>
      <c r="D284" s="458" t="s">
        <v>307</v>
      </c>
      <c r="E284" s="457" t="s">
        <v>51</v>
      </c>
      <c r="F284" s="459">
        <v>309.62</v>
      </c>
      <c r="G284" s="460">
        <v>2.8</v>
      </c>
      <c r="H284" s="461">
        <v>0</v>
      </c>
      <c r="I284" s="462">
        <v>2.8</v>
      </c>
      <c r="J284" s="461">
        <f t="shared" si="48"/>
        <v>0</v>
      </c>
      <c r="K284" s="459">
        <f t="shared" si="44"/>
        <v>866.93599999999992</v>
      </c>
      <c r="L284" s="298">
        <f t="shared" si="46"/>
        <v>0</v>
      </c>
      <c r="M284" s="298">
        <f t="shared" si="45"/>
        <v>866.93599999999992</v>
      </c>
      <c r="N284" s="605">
        <f t="shared" si="47"/>
        <v>0</v>
      </c>
      <c r="O284" s="460"/>
      <c r="P284" s="463"/>
      <c r="Q284" s="460"/>
      <c r="R284" s="463"/>
    </row>
    <row r="285" spans="1:18" s="485" customFormat="1" ht="30">
      <c r="A285" s="451" t="s">
        <v>1056</v>
      </c>
      <c r="B285" s="484" t="s">
        <v>1182</v>
      </c>
      <c r="C285" s="439" t="s">
        <v>487</v>
      </c>
      <c r="D285" s="453" t="s">
        <v>1131</v>
      </c>
      <c r="E285" s="439" t="s">
        <v>51</v>
      </c>
      <c r="F285" s="498">
        <v>578.87</v>
      </c>
      <c r="G285" s="479">
        <v>0</v>
      </c>
      <c r="H285" s="450">
        <f>(6*16.7) + (6*17.5)-H288</f>
        <v>174</v>
      </c>
      <c r="I285" s="449">
        <v>0</v>
      </c>
      <c r="J285" s="450">
        <f t="shared" si="48"/>
        <v>174</v>
      </c>
      <c r="K285" s="478">
        <f t="shared" si="44"/>
        <v>0</v>
      </c>
      <c r="L285" s="298">
        <f t="shared" si="46"/>
        <v>100723.38</v>
      </c>
      <c r="M285" s="598">
        <f t="shared" si="45"/>
        <v>0</v>
      </c>
      <c r="N285" s="603">
        <f t="shared" si="47"/>
        <v>100723.38</v>
      </c>
      <c r="O285" s="479"/>
      <c r="P285" s="480"/>
      <c r="Q285" s="479">
        <f>H285/2</f>
        <v>87</v>
      </c>
      <c r="R285" s="480">
        <f>Q285*F285</f>
        <v>50361.69</v>
      </c>
    </row>
    <row r="286" spans="1:18" s="387" customFormat="1" ht="18">
      <c r="A286" s="375" t="s">
        <v>1056</v>
      </c>
      <c r="B286" s="376" t="s">
        <v>298</v>
      </c>
      <c r="C286" s="377" t="s">
        <v>488</v>
      </c>
      <c r="D286" s="378" t="s">
        <v>1183</v>
      </c>
      <c r="E286" s="379" t="s">
        <v>51</v>
      </c>
      <c r="F286" s="380">
        <v>358.26</v>
      </c>
      <c r="G286" s="381">
        <v>2.8</v>
      </c>
      <c r="H286" s="384">
        <f>H285-G286</f>
        <v>171.2</v>
      </c>
      <c r="I286" s="383">
        <v>0</v>
      </c>
      <c r="J286" s="384">
        <f t="shared" si="48"/>
        <v>174</v>
      </c>
      <c r="K286" s="385">
        <f t="shared" si="44"/>
        <v>1003.1279999999999</v>
      </c>
      <c r="L286" s="358">
        <f>H286*F286</f>
        <v>61334.111999999994</v>
      </c>
      <c r="M286" s="359">
        <f t="shared" si="45"/>
        <v>0</v>
      </c>
      <c r="N286" s="604">
        <f t="shared" si="47"/>
        <v>62337.24</v>
      </c>
      <c r="O286" s="381"/>
      <c r="P286" s="386"/>
      <c r="Q286" s="381">
        <f>J286/2</f>
        <v>87</v>
      </c>
      <c r="R286" s="496">
        <f>Q286*F286</f>
        <v>31168.62</v>
      </c>
    </row>
    <row r="287" spans="1:18" s="464" customFormat="1" ht="30">
      <c r="A287" s="455" t="s">
        <v>1056</v>
      </c>
      <c r="B287" s="456" t="s">
        <v>497</v>
      </c>
      <c r="C287" s="472" t="s">
        <v>489</v>
      </c>
      <c r="D287" s="458" t="s">
        <v>500</v>
      </c>
      <c r="E287" s="457" t="s">
        <v>51</v>
      </c>
      <c r="F287" s="459">
        <v>3440.35</v>
      </c>
      <c r="G287" s="460">
        <v>8</v>
      </c>
      <c r="H287" s="461">
        <v>0</v>
      </c>
      <c r="I287" s="462">
        <v>8</v>
      </c>
      <c r="J287" s="461">
        <f t="shared" si="48"/>
        <v>0</v>
      </c>
      <c r="K287" s="459">
        <f t="shared" si="44"/>
        <v>27522.799999999999</v>
      </c>
      <c r="L287" s="298">
        <f t="shared" si="46"/>
        <v>0</v>
      </c>
      <c r="M287" s="298">
        <f t="shared" si="45"/>
        <v>27522.799999999999</v>
      </c>
      <c r="N287" s="605">
        <f t="shared" si="47"/>
        <v>0</v>
      </c>
      <c r="O287" s="460"/>
      <c r="P287" s="463"/>
      <c r="Q287" s="460"/>
      <c r="R287" s="463"/>
    </row>
    <row r="288" spans="1:18" s="485" customFormat="1" ht="30">
      <c r="A288" s="451" t="s">
        <v>1056</v>
      </c>
      <c r="B288" s="484" t="s">
        <v>1184</v>
      </c>
      <c r="C288" s="439" t="s">
        <v>490</v>
      </c>
      <c r="D288" s="453" t="s">
        <v>1185</v>
      </c>
      <c r="E288" s="439" t="s">
        <v>51</v>
      </c>
      <c r="F288" s="478">
        <v>1018.16</v>
      </c>
      <c r="G288" s="479">
        <v>0</v>
      </c>
      <c r="H288" s="450">
        <f>2.6*12</f>
        <v>31.200000000000003</v>
      </c>
      <c r="I288" s="449">
        <v>0</v>
      </c>
      <c r="J288" s="450">
        <f t="shared" si="48"/>
        <v>31.200000000000003</v>
      </c>
      <c r="K288" s="478">
        <f t="shared" si="44"/>
        <v>0</v>
      </c>
      <c r="L288" s="298">
        <f>H288*F288</f>
        <v>31766.592000000001</v>
      </c>
      <c r="M288" s="598">
        <f t="shared" si="45"/>
        <v>0</v>
      </c>
      <c r="N288" s="603">
        <f t="shared" si="47"/>
        <v>31766.592000000001</v>
      </c>
      <c r="O288" s="479"/>
      <c r="P288" s="480"/>
      <c r="Q288" s="479"/>
      <c r="R288" s="480"/>
    </row>
    <row r="289" spans="1:18" s="387" customFormat="1" ht="30">
      <c r="A289" s="375" t="s">
        <v>1056</v>
      </c>
      <c r="B289" s="376" t="s">
        <v>498</v>
      </c>
      <c r="C289" s="377" t="s">
        <v>491</v>
      </c>
      <c r="D289" s="378" t="s">
        <v>501</v>
      </c>
      <c r="E289" s="379" t="s">
        <v>51</v>
      </c>
      <c r="F289" s="380">
        <v>2019.23</v>
      </c>
      <c r="G289" s="381">
        <v>8</v>
      </c>
      <c r="H289" s="384">
        <f>H288-G289</f>
        <v>23.200000000000003</v>
      </c>
      <c r="I289" s="383">
        <v>0</v>
      </c>
      <c r="J289" s="384">
        <f t="shared" si="48"/>
        <v>31.200000000000003</v>
      </c>
      <c r="K289" s="385">
        <f t="shared" si="44"/>
        <v>16153.84</v>
      </c>
      <c r="L289" s="358">
        <f t="shared" si="46"/>
        <v>46846.136000000006</v>
      </c>
      <c r="M289" s="359">
        <f t="shared" si="45"/>
        <v>0</v>
      </c>
      <c r="N289" s="604">
        <f t="shared" si="47"/>
        <v>62999.97600000001</v>
      </c>
      <c r="O289" s="381"/>
      <c r="P289" s="386"/>
      <c r="Q289" s="381"/>
      <c r="R289" s="386"/>
    </row>
    <row r="290" spans="1:18" s="464" customFormat="1" ht="30">
      <c r="A290" s="455" t="s">
        <v>1056</v>
      </c>
      <c r="B290" s="456" t="s">
        <v>299</v>
      </c>
      <c r="C290" s="472" t="s">
        <v>492</v>
      </c>
      <c r="D290" s="458" t="s">
        <v>309</v>
      </c>
      <c r="E290" s="457" t="s">
        <v>29</v>
      </c>
      <c r="F290" s="459">
        <v>8.1199999999999992</v>
      </c>
      <c r="G290" s="460">
        <v>3870</v>
      </c>
      <c r="H290" s="461"/>
      <c r="I290" s="462">
        <f>G290</f>
        <v>3870</v>
      </c>
      <c r="J290" s="461">
        <f t="shared" si="48"/>
        <v>0</v>
      </c>
      <c r="K290" s="459">
        <f t="shared" si="44"/>
        <v>31424.399999999998</v>
      </c>
      <c r="L290" s="298">
        <f t="shared" si="46"/>
        <v>0</v>
      </c>
      <c r="M290" s="298">
        <f t="shared" si="45"/>
        <v>31424.399999999998</v>
      </c>
      <c r="N290" s="605">
        <f t="shared" si="47"/>
        <v>0</v>
      </c>
      <c r="O290" s="460"/>
      <c r="P290" s="463"/>
      <c r="Q290" s="460"/>
      <c r="R290" s="463"/>
    </row>
    <row r="291" spans="1:18" s="464" customFormat="1">
      <c r="A291" s="455" t="s">
        <v>1056</v>
      </c>
      <c r="B291" s="456" t="s">
        <v>300</v>
      </c>
      <c r="C291" s="472" t="s">
        <v>493</v>
      </c>
      <c r="D291" s="458" t="s">
        <v>310</v>
      </c>
      <c r="E291" s="457" t="s">
        <v>29</v>
      </c>
      <c r="F291" s="459">
        <v>0.64</v>
      </c>
      <c r="G291" s="460">
        <v>3870</v>
      </c>
      <c r="H291" s="461">
        <f>H290</f>
        <v>0</v>
      </c>
      <c r="I291" s="462">
        <f>G291</f>
        <v>3870</v>
      </c>
      <c r="J291" s="461">
        <f t="shared" si="48"/>
        <v>0</v>
      </c>
      <c r="K291" s="459">
        <f t="shared" si="44"/>
        <v>2476.8000000000002</v>
      </c>
      <c r="L291" s="298">
        <f t="shared" si="46"/>
        <v>0</v>
      </c>
      <c r="M291" s="298">
        <f t="shared" si="45"/>
        <v>2476.8000000000002</v>
      </c>
      <c r="N291" s="605">
        <f t="shared" si="47"/>
        <v>0</v>
      </c>
      <c r="O291" s="460"/>
      <c r="P291" s="463"/>
      <c r="Q291" s="460"/>
      <c r="R291" s="463"/>
    </row>
    <row r="292" spans="1:18" s="464" customFormat="1" ht="45">
      <c r="A292" s="455" t="s">
        <v>1056</v>
      </c>
      <c r="B292" s="456" t="s">
        <v>140</v>
      </c>
      <c r="C292" s="472" t="s">
        <v>494</v>
      </c>
      <c r="D292" s="458" t="s">
        <v>150</v>
      </c>
      <c r="E292" s="457" t="s">
        <v>58</v>
      </c>
      <c r="F292" s="459">
        <v>486.08</v>
      </c>
      <c r="G292" s="460">
        <v>16.09</v>
      </c>
      <c r="H292" s="461">
        <v>0</v>
      </c>
      <c r="I292" s="462">
        <f>G292</f>
        <v>16.09</v>
      </c>
      <c r="J292" s="461">
        <f t="shared" si="48"/>
        <v>0</v>
      </c>
      <c r="K292" s="459">
        <f t="shared" si="44"/>
        <v>7821.0271999999995</v>
      </c>
      <c r="L292" s="298">
        <f t="shared" si="46"/>
        <v>0</v>
      </c>
      <c r="M292" s="298">
        <f t="shared" si="45"/>
        <v>7821.0271999999995</v>
      </c>
      <c r="N292" s="605">
        <f t="shared" si="47"/>
        <v>0</v>
      </c>
      <c r="O292" s="460"/>
      <c r="P292" s="463"/>
      <c r="Q292" s="460"/>
      <c r="R292" s="463"/>
    </row>
    <row r="293" spans="1:18" s="464" customFormat="1">
      <c r="A293" s="455" t="s">
        <v>1056</v>
      </c>
      <c r="B293" s="456" t="s">
        <v>301</v>
      </c>
      <c r="C293" s="472" t="s">
        <v>495</v>
      </c>
      <c r="D293" s="458" t="s">
        <v>311</v>
      </c>
      <c r="E293" s="457" t="s">
        <v>49</v>
      </c>
      <c r="F293" s="459">
        <v>105.97</v>
      </c>
      <c r="G293" s="460">
        <v>16.09</v>
      </c>
      <c r="H293" s="461">
        <v>0</v>
      </c>
      <c r="I293" s="462">
        <f>G293</f>
        <v>16.09</v>
      </c>
      <c r="J293" s="461">
        <f t="shared" si="48"/>
        <v>0</v>
      </c>
      <c r="K293" s="459">
        <f t="shared" si="44"/>
        <v>1705.0572999999999</v>
      </c>
      <c r="L293" s="298">
        <f t="shared" si="46"/>
        <v>0</v>
      </c>
      <c r="M293" s="298">
        <f t="shared" si="45"/>
        <v>1705.0572999999999</v>
      </c>
      <c r="N293" s="605">
        <f t="shared" si="47"/>
        <v>0</v>
      </c>
      <c r="O293" s="460"/>
      <c r="P293" s="463"/>
      <c r="Q293" s="460"/>
      <c r="R293" s="463"/>
    </row>
    <row r="294" spans="1:18">
      <c r="A294" s="324" t="s">
        <v>1056</v>
      </c>
      <c r="B294" s="325" t="s">
        <v>302</v>
      </c>
      <c r="C294" s="328" t="s">
        <v>1186</v>
      </c>
      <c r="D294" s="327" t="s">
        <v>1133</v>
      </c>
      <c r="E294" s="328" t="s">
        <v>72</v>
      </c>
      <c r="F294" s="329">
        <v>1.62</v>
      </c>
      <c r="G294" s="330">
        <v>4</v>
      </c>
      <c r="H294" s="499"/>
      <c r="I294" s="332">
        <v>0</v>
      </c>
      <c r="J294" s="331">
        <f t="shared" si="48"/>
        <v>4</v>
      </c>
      <c r="K294" s="329">
        <f t="shared" si="44"/>
        <v>6.48</v>
      </c>
      <c r="L294" s="298">
        <f t="shared" si="46"/>
        <v>0</v>
      </c>
      <c r="M294" s="298">
        <f t="shared" si="45"/>
        <v>0</v>
      </c>
      <c r="N294" s="603">
        <f t="shared" si="47"/>
        <v>6.48</v>
      </c>
      <c r="O294" s="330"/>
      <c r="P294" s="333"/>
      <c r="Q294" s="330"/>
      <c r="R294" s="333"/>
    </row>
    <row r="295" spans="1:18" s="464" customFormat="1">
      <c r="A295" s="455" t="s">
        <v>1056</v>
      </c>
      <c r="B295" s="456" t="s">
        <v>303</v>
      </c>
      <c r="C295" s="472" t="s">
        <v>1187</v>
      </c>
      <c r="D295" s="458" t="s">
        <v>313</v>
      </c>
      <c r="E295" s="457" t="s">
        <v>72</v>
      </c>
      <c r="F295" s="459">
        <v>5793.75</v>
      </c>
      <c r="G295" s="460">
        <v>2</v>
      </c>
      <c r="H295" s="461">
        <v>0</v>
      </c>
      <c r="I295" s="462">
        <v>2</v>
      </c>
      <c r="J295" s="461">
        <f>G295+H295-I295</f>
        <v>0</v>
      </c>
      <c r="K295" s="459">
        <f t="shared" si="44"/>
        <v>11587.5</v>
      </c>
      <c r="L295" s="298">
        <f t="shared" si="46"/>
        <v>0</v>
      </c>
      <c r="M295" s="298">
        <f t="shared" si="45"/>
        <v>11587.5</v>
      </c>
      <c r="N295" s="605">
        <f t="shared" si="47"/>
        <v>0</v>
      </c>
      <c r="O295" s="460"/>
      <c r="P295" s="463"/>
      <c r="Q295" s="460"/>
      <c r="R295" s="463"/>
    </row>
    <row r="296" spans="1:18" s="485" customFormat="1">
      <c r="A296" s="451" t="s">
        <v>1056</v>
      </c>
      <c r="B296" s="500" t="s">
        <v>1188</v>
      </c>
      <c r="C296" s="474" t="s">
        <v>1189</v>
      </c>
      <c r="D296" s="438" t="s">
        <v>1190</v>
      </c>
      <c r="E296" s="439" t="s">
        <v>72</v>
      </c>
      <c r="F296" s="498">
        <f>'[34]COMPOSIÇÕES ADITIVO'!I323</f>
        <v>6550.59</v>
      </c>
      <c r="G296" s="479">
        <v>0</v>
      </c>
      <c r="H296" s="442">
        <v>2</v>
      </c>
      <c r="I296" s="443">
        <v>0</v>
      </c>
      <c r="J296" s="442">
        <f t="shared" ref="J296" si="49">G296+H296-I296</f>
        <v>2</v>
      </c>
      <c r="K296" s="478">
        <f t="shared" si="44"/>
        <v>0</v>
      </c>
      <c r="L296" s="298">
        <f t="shared" si="46"/>
        <v>13101.18</v>
      </c>
      <c r="M296" s="298">
        <f t="shared" si="45"/>
        <v>0</v>
      </c>
      <c r="N296" s="603">
        <f t="shared" si="47"/>
        <v>13101.18</v>
      </c>
      <c r="O296" s="479"/>
      <c r="P296" s="480"/>
      <c r="Q296" s="479"/>
      <c r="R296" s="480"/>
    </row>
    <row r="297" spans="1:18" ht="30">
      <c r="A297" s="375" t="s">
        <v>1060</v>
      </c>
      <c r="B297" s="501">
        <v>190418</v>
      </c>
      <c r="C297" s="502" t="s">
        <v>1191</v>
      </c>
      <c r="D297" s="503" t="s">
        <v>314</v>
      </c>
      <c r="E297" s="502" t="s">
        <v>57</v>
      </c>
      <c r="F297" s="504">
        <v>33.049999999999997</v>
      </c>
      <c r="G297" s="505">
        <v>36.71</v>
      </c>
      <c r="H297" s="506">
        <f>(9.582+39.588)-G297</f>
        <v>12.46</v>
      </c>
      <c r="I297" s="507">
        <v>0</v>
      </c>
      <c r="J297" s="506">
        <f t="shared" si="48"/>
        <v>49.17</v>
      </c>
      <c r="K297" s="504">
        <f t="shared" si="44"/>
        <v>1213.2655</v>
      </c>
      <c r="L297" s="298">
        <f t="shared" si="46"/>
        <v>411.803</v>
      </c>
      <c r="M297" s="298">
        <f t="shared" si="45"/>
        <v>0</v>
      </c>
      <c r="N297" s="603">
        <f t="shared" si="47"/>
        <v>1625.0684999999999</v>
      </c>
      <c r="O297" s="505"/>
      <c r="P297" s="508"/>
      <c r="Q297" s="505"/>
      <c r="R297" s="508"/>
    </row>
    <row r="298" spans="1:18" s="345" customFormat="1">
      <c r="A298" s="334"/>
      <c r="B298" s="335"/>
      <c r="C298" s="336" t="s">
        <v>502</v>
      </c>
      <c r="D298" s="337" t="s">
        <v>1110</v>
      </c>
      <c r="E298" s="338"/>
      <c r="F298" s="339"/>
      <c r="G298" s="340"/>
      <c r="H298" s="341"/>
      <c r="I298" s="342"/>
      <c r="J298" s="341"/>
      <c r="K298" s="343"/>
      <c r="L298" s="298"/>
      <c r="M298" s="298"/>
      <c r="N298" s="603">
        <f t="shared" si="47"/>
        <v>0</v>
      </c>
      <c r="O298" s="340"/>
      <c r="P298" s="344"/>
      <c r="Q298" s="340"/>
      <c r="R298" s="344"/>
    </row>
    <row r="299" spans="1:18" ht="30">
      <c r="A299" s="324" t="s">
        <v>1056</v>
      </c>
      <c r="B299" s="325" t="s">
        <v>227</v>
      </c>
      <c r="C299" s="408" t="s">
        <v>503</v>
      </c>
      <c r="D299" s="348" t="s">
        <v>233</v>
      </c>
      <c r="E299" s="328" t="s">
        <v>51</v>
      </c>
      <c r="F299" s="329">
        <v>366.23</v>
      </c>
      <c r="G299" s="330">
        <v>23.86</v>
      </c>
      <c r="H299" s="331">
        <v>0</v>
      </c>
      <c r="I299" s="332">
        <v>0</v>
      </c>
      <c r="J299" s="331">
        <f t="shared" si="48"/>
        <v>23.86</v>
      </c>
      <c r="K299" s="329">
        <f t="shared" si="44"/>
        <v>8738.247800000001</v>
      </c>
      <c r="L299" s="298">
        <f t="shared" si="46"/>
        <v>0</v>
      </c>
      <c r="M299" s="298">
        <f t="shared" si="45"/>
        <v>0</v>
      </c>
      <c r="N299" s="603">
        <f t="shared" si="47"/>
        <v>8738.247800000001</v>
      </c>
      <c r="O299" s="330"/>
      <c r="P299" s="333"/>
      <c r="Q299" s="330"/>
      <c r="R299" s="333"/>
    </row>
    <row r="300" spans="1:18" s="312" customFormat="1">
      <c r="A300" s="392"/>
      <c r="B300" s="393"/>
      <c r="C300" s="394" t="s">
        <v>504</v>
      </c>
      <c r="D300" s="395" t="s">
        <v>1136</v>
      </c>
      <c r="E300" s="396"/>
      <c r="F300" s="397"/>
      <c r="G300" s="398"/>
      <c r="H300" s="399"/>
      <c r="I300" s="400"/>
      <c r="J300" s="399"/>
      <c r="K300" s="407"/>
      <c r="L300" s="298"/>
      <c r="M300" s="298"/>
      <c r="N300" s="603"/>
      <c r="O300" s="398"/>
      <c r="P300" s="402"/>
      <c r="Q300" s="398"/>
      <c r="R300" s="402"/>
    </row>
    <row r="301" spans="1:18" s="345" customFormat="1">
      <c r="A301" s="334"/>
      <c r="B301" s="335"/>
      <c r="C301" s="336" t="s">
        <v>505</v>
      </c>
      <c r="D301" s="337" t="s">
        <v>1136</v>
      </c>
      <c r="E301" s="338"/>
      <c r="F301" s="339"/>
      <c r="G301" s="340"/>
      <c r="H301" s="341"/>
      <c r="I301" s="342"/>
      <c r="J301" s="341"/>
      <c r="K301" s="343"/>
      <c r="L301" s="298"/>
      <c r="M301" s="298"/>
      <c r="N301" s="603"/>
      <c r="O301" s="340"/>
      <c r="P301" s="344"/>
      <c r="Q301" s="340"/>
      <c r="R301" s="344"/>
    </row>
    <row r="302" spans="1:18">
      <c r="A302" s="324" t="s">
        <v>1056</v>
      </c>
      <c r="B302" s="325" t="s">
        <v>323</v>
      </c>
      <c r="C302" s="408" t="s">
        <v>506</v>
      </c>
      <c r="D302" s="327" t="s">
        <v>1137</v>
      </c>
      <c r="E302" s="328" t="s">
        <v>59</v>
      </c>
      <c r="F302" s="329">
        <v>409453.83</v>
      </c>
      <c r="G302" s="330">
        <v>1</v>
      </c>
      <c r="H302" s="331">
        <v>0</v>
      </c>
      <c r="I302" s="332">
        <v>0</v>
      </c>
      <c r="J302" s="331">
        <f t="shared" si="48"/>
        <v>1</v>
      </c>
      <c r="K302" s="329">
        <f t="shared" si="44"/>
        <v>409453.83</v>
      </c>
      <c r="L302" s="298">
        <f t="shared" si="46"/>
        <v>0</v>
      </c>
      <c r="M302" s="298">
        <f t="shared" si="45"/>
        <v>0</v>
      </c>
      <c r="N302" s="603">
        <f t="shared" si="47"/>
        <v>409453.83</v>
      </c>
      <c r="O302" s="330"/>
      <c r="P302" s="333"/>
      <c r="Q302" s="330"/>
      <c r="R302" s="333"/>
    </row>
    <row r="303" spans="1:18">
      <c r="A303" s="324" t="s">
        <v>1056</v>
      </c>
      <c r="B303" s="325" t="s">
        <v>324</v>
      </c>
      <c r="C303" s="408" t="s">
        <v>507</v>
      </c>
      <c r="D303" s="327" t="s">
        <v>327</v>
      </c>
      <c r="E303" s="328" t="s">
        <v>59</v>
      </c>
      <c r="F303" s="329">
        <v>3812.11</v>
      </c>
      <c r="G303" s="330">
        <v>1</v>
      </c>
      <c r="H303" s="331"/>
      <c r="I303" s="332"/>
      <c r="J303" s="331">
        <f t="shared" si="48"/>
        <v>1</v>
      </c>
      <c r="K303" s="329">
        <f t="shared" si="44"/>
        <v>3812.11</v>
      </c>
      <c r="L303" s="298">
        <f t="shared" si="46"/>
        <v>0</v>
      </c>
      <c r="M303" s="298">
        <f t="shared" si="45"/>
        <v>0</v>
      </c>
      <c r="N303" s="603">
        <f t="shared" si="47"/>
        <v>3812.11</v>
      </c>
      <c r="O303" s="330"/>
      <c r="P303" s="333"/>
      <c r="Q303" s="330"/>
      <c r="R303" s="333"/>
    </row>
    <row r="304" spans="1:18" ht="30">
      <c r="A304" s="324" t="s">
        <v>1056</v>
      </c>
      <c r="B304" s="325" t="s">
        <v>510</v>
      </c>
      <c r="C304" s="408" t="s">
        <v>509</v>
      </c>
      <c r="D304" s="327" t="s">
        <v>1192</v>
      </c>
      <c r="E304" s="328" t="s">
        <v>72</v>
      </c>
      <c r="F304" s="329">
        <v>1735.29</v>
      </c>
      <c r="G304" s="330">
        <v>1</v>
      </c>
      <c r="H304" s="331">
        <v>0</v>
      </c>
      <c r="I304" s="332">
        <v>0</v>
      </c>
      <c r="J304" s="331">
        <f t="shared" si="48"/>
        <v>1</v>
      </c>
      <c r="K304" s="329">
        <f t="shared" si="44"/>
        <v>1735.29</v>
      </c>
      <c r="L304" s="298">
        <f t="shared" si="46"/>
        <v>0</v>
      </c>
      <c r="M304" s="298">
        <f t="shared" si="45"/>
        <v>0</v>
      </c>
      <c r="N304" s="603">
        <f t="shared" si="47"/>
        <v>1735.29</v>
      </c>
      <c r="O304" s="330"/>
      <c r="P304" s="333"/>
      <c r="Q304" s="330"/>
      <c r="R304" s="333"/>
    </row>
    <row r="305" spans="1:18">
      <c r="A305" s="324" t="s">
        <v>1056</v>
      </c>
      <c r="B305" s="325" t="s">
        <v>325</v>
      </c>
      <c r="C305" s="408" t="s">
        <v>1193</v>
      </c>
      <c r="D305" s="327" t="s">
        <v>1138</v>
      </c>
      <c r="E305" s="328" t="s">
        <v>50</v>
      </c>
      <c r="F305" s="329">
        <v>115.83</v>
      </c>
      <c r="G305" s="330">
        <v>120.68</v>
      </c>
      <c r="H305" s="331">
        <v>0</v>
      </c>
      <c r="I305" s="332">
        <v>0</v>
      </c>
      <c r="J305" s="331">
        <f t="shared" si="48"/>
        <v>120.68</v>
      </c>
      <c r="K305" s="329">
        <f t="shared" si="44"/>
        <v>13978.3644</v>
      </c>
      <c r="L305" s="298">
        <f t="shared" si="46"/>
        <v>0</v>
      </c>
      <c r="M305" s="298">
        <f t="shared" si="45"/>
        <v>0</v>
      </c>
      <c r="N305" s="603">
        <f t="shared" si="47"/>
        <v>13978.3644</v>
      </c>
      <c r="O305" s="330"/>
      <c r="P305" s="333"/>
      <c r="Q305" s="330"/>
      <c r="R305" s="333"/>
    </row>
    <row r="306" spans="1:18" s="312" customFormat="1">
      <c r="A306" s="392"/>
      <c r="B306" s="393"/>
      <c r="C306" s="394" t="s">
        <v>511</v>
      </c>
      <c r="D306" s="395" t="s">
        <v>1139</v>
      </c>
      <c r="E306" s="396"/>
      <c r="F306" s="397"/>
      <c r="G306" s="398"/>
      <c r="H306" s="399"/>
      <c r="I306" s="400"/>
      <c r="J306" s="399"/>
      <c r="K306" s="407"/>
      <c r="L306" s="298"/>
      <c r="M306" s="298"/>
      <c r="N306" s="603"/>
      <c r="O306" s="398"/>
      <c r="P306" s="402"/>
      <c r="Q306" s="398"/>
      <c r="R306" s="402"/>
    </row>
    <row r="307" spans="1:18" s="345" customFormat="1">
      <c r="A307" s="334"/>
      <c r="B307" s="335"/>
      <c r="C307" s="336" t="s">
        <v>512</v>
      </c>
      <c r="D307" s="337" t="s">
        <v>1139</v>
      </c>
      <c r="E307" s="338"/>
      <c r="F307" s="339"/>
      <c r="G307" s="340"/>
      <c r="H307" s="341"/>
      <c r="I307" s="342"/>
      <c r="J307" s="341"/>
      <c r="K307" s="343"/>
      <c r="L307" s="298"/>
      <c r="M307" s="298"/>
      <c r="N307" s="603"/>
      <c r="O307" s="340"/>
      <c r="P307" s="344"/>
      <c r="Q307" s="340"/>
      <c r="R307" s="344"/>
    </row>
    <row r="308" spans="1:18" ht="30">
      <c r="A308" s="324" t="s">
        <v>1060</v>
      </c>
      <c r="B308" s="419">
        <v>151701</v>
      </c>
      <c r="C308" s="408" t="s">
        <v>513</v>
      </c>
      <c r="D308" s="327" t="s">
        <v>1140</v>
      </c>
      <c r="E308" s="328" t="s">
        <v>59</v>
      </c>
      <c r="F308" s="329">
        <v>1510.64</v>
      </c>
      <c r="G308" s="330">
        <v>1</v>
      </c>
      <c r="H308" s="331">
        <v>0</v>
      </c>
      <c r="I308" s="332">
        <v>0</v>
      </c>
      <c r="J308" s="331">
        <f t="shared" si="48"/>
        <v>1</v>
      </c>
      <c r="K308" s="329">
        <f t="shared" si="44"/>
        <v>1510.64</v>
      </c>
      <c r="L308" s="298">
        <f t="shared" si="46"/>
        <v>0</v>
      </c>
      <c r="M308" s="298">
        <f t="shared" si="45"/>
        <v>0</v>
      </c>
      <c r="N308" s="603">
        <f t="shared" si="47"/>
        <v>1510.64</v>
      </c>
      <c r="O308" s="330"/>
      <c r="P308" s="333"/>
      <c r="Q308" s="330"/>
      <c r="R308" s="333"/>
    </row>
    <row r="309" spans="1:18">
      <c r="A309" s="324" t="s">
        <v>1060</v>
      </c>
      <c r="B309" s="419">
        <v>150312</v>
      </c>
      <c r="C309" s="408" t="s">
        <v>514</v>
      </c>
      <c r="D309" s="327" t="s">
        <v>1141</v>
      </c>
      <c r="E309" s="328" t="s">
        <v>59</v>
      </c>
      <c r="F309" s="329">
        <v>103.79</v>
      </c>
      <c r="G309" s="330">
        <v>1</v>
      </c>
      <c r="H309" s="331">
        <v>0</v>
      </c>
      <c r="I309" s="332">
        <v>0</v>
      </c>
      <c r="J309" s="331">
        <f t="shared" si="48"/>
        <v>1</v>
      </c>
      <c r="K309" s="329">
        <f t="shared" si="44"/>
        <v>103.79</v>
      </c>
      <c r="L309" s="298">
        <f t="shared" si="46"/>
        <v>0</v>
      </c>
      <c r="M309" s="298">
        <f t="shared" si="45"/>
        <v>0</v>
      </c>
      <c r="N309" s="603">
        <f t="shared" si="47"/>
        <v>103.79</v>
      </c>
      <c r="O309" s="330"/>
      <c r="P309" s="333"/>
      <c r="Q309" s="330"/>
      <c r="R309" s="333"/>
    </row>
    <row r="310" spans="1:18">
      <c r="A310" s="324" t="s">
        <v>1060</v>
      </c>
      <c r="B310" s="419">
        <v>150628</v>
      </c>
      <c r="C310" s="408" t="s">
        <v>515</v>
      </c>
      <c r="D310" s="327" t="s">
        <v>1142</v>
      </c>
      <c r="E310" s="328" t="s">
        <v>59</v>
      </c>
      <c r="F310" s="329">
        <v>7.47</v>
      </c>
      <c r="G310" s="330">
        <v>19</v>
      </c>
      <c r="H310" s="331">
        <v>0</v>
      </c>
      <c r="I310" s="332">
        <v>0</v>
      </c>
      <c r="J310" s="331">
        <f t="shared" si="48"/>
        <v>19</v>
      </c>
      <c r="K310" s="329">
        <f t="shared" ref="K310:K374" si="50">F310*G310</f>
        <v>141.93</v>
      </c>
      <c r="L310" s="298">
        <f t="shared" si="46"/>
        <v>0</v>
      </c>
      <c r="M310" s="298">
        <f t="shared" si="45"/>
        <v>0</v>
      </c>
      <c r="N310" s="603">
        <f t="shared" si="47"/>
        <v>141.93</v>
      </c>
      <c r="O310" s="330"/>
      <c r="P310" s="333"/>
      <c r="Q310" s="330"/>
      <c r="R310" s="333"/>
    </row>
    <row r="311" spans="1:18">
      <c r="A311" s="324" t="s">
        <v>1060</v>
      </c>
      <c r="B311" s="419">
        <v>151417</v>
      </c>
      <c r="C311" s="408" t="s">
        <v>516</v>
      </c>
      <c r="D311" s="327" t="s">
        <v>1143</v>
      </c>
      <c r="E311" s="328" t="s">
        <v>51</v>
      </c>
      <c r="F311" s="329">
        <v>5.86</v>
      </c>
      <c r="G311" s="330">
        <v>147.4</v>
      </c>
      <c r="H311" s="331">
        <v>0</v>
      </c>
      <c r="I311" s="332">
        <v>0</v>
      </c>
      <c r="J311" s="331">
        <f t="shared" si="48"/>
        <v>147.4</v>
      </c>
      <c r="K311" s="329">
        <f t="shared" si="50"/>
        <v>863.76400000000012</v>
      </c>
      <c r="L311" s="298">
        <f t="shared" si="46"/>
        <v>0</v>
      </c>
      <c r="M311" s="298">
        <f t="shared" si="45"/>
        <v>0</v>
      </c>
      <c r="N311" s="603">
        <f t="shared" si="47"/>
        <v>863.76400000000012</v>
      </c>
      <c r="O311" s="330"/>
      <c r="P311" s="333"/>
      <c r="Q311" s="330"/>
      <c r="R311" s="333"/>
    </row>
    <row r="312" spans="1:18">
      <c r="A312" s="324" t="s">
        <v>1060</v>
      </c>
      <c r="B312" s="419">
        <v>151418</v>
      </c>
      <c r="C312" s="408" t="s">
        <v>517</v>
      </c>
      <c r="D312" s="327" t="s">
        <v>1144</v>
      </c>
      <c r="E312" s="328" t="s">
        <v>51</v>
      </c>
      <c r="F312" s="329">
        <v>6.74</v>
      </c>
      <c r="G312" s="330">
        <v>315.39999999999998</v>
      </c>
      <c r="H312" s="331">
        <v>0</v>
      </c>
      <c r="I312" s="332">
        <v>0</v>
      </c>
      <c r="J312" s="331">
        <f t="shared" si="48"/>
        <v>315.39999999999998</v>
      </c>
      <c r="K312" s="329">
        <f t="shared" si="50"/>
        <v>2125.7959999999998</v>
      </c>
      <c r="L312" s="298">
        <f t="shared" si="46"/>
        <v>0</v>
      </c>
      <c r="M312" s="298">
        <f t="shared" si="45"/>
        <v>0</v>
      </c>
      <c r="N312" s="603">
        <f t="shared" si="47"/>
        <v>2125.7959999999998</v>
      </c>
      <c r="O312" s="330"/>
      <c r="P312" s="333"/>
      <c r="Q312" s="330"/>
      <c r="R312" s="333"/>
    </row>
    <row r="313" spans="1:18">
      <c r="A313" s="324" t="s">
        <v>1060</v>
      </c>
      <c r="B313" s="419">
        <v>151420</v>
      </c>
      <c r="C313" s="408" t="s">
        <v>518</v>
      </c>
      <c r="D313" s="327" t="s">
        <v>1145</v>
      </c>
      <c r="E313" s="328" t="s">
        <v>51</v>
      </c>
      <c r="F313" s="329">
        <v>10.63</v>
      </c>
      <c r="G313" s="330">
        <v>60</v>
      </c>
      <c r="H313" s="331">
        <v>0</v>
      </c>
      <c r="I313" s="332">
        <v>0</v>
      </c>
      <c r="J313" s="331">
        <f t="shared" si="48"/>
        <v>60</v>
      </c>
      <c r="K313" s="329">
        <f t="shared" si="50"/>
        <v>637.80000000000007</v>
      </c>
      <c r="L313" s="298">
        <f t="shared" si="46"/>
        <v>0</v>
      </c>
      <c r="M313" s="298">
        <f t="shared" si="45"/>
        <v>0</v>
      </c>
      <c r="N313" s="603">
        <f t="shared" si="47"/>
        <v>637.80000000000007</v>
      </c>
      <c r="O313" s="330"/>
      <c r="P313" s="333"/>
      <c r="Q313" s="330"/>
      <c r="R313" s="333"/>
    </row>
    <row r="314" spans="1:18" ht="30">
      <c r="A314" s="346" t="s">
        <v>1060</v>
      </c>
      <c r="B314" s="426">
        <v>151809</v>
      </c>
      <c r="C314" s="328" t="s">
        <v>519</v>
      </c>
      <c r="D314" s="327" t="s">
        <v>1146</v>
      </c>
      <c r="E314" s="328" t="s">
        <v>59</v>
      </c>
      <c r="F314" s="329">
        <v>150.13</v>
      </c>
      <c r="G314" s="330">
        <v>1</v>
      </c>
      <c r="H314" s="331">
        <v>0</v>
      </c>
      <c r="I314" s="332">
        <v>0</v>
      </c>
      <c r="J314" s="331">
        <f t="shared" si="48"/>
        <v>1</v>
      </c>
      <c r="K314" s="329">
        <f t="shared" si="50"/>
        <v>150.13</v>
      </c>
      <c r="L314" s="298">
        <f t="shared" si="46"/>
        <v>0</v>
      </c>
      <c r="M314" s="298">
        <f t="shared" si="45"/>
        <v>0</v>
      </c>
      <c r="N314" s="603">
        <f t="shared" si="47"/>
        <v>150.13</v>
      </c>
      <c r="O314" s="330"/>
      <c r="P314" s="333"/>
      <c r="Q314" s="330"/>
      <c r="R314" s="333"/>
    </row>
    <row r="315" spans="1:18" ht="30">
      <c r="A315" s="346" t="s">
        <v>1060</v>
      </c>
      <c r="B315" s="426">
        <v>151803</v>
      </c>
      <c r="C315" s="328" t="s">
        <v>520</v>
      </c>
      <c r="D315" s="327" t="s">
        <v>1147</v>
      </c>
      <c r="E315" s="328" t="s">
        <v>59</v>
      </c>
      <c r="F315" s="329">
        <v>170.86</v>
      </c>
      <c r="G315" s="330">
        <v>10</v>
      </c>
      <c r="H315" s="331">
        <v>0</v>
      </c>
      <c r="I315" s="332">
        <v>0</v>
      </c>
      <c r="J315" s="331">
        <f t="shared" si="48"/>
        <v>10</v>
      </c>
      <c r="K315" s="329">
        <f t="shared" si="50"/>
        <v>1708.6000000000001</v>
      </c>
      <c r="L315" s="298">
        <f t="shared" si="46"/>
        <v>0</v>
      </c>
      <c r="M315" s="298">
        <f t="shared" si="45"/>
        <v>0</v>
      </c>
      <c r="N315" s="603">
        <f t="shared" si="47"/>
        <v>1708.6000000000001</v>
      </c>
      <c r="O315" s="330"/>
      <c r="P315" s="333"/>
      <c r="Q315" s="330"/>
      <c r="R315" s="333"/>
    </row>
    <row r="316" spans="1:18" ht="30">
      <c r="A316" s="324" t="s">
        <v>1060</v>
      </c>
      <c r="B316" s="419">
        <v>151338</v>
      </c>
      <c r="C316" s="408" t="s">
        <v>521</v>
      </c>
      <c r="D316" s="348" t="s">
        <v>357</v>
      </c>
      <c r="E316" s="328" t="s">
        <v>59</v>
      </c>
      <c r="F316" s="329">
        <v>18.14</v>
      </c>
      <c r="G316" s="330">
        <v>1</v>
      </c>
      <c r="H316" s="331">
        <v>0</v>
      </c>
      <c r="I316" s="332">
        <v>0</v>
      </c>
      <c r="J316" s="331">
        <f t="shared" si="48"/>
        <v>1</v>
      </c>
      <c r="K316" s="329">
        <f t="shared" si="50"/>
        <v>18.14</v>
      </c>
      <c r="L316" s="298">
        <f t="shared" si="46"/>
        <v>0</v>
      </c>
      <c r="M316" s="298">
        <f t="shared" si="45"/>
        <v>0</v>
      </c>
      <c r="N316" s="603">
        <f t="shared" si="47"/>
        <v>18.14</v>
      </c>
      <c r="O316" s="330"/>
      <c r="P316" s="333"/>
      <c r="Q316" s="330"/>
      <c r="R316" s="333"/>
    </row>
    <row r="317" spans="1:18" ht="30">
      <c r="A317" s="324" t="s">
        <v>1060</v>
      </c>
      <c r="B317" s="419">
        <v>151301</v>
      </c>
      <c r="C317" s="408" t="s">
        <v>522</v>
      </c>
      <c r="D317" s="348" t="s">
        <v>358</v>
      </c>
      <c r="E317" s="328" t="s">
        <v>59</v>
      </c>
      <c r="F317" s="329">
        <v>18.14</v>
      </c>
      <c r="G317" s="330">
        <v>1</v>
      </c>
      <c r="H317" s="331">
        <v>0</v>
      </c>
      <c r="I317" s="332">
        <v>0</v>
      </c>
      <c r="J317" s="331">
        <f t="shared" si="48"/>
        <v>1</v>
      </c>
      <c r="K317" s="329">
        <f t="shared" si="50"/>
        <v>18.14</v>
      </c>
      <c r="L317" s="298">
        <f t="shared" si="46"/>
        <v>0</v>
      </c>
      <c r="M317" s="298">
        <f t="shared" si="45"/>
        <v>0</v>
      </c>
      <c r="N317" s="603">
        <f t="shared" si="47"/>
        <v>18.14</v>
      </c>
      <c r="O317" s="330"/>
      <c r="P317" s="333"/>
      <c r="Q317" s="330"/>
      <c r="R317" s="333"/>
    </row>
    <row r="318" spans="1:18" ht="30">
      <c r="A318" s="324" t="s">
        <v>1060</v>
      </c>
      <c r="B318" s="419">
        <v>151303</v>
      </c>
      <c r="C318" s="408" t="s">
        <v>523</v>
      </c>
      <c r="D318" s="348" t="s">
        <v>359</v>
      </c>
      <c r="E318" s="328" t="s">
        <v>59</v>
      </c>
      <c r="F318" s="329">
        <v>18.14</v>
      </c>
      <c r="G318" s="330">
        <v>1</v>
      </c>
      <c r="H318" s="331">
        <v>0</v>
      </c>
      <c r="I318" s="332">
        <v>0</v>
      </c>
      <c r="J318" s="331">
        <f t="shared" si="48"/>
        <v>1</v>
      </c>
      <c r="K318" s="329">
        <f t="shared" si="50"/>
        <v>18.14</v>
      </c>
      <c r="L318" s="298">
        <f t="shared" si="46"/>
        <v>0</v>
      </c>
      <c r="M318" s="298">
        <f t="shared" si="45"/>
        <v>0</v>
      </c>
      <c r="N318" s="603">
        <f t="shared" si="47"/>
        <v>18.14</v>
      </c>
      <c r="O318" s="330"/>
      <c r="P318" s="333"/>
      <c r="Q318" s="330"/>
      <c r="R318" s="333"/>
    </row>
    <row r="319" spans="1:18" ht="30">
      <c r="A319" s="324" t="s">
        <v>1060</v>
      </c>
      <c r="B319" s="419">
        <v>151318</v>
      </c>
      <c r="C319" s="408" t="s">
        <v>524</v>
      </c>
      <c r="D319" s="348" t="s">
        <v>547</v>
      </c>
      <c r="E319" s="328" t="s">
        <v>59</v>
      </c>
      <c r="F319" s="329">
        <v>22.63</v>
      </c>
      <c r="G319" s="330">
        <v>1</v>
      </c>
      <c r="H319" s="331">
        <v>0</v>
      </c>
      <c r="I319" s="332">
        <v>0</v>
      </c>
      <c r="J319" s="331">
        <f t="shared" si="48"/>
        <v>1</v>
      </c>
      <c r="K319" s="329">
        <f t="shared" si="50"/>
        <v>22.63</v>
      </c>
      <c r="L319" s="298">
        <f t="shared" si="46"/>
        <v>0</v>
      </c>
      <c r="M319" s="298">
        <f t="shared" si="45"/>
        <v>0</v>
      </c>
      <c r="N319" s="603">
        <f t="shared" si="47"/>
        <v>22.63</v>
      </c>
      <c r="O319" s="330"/>
      <c r="P319" s="333"/>
      <c r="Q319" s="330"/>
      <c r="R319" s="333"/>
    </row>
    <row r="320" spans="1:18">
      <c r="A320" s="324" t="s">
        <v>1060</v>
      </c>
      <c r="B320" s="419">
        <v>151350</v>
      </c>
      <c r="C320" s="408" t="s">
        <v>525</v>
      </c>
      <c r="D320" s="327" t="s">
        <v>1149</v>
      </c>
      <c r="E320" s="328" t="s">
        <v>59</v>
      </c>
      <c r="F320" s="329">
        <v>133.04</v>
      </c>
      <c r="G320" s="330">
        <v>1</v>
      </c>
      <c r="H320" s="331">
        <v>0</v>
      </c>
      <c r="I320" s="332">
        <v>0</v>
      </c>
      <c r="J320" s="331">
        <f t="shared" si="48"/>
        <v>1</v>
      </c>
      <c r="K320" s="329">
        <f t="shared" si="50"/>
        <v>133.04</v>
      </c>
      <c r="L320" s="298">
        <f t="shared" si="46"/>
        <v>0</v>
      </c>
      <c r="M320" s="298">
        <f t="shared" si="45"/>
        <v>0</v>
      </c>
      <c r="N320" s="603">
        <f t="shared" si="47"/>
        <v>133.04</v>
      </c>
      <c r="O320" s="330"/>
      <c r="P320" s="333"/>
      <c r="Q320" s="330"/>
      <c r="R320" s="333"/>
    </row>
    <row r="321" spans="1:18">
      <c r="A321" s="324" t="s">
        <v>1060</v>
      </c>
      <c r="B321" s="419">
        <v>151132</v>
      </c>
      <c r="C321" s="408" t="s">
        <v>526</v>
      </c>
      <c r="D321" s="327" t="s">
        <v>1150</v>
      </c>
      <c r="E321" s="328" t="s">
        <v>51</v>
      </c>
      <c r="F321" s="329">
        <v>7.5</v>
      </c>
      <c r="G321" s="330">
        <v>75.7</v>
      </c>
      <c r="H321" s="331">
        <v>0</v>
      </c>
      <c r="I321" s="332">
        <v>0</v>
      </c>
      <c r="J321" s="331">
        <f t="shared" si="48"/>
        <v>75.7</v>
      </c>
      <c r="K321" s="329">
        <f t="shared" si="50"/>
        <v>567.75</v>
      </c>
      <c r="L321" s="298">
        <f t="shared" si="46"/>
        <v>0</v>
      </c>
      <c r="M321" s="298">
        <f t="shared" si="45"/>
        <v>0</v>
      </c>
      <c r="N321" s="603">
        <f t="shared" si="47"/>
        <v>567.75</v>
      </c>
      <c r="O321" s="330"/>
      <c r="P321" s="333"/>
      <c r="Q321" s="330"/>
      <c r="R321" s="333"/>
    </row>
    <row r="322" spans="1:18">
      <c r="A322" s="324" t="s">
        <v>1060</v>
      </c>
      <c r="B322" s="419">
        <v>150801</v>
      </c>
      <c r="C322" s="408" t="s">
        <v>527</v>
      </c>
      <c r="D322" s="327" t="s">
        <v>1151</v>
      </c>
      <c r="E322" s="328" t="s">
        <v>51</v>
      </c>
      <c r="F322" s="329">
        <v>12.67</v>
      </c>
      <c r="G322" s="330">
        <v>66</v>
      </c>
      <c r="H322" s="331">
        <v>0</v>
      </c>
      <c r="I322" s="332">
        <v>0</v>
      </c>
      <c r="J322" s="331">
        <f t="shared" si="48"/>
        <v>66</v>
      </c>
      <c r="K322" s="329">
        <f t="shared" si="50"/>
        <v>836.22</v>
      </c>
      <c r="L322" s="298">
        <f t="shared" si="46"/>
        <v>0</v>
      </c>
      <c r="M322" s="298">
        <f t="shared" si="45"/>
        <v>0</v>
      </c>
      <c r="N322" s="603">
        <f t="shared" si="47"/>
        <v>836.22</v>
      </c>
      <c r="O322" s="330"/>
      <c r="P322" s="333"/>
      <c r="Q322" s="330"/>
      <c r="R322" s="333"/>
    </row>
    <row r="323" spans="1:18">
      <c r="A323" s="324" t="s">
        <v>1060</v>
      </c>
      <c r="B323" s="419">
        <v>180110</v>
      </c>
      <c r="C323" s="408" t="s">
        <v>528</v>
      </c>
      <c r="D323" s="327" t="s">
        <v>1152</v>
      </c>
      <c r="E323" s="328" t="s">
        <v>59</v>
      </c>
      <c r="F323" s="329">
        <v>106.15</v>
      </c>
      <c r="G323" s="330">
        <v>5</v>
      </c>
      <c r="H323" s="331">
        <v>0</v>
      </c>
      <c r="I323" s="332">
        <v>0</v>
      </c>
      <c r="J323" s="331">
        <f t="shared" si="48"/>
        <v>5</v>
      </c>
      <c r="K323" s="329">
        <f t="shared" si="50"/>
        <v>530.75</v>
      </c>
      <c r="L323" s="298">
        <f t="shared" si="46"/>
        <v>0</v>
      </c>
      <c r="M323" s="298">
        <f t="shared" si="45"/>
        <v>0</v>
      </c>
      <c r="N323" s="603">
        <f t="shared" si="47"/>
        <v>530.75</v>
      </c>
      <c r="O323" s="330"/>
      <c r="P323" s="333"/>
      <c r="Q323" s="330"/>
      <c r="R323" s="333"/>
    </row>
    <row r="324" spans="1:18">
      <c r="A324" s="324" t="s">
        <v>1056</v>
      </c>
      <c r="B324" s="325" t="s">
        <v>367</v>
      </c>
      <c r="C324" s="408" t="s">
        <v>529</v>
      </c>
      <c r="D324" s="327" t="s">
        <v>1153</v>
      </c>
      <c r="E324" s="328" t="s">
        <v>72</v>
      </c>
      <c r="F324" s="329">
        <v>362.44</v>
      </c>
      <c r="G324" s="330">
        <v>19</v>
      </c>
      <c r="H324" s="331">
        <v>0</v>
      </c>
      <c r="I324" s="332">
        <v>0</v>
      </c>
      <c r="J324" s="331">
        <f t="shared" si="48"/>
        <v>19</v>
      </c>
      <c r="K324" s="329">
        <f t="shared" si="50"/>
        <v>6886.36</v>
      </c>
      <c r="L324" s="298">
        <f t="shared" si="46"/>
        <v>0</v>
      </c>
      <c r="M324" s="298">
        <f t="shared" si="45"/>
        <v>0</v>
      </c>
      <c r="N324" s="603">
        <f t="shared" si="47"/>
        <v>6886.36</v>
      </c>
      <c r="O324" s="330"/>
      <c r="P324" s="333"/>
      <c r="Q324" s="330"/>
      <c r="R324" s="333"/>
    </row>
    <row r="325" spans="1:18">
      <c r="A325" s="324" t="s">
        <v>1056</v>
      </c>
      <c r="B325" s="325" t="s">
        <v>368</v>
      </c>
      <c r="C325" s="408" t="s">
        <v>530</v>
      </c>
      <c r="D325" s="327" t="s">
        <v>1154</v>
      </c>
      <c r="E325" s="328" t="s">
        <v>72</v>
      </c>
      <c r="F325" s="329">
        <v>4976.67</v>
      </c>
      <c r="G325" s="330">
        <v>2</v>
      </c>
      <c r="H325" s="331">
        <v>0</v>
      </c>
      <c r="I325" s="332">
        <v>0</v>
      </c>
      <c r="J325" s="331">
        <f t="shared" si="48"/>
        <v>2</v>
      </c>
      <c r="K325" s="329">
        <f t="shared" si="50"/>
        <v>9953.34</v>
      </c>
      <c r="L325" s="298">
        <f t="shared" si="46"/>
        <v>0</v>
      </c>
      <c r="M325" s="298">
        <f t="shared" si="45"/>
        <v>0</v>
      </c>
      <c r="N325" s="603">
        <f t="shared" si="47"/>
        <v>9953.34</v>
      </c>
      <c r="O325" s="330"/>
      <c r="P325" s="333"/>
      <c r="Q325" s="330"/>
      <c r="R325" s="333"/>
    </row>
    <row r="326" spans="1:18" ht="30">
      <c r="A326" s="324" t="s">
        <v>1096</v>
      </c>
      <c r="B326" s="325" t="s">
        <v>369</v>
      </c>
      <c r="C326" s="408" t="s">
        <v>531</v>
      </c>
      <c r="D326" s="348" t="s">
        <v>366</v>
      </c>
      <c r="E326" s="328" t="s">
        <v>10</v>
      </c>
      <c r="F326" s="329">
        <v>12903.37</v>
      </c>
      <c r="G326" s="330">
        <v>1</v>
      </c>
      <c r="H326" s="331">
        <v>0</v>
      </c>
      <c r="I326" s="332">
        <v>0</v>
      </c>
      <c r="J326" s="331">
        <f t="shared" si="48"/>
        <v>1</v>
      </c>
      <c r="K326" s="329">
        <f t="shared" si="50"/>
        <v>12903.37</v>
      </c>
      <c r="L326" s="298">
        <f t="shared" si="46"/>
        <v>0</v>
      </c>
      <c r="M326" s="298">
        <f t="shared" si="45"/>
        <v>0</v>
      </c>
      <c r="N326" s="603">
        <f t="shared" si="47"/>
        <v>12903.37</v>
      </c>
      <c r="O326" s="330"/>
      <c r="P326" s="333"/>
      <c r="Q326" s="330"/>
      <c r="R326" s="333"/>
    </row>
    <row r="327" spans="1:18" s="345" customFormat="1">
      <c r="A327" s="334"/>
      <c r="B327" s="335"/>
      <c r="C327" s="336" t="s">
        <v>532</v>
      </c>
      <c r="D327" s="417" t="s">
        <v>371</v>
      </c>
      <c r="E327" s="338"/>
      <c r="F327" s="339"/>
      <c r="G327" s="340"/>
      <c r="H327" s="341"/>
      <c r="I327" s="342"/>
      <c r="J327" s="341"/>
      <c r="K327" s="343"/>
      <c r="L327" s="298"/>
      <c r="M327" s="298"/>
      <c r="N327" s="603"/>
      <c r="O327" s="340"/>
      <c r="P327" s="344"/>
      <c r="Q327" s="340"/>
      <c r="R327" s="344"/>
    </row>
    <row r="328" spans="1:18" ht="45">
      <c r="A328" s="346" t="s">
        <v>1060</v>
      </c>
      <c r="B328" s="426">
        <v>150610</v>
      </c>
      <c r="C328" s="328" t="s">
        <v>533</v>
      </c>
      <c r="D328" s="327" t="s">
        <v>1194</v>
      </c>
      <c r="E328" s="328" t="s">
        <v>59</v>
      </c>
      <c r="F328" s="329">
        <v>188.46</v>
      </c>
      <c r="G328" s="330">
        <v>4</v>
      </c>
      <c r="H328" s="331">
        <v>0</v>
      </c>
      <c r="I328" s="332">
        <v>0</v>
      </c>
      <c r="J328" s="331">
        <f t="shared" si="48"/>
        <v>4</v>
      </c>
      <c r="K328" s="329">
        <f t="shared" si="50"/>
        <v>753.84</v>
      </c>
      <c r="L328" s="298">
        <f t="shared" si="46"/>
        <v>0</v>
      </c>
      <c r="M328" s="298">
        <f t="shared" si="45"/>
        <v>0</v>
      </c>
      <c r="N328" s="603">
        <f t="shared" si="47"/>
        <v>753.84</v>
      </c>
      <c r="O328" s="330"/>
      <c r="P328" s="333"/>
      <c r="Q328" s="330"/>
      <c r="R328" s="333"/>
    </row>
    <row r="329" spans="1:18" ht="45">
      <c r="A329" s="346" t="s">
        <v>1060</v>
      </c>
      <c r="B329" s="426">
        <v>160324</v>
      </c>
      <c r="C329" s="328" t="s">
        <v>534</v>
      </c>
      <c r="D329" s="327" t="s">
        <v>1155</v>
      </c>
      <c r="E329" s="328" t="s">
        <v>59</v>
      </c>
      <c r="F329" s="329">
        <v>199.91</v>
      </c>
      <c r="G329" s="330">
        <v>1</v>
      </c>
      <c r="H329" s="331">
        <v>0</v>
      </c>
      <c r="I329" s="332">
        <v>0</v>
      </c>
      <c r="J329" s="331">
        <f t="shared" si="48"/>
        <v>1</v>
      </c>
      <c r="K329" s="329">
        <f t="shared" si="50"/>
        <v>199.91</v>
      </c>
      <c r="L329" s="298">
        <f t="shared" si="46"/>
        <v>0</v>
      </c>
      <c r="M329" s="298">
        <f t="shared" si="45"/>
        <v>0</v>
      </c>
      <c r="N329" s="603">
        <f t="shared" si="47"/>
        <v>199.91</v>
      </c>
      <c r="O329" s="330"/>
      <c r="P329" s="333"/>
      <c r="Q329" s="330"/>
      <c r="R329" s="333"/>
    </row>
    <row r="330" spans="1:18">
      <c r="A330" s="324" t="s">
        <v>1060</v>
      </c>
      <c r="B330" s="419">
        <v>160317</v>
      </c>
      <c r="C330" s="408" t="s">
        <v>535</v>
      </c>
      <c r="D330" s="327" t="s">
        <v>1156</v>
      </c>
      <c r="E330" s="328" t="s">
        <v>51</v>
      </c>
      <c r="F330" s="329">
        <v>33.369999999999997</v>
      </c>
      <c r="G330" s="330">
        <v>68.900000000000006</v>
      </c>
      <c r="H330" s="331">
        <v>0</v>
      </c>
      <c r="I330" s="332">
        <v>0</v>
      </c>
      <c r="J330" s="331">
        <f t="shared" si="48"/>
        <v>68.900000000000006</v>
      </c>
      <c r="K330" s="329">
        <f t="shared" si="50"/>
        <v>2299.1930000000002</v>
      </c>
      <c r="L330" s="298">
        <f t="shared" si="46"/>
        <v>0</v>
      </c>
      <c r="M330" s="298">
        <f t="shared" si="45"/>
        <v>0</v>
      </c>
      <c r="N330" s="603">
        <f t="shared" si="47"/>
        <v>2299.1930000000002</v>
      </c>
      <c r="O330" s="330"/>
      <c r="P330" s="333"/>
      <c r="Q330" s="330"/>
      <c r="R330" s="333"/>
    </row>
    <row r="331" spans="1:18" ht="30">
      <c r="A331" s="324" t="s">
        <v>1060</v>
      </c>
      <c r="B331" s="419">
        <v>160334</v>
      </c>
      <c r="C331" s="408" t="s">
        <v>536</v>
      </c>
      <c r="D331" s="348" t="s">
        <v>378</v>
      </c>
      <c r="E331" s="328" t="s">
        <v>59</v>
      </c>
      <c r="F331" s="329">
        <v>29.65</v>
      </c>
      <c r="G331" s="330">
        <v>2</v>
      </c>
      <c r="H331" s="331">
        <v>0</v>
      </c>
      <c r="I331" s="332">
        <v>0</v>
      </c>
      <c r="J331" s="331">
        <f t="shared" si="48"/>
        <v>2</v>
      </c>
      <c r="K331" s="329">
        <f t="shared" si="50"/>
        <v>59.3</v>
      </c>
      <c r="L331" s="298">
        <f t="shared" si="46"/>
        <v>0</v>
      </c>
      <c r="M331" s="298">
        <f t="shared" si="45"/>
        <v>0</v>
      </c>
      <c r="N331" s="603">
        <f t="shared" si="47"/>
        <v>59.3</v>
      </c>
      <c r="O331" s="330"/>
      <c r="P331" s="333"/>
      <c r="Q331" s="330"/>
      <c r="R331" s="333"/>
    </row>
    <row r="332" spans="1:18" s="312" customFormat="1">
      <c r="A332" s="392"/>
      <c r="B332" s="393"/>
      <c r="C332" s="394" t="s">
        <v>537</v>
      </c>
      <c r="D332" s="395" t="s">
        <v>1157</v>
      </c>
      <c r="E332" s="396"/>
      <c r="F332" s="397"/>
      <c r="G332" s="398"/>
      <c r="H332" s="399"/>
      <c r="I332" s="400"/>
      <c r="J332" s="399"/>
      <c r="K332" s="407"/>
      <c r="L332" s="298"/>
      <c r="M332" s="298"/>
      <c r="N332" s="603"/>
      <c r="O332" s="398"/>
      <c r="P332" s="402"/>
      <c r="Q332" s="398"/>
      <c r="R332" s="402"/>
    </row>
    <row r="333" spans="1:18" s="345" customFormat="1">
      <c r="A333" s="334"/>
      <c r="B333" s="335"/>
      <c r="C333" s="336" t="s">
        <v>538</v>
      </c>
      <c r="D333" s="337" t="s">
        <v>1157</v>
      </c>
      <c r="E333" s="338"/>
      <c r="F333" s="339"/>
      <c r="G333" s="340"/>
      <c r="H333" s="341"/>
      <c r="I333" s="342"/>
      <c r="J333" s="341"/>
      <c r="K333" s="343"/>
      <c r="L333" s="298"/>
      <c r="M333" s="298"/>
      <c r="N333" s="603"/>
      <c r="O333" s="340"/>
      <c r="P333" s="344"/>
      <c r="Q333" s="340"/>
      <c r="R333" s="344"/>
    </row>
    <row r="334" spans="1:18" ht="30">
      <c r="A334" s="324" t="s">
        <v>1060</v>
      </c>
      <c r="B334" s="419">
        <v>160612</v>
      </c>
      <c r="C334" s="408" t="s">
        <v>539</v>
      </c>
      <c r="D334" s="348" t="s">
        <v>387</v>
      </c>
      <c r="E334" s="328" t="s">
        <v>59</v>
      </c>
      <c r="F334" s="329">
        <v>29.96</v>
      </c>
      <c r="G334" s="330">
        <v>2</v>
      </c>
      <c r="H334" s="331">
        <v>0</v>
      </c>
      <c r="I334" s="332">
        <v>0</v>
      </c>
      <c r="J334" s="331">
        <f t="shared" si="48"/>
        <v>2</v>
      </c>
      <c r="K334" s="329">
        <f t="shared" si="50"/>
        <v>59.92</v>
      </c>
      <c r="L334" s="298">
        <f t="shared" ref="L334:L396" si="51">H334*F334</f>
        <v>0</v>
      </c>
      <c r="M334" s="298">
        <f t="shared" ref="M334:M396" si="52">I334*F334</f>
        <v>0</v>
      </c>
      <c r="N334" s="603">
        <f t="shared" si="47"/>
        <v>59.92</v>
      </c>
      <c r="O334" s="330"/>
      <c r="P334" s="333"/>
      <c r="Q334" s="330"/>
      <c r="R334" s="333"/>
    </row>
    <row r="335" spans="1:18" ht="45">
      <c r="A335" s="346" t="s">
        <v>1060</v>
      </c>
      <c r="B335" s="426">
        <v>160608</v>
      </c>
      <c r="C335" s="328" t="s">
        <v>540</v>
      </c>
      <c r="D335" s="327" t="s">
        <v>1158</v>
      </c>
      <c r="E335" s="328" t="s">
        <v>59</v>
      </c>
      <c r="F335" s="329">
        <v>320.60000000000002</v>
      </c>
      <c r="G335" s="330">
        <v>3</v>
      </c>
      <c r="H335" s="331">
        <v>0</v>
      </c>
      <c r="I335" s="332">
        <v>0</v>
      </c>
      <c r="J335" s="331">
        <f t="shared" si="48"/>
        <v>3</v>
      </c>
      <c r="K335" s="329">
        <f t="shared" si="50"/>
        <v>961.80000000000007</v>
      </c>
      <c r="L335" s="298">
        <f t="shared" si="51"/>
        <v>0</v>
      </c>
      <c r="M335" s="298">
        <f t="shared" si="52"/>
        <v>0</v>
      </c>
      <c r="N335" s="603">
        <f t="shared" si="47"/>
        <v>961.80000000000007</v>
      </c>
      <c r="O335" s="330"/>
      <c r="P335" s="333"/>
      <c r="Q335" s="330"/>
      <c r="R335" s="333"/>
    </row>
    <row r="336" spans="1:18" ht="30">
      <c r="A336" s="324" t="s">
        <v>1060</v>
      </c>
      <c r="B336" s="419">
        <v>160613</v>
      </c>
      <c r="C336" s="408" t="s">
        <v>541</v>
      </c>
      <c r="D336" s="348" t="s">
        <v>389</v>
      </c>
      <c r="E336" s="328" t="s">
        <v>59</v>
      </c>
      <c r="F336" s="329">
        <v>197.45</v>
      </c>
      <c r="G336" s="330">
        <v>3</v>
      </c>
      <c r="H336" s="331">
        <v>0</v>
      </c>
      <c r="I336" s="332">
        <v>0</v>
      </c>
      <c r="J336" s="331">
        <f t="shared" si="48"/>
        <v>3</v>
      </c>
      <c r="K336" s="329">
        <f t="shared" si="50"/>
        <v>592.34999999999991</v>
      </c>
      <c r="L336" s="298">
        <f t="shared" si="51"/>
        <v>0</v>
      </c>
      <c r="M336" s="298">
        <f t="shared" si="52"/>
        <v>0</v>
      </c>
      <c r="N336" s="603">
        <f t="shared" si="47"/>
        <v>592.34999999999991</v>
      </c>
      <c r="O336" s="330"/>
      <c r="P336" s="333"/>
      <c r="Q336" s="330"/>
      <c r="R336" s="333"/>
    </row>
    <row r="337" spans="1:18" ht="30">
      <c r="A337" s="346" t="s">
        <v>1060</v>
      </c>
      <c r="B337" s="426">
        <v>160607</v>
      </c>
      <c r="C337" s="328" t="s">
        <v>542</v>
      </c>
      <c r="D337" s="327" t="s">
        <v>1159</v>
      </c>
      <c r="E337" s="328" t="s">
        <v>59</v>
      </c>
      <c r="F337" s="329">
        <v>178.48</v>
      </c>
      <c r="G337" s="330">
        <v>2</v>
      </c>
      <c r="H337" s="331">
        <v>0</v>
      </c>
      <c r="I337" s="332">
        <v>0</v>
      </c>
      <c r="J337" s="331">
        <f t="shared" si="48"/>
        <v>2</v>
      </c>
      <c r="K337" s="329">
        <f t="shared" si="50"/>
        <v>356.96</v>
      </c>
      <c r="L337" s="298">
        <f t="shared" si="51"/>
        <v>0</v>
      </c>
      <c r="M337" s="298">
        <f t="shared" si="52"/>
        <v>0</v>
      </c>
      <c r="N337" s="603">
        <f t="shared" si="47"/>
        <v>356.96</v>
      </c>
      <c r="O337" s="330"/>
      <c r="P337" s="333"/>
      <c r="Q337" s="330"/>
      <c r="R337" s="333"/>
    </row>
    <row r="338" spans="1:18" ht="45">
      <c r="A338" s="346" t="s">
        <v>1060</v>
      </c>
      <c r="B338" s="426">
        <v>190605</v>
      </c>
      <c r="C338" s="328" t="s">
        <v>543</v>
      </c>
      <c r="D338" s="327" t="s">
        <v>1195</v>
      </c>
      <c r="E338" s="328" t="s">
        <v>57</v>
      </c>
      <c r="F338" s="329">
        <v>50.18</v>
      </c>
      <c r="G338" s="330">
        <v>1.8</v>
      </c>
      <c r="H338" s="331">
        <v>0</v>
      </c>
      <c r="I338" s="332">
        <v>0</v>
      </c>
      <c r="J338" s="331">
        <f t="shared" si="48"/>
        <v>1.8</v>
      </c>
      <c r="K338" s="329">
        <f t="shared" si="50"/>
        <v>90.323999999999998</v>
      </c>
      <c r="L338" s="298">
        <f t="shared" si="51"/>
        <v>0</v>
      </c>
      <c r="M338" s="298">
        <f t="shared" si="52"/>
        <v>0</v>
      </c>
      <c r="N338" s="603">
        <f t="shared" ref="N338:N396" si="53">J338*F338</f>
        <v>90.323999999999998</v>
      </c>
      <c r="O338" s="330"/>
      <c r="P338" s="333"/>
      <c r="Q338" s="330"/>
      <c r="R338" s="333"/>
    </row>
    <row r="339" spans="1:18" s="403" customFormat="1">
      <c r="C339" s="447">
        <v>4</v>
      </c>
      <c r="D339" s="509" t="s">
        <v>1196</v>
      </c>
      <c r="F339" s="404"/>
      <c r="G339" s="405"/>
      <c r="I339" s="405"/>
      <c r="K339" s="404"/>
      <c r="L339" s="596"/>
      <c r="M339" s="599"/>
      <c r="N339" s="606"/>
      <c r="O339" s="405"/>
      <c r="P339" s="406"/>
      <c r="Q339" s="405"/>
      <c r="R339" s="406"/>
    </row>
    <row r="340" spans="1:18" s="312" customFormat="1">
      <c r="A340" s="392"/>
      <c r="B340" s="393"/>
      <c r="C340" s="394" t="s">
        <v>1</v>
      </c>
      <c r="D340" s="395" t="s">
        <v>1054</v>
      </c>
      <c r="E340" s="396"/>
      <c r="F340" s="397"/>
      <c r="G340" s="398"/>
      <c r="H340" s="427"/>
      <c r="I340" s="428"/>
      <c r="J340" s="427"/>
      <c r="K340" s="407"/>
      <c r="L340" s="298"/>
      <c r="M340" s="298"/>
      <c r="N340" s="603"/>
      <c r="O340" s="398"/>
      <c r="P340" s="402"/>
      <c r="Q340" s="398"/>
      <c r="R340" s="402"/>
    </row>
    <row r="341" spans="1:18" s="345" customFormat="1">
      <c r="A341" s="334"/>
      <c r="B341" s="335"/>
      <c r="C341" s="336" t="s">
        <v>37</v>
      </c>
      <c r="D341" s="337" t="s">
        <v>1084</v>
      </c>
      <c r="E341" s="338"/>
      <c r="F341" s="339"/>
      <c r="G341" s="340"/>
      <c r="H341" s="424"/>
      <c r="I341" s="425"/>
      <c r="J341" s="424"/>
      <c r="K341" s="343"/>
      <c r="L341" s="298"/>
      <c r="M341" s="298"/>
      <c r="N341" s="603"/>
      <c r="O341" s="340"/>
      <c r="P341" s="344"/>
      <c r="Q341" s="340"/>
      <c r="R341" s="344"/>
    </row>
    <row r="342" spans="1:18">
      <c r="A342" s="324" t="s">
        <v>1060</v>
      </c>
      <c r="B342" s="349">
        <v>20305</v>
      </c>
      <c r="C342" s="408" t="s">
        <v>550</v>
      </c>
      <c r="D342" s="327" t="s">
        <v>1085</v>
      </c>
      <c r="E342" s="328" t="s">
        <v>57</v>
      </c>
      <c r="F342" s="329">
        <v>222.96</v>
      </c>
      <c r="G342" s="330">
        <v>8</v>
      </c>
      <c r="H342" s="331">
        <v>0</v>
      </c>
      <c r="I342" s="332">
        <v>0</v>
      </c>
      <c r="J342" s="331">
        <f t="shared" ref="J342:J396" si="54">G342+H342-I342</f>
        <v>8</v>
      </c>
      <c r="K342" s="329">
        <f t="shared" si="50"/>
        <v>1783.68</v>
      </c>
      <c r="L342" s="298">
        <f t="shared" si="51"/>
        <v>0</v>
      </c>
      <c r="M342" s="298">
        <f t="shared" si="52"/>
        <v>0</v>
      </c>
      <c r="N342" s="603">
        <f t="shared" si="53"/>
        <v>1783.68</v>
      </c>
      <c r="O342" s="330"/>
      <c r="P342" s="333"/>
      <c r="Q342" s="330"/>
      <c r="R342" s="333"/>
    </row>
    <row r="343" spans="1:18" s="345" customFormat="1">
      <c r="A343" s="334"/>
      <c r="B343" s="335"/>
      <c r="C343" s="336" t="s">
        <v>38</v>
      </c>
      <c r="D343" s="337" t="s">
        <v>1086</v>
      </c>
      <c r="E343" s="338"/>
      <c r="F343" s="339"/>
      <c r="G343" s="340"/>
      <c r="H343" s="424"/>
      <c r="I343" s="425"/>
      <c r="J343" s="424"/>
      <c r="K343" s="343"/>
      <c r="L343" s="298"/>
      <c r="M343" s="298"/>
      <c r="N343" s="603"/>
      <c r="O343" s="340"/>
      <c r="P343" s="344"/>
      <c r="Q343" s="340"/>
      <c r="R343" s="344"/>
    </row>
    <row r="344" spans="1:18">
      <c r="A344" s="324" t="s">
        <v>1060</v>
      </c>
      <c r="B344" s="349">
        <v>10201</v>
      </c>
      <c r="C344" s="408" t="s">
        <v>551</v>
      </c>
      <c r="D344" s="327" t="s">
        <v>1162</v>
      </c>
      <c r="E344" s="328" t="s">
        <v>57</v>
      </c>
      <c r="F344" s="329">
        <v>22.08</v>
      </c>
      <c r="G344" s="330">
        <v>175.68</v>
      </c>
      <c r="H344" s="331">
        <v>0</v>
      </c>
      <c r="I344" s="332">
        <v>0</v>
      </c>
      <c r="J344" s="331">
        <f t="shared" si="54"/>
        <v>175.68</v>
      </c>
      <c r="K344" s="329">
        <f t="shared" si="50"/>
        <v>3879.0144</v>
      </c>
      <c r="L344" s="298">
        <f t="shared" si="51"/>
        <v>0</v>
      </c>
      <c r="M344" s="298">
        <f t="shared" si="52"/>
        <v>0</v>
      </c>
      <c r="N344" s="603">
        <f t="shared" si="53"/>
        <v>3879.0144</v>
      </c>
      <c r="O344" s="330"/>
      <c r="P344" s="333"/>
      <c r="Q344" s="330"/>
      <c r="R344" s="333"/>
    </row>
    <row r="345" spans="1:18">
      <c r="A345" s="324" t="s">
        <v>1060</v>
      </c>
      <c r="B345" s="349">
        <v>10209</v>
      </c>
      <c r="C345" s="408" t="s">
        <v>552</v>
      </c>
      <c r="D345" s="327" t="s">
        <v>1197</v>
      </c>
      <c r="E345" s="328" t="s">
        <v>58</v>
      </c>
      <c r="F345" s="329">
        <v>50.93</v>
      </c>
      <c r="G345" s="330">
        <v>4.96</v>
      </c>
      <c r="H345" s="331">
        <v>0</v>
      </c>
      <c r="I345" s="332">
        <v>0</v>
      </c>
      <c r="J345" s="331">
        <f t="shared" si="54"/>
        <v>4.96</v>
      </c>
      <c r="K345" s="329">
        <f t="shared" si="50"/>
        <v>252.61279999999999</v>
      </c>
      <c r="L345" s="298">
        <f t="shared" si="51"/>
        <v>0</v>
      </c>
      <c r="M345" s="298">
        <f t="shared" si="52"/>
        <v>0</v>
      </c>
      <c r="N345" s="603">
        <f t="shared" si="53"/>
        <v>252.61279999999999</v>
      </c>
      <c r="O345" s="330"/>
      <c r="P345" s="333"/>
      <c r="Q345" s="330"/>
      <c r="R345" s="333"/>
    </row>
    <row r="346" spans="1:18" ht="45">
      <c r="A346" s="346" t="s">
        <v>1060</v>
      </c>
      <c r="B346" s="347">
        <v>30304</v>
      </c>
      <c r="C346" s="328" t="s">
        <v>553</v>
      </c>
      <c r="D346" s="348" t="s">
        <v>109</v>
      </c>
      <c r="E346" s="328" t="s">
        <v>58</v>
      </c>
      <c r="F346" s="329">
        <v>56.45</v>
      </c>
      <c r="G346" s="330">
        <v>31.31</v>
      </c>
      <c r="H346" s="331">
        <v>0</v>
      </c>
      <c r="I346" s="332">
        <v>0</v>
      </c>
      <c r="J346" s="331">
        <f t="shared" si="54"/>
        <v>31.31</v>
      </c>
      <c r="K346" s="329">
        <f t="shared" si="50"/>
        <v>1767.4494999999999</v>
      </c>
      <c r="L346" s="298">
        <f t="shared" si="51"/>
        <v>0</v>
      </c>
      <c r="M346" s="298">
        <f t="shared" si="52"/>
        <v>0</v>
      </c>
      <c r="N346" s="603">
        <f t="shared" si="53"/>
        <v>1767.4494999999999</v>
      </c>
      <c r="O346" s="330"/>
      <c r="P346" s="333"/>
      <c r="Q346" s="330"/>
      <c r="R346" s="333"/>
    </row>
    <row r="347" spans="1:18" s="312" customFormat="1">
      <c r="A347" s="392"/>
      <c r="B347" s="393"/>
      <c r="C347" s="394" t="s">
        <v>27</v>
      </c>
      <c r="D347" s="409" t="s">
        <v>56</v>
      </c>
      <c r="E347" s="396"/>
      <c r="F347" s="397"/>
      <c r="G347" s="398"/>
      <c r="H347" s="427"/>
      <c r="I347" s="428"/>
      <c r="J347" s="427"/>
      <c r="K347" s="407"/>
      <c r="L347" s="298"/>
      <c r="M347" s="298"/>
      <c r="N347" s="603"/>
      <c r="O347" s="398"/>
      <c r="P347" s="402"/>
      <c r="Q347" s="398"/>
      <c r="R347" s="402"/>
    </row>
    <row r="348" spans="1:18" s="345" customFormat="1">
      <c r="A348" s="334"/>
      <c r="B348" s="335"/>
      <c r="C348" s="336" t="s">
        <v>39</v>
      </c>
      <c r="D348" s="337" t="s">
        <v>1088</v>
      </c>
      <c r="E348" s="338"/>
      <c r="F348" s="339"/>
      <c r="G348" s="340"/>
      <c r="H348" s="424"/>
      <c r="I348" s="425"/>
      <c r="J348" s="424"/>
      <c r="K348" s="343"/>
      <c r="L348" s="298"/>
      <c r="M348" s="298"/>
      <c r="N348" s="603"/>
      <c r="O348" s="340"/>
      <c r="P348" s="344"/>
      <c r="Q348" s="340"/>
      <c r="R348" s="344"/>
    </row>
    <row r="349" spans="1:18">
      <c r="A349" s="324" t="s">
        <v>1060</v>
      </c>
      <c r="B349" s="349">
        <v>30103</v>
      </c>
      <c r="C349" s="408" t="s">
        <v>555</v>
      </c>
      <c r="D349" s="327" t="s">
        <v>1089</v>
      </c>
      <c r="E349" s="328" t="s">
        <v>58</v>
      </c>
      <c r="F349" s="329">
        <v>9.81</v>
      </c>
      <c r="G349" s="330">
        <v>71.62</v>
      </c>
      <c r="H349" s="331">
        <v>0</v>
      </c>
      <c r="I349" s="332">
        <v>0</v>
      </c>
      <c r="J349" s="331">
        <f t="shared" si="54"/>
        <v>71.62</v>
      </c>
      <c r="K349" s="329">
        <f t="shared" si="50"/>
        <v>702.59220000000005</v>
      </c>
      <c r="L349" s="298">
        <f t="shared" si="51"/>
        <v>0</v>
      </c>
      <c r="M349" s="298">
        <f t="shared" si="52"/>
        <v>0</v>
      </c>
      <c r="N349" s="603">
        <f t="shared" si="53"/>
        <v>702.59220000000005</v>
      </c>
      <c r="O349" s="330"/>
      <c r="P349" s="333"/>
      <c r="Q349" s="330"/>
      <c r="R349" s="333"/>
    </row>
    <row r="350" spans="1:18" ht="45">
      <c r="A350" s="346" t="s">
        <v>1060</v>
      </c>
      <c r="B350" s="347">
        <v>30304</v>
      </c>
      <c r="C350" s="328" t="s">
        <v>556</v>
      </c>
      <c r="D350" s="348" t="s">
        <v>109</v>
      </c>
      <c r="E350" s="328" t="s">
        <v>58</v>
      </c>
      <c r="F350" s="329">
        <v>56.45</v>
      </c>
      <c r="G350" s="330">
        <v>71.62</v>
      </c>
      <c r="H350" s="331">
        <v>0</v>
      </c>
      <c r="I350" s="332">
        <v>0</v>
      </c>
      <c r="J350" s="331">
        <f t="shared" si="54"/>
        <v>71.62</v>
      </c>
      <c r="K350" s="329">
        <f t="shared" si="50"/>
        <v>4042.9490000000005</v>
      </c>
      <c r="L350" s="298">
        <f t="shared" si="51"/>
        <v>0</v>
      </c>
      <c r="M350" s="298">
        <f t="shared" si="52"/>
        <v>0</v>
      </c>
      <c r="N350" s="603">
        <f t="shared" si="53"/>
        <v>4042.9490000000005</v>
      </c>
      <c r="O350" s="330"/>
      <c r="P350" s="333"/>
      <c r="Q350" s="330"/>
      <c r="R350" s="333"/>
    </row>
    <row r="351" spans="1:18" s="312" customFormat="1">
      <c r="A351" s="392"/>
      <c r="B351" s="393"/>
      <c r="C351" s="394" t="s">
        <v>557</v>
      </c>
      <c r="D351" s="395" t="s">
        <v>1091</v>
      </c>
      <c r="E351" s="396"/>
      <c r="F351" s="397"/>
      <c r="G351" s="398"/>
      <c r="H351" s="427"/>
      <c r="I351" s="428"/>
      <c r="J351" s="427"/>
      <c r="K351" s="407"/>
      <c r="L351" s="298"/>
      <c r="M351" s="298"/>
      <c r="N351" s="603"/>
      <c r="O351" s="398"/>
      <c r="P351" s="402"/>
      <c r="Q351" s="398"/>
      <c r="R351" s="402"/>
    </row>
    <row r="352" spans="1:18" s="345" customFormat="1">
      <c r="A352" s="334"/>
      <c r="B352" s="335"/>
      <c r="C352" s="336" t="s">
        <v>558</v>
      </c>
      <c r="D352" s="337" t="s">
        <v>1081</v>
      </c>
      <c r="E352" s="338"/>
      <c r="F352" s="339"/>
      <c r="G352" s="340"/>
      <c r="H352" s="424"/>
      <c r="I352" s="425"/>
      <c r="J352" s="424"/>
      <c r="K352" s="343"/>
      <c r="L352" s="298"/>
      <c r="M352" s="298"/>
      <c r="N352" s="603"/>
      <c r="O352" s="340"/>
      <c r="P352" s="344"/>
      <c r="Q352" s="340"/>
      <c r="R352" s="344"/>
    </row>
    <row r="353" spans="1:18">
      <c r="A353" s="324" t="s">
        <v>1060</v>
      </c>
      <c r="B353" s="349">
        <v>10501</v>
      </c>
      <c r="C353" s="408" t="s">
        <v>559</v>
      </c>
      <c r="D353" s="327" t="s">
        <v>1092</v>
      </c>
      <c r="E353" s="328" t="s">
        <v>57</v>
      </c>
      <c r="F353" s="329">
        <v>7.69</v>
      </c>
      <c r="G353" s="330">
        <v>180.88</v>
      </c>
      <c r="H353" s="331">
        <v>0</v>
      </c>
      <c r="I353" s="332">
        <v>0</v>
      </c>
      <c r="J353" s="331">
        <f t="shared" si="54"/>
        <v>180.88</v>
      </c>
      <c r="K353" s="329">
        <f t="shared" si="50"/>
        <v>1390.9672</v>
      </c>
      <c r="L353" s="298">
        <f t="shared" si="51"/>
        <v>0</v>
      </c>
      <c r="M353" s="298">
        <f t="shared" si="52"/>
        <v>0</v>
      </c>
      <c r="N353" s="603">
        <f t="shared" si="53"/>
        <v>1390.9672</v>
      </c>
      <c r="O353" s="330"/>
      <c r="P353" s="333"/>
      <c r="Q353" s="330"/>
      <c r="R353" s="333"/>
    </row>
    <row r="354" spans="1:18" s="416" customFormat="1">
      <c r="A354" s="410" t="s">
        <v>1060</v>
      </c>
      <c r="B354" s="411" t="s">
        <v>1093</v>
      </c>
      <c r="C354" s="412" t="s">
        <v>1198</v>
      </c>
      <c r="D354" s="413" t="s">
        <v>1095</v>
      </c>
      <c r="E354" s="412" t="s">
        <v>51</v>
      </c>
      <c r="F354" s="367">
        <v>8.0299999999999994</v>
      </c>
      <c r="G354" s="414">
        <v>0</v>
      </c>
      <c r="H354" s="371">
        <v>109.2</v>
      </c>
      <c r="I354" s="370">
        <v>0</v>
      </c>
      <c r="J354" s="371">
        <f t="shared" si="54"/>
        <v>109.2</v>
      </c>
      <c r="K354" s="367">
        <f>F354*G354</f>
        <v>0</v>
      </c>
      <c r="L354" s="298">
        <f t="shared" si="51"/>
        <v>876.87599999999998</v>
      </c>
      <c r="M354" s="298">
        <f t="shared" si="52"/>
        <v>0</v>
      </c>
      <c r="N354" s="607">
        <f t="shared" si="53"/>
        <v>876.87599999999998</v>
      </c>
      <c r="O354" s="414"/>
      <c r="P354" s="415"/>
      <c r="Q354" s="414"/>
      <c r="R354" s="415"/>
    </row>
    <row r="355" spans="1:18" s="345" customFormat="1">
      <c r="A355" s="334"/>
      <c r="B355" s="335"/>
      <c r="C355" s="336" t="s">
        <v>560</v>
      </c>
      <c r="D355" s="417" t="s">
        <v>124</v>
      </c>
      <c r="E355" s="338"/>
      <c r="F355" s="339"/>
      <c r="G355" s="340"/>
      <c r="H355" s="424"/>
      <c r="I355" s="425"/>
      <c r="J355" s="424"/>
      <c r="K355" s="343"/>
      <c r="L355" s="298"/>
      <c r="M355" s="298"/>
      <c r="N355" s="603"/>
      <c r="O355" s="340"/>
      <c r="P355" s="344"/>
      <c r="Q355" s="340"/>
      <c r="R355" s="344"/>
    </row>
    <row r="356" spans="1:18" ht="30">
      <c r="A356" s="324" t="s">
        <v>1096</v>
      </c>
      <c r="B356" s="325" t="s">
        <v>136</v>
      </c>
      <c r="C356" s="408" t="s">
        <v>561</v>
      </c>
      <c r="D356" s="348" t="s">
        <v>141</v>
      </c>
      <c r="E356" s="328" t="s">
        <v>60</v>
      </c>
      <c r="F356" s="329">
        <v>462.96</v>
      </c>
      <c r="G356" s="330">
        <v>85</v>
      </c>
      <c r="H356" s="331">
        <v>0</v>
      </c>
      <c r="I356" s="332">
        <v>0</v>
      </c>
      <c r="J356" s="331">
        <f t="shared" si="54"/>
        <v>85</v>
      </c>
      <c r="K356" s="329">
        <f t="shared" si="50"/>
        <v>39351.599999999999</v>
      </c>
      <c r="L356" s="298">
        <f t="shared" si="51"/>
        <v>0</v>
      </c>
      <c r="M356" s="298">
        <f t="shared" si="52"/>
        <v>0</v>
      </c>
      <c r="N356" s="603">
        <f t="shared" si="53"/>
        <v>39351.599999999999</v>
      </c>
      <c r="O356" s="330"/>
      <c r="P356" s="333"/>
      <c r="Q356" s="330"/>
      <c r="R356" s="333"/>
    </row>
    <row r="357" spans="1:18">
      <c r="A357" s="324" t="s">
        <v>1056</v>
      </c>
      <c r="B357" s="325" t="s">
        <v>137</v>
      </c>
      <c r="C357" s="408" t="s">
        <v>562</v>
      </c>
      <c r="D357" s="348" t="s">
        <v>142</v>
      </c>
      <c r="E357" s="328" t="s">
        <v>49</v>
      </c>
      <c r="F357" s="329">
        <v>596.34</v>
      </c>
      <c r="G357" s="330">
        <v>36.83</v>
      </c>
      <c r="H357" s="331">
        <v>0</v>
      </c>
      <c r="I357" s="332">
        <v>0</v>
      </c>
      <c r="J357" s="331">
        <f t="shared" si="54"/>
        <v>36.83</v>
      </c>
      <c r="K357" s="329">
        <f t="shared" si="50"/>
        <v>21963.2022</v>
      </c>
      <c r="L357" s="298">
        <f t="shared" si="51"/>
        <v>0</v>
      </c>
      <c r="M357" s="298">
        <f t="shared" si="52"/>
        <v>0</v>
      </c>
      <c r="N357" s="603">
        <f t="shared" si="53"/>
        <v>21963.2022</v>
      </c>
      <c r="O357" s="330"/>
      <c r="P357" s="333"/>
      <c r="Q357" s="330"/>
      <c r="R357" s="333"/>
    </row>
    <row r="358" spans="1:18">
      <c r="A358" s="324" t="s">
        <v>1056</v>
      </c>
      <c r="B358" s="325" t="s">
        <v>138</v>
      </c>
      <c r="C358" s="408" t="s">
        <v>563</v>
      </c>
      <c r="D358" s="348" t="s">
        <v>143</v>
      </c>
      <c r="E358" s="328" t="s">
        <v>29</v>
      </c>
      <c r="F358" s="329">
        <v>4.82</v>
      </c>
      <c r="G358" s="330">
        <v>528</v>
      </c>
      <c r="H358" s="331">
        <v>0</v>
      </c>
      <c r="I358" s="332">
        <v>0</v>
      </c>
      <c r="J358" s="331">
        <f t="shared" si="54"/>
        <v>528</v>
      </c>
      <c r="K358" s="329">
        <f t="shared" si="50"/>
        <v>2544.96</v>
      </c>
      <c r="L358" s="298">
        <f t="shared" si="51"/>
        <v>0</v>
      </c>
      <c r="M358" s="298">
        <f t="shared" si="52"/>
        <v>0</v>
      </c>
      <c r="N358" s="603">
        <f t="shared" si="53"/>
        <v>2544.96</v>
      </c>
      <c r="O358" s="330"/>
      <c r="P358" s="333"/>
      <c r="Q358" s="330"/>
      <c r="R358" s="333"/>
    </row>
    <row r="359" spans="1:18" ht="30">
      <c r="A359" s="324" t="s">
        <v>1056</v>
      </c>
      <c r="B359" s="325" t="s">
        <v>139</v>
      </c>
      <c r="C359" s="408" t="s">
        <v>564</v>
      </c>
      <c r="D359" s="348" t="s">
        <v>144</v>
      </c>
      <c r="E359" s="328" t="s">
        <v>29</v>
      </c>
      <c r="F359" s="329">
        <v>6.12</v>
      </c>
      <c r="G359" s="330">
        <v>4554</v>
      </c>
      <c r="H359" s="331">
        <v>0</v>
      </c>
      <c r="I359" s="332">
        <v>0</v>
      </c>
      <c r="J359" s="331">
        <f t="shared" si="54"/>
        <v>4554</v>
      </c>
      <c r="K359" s="329">
        <f t="shared" si="50"/>
        <v>27870.48</v>
      </c>
      <c r="L359" s="298">
        <f t="shared" si="51"/>
        <v>0</v>
      </c>
      <c r="M359" s="298">
        <f t="shared" si="52"/>
        <v>0</v>
      </c>
      <c r="N359" s="603">
        <f t="shared" si="53"/>
        <v>27870.48</v>
      </c>
      <c r="O359" s="330"/>
      <c r="P359" s="333"/>
      <c r="Q359" s="330"/>
      <c r="R359" s="333"/>
    </row>
    <row r="360" spans="1:18">
      <c r="A360" s="324" t="s">
        <v>1060</v>
      </c>
      <c r="B360" s="325">
        <v>30101</v>
      </c>
      <c r="C360" s="408" t="s">
        <v>565</v>
      </c>
      <c r="D360" s="348" t="s">
        <v>145</v>
      </c>
      <c r="E360" s="328" t="s">
        <v>58</v>
      </c>
      <c r="F360" s="329">
        <v>48.58</v>
      </c>
      <c r="G360" s="330">
        <v>5.8</v>
      </c>
      <c r="H360" s="331">
        <v>0</v>
      </c>
      <c r="I360" s="332">
        <v>0</v>
      </c>
      <c r="J360" s="331">
        <f t="shared" si="54"/>
        <v>5.8</v>
      </c>
      <c r="K360" s="329">
        <f t="shared" si="50"/>
        <v>281.76399999999995</v>
      </c>
      <c r="L360" s="298">
        <f t="shared" si="51"/>
        <v>0</v>
      </c>
      <c r="M360" s="298">
        <f t="shared" si="52"/>
        <v>0</v>
      </c>
      <c r="N360" s="603">
        <f t="shared" si="53"/>
        <v>281.76399999999995</v>
      </c>
      <c r="O360" s="330"/>
      <c r="P360" s="333"/>
      <c r="Q360" s="330"/>
      <c r="R360" s="333"/>
    </row>
    <row r="361" spans="1:18" ht="45">
      <c r="A361" s="324" t="s">
        <v>1060</v>
      </c>
      <c r="B361" s="325">
        <v>40339</v>
      </c>
      <c r="C361" s="408" t="s">
        <v>566</v>
      </c>
      <c r="D361" s="348" t="s">
        <v>146</v>
      </c>
      <c r="E361" s="328" t="s">
        <v>57</v>
      </c>
      <c r="F361" s="329">
        <v>91.04</v>
      </c>
      <c r="G361" s="330">
        <v>122.6</v>
      </c>
      <c r="H361" s="331">
        <v>0</v>
      </c>
      <c r="I361" s="332">
        <v>0</v>
      </c>
      <c r="J361" s="331">
        <f t="shared" si="54"/>
        <v>122.6</v>
      </c>
      <c r="K361" s="329">
        <f t="shared" si="50"/>
        <v>11161.504000000001</v>
      </c>
      <c r="L361" s="298">
        <f t="shared" si="51"/>
        <v>0</v>
      </c>
      <c r="M361" s="298">
        <f t="shared" si="52"/>
        <v>0</v>
      </c>
      <c r="N361" s="603">
        <f t="shared" si="53"/>
        <v>11161.504000000001</v>
      </c>
      <c r="O361" s="330"/>
      <c r="P361" s="333"/>
      <c r="Q361" s="330"/>
      <c r="R361" s="333"/>
    </row>
    <row r="362" spans="1:18" ht="30">
      <c r="A362" s="324" t="s">
        <v>1060</v>
      </c>
      <c r="B362" s="325">
        <v>40328</v>
      </c>
      <c r="C362" s="408" t="s">
        <v>567</v>
      </c>
      <c r="D362" s="348" t="s">
        <v>147</v>
      </c>
      <c r="E362" s="328" t="s">
        <v>29</v>
      </c>
      <c r="F362" s="329">
        <v>7.98</v>
      </c>
      <c r="G362" s="330">
        <v>584</v>
      </c>
      <c r="H362" s="331">
        <v>0</v>
      </c>
      <c r="I362" s="332">
        <v>0</v>
      </c>
      <c r="J362" s="331">
        <f t="shared" si="54"/>
        <v>584</v>
      </c>
      <c r="K362" s="329">
        <f t="shared" si="50"/>
        <v>4660.3200000000006</v>
      </c>
      <c r="L362" s="298">
        <f t="shared" si="51"/>
        <v>0</v>
      </c>
      <c r="M362" s="298">
        <f t="shared" si="52"/>
        <v>0</v>
      </c>
      <c r="N362" s="603">
        <f t="shared" si="53"/>
        <v>4660.3200000000006</v>
      </c>
      <c r="O362" s="330"/>
      <c r="P362" s="333"/>
      <c r="Q362" s="330"/>
      <c r="R362" s="333"/>
    </row>
    <row r="363" spans="1:18" ht="30">
      <c r="A363" s="324" t="s">
        <v>1060</v>
      </c>
      <c r="B363" s="325">
        <v>40245</v>
      </c>
      <c r="C363" s="408" t="s">
        <v>568</v>
      </c>
      <c r="D363" s="348" t="s">
        <v>148</v>
      </c>
      <c r="E363" s="328" t="s">
        <v>29</v>
      </c>
      <c r="F363" s="329">
        <v>8.41</v>
      </c>
      <c r="G363" s="330">
        <v>144</v>
      </c>
      <c r="H363" s="331">
        <v>0</v>
      </c>
      <c r="I363" s="332">
        <v>0</v>
      </c>
      <c r="J363" s="331">
        <f t="shared" si="54"/>
        <v>144</v>
      </c>
      <c r="K363" s="329">
        <f t="shared" si="50"/>
        <v>1211.04</v>
      </c>
      <c r="L363" s="298">
        <f t="shared" si="51"/>
        <v>0</v>
      </c>
      <c r="M363" s="298">
        <f t="shared" si="52"/>
        <v>0</v>
      </c>
      <c r="N363" s="603">
        <f t="shared" si="53"/>
        <v>1211.04</v>
      </c>
      <c r="O363" s="330"/>
      <c r="P363" s="333"/>
      <c r="Q363" s="330"/>
      <c r="R363" s="333"/>
    </row>
    <row r="364" spans="1:18" ht="30">
      <c r="A364" s="324" t="s">
        <v>1060</v>
      </c>
      <c r="B364" s="325">
        <v>40246</v>
      </c>
      <c r="C364" s="408" t="s">
        <v>569</v>
      </c>
      <c r="D364" s="348" t="s">
        <v>149</v>
      </c>
      <c r="E364" s="328" t="s">
        <v>29</v>
      </c>
      <c r="F364" s="329">
        <v>8.08</v>
      </c>
      <c r="G364" s="330">
        <v>37</v>
      </c>
      <c r="H364" s="331">
        <v>0</v>
      </c>
      <c r="I364" s="332">
        <v>0</v>
      </c>
      <c r="J364" s="331">
        <f t="shared" si="54"/>
        <v>37</v>
      </c>
      <c r="K364" s="329">
        <f t="shared" si="50"/>
        <v>298.95999999999998</v>
      </c>
      <c r="L364" s="298">
        <f t="shared" si="51"/>
        <v>0</v>
      </c>
      <c r="M364" s="298">
        <f t="shared" si="52"/>
        <v>0</v>
      </c>
      <c r="N364" s="603">
        <f t="shared" si="53"/>
        <v>298.95999999999998</v>
      </c>
      <c r="O364" s="330"/>
      <c r="P364" s="333"/>
      <c r="Q364" s="330"/>
      <c r="R364" s="333"/>
    </row>
    <row r="365" spans="1:18" ht="60">
      <c r="A365" s="324" t="s">
        <v>1056</v>
      </c>
      <c r="B365" s="325" t="s">
        <v>140</v>
      </c>
      <c r="C365" s="408" t="s">
        <v>570</v>
      </c>
      <c r="D365" s="348" t="s">
        <v>177</v>
      </c>
      <c r="E365" s="328" t="s">
        <v>58</v>
      </c>
      <c r="F365" s="329">
        <v>486.08</v>
      </c>
      <c r="G365" s="330">
        <v>16.8</v>
      </c>
      <c r="H365" s="331">
        <v>0</v>
      </c>
      <c r="I365" s="332">
        <v>0</v>
      </c>
      <c r="J365" s="331">
        <f t="shared" si="54"/>
        <v>16.8</v>
      </c>
      <c r="K365" s="329">
        <f t="shared" si="50"/>
        <v>8166.1440000000002</v>
      </c>
      <c r="L365" s="298">
        <f t="shared" si="51"/>
        <v>0</v>
      </c>
      <c r="M365" s="298">
        <f t="shared" si="52"/>
        <v>0</v>
      </c>
      <c r="N365" s="603">
        <f t="shared" si="53"/>
        <v>8166.1440000000002</v>
      </c>
      <c r="O365" s="330"/>
      <c r="P365" s="333"/>
      <c r="Q365" s="330"/>
      <c r="R365" s="333"/>
    </row>
    <row r="366" spans="1:18" s="361" customFormat="1" ht="18">
      <c r="A366" s="350" t="s">
        <v>1060</v>
      </c>
      <c r="B366" s="351">
        <v>40813</v>
      </c>
      <c r="C366" s="328" t="s">
        <v>571</v>
      </c>
      <c r="D366" s="352" t="s">
        <v>151</v>
      </c>
      <c r="E366" s="353" t="s">
        <v>57</v>
      </c>
      <c r="F366" s="354">
        <v>64.3</v>
      </c>
      <c r="G366" s="355">
        <v>195.37</v>
      </c>
      <c r="H366" s="331">
        <v>0</v>
      </c>
      <c r="I366" s="332">
        <v>0</v>
      </c>
      <c r="J366" s="331">
        <f t="shared" si="54"/>
        <v>195.37</v>
      </c>
      <c r="K366" s="418">
        <f t="shared" si="50"/>
        <v>12562.290999999999</v>
      </c>
      <c r="L366" s="358">
        <f t="shared" si="51"/>
        <v>0</v>
      </c>
      <c r="M366" s="359">
        <f t="shared" si="52"/>
        <v>0</v>
      </c>
      <c r="N366" s="604">
        <f t="shared" si="53"/>
        <v>12562.290999999999</v>
      </c>
      <c r="O366" s="355"/>
      <c r="P366" s="360"/>
      <c r="Q366" s="355"/>
      <c r="R366" s="360"/>
    </row>
    <row r="367" spans="1:18" s="345" customFormat="1">
      <c r="A367" s="334"/>
      <c r="B367" s="335"/>
      <c r="C367" s="336" t="s">
        <v>572</v>
      </c>
      <c r="D367" s="417" t="s">
        <v>153</v>
      </c>
      <c r="E367" s="338"/>
      <c r="F367" s="339"/>
      <c r="G367" s="340"/>
      <c r="H367" s="341"/>
      <c r="I367" s="342"/>
      <c r="J367" s="341"/>
      <c r="K367" s="343"/>
      <c r="L367" s="298"/>
      <c r="M367" s="298"/>
      <c r="N367" s="603">
        <f t="shared" si="53"/>
        <v>0</v>
      </c>
      <c r="O367" s="340"/>
      <c r="P367" s="344"/>
      <c r="Q367" s="340"/>
      <c r="R367" s="344"/>
    </row>
    <row r="368" spans="1:18" ht="30">
      <c r="A368" s="324" t="s">
        <v>1056</v>
      </c>
      <c r="B368" s="325" t="s">
        <v>155</v>
      </c>
      <c r="C368" s="408" t="s">
        <v>573</v>
      </c>
      <c r="D368" s="348" t="s">
        <v>156</v>
      </c>
      <c r="E368" s="328" t="s">
        <v>50</v>
      </c>
      <c r="F368" s="329">
        <v>91.41</v>
      </c>
      <c r="G368" s="330">
        <v>151.46</v>
      </c>
      <c r="H368" s="331">
        <v>0</v>
      </c>
      <c r="I368" s="332">
        <v>0</v>
      </c>
      <c r="J368" s="331">
        <f t="shared" si="54"/>
        <v>151.46</v>
      </c>
      <c r="K368" s="329">
        <f t="shared" si="50"/>
        <v>13844.9586</v>
      </c>
      <c r="L368" s="298">
        <f t="shared" si="51"/>
        <v>0</v>
      </c>
      <c r="M368" s="298">
        <f t="shared" si="52"/>
        <v>0</v>
      </c>
      <c r="N368" s="603">
        <f t="shared" si="53"/>
        <v>13844.9586</v>
      </c>
      <c r="O368" s="330"/>
      <c r="P368" s="333"/>
      <c r="Q368" s="330"/>
      <c r="R368" s="333"/>
    </row>
    <row r="369" spans="1:18" s="345" customFormat="1">
      <c r="A369" s="334"/>
      <c r="B369" s="335"/>
      <c r="C369" s="336" t="s">
        <v>574</v>
      </c>
      <c r="D369" s="337" t="s">
        <v>1097</v>
      </c>
      <c r="E369" s="338"/>
      <c r="F369" s="339"/>
      <c r="G369" s="340"/>
      <c r="H369" s="341"/>
      <c r="I369" s="342"/>
      <c r="J369" s="341"/>
      <c r="K369" s="343"/>
      <c r="L369" s="298"/>
      <c r="M369" s="298"/>
      <c r="N369" s="603">
        <f t="shared" si="53"/>
        <v>0</v>
      </c>
      <c r="O369" s="340"/>
      <c r="P369" s="344"/>
      <c r="Q369" s="340"/>
      <c r="R369" s="344"/>
    </row>
    <row r="370" spans="1:18" ht="30">
      <c r="A370" s="324" t="s">
        <v>1056</v>
      </c>
      <c r="B370" s="325" t="s">
        <v>155</v>
      </c>
      <c r="C370" s="408" t="s">
        <v>575</v>
      </c>
      <c r="D370" s="348" t="s">
        <v>156</v>
      </c>
      <c r="E370" s="328" t="s">
        <v>50</v>
      </c>
      <c r="F370" s="329">
        <v>91.41</v>
      </c>
      <c r="G370" s="330">
        <v>23.59</v>
      </c>
      <c r="H370" s="331">
        <v>0</v>
      </c>
      <c r="I370" s="332">
        <v>0</v>
      </c>
      <c r="J370" s="331">
        <f t="shared" si="54"/>
        <v>23.59</v>
      </c>
      <c r="K370" s="329">
        <f t="shared" si="50"/>
        <v>2156.3618999999999</v>
      </c>
      <c r="L370" s="298">
        <f t="shared" si="51"/>
        <v>0</v>
      </c>
      <c r="M370" s="298">
        <f t="shared" si="52"/>
        <v>0</v>
      </c>
      <c r="N370" s="603">
        <f t="shared" si="53"/>
        <v>2156.3618999999999</v>
      </c>
      <c r="O370" s="330"/>
      <c r="P370" s="333"/>
      <c r="Q370" s="330"/>
      <c r="R370" s="333"/>
    </row>
    <row r="371" spans="1:18">
      <c r="A371" s="324" t="s">
        <v>1060</v>
      </c>
      <c r="B371" s="419">
        <v>200323</v>
      </c>
      <c r="C371" s="408" t="s">
        <v>576</v>
      </c>
      <c r="D371" s="327" t="s">
        <v>1099</v>
      </c>
      <c r="E371" s="328" t="s">
        <v>58</v>
      </c>
      <c r="F371" s="329">
        <v>125.94</v>
      </c>
      <c r="G371" s="330">
        <v>4.76</v>
      </c>
      <c r="H371" s="331">
        <v>0</v>
      </c>
      <c r="I371" s="332">
        <v>0</v>
      </c>
      <c r="J371" s="331">
        <f t="shared" si="54"/>
        <v>4.76</v>
      </c>
      <c r="K371" s="329">
        <f t="shared" si="50"/>
        <v>599.47439999999995</v>
      </c>
      <c r="L371" s="298">
        <f t="shared" si="51"/>
        <v>0</v>
      </c>
      <c r="M371" s="298">
        <f t="shared" si="52"/>
        <v>0</v>
      </c>
      <c r="N371" s="603">
        <f t="shared" si="53"/>
        <v>599.47439999999995</v>
      </c>
      <c r="O371" s="330"/>
      <c r="P371" s="333"/>
      <c r="Q371" s="330"/>
      <c r="R371" s="333"/>
    </row>
    <row r="372" spans="1:18" ht="45">
      <c r="A372" s="346" t="s">
        <v>1060</v>
      </c>
      <c r="B372" s="347">
        <v>50501</v>
      </c>
      <c r="C372" s="328" t="s">
        <v>577</v>
      </c>
      <c r="D372" s="348" t="s">
        <v>1199</v>
      </c>
      <c r="E372" s="328" t="s">
        <v>57</v>
      </c>
      <c r="F372" s="329">
        <v>94.9</v>
      </c>
      <c r="G372" s="330">
        <v>2.14</v>
      </c>
      <c r="H372" s="331">
        <v>0</v>
      </c>
      <c r="I372" s="332">
        <v>0</v>
      </c>
      <c r="J372" s="331">
        <f t="shared" si="54"/>
        <v>2.14</v>
      </c>
      <c r="K372" s="329">
        <f t="shared" si="50"/>
        <v>203.08600000000001</v>
      </c>
      <c r="L372" s="298">
        <f t="shared" si="51"/>
        <v>0</v>
      </c>
      <c r="M372" s="298">
        <f t="shared" si="52"/>
        <v>0</v>
      </c>
      <c r="N372" s="603">
        <f t="shared" si="53"/>
        <v>203.08600000000001</v>
      </c>
      <c r="O372" s="330"/>
      <c r="P372" s="333"/>
      <c r="Q372" s="330"/>
      <c r="R372" s="333"/>
    </row>
    <row r="373" spans="1:18" s="345" customFormat="1">
      <c r="A373" s="334"/>
      <c r="B373" s="335"/>
      <c r="C373" s="336" t="s">
        <v>578</v>
      </c>
      <c r="D373" s="417" t="s">
        <v>164</v>
      </c>
      <c r="E373" s="338"/>
      <c r="F373" s="339"/>
      <c r="G373" s="340"/>
      <c r="H373" s="341"/>
      <c r="I373" s="342"/>
      <c r="J373" s="341"/>
      <c r="K373" s="343"/>
      <c r="L373" s="298"/>
      <c r="M373" s="298"/>
      <c r="N373" s="603">
        <f t="shared" si="53"/>
        <v>0</v>
      </c>
      <c r="O373" s="340"/>
      <c r="P373" s="344"/>
      <c r="Q373" s="340"/>
      <c r="R373" s="344"/>
    </row>
    <row r="374" spans="1:18" ht="45">
      <c r="A374" s="346" t="s">
        <v>1060</v>
      </c>
      <c r="B374" s="347">
        <v>40339</v>
      </c>
      <c r="C374" s="328" t="s">
        <v>579</v>
      </c>
      <c r="D374" s="327" t="s">
        <v>1101</v>
      </c>
      <c r="E374" s="328" t="s">
        <v>57</v>
      </c>
      <c r="F374" s="329">
        <v>91.04</v>
      </c>
      <c r="G374" s="330">
        <v>52.4</v>
      </c>
      <c r="H374" s="331">
        <v>0</v>
      </c>
      <c r="I374" s="332">
        <v>0</v>
      </c>
      <c r="J374" s="331">
        <f t="shared" si="54"/>
        <v>52.4</v>
      </c>
      <c r="K374" s="329">
        <f t="shared" si="50"/>
        <v>4770.4960000000001</v>
      </c>
      <c r="L374" s="298">
        <f t="shared" si="51"/>
        <v>0</v>
      </c>
      <c r="M374" s="298">
        <f t="shared" si="52"/>
        <v>0</v>
      </c>
      <c r="N374" s="603">
        <f t="shared" si="53"/>
        <v>4770.4960000000001</v>
      </c>
      <c r="O374" s="330"/>
      <c r="P374" s="333"/>
      <c r="Q374" s="330"/>
      <c r="R374" s="333"/>
    </row>
    <row r="375" spans="1:18" ht="30">
      <c r="A375" s="324" t="s">
        <v>1060</v>
      </c>
      <c r="B375" s="349">
        <v>40328</v>
      </c>
      <c r="C375" s="408" t="s">
        <v>580</v>
      </c>
      <c r="D375" s="348" t="s">
        <v>147</v>
      </c>
      <c r="E375" s="328" t="s">
        <v>29</v>
      </c>
      <c r="F375" s="329">
        <v>7.98</v>
      </c>
      <c r="G375" s="330">
        <v>210</v>
      </c>
      <c r="H375" s="331">
        <v>0</v>
      </c>
      <c r="I375" s="332">
        <v>0</v>
      </c>
      <c r="J375" s="331">
        <f t="shared" si="54"/>
        <v>210</v>
      </c>
      <c r="K375" s="329">
        <f t="shared" ref="K375:K396" si="55">F375*G375</f>
        <v>1675.8000000000002</v>
      </c>
      <c r="L375" s="298">
        <f t="shared" si="51"/>
        <v>0</v>
      </c>
      <c r="M375" s="298">
        <f t="shared" si="52"/>
        <v>0</v>
      </c>
      <c r="N375" s="603">
        <f t="shared" si="53"/>
        <v>1675.8000000000002</v>
      </c>
      <c r="O375" s="330"/>
      <c r="P375" s="333"/>
      <c r="Q375" s="330"/>
      <c r="R375" s="333"/>
    </row>
    <row r="376" spans="1:18" ht="30">
      <c r="A376" s="324" t="s">
        <v>1060</v>
      </c>
      <c r="B376" s="349">
        <v>40245</v>
      </c>
      <c r="C376" s="408" t="s">
        <v>581</v>
      </c>
      <c r="D376" s="348" t="s">
        <v>148</v>
      </c>
      <c r="E376" s="328" t="s">
        <v>29</v>
      </c>
      <c r="F376" s="329">
        <v>8.41</v>
      </c>
      <c r="G376" s="330">
        <v>55</v>
      </c>
      <c r="H376" s="331">
        <v>0</v>
      </c>
      <c r="I376" s="332">
        <v>0</v>
      </c>
      <c r="J376" s="331">
        <f t="shared" si="54"/>
        <v>55</v>
      </c>
      <c r="K376" s="329">
        <f t="shared" si="55"/>
        <v>462.55</v>
      </c>
      <c r="L376" s="298">
        <f t="shared" si="51"/>
        <v>0</v>
      </c>
      <c r="M376" s="298">
        <f t="shared" si="52"/>
        <v>0</v>
      </c>
      <c r="N376" s="603">
        <f t="shared" si="53"/>
        <v>462.55</v>
      </c>
      <c r="O376" s="330"/>
      <c r="P376" s="333"/>
      <c r="Q376" s="330"/>
      <c r="R376" s="333"/>
    </row>
    <row r="377" spans="1:18" ht="30">
      <c r="A377" s="324" t="s">
        <v>1060</v>
      </c>
      <c r="B377" s="349">
        <v>40246</v>
      </c>
      <c r="C377" s="408" t="s">
        <v>582</v>
      </c>
      <c r="D377" s="348" t="s">
        <v>149</v>
      </c>
      <c r="E377" s="328" t="s">
        <v>29</v>
      </c>
      <c r="F377" s="329">
        <v>8.08</v>
      </c>
      <c r="G377" s="330">
        <v>78</v>
      </c>
      <c r="H377" s="331">
        <v>0</v>
      </c>
      <c r="I377" s="332">
        <v>0</v>
      </c>
      <c r="J377" s="331">
        <f t="shared" si="54"/>
        <v>78</v>
      </c>
      <c r="K377" s="329">
        <f t="shared" si="55"/>
        <v>630.24</v>
      </c>
      <c r="L377" s="298">
        <f t="shared" si="51"/>
        <v>0</v>
      </c>
      <c r="M377" s="298">
        <f t="shared" si="52"/>
        <v>0</v>
      </c>
      <c r="N377" s="603">
        <f t="shared" si="53"/>
        <v>630.24</v>
      </c>
      <c r="O377" s="330"/>
      <c r="P377" s="333"/>
      <c r="Q377" s="330"/>
      <c r="R377" s="333"/>
    </row>
    <row r="378" spans="1:18" ht="45">
      <c r="A378" s="346" t="s">
        <v>1056</v>
      </c>
      <c r="B378" s="420" t="s">
        <v>140</v>
      </c>
      <c r="C378" s="328" t="s">
        <v>583</v>
      </c>
      <c r="D378" s="348" t="s">
        <v>150</v>
      </c>
      <c r="E378" s="328" t="s">
        <v>58</v>
      </c>
      <c r="F378" s="329">
        <v>486.08</v>
      </c>
      <c r="G378" s="330">
        <v>3.5</v>
      </c>
      <c r="H378" s="331">
        <v>0</v>
      </c>
      <c r="I378" s="332">
        <v>0</v>
      </c>
      <c r="J378" s="331">
        <f t="shared" si="54"/>
        <v>3.5</v>
      </c>
      <c r="K378" s="329">
        <f t="shared" si="55"/>
        <v>1701.28</v>
      </c>
      <c r="L378" s="298">
        <f t="shared" si="51"/>
        <v>0</v>
      </c>
      <c r="M378" s="298">
        <f t="shared" si="52"/>
        <v>0</v>
      </c>
      <c r="N378" s="603">
        <f t="shared" si="53"/>
        <v>1701.28</v>
      </c>
      <c r="O378" s="330"/>
      <c r="P378" s="333"/>
      <c r="Q378" s="330"/>
      <c r="R378" s="333"/>
    </row>
    <row r="379" spans="1:18" s="345" customFormat="1">
      <c r="A379" s="334"/>
      <c r="B379" s="335"/>
      <c r="C379" s="336" t="s">
        <v>584</v>
      </c>
      <c r="D379" s="337" t="s">
        <v>1102</v>
      </c>
      <c r="E379" s="338"/>
      <c r="F379" s="339"/>
      <c r="G379" s="340"/>
      <c r="H379" s="341"/>
      <c r="I379" s="342"/>
      <c r="J379" s="341"/>
      <c r="K379" s="343"/>
      <c r="L379" s="298"/>
      <c r="M379" s="298"/>
      <c r="N379" s="603">
        <f t="shared" si="53"/>
        <v>0</v>
      </c>
      <c r="O379" s="340"/>
      <c r="P379" s="344"/>
      <c r="Q379" s="340"/>
      <c r="R379" s="344"/>
    </row>
    <row r="380" spans="1:18" ht="45">
      <c r="A380" s="346" t="s">
        <v>1060</v>
      </c>
      <c r="B380" s="347">
        <v>40339</v>
      </c>
      <c r="C380" s="328" t="s">
        <v>585</v>
      </c>
      <c r="D380" s="327" t="s">
        <v>1101</v>
      </c>
      <c r="E380" s="328" t="s">
        <v>57</v>
      </c>
      <c r="F380" s="329">
        <v>91.04</v>
      </c>
      <c r="G380" s="330">
        <v>87.7</v>
      </c>
      <c r="H380" s="331">
        <v>0</v>
      </c>
      <c r="I380" s="332">
        <v>0</v>
      </c>
      <c r="J380" s="331">
        <f t="shared" si="54"/>
        <v>87.7</v>
      </c>
      <c r="K380" s="329">
        <f t="shared" si="55"/>
        <v>7984.2080000000005</v>
      </c>
      <c r="L380" s="298">
        <f t="shared" si="51"/>
        <v>0</v>
      </c>
      <c r="M380" s="298">
        <f t="shared" si="52"/>
        <v>0</v>
      </c>
      <c r="N380" s="603">
        <f t="shared" si="53"/>
        <v>7984.2080000000005</v>
      </c>
      <c r="O380" s="330"/>
      <c r="P380" s="333"/>
      <c r="Q380" s="330"/>
      <c r="R380" s="333"/>
    </row>
    <row r="381" spans="1:18" ht="30">
      <c r="A381" s="324" t="s">
        <v>1060</v>
      </c>
      <c r="B381" s="349">
        <v>40328</v>
      </c>
      <c r="C381" s="408" t="s">
        <v>586</v>
      </c>
      <c r="D381" s="348" t="s">
        <v>147</v>
      </c>
      <c r="E381" s="328" t="s">
        <v>29</v>
      </c>
      <c r="F381" s="329">
        <v>7.98</v>
      </c>
      <c r="G381" s="330">
        <v>502</v>
      </c>
      <c r="H381" s="331">
        <v>0</v>
      </c>
      <c r="I381" s="332">
        <v>0</v>
      </c>
      <c r="J381" s="331">
        <f t="shared" si="54"/>
        <v>502</v>
      </c>
      <c r="K381" s="329">
        <f t="shared" si="55"/>
        <v>4005.96</v>
      </c>
      <c r="L381" s="298">
        <f t="shared" si="51"/>
        <v>0</v>
      </c>
      <c r="M381" s="298">
        <f t="shared" si="52"/>
        <v>0</v>
      </c>
      <c r="N381" s="603">
        <f t="shared" si="53"/>
        <v>4005.96</v>
      </c>
      <c r="O381" s="330"/>
      <c r="P381" s="333"/>
      <c r="Q381" s="330"/>
      <c r="R381" s="333"/>
    </row>
    <row r="382" spans="1:18" ht="30">
      <c r="A382" s="324" t="s">
        <v>1060</v>
      </c>
      <c r="B382" s="349">
        <v>40245</v>
      </c>
      <c r="C382" s="408" t="s">
        <v>587</v>
      </c>
      <c r="D382" s="327" t="s">
        <v>1200</v>
      </c>
      <c r="E382" s="328" t="s">
        <v>29</v>
      </c>
      <c r="F382" s="329">
        <v>8.41</v>
      </c>
      <c r="G382" s="330">
        <v>199</v>
      </c>
      <c r="H382" s="331">
        <v>0</v>
      </c>
      <c r="I382" s="332">
        <v>0</v>
      </c>
      <c r="J382" s="331">
        <f t="shared" si="54"/>
        <v>199</v>
      </c>
      <c r="K382" s="329">
        <f t="shared" si="55"/>
        <v>1673.59</v>
      </c>
      <c r="L382" s="298">
        <f t="shared" si="51"/>
        <v>0</v>
      </c>
      <c r="M382" s="298">
        <f t="shared" si="52"/>
        <v>0</v>
      </c>
      <c r="N382" s="603">
        <f t="shared" si="53"/>
        <v>1673.59</v>
      </c>
      <c r="O382" s="330"/>
      <c r="P382" s="333"/>
      <c r="Q382" s="330"/>
      <c r="R382" s="333"/>
    </row>
    <row r="383" spans="1:18" ht="30">
      <c r="A383" s="324" t="s">
        <v>1060</v>
      </c>
      <c r="B383" s="349">
        <v>40246</v>
      </c>
      <c r="C383" s="408" t="s">
        <v>588</v>
      </c>
      <c r="D383" s="348" t="s">
        <v>149</v>
      </c>
      <c r="E383" s="328" t="s">
        <v>29</v>
      </c>
      <c r="F383" s="329">
        <v>8.08</v>
      </c>
      <c r="G383" s="330">
        <v>34</v>
      </c>
      <c r="H383" s="331">
        <v>0</v>
      </c>
      <c r="I383" s="332">
        <v>0</v>
      </c>
      <c r="J383" s="331">
        <f t="shared" si="54"/>
        <v>34</v>
      </c>
      <c r="K383" s="329">
        <f t="shared" si="55"/>
        <v>274.72000000000003</v>
      </c>
      <c r="L383" s="298">
        <f t="shared" si="51"/>
        <v>0</v>
      </c>
      <c r="M383" s="298">
        <f t="shared" si="52"/>
        <v>0</v>
      </c>
      <c r="N383" s="603">
        <f t="shared" si="53"/>
        <v>274.72000000000003</v>
      </c>
      <c r="O383" s="330"/>
      <c r="P383" s="333"/>
      <c r="Q383" s="330"/>
      <c r="R383" s="333"/>
    </row>
    <row r="384" spans="1:18" ht="60">
      <c r="A384" s="346" t="s">
        <v>1056</v>
      </c>
      <c r="B384" s="420" t="s">
        <v>140</v>
      </c>
      <c r="C384" s="328" t="s">
        <v>589</v>
      </c>
      <c r="D384" s="327" t="s">
        <v>1103</v>
      </c>
      <c r="E384" s="328" t="s">
        <v>58</v>
      </c>
      <c r="F384" s="329">
        <v>486.08</v>
      </c>
      <c r="G384" s="330">
        <v>8.9</v>
      </c>
      <c r="H384" s="331">
        <v>0</v>
      </c>
      <c r="I384" s="332">
        <v>0</v>
      </c>
      <c r="J384" s="331">
        <f t="shared" si="54"/>
        <v>8.9</v>
      </c>
      <c r="K384" s="329">
        <f t="shared" si="55"/>
        <v>4326.1120000000001</v>
      </c>
      <c r="L384" s="298">
        <f t="shared" si="51"/>
        <v>0</v>
      </c>
      <c r="M384" s="298">
        <f t="shared" si="52"/>
        <v>0</v>
      </c>
      <c r="N384" s="603">
        <f t="shared" si="53"/>
        <v>4326.1120000000001</v>
      </c>
      <c r="O384" s="330"/>
      <c r="P384" s="333"/>
      <c r="Q384" s="330"/>
      <c r="R384" s="333"/>
    </row>
    <row r="385" spans="1:18" s="345" customFormat="1">
      <c r="A385" s="334"/>
      <c r="B385" s="335"/>
      <c r="C385" s="336" t="s">
        <v>590</v>
      </c>
      <c r="D385" s="417" t="s">
        <v>179</v>
      </c>
      <c r="E385" s="338"/>
      <c r="F385" s="339"/>
      <c r="G385" s="340"/>
      <c r="H385" s="424"/>
      <c r="I385" s="425"/>
      <c r="J385" s="424"/>
      <c r="K385" s="343"/>
      <c r="L385" s="298"/>
      <c r="M385" s="298"/>
      <c r="N385" s="603">
        <f t="shared" si="53"/>
        <v>0</v>
      </c>
      <c r="O385" s="340"/>
      <c r="P385" s="344"/>
      <c r="Q385" s="340"/>
      <c r="R385" s="344"/>
    </row>
    <row r="386" spans="1:18" ht="45">
      <c r="A386" s="346" t="s">
        <v>1060</v>
      </c>
      <c r="B386" s="347">
        <v>40339</v>
      </c>
      <c r="C386" s="328" t="s">
        <v>591</v>
      </c>
      <c r="D386" s="327" t="s">
        <v>1101</v>
      </c>
      <c r="E386" s="328" t="s">
        <v>57</v>
      </c>
      <c r="F386" s="329">
        <v>91.04</v>
      </c>
      <c r="G386" s="330">
        <v>34.1</v>
      </c>
      <c r="H386" s="331">
        <v>0</v>
      </c>
      <c r="I386" s="332">
        <v>0</v>
      </c>
      <c r="J386" s="331">
        <f t="shared" si="54"/>
        <v>34.1</v>
      </c>
      <c r="K386" s="329">
        <f t="shared" si="55"/>
        <v>3104.4640000000004</v>
      </c>
      <c r="L386" s="298">
        <f t="shared" si="51"/>
        <v>0</v>
      </c>
      <c r="M386" s="298">
        <f t="shared" si="52"/>
        <v>0</v>
      </c>
      <c r="N386" s="603">
        <f t="shared" si="53"/>
        <v>3104.4640000000004</v>
      </c>
      <c r="O386" s="330"/>
      <c r="P386" s="333"/>
      <c r="Q386" s="330"/>
      <c r="R386" s="333"/>
    </row>
    <row r="387" spans="1:18" ht="30">
      <c r="A387" s="324" t="s">
        <v>1060</v>
      </c>
      <c r="B387" s="349">
        <v>40328</v>
      </c>
      <c r="C387" s="408" t="s">
        <v>592</v>
      </c>
      <c r="D387" s="348" t="s">
        <v>147</v>
      </c>
      <c r="E387" s="328" t="s">
        <v>29</v>
      </c>
      <c r="F387" s="329">
        <v>7.98</v>
      </c>
      <c r="G387" s="330">
        <v>370.3</v>
      </c>
      <c r="H387" s="331">
        <v>0</v>
      </c>
      <c r="I387" s="332">
        <v>0</v>
      </c>
      <c r="J387" s="331">
        <f t="shared" si="54"/>
        <v>370.3</v>
      </c>
      <c r="K387" s="329">
        <f t="shared" si="55"/>
        <v>2954.9940000000001</v>
      </c>
      <c r="L387" s="298">
        <f t="shared" si="51"/>
        <v>0</v>
      </c>
      <c r="M387" s="298">
        <f t="shared" si="52"/>
        <v>0</v>
      </c>
      <c r="N387" s="603">
        <f t="shared" si="53"/>
        <v>2954.9940000000001</v>
      </c>
      <c r="O387" s="330"/>
      <c r="P387" s="333"/>
      <c r="Q387" s="330"/>
      <c r="R387" s="333"/>
    </row>
    <row r="388" spans="1:18" ht="60">
      <c r="A388" s="346" t="s">
        <v>1056</v>
      </c>
      <c r="B388" s="420" t="s">
        <v>140</v>
      </c>
      <c r="C388" s="328" t="s">
        <v>593</v>
      </c>
      <c r="D388" s="327" t="s">
        <v>1103</v>
      </c>
      <c r="E388" s="328" t="s">
        <v>58</v>
      </c>
      <c r="F388" s="329">
        <v>486.08</v>
      </c>
      <c r="G388" s="330">
        <v>6.54</v>
      </c>
      <c r="H388" s="331">
        <v>0</v>
      </c>
      <c r="I388" s="332">
        <v>0</v>
      </c>
      <c r="J388" s="331">
        <f t="shared" si="54"/>
        <v>6.54</v>
      </c>
      <c r="K388" s="329">
        <f t="shared" si="55"/>
        <v>3178.9631999999997</v>
      </c>
      <c r="L388" s="298">
        <f t="shared" si="51"/>
        <v>0</v>
      </c>
      <c r="M388" s="298">
        <f t="shared" si="52"/>
        <v>0</v>
      </c>
      <c r="N388" s="603">
        <f t="shared" si="53"/>
        <v>3178.9631999999997</v>
      </c>
      <c r="O388" s="330"/>
      <c r="P388" s="333"/>
      <c r="Q388" s="330"/>
      <c r="R388" s="333"/>
    </row>
    <row r="389" spans="1:18" ht="30">
      <c r="A389" s="324" t="s">
        <v>1060</v>
      </c>
      <c r="B389" s="349">
        <v>40602</v>
      </c>
      <c r="C389" s="408" t="s">
        <v>594</v>
      </c>
      <c r="D389" s="348" t="s">
        <v>185</v>
      </c>
      <c r="E389" s="328" t="s">
        <v>57</v>
      </c>
      <c r="F389" s="329">
        <v>79.41</v>
      </c>
      <c r="G389" s="330">
        <v>169</v>
      </c>
      <c r="H389" s="331">
        <v>0</v>
      </c>
      <c r="I389" s="332">
        <v>0</v>
      </c>
      <c r="J389" s="331">
        <f t="shared" si="54"/>
        <v>169</v>
      </c>
      <c r="K389" s="329">
        <f t="shared" si="55"/>
        <v>13420.289999999999</v>
      </c>
      <c r="L389" s="298">
        <f t="shared" si="51"/>
        <v>0</v>
      </c>
      <c r="M389" s="298">
        <f t="shared" si="52"/>
        <v>0</v>
      </c>
      <c r="N389" s="603">
        <f t="shared" si="53"/>
        <v>13420.289999999999</v>
      </c>
      <c r="O389" s="330"/>
      <c r="P389" s="333"/>
      <c r="Q389" s="330"/>
      <c r="R389" s="333"/>
    </row>
    <row r="390" spans="1:18" s="345" customFormat="1">
      <c r="A390" s="421"/>
      <c r="B390" s="422"/>
      <c r="C390" s="336" t="s">
        <v>595</v>
      </c>
      <c r="D390" s="417" t="s">
        <v>187</v>
      </c>
      <c r="E390" s="338"/>
      <c r="F390" s="339"/>
      <c r="G390" s="340"/>
      <c r="H390" s="341"/>
      <c r="I390" s="342"/>
      <c r="J390" s="341"/>
      <c r="K390" s="343"/>
      <c r="L390" s="298"/>
      <c r="M390" s="298"/>
      <c r="N390" s="603">
        <f t="shared" si="53"/>
        <v>0</v>
      </c>
      <c r="O390" s="340"/>
      <c r="P390" s="344"/>
      <c r="Q390" s="340"/>
      <c r="R390" s="344"/>
    </row>
    <row r="391" spans="1:18" ht="45">
      <c r="A391" s="346" t="s">
        <v>1060</v>
      </c>
      <c r="B391" s="347">
        <v>90102</v>
      </c>
      <c r="C391" s="328" t="s">
        <v>596</v>
      </c>
      <c r="D391" s="327" t="s">
        <v>1104</v>
      </c>
      <c r="E391" s="328" t="s">
        <v>57</v>
      </c>
      <c r="F391" s="329">
        <v>89.99</v>
      </c>
      <c r="G391" s="330">
        <v>191.8</v>
      </c>
      <c r="H391" s="331">
        <v>0</v>
      </c>
      <c r="I391" s="332">
        <v>0</v>
      </c>
      <c r="J391" s="331">
        <f t="shared" si="54"/>
        <v>191.8</v>
      </c>
      <c r="K391" s="329">
        <f t="shared" si="55"/>
        <v>17260.081999999999</v>
      </c>
      <c r="L391" s="298">
        <f t="shared" si="51"/>
        <v>0</v>
      </c>
      <c r="M391" s="298">
        <f t="shared" si="52"/>
        <v>0</v>
      </c>
      <c r="N391" s="603">
        <f t="shared" si="53"/>
        <v>17260.081999999999</v>
      </c>
      <c r="O391" s="330"/>
      <c r="P391" s="333"/>
      <c r="Q391" s="330"/>
      <c r="R391" s="333"/>
    </row>
    <row r="392" spans="1:18" ht="45">
      <c r="A392" s="346" t="s">
        <v>1060</v>
      </c>
      <c r="B392" s="347">
        <v>90223</v>
      </c>
      <c r="C392" s="328" t="s">
        <v>597</v>
      </c>
      <c r="D392" s="327" t="s">
        <v>1105</v>
      </c>
      <c r="E392" s="328" t="s">
        <v>57</v>
      </c>
      <c r="F392" s="329">
        <v>124.46</v>
      </c>
      <c r="G392" s="330">
        <v>200.69</v>
      </c>
      <c r="H392" s="331">
        <v>0</v>
      </c>
      <c r="I392" s="332">
        <v>0</v>
      </c>
      <c r="J392" s="331">
        <f t="shared" si="54"/>
        <v>200.69</v>
      </c>
      <c r="K392" s="329">
        <f t="shared" si="55"/>
        <v>24977.877399999998</v>
      </c>
      <c r="L392" s="298">
        <f t="shared" si="51"/>
        <v>0</v>
      </c>
      <c r="M392" s="298">
        <f t="shared" si="52"/>
        <v>0</v>
      </c>
      <c r="N392" s="603">
        <f t="shared" si="53"/>
        <v>24977.877399999998</v>
      </c>
      <c r="O392" s="330"/>
      <c r="P392" s="333"/>
      <c r="Q392" s="330"/>
      <c r="R392" s="333"/>
    </row>
    <row r="393" spans="1:18" ht="45">
      <c r="A393" s="346" t="s">
        <v>1060</v>
      </c>
      <c r="B393" s="347">
        <v>40339</v>
      </c>
      <c r="C393" s="328" t="s">
        <v>598</v>
      </c>
      <c r="D393" s="348" t="s">
        <v>1201</v>
      </c>
      <c r="E393" s="328" t="s">
        <v>57</v>
      </c>
      <c r="F393" s="329">
        <v>91.04</v>
      </c>
      <c r="G393" s="330">
        <v>25.2</v>
      </c>
      <c r="H393" s="331">
        <v>0</v>
      </c>
      <c r="I393" s="332">
        <v>0</v>
      </c>
      <c r="J393" s="331">
        <f t="shared" si="54"/>
        <v>25.2</v>
      </c>
      <c r="K393" s="329">
        <f t="shared" si="55"/>
        <v>2294.2080000000001</v>
      </c>
      <c r="L393" s="298">
        <f t="shared" si="51"/>
        <v>0</v>
      </c>
      <c r="M393" s="298">
        <f t="shared" si="52"/>
        <v>0</v>
      </c>
      <c r="N393" s="603">
        <f t="shared" si="53"/>
        <v>2294.2080000000001</v>
      </c>
      <c r="O393" s="330"/>
      <c r="P393" s="333"/>
      <c r="Q393" s="330"/>
      <c r="R393" s="333"/>
    </row>
    <row r="394" spans="1:18" ht="30">
      <c r="A394" s="324" t="s">
        <v>1060</v>
      </c>
      <c r="B394" s="349">
        <v>40328</v>
      </c>
      <c r="C394" s="408" t="s">
        <v>599</v>
      </c>
      <c r="D394" s="348" t="s">
        <v>197</v>
      </c>
      <c r="E394" s="328" t="s">
        <v>29</v>
      </c>
      <c r="F394" s="329">
        <v>7.98</v>
      </c>
      <c r="G394" s="330">
        <v>122</v>
      </c>
      <c r="H394" s="331">
        <v>0</v>
      </c>
      <c r="I394" s="332">
        <v>0</v>
      </c>
      <c r="J394" s="331">
        <f t="shared" si="54"/>
        <v>122</v>
      </c>
      <c r="K394" s="329">
        <f t="shared" si="55"/>
        <v>973.56000000000006</v>
      </c>
      <c r="L394" s="298">
        <f t="shared" si="51"/>
        <v>0</v>
      </c>
      <c r="M394" s="298">
        <f t="shared" si="52"/>
        <v>0</v>
      </c>
      <c r="N394" s="603">
        <f t="shared" si="53"/>
        <v>973.56000000000006</v>
      </c>
      <c r="O394" s="330"/>
      <c r="P394" s="333"/>
      <c r="Q394" s="330"/>
      <c r="R394" s="333"/>
    </row>
    <row r="395" spans="1:18" ht="60">
      <c r="A395" s="346" t="s">
        <v>1056</v>
      </c>
      <c r="B395" s="420" t="s">
        <v>140</v>
      </c>
      <c r="C395" s="328" t="s">
        <v>600</v>
      </c>
      <c r="D395" s="327" t="s">
        <v>1202</v>
      </c>
      <c r="E395" s="328" t="s">
        <v>58</v>
      </c>
      <c r="F395" s="329">
        <v>486.08</v>
      </c>
      <c r="G395" s="330">
        <v>1.3</v>
      </c>
      <c r="H395" s="331">
        <v>0</v>
      </c>
      <c r="I395" s="332">
        <v>0</v>
      </c>
      <c r="J395" s="331">
        <f t="shared" si="54"/>
        <v>1.3</v>
      </c>
      <c r="K395" s="329">
        <f t="shared" si="55"/>
        <v>631.904</v>
      </c>
      <c r="L395" s="298">
        <f t="shared" si="51"/>
        <v>0</v>
      </c>
      <c r="M395" s="298">
        <f t="shared" si="52"/>
        <v>0</v>
      </c>
      <c r="N395" s="603">
        <f t="shared" si="53"/>
        <v>631.904</v>
      </c>
      <c r="O395" s="330"/>
      <c r="P395" s="333"/>
      <c r="Q395" s="330"/>
      <c r="R395" s="333"/>
    </row>
    <row r="396" spans="1:18" ht="45">
      <c r="A396" s="346" t="s">
        <v>1060</v>
      </c>
      <c r="B396" s="347">
        <v>50602</v>
      </c>
      <c r="C396" s="328" t="s">
        <v>601</v>
      </c>
      <c r="D396" s="327" t="s">
        <v>1107</v>
      </c>
      <c r="E396" s="328" t="s">
        <v>57</v>
      </c>
      <c r="F396" s="329">
        <v>62.2</v>
      </c>
      <c r="G396" s="330">
        <v>61.24</v>
      </c>
      <c r="H396" s="331">
        <v>0</v>
      </c>
      <c r="I396" s="332">
        <v>0</v>
      </c>
      <c r="J396" s="331">
        <f t="shared" si="54"/>
        <v>61.24</v>
      </c>
      <c r="K396" s="329">
        <f t="shared" si="55"/>
        <v>3809.1280000000002</v>
      </c>
      <c r="L396" s="298">
        <f t="shared" si="51"/>
        <v>0</v>
      </c>
      <c r="M396" s="298">
        <f t="shared" si="52"/>
        <v>0</v>
      </c>
      <c r="N396" s="603">
        <f t="shared" si="53"/>
        <v>3809.1280000000002</v>
      </c>
      <c r="O396" s="330"/>
      <c r="P396" s="333"/>
      <c r="Q396" s="330"/>
      <c r="R396" s="333"/>
    </row>
    <row r="397" spans="1:18" s="345" customFormat="1">
      <c r="A397" s="421"/>
      <c r="B397" s="422"/>
      <c r="C397" s="336" t="s">
        <v>602</v>
      </c>
      <c r="D397" s="417" t="s">
        <v>201</v>
      </c>
      <c r="E397" s="338"/>
      <c r="F397" s="339"/>
      <c r="G397" s="340"/>
      <c r="H397" s="424"/>
      <c r="I397" s="425"/>
      <c r="J397" s="424"/>
      <c r="K397" s="343"/>
      <c r="L397" s="298"/>
      <c r="M397" s="298"/>
      <c r="N397" s="603"/>
      <c r="O397" s="340"/>
      <c r="P397" s="344"/>
      <c r="Q397" s="340"/>
      <c r="R397" s="344"/>
    </row>
    <row r="398" spans="1:18" ht="30">
      <c r="A398" s="324" t="s">
        <v>1056</v>
      </c>
      <c r="B398" s="325" t="s">
        <v>206</v>
      </c>
      <c r="C398" s="408" t="s">
        <v>603</v>
      </c>
      <c r="D398" s="348" t="s">
        <v>207</v>
      </c>
      <c r="E398" s="328" t="s">
        <v>60</v>
      </c>
      <c r="F398" s="329">
        <v>72.83</v>
      </c>
      <c r="G398" s="330">
        <v>44.2</v>
      </c>
      <c r="H398" s="331">
        <v>0</v>
      </c>
      <c r="I398" s="332">
        <v>0</v>
      </c>
      <c r="J398" s="331">
        <f t="shared" ref="J398:J461" si="56">G398+H398-I398</f>
        <v>44.2</v>
      </c>
      <c r="K398" s="329">
        <f t="shared" ref="K398:K461" si="57">F398*G398</f>
        <v>3219.0860000000002</v>
      </c>
      <c r="L398" s="298">
        <f t="shared" ref="L398:L461" si="58">H398*F398</f>
        <v>0</v>
      </c>
      <c r="M398" s="298">
        <f t="shared" ref="M398:M455" si="59">I398*F398</f>
        <v>0</v>
      </c>
      <c r="N398" s="603">
        <f t="shared" ref="N398:N461" si="60">J398*F398</f>
        <v>3219.0860000000002</v>
      </c>
      <c r="O398" s="330"/>
      <c r="P398" s="333"/>
      <c r="Q398" s="330"/>
      <c r="R398" s="333"/>
    </row>
    <row r="399" spans="1:18">
      <c r="A399" s="324" t="s">
        <v>1060</v>
      </c>
      <c r="B399" s="349">
        <v>90302</v>
      </c>
      <c r="C399" s="408" t="s">
        <v>604</v>
      </c>
      <c r="D399" s="327" t="s">
        <v>1174</v>
      </c>
      <c r="E399" s="328" t="s">
        <v>51</v>
      </c>
      <c r="F399" s="329">
        <v>31.38</v>
      </c>
      <c r="G399" s="330">
        <v>64.14</v>
      </c>
      <c r="H399" s="331">
        <v>0</v>
      </c>
      <c r="I399" s="332">
        <v>0</v>
      </c>
      <c r="J399" s="331">
        <f t="shared" si="56"/>
        <v>64.14</v>
      </c>
      <c r="K399" s="329">
        <f t="shared" si="57"/>
        <v>2012.7131999999999</v>
      </c>
      <c r="L399" s="298">
        <f t="shared" si="58"/>
        <v>0</v>
      </c>
      <c r="M399" s="298">
        <f t="shared" si="59"/>
        <v>0</v>
      </c>
      <c r="N399" s="603">
        <f t="shared" si="60"/>
        <v>2012.7131999999999</v>
      </c>
      <c r="O399" s="330"/>
      <c r="P399" s="333"/>
      <c r="Q399" s="330"/>
      <c r="R399" s="333"/>
    </row>
    <row r="400" spans="1:18">
      <c r="A400" s="324" t="s">
        <v>1060</v>
      </c>
      <c r="B400" s="419">
        <v>141909</v>
      </c>
      <c r="C400" s="408" t="s">
        <v>605</v>
      </c>
      <c r="D400" s="327" t="s">
        <v>1108</v>
      </c>
      <c r="E400" s="328" t="s">
        <v>51</v>
      </c>
      <c r="F400" s="329">
        <v>61.57</v>
      </c>
      <c r="G400" s="330">
        <v>9.27</v>
      </c>
      <c r="H400" s="331">
        <v>0</v>
      </c>
      <c r="I400" s="332">
        <v>0</v>
      </c>
      <c r="J400" s="331">
        <f t="shared" si="56"/>
        <v>9.27</v>
      </c>
      <c r="K400" s="329">
        <f t="shared" si="57"/>
        <v>570.75389999999993</v>
      </c>
      <c r="L400" s="298">
        <f t="shared" si="58"/>
        <v>0</v>
      </c>
      <c r="M400" s="298">
        <f t="shared" si="59"/>
        <v>0</v>
      </c>
      <c r="N400" s="603">
        <f t="shared" si="60"/>
        <v>570.75389999999993</v>
      </c>
      <c r="O400" s="330"/>
      <c r="P400" s="333"/>
      <c r="Q400" s="330"/>
      <c r="R400" s="333"/>
    </row>
    <row r="401" spans="1:18">
      <c r="A401" s="324" t="s">
        <v>1060</v>
      </c>
      <c r="B401" s="419">
        <v>140903</v>
      </c>
      <c r="C401" s="408" t="s">
        <v>606</v>
      </c>
      <c r="D401" s="327" t="s">
        <v>1203</v>
      </c>
      <c r="E401" s="328" t="s">
        <v>51</v>
      </c>
      <c r="F401" s="329">
        <v>48.46</v>
      </c>
      <c r="G401" s="330">
        <v>10.73</v>
      </c>
      <c r="H401" s="331">
        <v>0</v>
      </c>
      <c r="I401" s="332">
        <v>0</v>
      </c>
      <c r="J401" s="331">
        <f t="shared" si="56"/>
        <v>10.73</v>
      </c>
      <c r="K401" s="329">
        <f t="shared" si="57"/>
        <v>519.97580000000005</v>
      </c>
      <c r="L401" s="298">
        <f t="shared" si="58"/>
        <v>0</v>
      </c>
      <c r="M401" s="298">
        <f t="shared" si="59"/>
        <v>0</v>
      </c>
      <c r="N401" s="603">
        <f t="shared" si="60"/>
        <v>519.97580000000005</v>
      </c>
      <c r="O401" s="330"/>
      <c r="P401" s="333"/>
      <c r="Q401" s="330"/>
      <c r="R401" s="333"/>
    </row>
    <row r="402" spans="1:18" s="345" customFormat="1">
      <c r="A402" s="334"/>
      <c r="B402" s="335"/>
      <c r="C402" s="423">
        <v>40271</v>
      </c>
      <c r="D402" s="337" t="s">
        <v>1110</v>
      </c>
      <c r="E402" s="338"/>
      <c r="F402" s="339"/>
      <c r="G402" s="340"/>
      <c r="H402" s="341"/>
      <c r="I402" s="342"/>
      <c r="J402" s="341"/>
      <c r="K402" s="343"/>
      <c r="L402" s="298"/>
      <c r="M402" s="298"/>
      <c r="N402" s="603"/>
      <c r="O402" s="340"/>
      <c r="P402" s="344"/>
      <c r="Q402" s="340"/>
      <c r="R402" s="344"/>
    </row>
    <row r="403" spans="1:18">
      <c r="A403" s="324" t="s">
        <v>1056</v>
      </c>
      <c r="B403" s="325" t="s">
        <v>224</v>
      </c>
      <c r="C403" s="408" t="s">
        <v>608</v>
      </c>
      <c r="D403" s="327" t="s">
        <v>1111</v>
      </c>
      <c r="E403" s="328" t="s">
        <v>50</v>
      </c>
      <c r="F403" s="329">
        <v>280.31</v>
      </c>
      <c r="G403" s="330">
        <v>111.39</v>
      </c>
      <c r="H403" s="331">
        <v>0</v>
      </c>
      <c r="I403" s="332">
        <v>0</v>
      </c>
      <c r="J403" s="331">
        <f t="shared" si="56"/>
        <v>111.39</v>
      </c>
      <c r="K403" s="329">
        <f t="shared" si="57"/>
        <v>31223.730899999999</v>
      </c>
      <c r="L403" s="298">
        <f t="shared" si="58"/>
        <v>0</v>
      </c>
      <c r="M403" s="298">
        <f t="shared" si="59"/>
        <v>0</v>
      </c>
      <c r="N403" s="603">
        <f t="shared" si="60"/>
        <v>31223.730899999999</v>
      </c>
      <c r="O403" s="330"/>
      <c r="P403" s="333"/>
      <c r="Q403" s="330"/>
      <c r="R403" s="333"/>
    </row>
    <row r="404" spans="1:18">
      <c r="A404" s="324" t="s">
        <v>1056</v>
      </c>
      <c r="B404" s="325" t="s">
        <v>225</v>
      </c>
      <c r="C404" s="408" t="s">
        <v>609</v>
      </c>
      <c r="D404" s="327" t="s">
        <v>1112</v>
      </c>
      <c r="E404" s="328" t="s">
        <v>50</v>
      </c>
      <c r="F404" s="329">
        <v>645.84</v>
      </c>
      <c r="G404" s="330">
        <v>15.3</v>
      </c>
      <c r="H404" s="331">
        <v>0</v>
      </c>
      <c r="I404" s="332">
        <v>0</v>
      </c>
      <c r="J404" s="331">
        <f t="shared" si="56"/>
        <v>15.3</v>
      </c>
      <c r="K404" s="329">
        <f t="shared" si="57"/>
        <v>9881.3520000000008</v>
      </c>
      <c r="L404" s="298">
        <f t="shared" si="58"/>
        <v>0</v>
      </c>
      <c r="M404" s="298">
        <f t="shared" si="59"/>
        <v>0</v>
      </c>
      <c r="N404" s="603">
        <f t="shared" si="60"/>
        <v>9881.3520000000008</v>
      </c>
      <c r="O404" s="330"/>
      <c r="P404" s="333"/>
      <c r="Q404" s="330"/>
      <c r="R404" s="333"/>
    </row>
    <row r="405" spans="1:18">
      <c r="A405" s="324" t="s">
        <v>1056</v>
      </c>
      <c r="B405" s="325" t="s">
        <v>226</v>
      </c>
      <c r="C405" s="408" t="s">
        <v>610</v>
      </c>
      <c r="D405" s="327" t="s">
        <v>1113</v>
      </c>
      <c r="E405" s="328" t="s">
        <v>50</v>
      </c>
      <c r="F405" s="329">
        <v>651.87</v>
      </c>
      <c r="G405" s="330">
        <v>5.63</v>
      </c>
      <c r="H405" s="331">
        <v>0</v>
      </c>
      <c r="I405" s="332">
        <v>0</v>
      </c>
      <c r="J405" s="331">
        <f t="shared" si="56"/>
        <v>5.63</v>
      </c>
      <c r="K405" s="329">
        <f t="shared" si="57"/>
        <v>3670.0281</v>
      </c>
      <c r="L405" s="298">
        <f t="shared" si="58"/>
        <v>0</v>
      </c>
      <c r="M405" s="298">
        <f t="shared" si="59"/>
        <v>0</v>
      </c>
      <c r="N405" s="603">
        <f t="shared" si="60"/>
        <v>3670.0281</v>
      </c>
      <c r="O405" s="330"/>
      <c r="P405" s="333"/>
      <c r="Q405" s="330"/>
      <c r="R405" s="333"/>
    </row>
    <row r="406" spans="1:18">
      <c r="A406" s="324" t="s">
        <v>1060</v>
      </c>
      <c r="B406" s="419">
        <v>210322</v>
      </c>
      <c r="C406" s="408" t="s">
        <v>611</v>
      </c>
      <c r="D406" s="327" t="s">
        <v>1114</v>
      </c>
      <c r="E406" s="328" t="s">
        <v>51</v>
      </c>
      <c r="F406" s="329">
        <v>91.5</v>
      </c>
      <c r="G406" s="330">
        <v>13.65</v>
      </c>
      <c r="H406" s="331">
        <v>0</v>
      </c>
      <c r="I406" s="332">
        <v>0</v>
      </c>
      <c r="J406" s="331">
        <f t="shared" si="56"/>
        <v>13.65</v>
      </c>
      <c r="K406" s="329">
        <f t="shared" si="57"/>
        <v>1248.9750000000001</v>
      </c>
      <c r="L406" s="298">
        <f t="shared" si="58"/>
        <v>0</v>
      </c>
      <c r="M406" s="298">
        <f t="shared" si="59"/>
        <v>0</v>
      </c>
      <c r="N406" s="603">
        <f t="shared" si="60"/>
        <v>1248.9750000000001</v>
      </c>
      <c r="O406" s="330"/>
      <c r="P406" s="333"/>
      <c r="Q406" s="330"/>
      <c r="R406" s="333"/>
    </row>
    <row r="407" spans="1:18" ht="30">
      <c r="A407" s="324" t="s">
        <v>1056</v>
      </c>
      <c r="B407" s="325" t="s">
        <v>227</v>
      </c>
      <c r="C407" s="408" t="s">
        <v>612</v>
      </c>
      <c r="D407" s="348" t="s">
        <v>233</v>
      </c>
      <c r="E407" s="328" t="s">
        <v>51</v>
      </c>
      <c r="F407" s="329">
        <v>366.23</v>
      </c>
      <c r="G407" s="330">
        <v>4.1500000000000004</v>
      </c>
      <c r="H407" s="331">
        <v>0</v>
      </c>
      <c r="I407" s="332">
        <v>0</v>
      </c>
      <c r="J407" s="331">
        <f t="shared" si="56"/>
        <v>4.1500000000000004</v>
      </c>
      <c r="K407" s="329">
        <f t="shared" si="57"/>
        <v>1519.8545000000001</v>
      </c>
      <c r="L407" s="298">
        <f t="shared" si="58"/>
        <v>0</v>
      </c>
      <c r="M407" s="298">
        <f t="shared" si="59"/>
        <v>0</v>
      </c>
      <c r="N407" s="603">
        <f t="shared" si="60"/>
        <v>1519.8545000000001</v>
      </c>
      <c r="O407" s="330"/>
      <c r="P407" s="333"/>
      <c r="Q407" s="330"/>
      <c r="R407" s="333"/>
    </row>
    <row r="408" spans="1:18" ht="45">
      <c r="A408" s="346" t="s">
        <v>1060</v>
      </c>
      <c r="B408" s="347">
        <v>50608</v>
      </c>
      <c r="C408" s="328" t="s">
        <v>613</v>
      </c>
      <c r="D408" s="327" t="s">
        <v>1115</v>
      </c>
      <c r="E408" s="328" t="s">
        <v>57</v>
      </c>
      <c r="F408" s="329">
        <v>88.68</v>
      </c>
      <c r="G408" s="330">
        <v>8.32</v>
      </c>
      <c r="H408" s="331">
        <v>0</v>
      </c>
      <c r="I408" s="332">
        <v>0</v>
      </c>
      <c r="J408" s="331">
        <f t="shared" si="56"/>
        <v>8.32</v>
      </c>
      <c r="K408" s="329">
        <f t="shared" si="57"/>
        <v>737.81760000000008</v>
      </c>
      <c r="L408" s="298">
        <f t="shared" si="58"/>
        <v>0</v>
      </c>
      <c r="M408" s="298">
        <f t="shared" si="59"/>
        <v>0</v>
      </c>
      <c r="N408" s="603">
        <f t="shared" si="60"/>
        <v>737.81760000000008</v>
      </c>
      <c r="O408" s="330"/>
      <c r="P408" s="333"/>
      <c r="Q408" s="330"/>
      <c r="R408" s="333"/>
    </row>
    <row r="409" spans="1:18" ht="30">
      <c r="A409" s="324" t="s">
        <v>1060</v>
      </c>
      <c r="B409" s="419">
        <v>120101</v>
      </c>
      <c r="C409" s="408" t="s">
        <v>614</v>
      </c>
      <c r="D409" s="348" t="s">
        <v>235</v>
      </c>
      <c r="E409" s="328" t="s">
        <v>57</v>
      </c>
      <c r="F409" s="329">
        <v>5.64</v>
      </c>
      <c r="G409" s="330">
        <v>531.42999999999995</v>
      </c>
      <c r="H409" s="331">
        <v>0</v>
      </c>
      <c r="I409" s="332">
        <v>0</v>
      </c>
      <c r="J409" s="331">
        <f t="shared" si="56"/>
        <v>531.42999999999995</v>
      </c>
      <c r="K409" s="329">
        <f t="shared" si="57"/>
        <v>2997.2651999999994</v>
      </c>
      <c r="L409" s="298">
        <f t="shared" si="58"/>
        <v>0</v>
      </c>
      <c r="M409" s="298">
        <f t="shared" si="59"/>
        <v>0</v>
      </c>
      <c r="N409" s="603">
        <f t="shared" si="60"/>
        <v>2997.2651999999994</v>
      </c>
      <c r="O409" s="330"/>
      <c r="P409" s="333"/>
      <c r="Q409" s="330"/>
      <c r="R409" s="333"/>
    </row>
    <row r="410" spans="1:18" ht="30">
      <c r="A410" s="324" t="s">
        <v>1060</v>
      </c>
      <c r="B410" s="419">
        <v>120303</v>
      </c>
      <c r="C410" s="408" t="s">
        <v>615</v>
      </c>
      <c r="D410" s="348" t="s">
        <v>236</v>
      </c>
      <c r="E410" s="328" t="s">
        <v>57</v>
      </c>
      <c r="F410" s="329">
        <v>49.24</v>
      </c>
      <c r="G410" s="330">
        <v>531.42999999999995</v>
      </c>
      <c r="H410" s="331">
        <v>0</v>
      </c>
      <c r="I410" s="332">
        <v>0</v>
      </c>
      <c r="J410" s="331">
        <f t="shared" si="56"/>
        <v>531.42999999999995</v>
      </c>
      <c r="K410" s="329">
        <f t="shared" si="57"/>
        <v>26167.6132</v>
      </c>
      <c r="L410" s="298">
        <f t="shared" si="58"/>
        <v>0</v>
      </c>
      <c r="M410" s="298">
        <f t="shared" si="59"/>
        <v>0</v>
      </c>
      <c r="N410" s="603">
        <f t="shared" si="60"/>
        <v>26167.6132</v>
      </c>
      <c r="O410" s="330"/>
      <c r="P410" s="333"/>
      <c r="Q410" s="330"/>
      <c r="R410" s="333"/>
    </row>
    <row r="411" spans="1:18" ht="30">
      <c r="A411" s="324" t="s">
        <v>1060</v>
      </c>
      <c r="B411" s="419">
        <v>190117</v>
      </c>
      <c r="C411" s="408" t="s">
        <v>616</v>
      </c>
      <c r="D411" s="348" t="s">
        <v>237</v>
      </c>
      <c r="E411" s="328" t="s">
        <v>57</v>
      </c>
      <c r="F411" s="329">
        <v>18.27</v>
      </c>
      <c r="G411" s="330">
        <v>531.42999999999995</v>
      </c>
      <c r="H411" s="331">
        <v>0</v>
      </c>
      <c r="I411" s="332">
        <v>0</v>
      </c>
      <c r="J411" s="331">
        <f t="shared" si="56"/>
        <v>531.42999999999995</v>
      </c>
      <c r="K411" s="329">
        <f t="shared" si="57"/>
        <v>9709.226099999998</v>
      </c>
      <c r="L411" s="298">
        <f t="shared" si="58"/>
        <v>0</v>
      </c>
      <c r="M411" s="298">
        <f t="shared" si="59"/>
        <v>0</v>
      </c>
      <c r="N411" s="603">
        <f t="shared" si="60"/>
        <v>9709.226099999998</v>
      </c>
      <c r="O411" s="330"/>
      <c r="P411" s="333"/>
      <c r="Q411" s="330"/>
      <c r="R411" s="333"/>
    </row>
    <row r="412" spans="1:18" ht="45">
      <c r="A412" s="346" t="s">
        <v>1060</v>
      </c>
      <c r="B412" s="426">
        <v>130230</v>
      </c>
      <c r="C412" s="328" t="s">
        <v>617</v>
      </c>
      <c r="D412" s="348" t="s">
        <v>238</v>
      </c>
      <c r="E412" s="328" t="s">
        <v>57</v>
      </c>
      <c r="F412" s="329">
        <v>106.19</v>
      </c>
      <c r="G412" s="330">
        <v>142.32</v>
      </c>
      <c r="H412" s="331">
        <v>0</v>
      </c>
      <c r="I412" s="332">
        <v>0</v>
      </c>
      <c r="J412" s="331">
        <f t="shared" si="56"/>
        <v>142.32</v>
      </c>
      <c r="K412" s="329">
        <f t="shared" si="57"/>
        <v>15112.960799999999</v>
      </c>
      <c r="L412" s="298">
        <f t="shared" si="58"/>
        <v>0</v>
      </c>
      <c r="M412" s="298">
        <f t="shared" si="59"/>
        <v>0</v>
      </c>
      <c r="N412" s="603">
        <f t="shared" si="60"/>
        <v>15112.960799999999</v>
      </c>
      <c r="O412" s="330"/>
      <c r="P412" s="333"/>
      <c r="Q412" s="330"/>
      <c r="R412" s="333"/>
    </row>
    <row r="413" spans="1:18" ht="30">
      <c r="A413" s="324" t="s">
        <v>1056</v>
      </c>
      <c r="B413" s="325" t="s">
        <v>228</v>
      </c>
      <c r="C413" s="408" t="s">
        <v>618</v>
      </c>
      <c r="D413" s="327" t="s">
        <v>1204</v>
      </c>
      <c r="E413" s="328" t="s">
        <v>72</v>
      </c>
      <c r="F413" s="329">
        <v>333.45</v>
      </c>
      <c r="G413" s="330">
        <v>25</v>
      </c>
      <c r="H413" s="331">
        <v>0</v>
      </c>
      <c r="I413" s="332">
        <v>0</v>
      </c>
      <c r="J413" s="331">
        <f t="shared" si="56"/>
        <v>25</v>
      </c>
      <c r="K413" s="329">
        <f t="shared" si="57"/>
        <v>8336.25</v>
      </c>
      <c r="L413" s="298">
        <f t="shared" si="58"/>
        <v>0</v>
      </c>
      <c r="M413" s="298">
        <f t="shared" si="59"/>
        <v>0</v>
      </c>
      <c r="N413" s="603">
        <f t="shared" si="60"/>
        <v>8336.25</v>
      </c>
      <c r="O413" s="330"/>
      <c r="P413" s="333"/>
      <c r="Q413" s="330"/>
      <c r="R413" s="333"/>
    </row>
    <row r="414" spans="1:18" s="312" customFormat="1">
      <c r="A414" s="392"/>
      <c r="B414" s="393"/>
      <c r="C414" s="394" t="s">
        <v>619</v>
      </c>
      <c r="D414" s="395" t="s">
        <v>1116</v>
      </c>
      <c r="E414" s="396"/>
      <c r="F414" s="397"/>
      <c r="G414" s="398"/>
      <c r="H414" s="427"/>
      <c r="I414" s="428"/>
      <c r="J414" s="427"/>
      <c r="K414" s="407"/>
      <c r="L414" s="298"/>
      <c r="M414" s="298"/>
      <c r="N414" s="603"/>
      <c r="O414" s="398"/>
      <c r="P414" s="402"/>
      <c r="Q414" s="398"/>
      <c r="R414" s="402"/>
    </row>
    <row r="415" spans="1:18" s="345" customFormat="1">
      <c r="A415" s="334"/>
      <c r="B415" s="335"/>
      <c r="C415" s="336" t="s">
        <v>620</v>
      </c>
      <c r="D415" s="337" t="s">
        <v>1117</v>
      </c>
      <c r="E415" s="338"/>
      <c r="F415" s="339"/>
      <c r="G415" s="340"/>
      <c r="H415" s="424"/>
      <c r="I415" s="425"/>
      <c r="J415" s="424"/>
      <c r="K415" s="343"/>
      <c r="L415" s="298"/>
      <c r="M415" s="298"/>
      <c r="N415" s="603"/>
      <c r="O415" s="340"/>
      <c r="P415" s="344"/>
      <c r="Q415" s="340"/>
      <c r="R415" s="344"/>
    </row>
    <row r="416" spans="1:18" s="387" customFormat="1" ht="18">
      <c r="A416" s="375" t="s">
        <v>1060</v>
      </c>
      <c r="B416" s="376">
        <v>40405</v>
      </c>
      <c r="C416" s="377" t="s">
        <v>621</v>
      </c>
      <c r="D416" s="378" t="s">
        <v>264</v>
      </c>
      <c r="E416" s="379" t="s">
        <v>57</v>
      </c>
      <c r="F416" s="380">
        <v>86.33</v>
      </c>
      <c r="G416" s="381">
        <v>341</v>
      </c>
      <c r="H416" s="384">
        <v>90</v>
      </c>
      <c r="I416" s="383">
        <v>0</v>
      </c>
      <c r="J416" s="384">
        <f t="shared" si="56"/>
        <v>431</v>
      </c>
      <c r="K416" s="385">
        <f t="shared" si="57"/>
        <v>29438.53</v>
      </c>
      <c r="L416" s="358">
        <f t="shared" si="58"/>
        <v>7769.7</v>
      </c>
      <c r="M416" s="359">
        <f t="shared" si="59"/>
        <v>0</v>
      </c>
      <c r="N416" s="604">
        <f t="shared" si="60"/>
        <v>37208.229999999996</v>
      </c>
      <c r="O416" s="381">
        <f>H416</f>
        <v>90</v>
      </c>
      <c r="P416" s="386">
        <f>O416*F416</f>
        <v>7769.7</v>
      </c>
      <c r="Q416" s="381"/>
      <c r="R416" s="386">
        <f>Q416*H416</f>
        <v>0</v>
      </c>
    </row>
    <row r="417" spans="1:18" s="481" customFormat="1">
      <c r="A417" s="435" t="s">
        <v>1060</v>
      </c>
      <c r="B417" s="436" t="s">
        <v>1056</v>
      </c>
      <c r="C417" s="437" t="s">
        <v>622</v>
      </c>
      <c r="D417" s="438" t="s">
        <v>1119</v>
      </c>
      <c r="E417" s="439" t="s">
        <v>10</v>
      </c>
      <c r="F417" s="478">
        <f>'[34]COMPOSIÇÕES ADITIVO'!I183</f>
        <v>13295.45</v>
      </c>
      <c r="G417" s="479">
        <v>0</v>
      </c>
      <c r="H417" s="442">
        <v>1</v>
      </c>
      <c r="I417" s="443">
        <v>0</v>
      </c>
      <c r="J417" s="442">
        <f t="shared" si="56"/>
        <v>1</v>
      </c>
      <c r="K417" s="478">
        <f t="shared" si="57"/>
        <v>0</v>
      </c>
      <c r="L417" s="298">
        <f t="shared" si="58"/>
        <v>13295.45</v>
      </c>
      <c r="M417" s="298">
        <f t="shared" si="59"/>
        <v>0</v>
      </c>
      <c r="N417" s="603">
        <f t="shared" si="60"/>
        <v>13295.45</v>
      </c>
      <c r="O417" s="479">
        <v>1</v>
      </c>
      <c r="P417" s="480">
        <f>O417*F417</f>
        <v>13295.45</v>
      </c>
      <c r="Q417" s="479"/>
      <c r="R417" s="480">
        <f>Q417*H417</f>
        <v>0</v>
      </c>
    </row>
    <row r="418" spans="1:18">
      <c r="A418" s="324" t="s">
        <v>1056</v>
      </c>
      <c r="B418" s="325" t="s">
        <v>255</v>
      </c>
      <c r="C418" s="408" t="s">
        <v>623</v>
      </c>
      <c r="D418" s="327" t="s">
        <v>1120</v>
      </c>
      <c r="E418" s="328" t="s">
        <v>29</v>
      </c>
      <c r="F418" s="329">
        <v>7.33</v>
      </c>
      <c r="G418" s="330">
        <v>3966.02</v>
      </c>
      <c r="H418" s="331">
        <v>0</v>
      </c>
      <c r="I418" s="332">
        <v>0</v>
      </c>
      <c r="J418" s="331">
        <f t="shared" si="56"/>
        <v>3966.02</v>
      </c>
      <c r="K418" s="329">
        <f t="shared" si="57"/>
        <v>29070.926599999999</v>
      </c>
      <c r="L418" s="298">
        <f t="shared" si="58"/>
        <v>0</v>
      </c>
      <c r="M418" s="298">
        <f t="shared" si="59"/>
        <v>0</v>
      </c>
      <c r="N418" s="603">
        <f t="shared" si="60"/>
        <v>29070.926599999999</v>
      </c>
      <c r="O418" s="330"/>
      <c r="P418" s="333"/>
      <c r="Q418" s="330"/>
      <c r="R418" s="333"/>
    </row>
    <row r="419" spans="1:18" ht="30">
      <c r="A419" s="324" t="s">
        <v>1060</v>
      </c>
      <c r="B419" s="349">
        <v>40328</v>
      </c>
      <c r="C419" s="408" t="s">
        <v>624</v>
      </c>
      <c r="D419" s="348" t="s">
        <v>147</v>
      </c>
      <c r="E419" s="328" t="s">
        <v>29</v>
      </c>
      <c r="F419" s="329">
        <v>7.98</v>
      </c>
      <c r="G419" s="330">
        <v>1880</v>
      </c>
      <c r="H419" s="331">
        <v>0</v>
      </c>
      <c r="I419" s="332">
        <v>0</v>
      </c>
      <c r="J419" s="331">
        <f t="shared" si="56"/>
        <v>1880</v>
      </c>
      <c r="K419" s="329">
        <f t="shared" si="57"/>
        <v>15002.400000000001</v>
      </c>
      <c r="L419" s="298">
        <f t="shared" si="58"/>
        <v>0</v>
      </c>
      <c r="M419" s="298">
        <f t="shared" si="59"/>
        <v>0</v>
      </c>
      <c r="N419" s="603">
        <f t="shared" si="60"/>
        <v>15002.400000000001</v>
      </c>
      <c r="O419" s="330"/>
      <c r="P419" s="333"/>
      <c r="Q419" s="330"/>
      <c r="R419" s="333"/>
    </row>
    <row r="420" spans="1:18">
      <c r="A420" s="324" t="s">
        <v>1056</v>
      </c>
      <c r="B420" s="325" t="s">
        <v>256</v>
      </c>
      <c r="C420" s="408" t="s">
        <v>625</v>
      </c>
      <c r="D420" s="327" t="s">
        <v>1176</v>
      </c>
      <c r="E420" s="328" t="s">
        <v>29</v>
      </c>
      <c r="F420" s="329">
        <v>11.02</v>
      </c>
      <c r="G420" s="330">
        <v>73</v>
      </c>
      <c r="H420" s="331">
        <v>0</v>
      </c>
      <c r="I420" s="332">
        <v>0</v>
      </c>
      <c r="J420" s="331">
        <f t="shared" si="56"/>
        <v>73</v>
      </c>
      <c r="K420" s="329">
        <f t="shared" si="57"/>
        <v>804.45999999999992</v>
      </c>
      <c r="L420" s="298">
        <f t="shared" si="58"/>
        <v>0</v>
      </c>
      <c r="M420" s="298">
        <f t="shared" si="59"/>
        <v>0</v>
      </c>
      <c r="N420" s="603">
        <f t="shared" si="60"/>
        <v>804.45999999999992</v>
      </c>
      <c r="O420" s="330"/>
      <c r="P420" s="333"/>
      <c r="Q420" s="330"/>
      <c r="R420" s="333"/>
    </row>
    <row r="421" spans="1:18" ht="60">
      <c r="A421" s="324" t="s">
        <v>1056</v>
      </c>
      <c r="B421" s="325" t="s">
        <v>257</v>
      </c>
      <c r="C421" s="408" t="s">
        <v>626</v>
      </c>
      <c r="D421" s="327" t="s">
        <v>1205</v>
      </c>
      <c r="E421" s="328" t="s">
        <v>58</v>
      </c>
      <c r="F421" s="329">
        <v>777.83</v>
      </c>
      <c r="G421" s="330">
        <v>28.05</v>
      </c>
      <c r="H421" s="331">
        <v>0</v>
      </c>
      <c r="I421" s="332">
        <v>0</v>
      </c>
      <c r="J421" s="331">
        <f t="shared" si="56"/>
        <v>28.05</v>
      </c>
      <c r="K421" s="329">
        <f t="shared" si="57"/>
        <v>21818.131500000003</v>
      </c>
      <c r="L421" s="298">
        <f t="shared" si="58"/>
        <v>0</v>
      </c>
      <c r="M421" s="298">
        <f t="shared" si="59"/>
        <v>0</v>
      </c>
      <c r="N421" s="603">
        <f t="shared" si="60"/>
        <v>21818.131500000003</v>
      </c>
      <c r="O421" s="330"/>
      <c r="P421" s="333"/>
      <c r="Q421" s="330"/>
      <c r="R421" s="333"/>
    </row>
    <row r="422" spans="1:18">
      <c r="A422" s="324" t="s">
        <v>1056</v>
      </c>
      <c r="B422" s="325" t="s">
        <v>258</v>
      </c>
      <c r="C422" s="408" t="s">
        <v>628</v>
      </c>
      <c r="D422" s="327" t="s">
        <v>1177</v>
      </c>
      <c r="E422" s="328" t="s">
        <v>49</v>
      </c>
      <c r="F422" s="329">
        <v>641.15</v>
      </c>
      <c r="G422" s="330">
        <v>113.84</v>
      </c>
      <c r="H422" s="331">
        <v>0</v>
      </c>
      <c r="I422" s="332">
        <v>0</v>
      </c>
      <c r="J422" s="331">
        <f t="shared" si="56"/>
        <v>113.84</v>
      </c>
      <c r="K422" s="329">
        <f t="shared" si="57"/>
        <v>72988.516000000003</v>
      </c>
      <c r="L422" s="298">
        <f t="shared" si="58"/>
        <v>0</v>
      </c>
      <c r="M422" s="298">
        <f t="shared" si="59"/>
        <v>0</v>
      </c>
      <c r="N422" s="603">
        <f t="shared" si="60"/>
        <v>72988.516000000003</v>
      </c>
      <c r="O422" s="330"/>
      <c r="P422" s="333"/>
      <c r="Q422" s="330"/>
      <c r="R422" s="333"/>
    </row>
    <row r="423" spans="1:18" s="361" customFormat="1" ht="18">
      <c r="A423" s="350" t="s">
        <v>1056</v>
      </c>
      <c r="B423" s="351" t="s">
        <v>259</v>
      </c>
      <c r="C423" s="328" t="s">
        <v>629</v>
      </c>
      <c r="D423" s="352" t="s">
        <v>269</v>
      </c>
      <c r="E423" s="353" t="s">
        <v>72</v>
      </c>
      <c r="F423" s="354">
        <v>14345.61</v>
      </c>
      <c r="G423" s="355">
        <v>4</v>
      </c>
      <c r="H423" s="331"/>
      <c r="I423" s="356">
        <v>0</v>
      </c>
      <c r="J423" s="331">
        <f t="shared" si="56"/>
        <v>4</v>
      </c>
      <c r="K423" s="418">
        <f t="shared" si="57"/>
        <v>57382.44</v>
      </c>
      <c r="L423" s="358">
        <f t="shared" si="58"/>
        <v>0</v>
      </c>
      <c r="M423" s="359">
        <f t="shared" si="59"/>
        <v>0</v>
      </c>
      <c r="N423" s="604">
        <f t="shared" si="60"/>
        <v>57382.44</v>
      </c>
      <c r="O423" s="355"/>
      <c r="P423" s="360"/>
      <c r="Q423" s="355"/>
      <c r="R423" s="360"/>
    </row>
    <row r="424" spans="1:18">
      <c r="A424" s="324" t="s">
        <v>1056</v>
      </c>
      <c r="B424" s="325" t="s">
        <v>260</v>
      </c>
      <c r="C424" s="408" t="s">
        <v>630</v>
      </c>
      <c r="D424" s="327" t="s">
        <v>1122</v>
      </c>
      <c r="E424" s="328" t="s">
        <v>72</v>
      </c>
      <c r="F424" s="329">
        <v>5478.19</v>
      </c>
      <c r="G424" s="330">
        <v>2</v>
      </c>
      <c r="H424" s="331">
        <v>0</v>
      </c>
      <c r="I424" s="332">
        <v>0</v>
      </c>
      <c r="J424" s="331">
        <f t="shared" si="56"/>
        <v>2</v>
      </c>
      <c r="K424" s="329">
        <f t="shared" si="57"/>
        <v>10956.38</v>
      </c>
      <c r="L424" s="298">
        <f t="shared" si="58"/>
        <v>0</v>
      </c>
      <c r="M424" s="298">
        <f t="shared" si="59"/>
        <v>0</v>
      </c>
      <c r="N424" s="603">
        <f t="shared" si="60"/>
        <v>10956.38</v>
      </c>
      <c r="O424" s="330"/>
      <c r="P424" s="333"/>
      <c r="Q424" s="330"/>
      <c r="R424" s="333"/>
    </row>
    <row r="425" spans="1:18" ht="30">
      <c r="A425" s="324" t="s">
        <v>1060</v>
      </c>
      <c r="B425" s="349">
        <v>40817</v>
      </c>
      <c r="C425" s="408" t="s">
        <v>631</v>
      </c>
      <c r="D425" s="327" t="s">
        <v>1206</v>
      </c>
      <c r="E425" s="328" t="s">
        <v>58</v>
      </c>
      <c r="F425" s="329">
        <v>3001.6</v>
      </c>
      <c r="G425" s="330">
        <v>0.03</v>
      </c>
      <c r="H425" s="331">
        <v>0</v>
      </c>
      <c r="I425" s="332">
        <v>0</v>
      </c>
      <c r="J425" s="331">
        <f t="shared" si="56"/>
        <v>0.03</v>
      </c>
      <c r="K425" s="329">
        <f t="shared" si="57"/>
        <v>90.047999999999988</v>
      </c>
      <c r="L425" s="298">
        <f t="shared" si="58"/>
        <v>0</v>
      </c>
      <c r="M425" s="298">
        <f t="shared" si="59"/>
        <v>0</v>
      </c>
      <c r="N425" s="603">
        <f t="shared" si="60"/>
        <v>90.047999999999988</v>
      </c>
      <c r="O425" s="330"/>
      <c r="P425" s="333"/>
      <c r="Q425" s="330"/>
      <c r="R425" s="333"/>
    </row>
    <row r="426" spans="1:18">
      <c r="A426" s="324" t="s">
        <v>1056</v>
      </c>
      <c r="B426" s="325" t="s">
        <v>261</v>
      </c>
      <c r="C426" s="408" t="s">
        <v>632</v>
      </c>
      <c r="D426" s="327" t="s">
        <v>1123</v>
      </c>
      <c r="E426" s="328" t="s">
        <v>72</v>
      </c>
      <c r="F426" s="329">
        <v>2011.04</v>
      </c>
      <c r="G426" s="330">
        <v>15</v>
      </c>
      <c r="H426" s="331">
        <v>0</v>
      </c>
      <c r="I426" s="332">
        <v>0</v>
      </c>
      <c r="J426" s="331">
        <f t="shared" si="56"/>
        <v>15</v>
      </c>
      <c r="K426" s="329">
        <f t="shared" si="57"/>
        <v>30165.599999999999</v>
      </c>
      <c r="L426" s="298">
        <f t="shared" si="58"/>
        <v>0</v>
      </c>
      <c r="M426" s="298">
        <f t="shared" si="59"/>
        <v>0</v>
      </c>
      <c r="N426" s="603">
        <f t="shared" si="60"/>
        <v>30165.599999999999</v>
      </c>
      <c r="O426" s="330"/>
      <c r="P426" s="333"/>
      <c r="Q426" s="330"/>
      <c r="R426" s="333"/>
    </row>
    <row r="427" spans="1:18" ht="30">
      <c r="A427" s="324" t="s">
        <v>1056</v>
      </c>
      <c r="B427" s="325" t="s">
        <v>262</v>
      </c>
      <c r="C427" s="408" t="s">
        <v>1207</v>
      </c>
      <c r="D427" s="327" t="s">
        <v>273</v>
      </c>
      <c r="E427" s="328" t="s">
        <v>72</v>
      </c>
      <c r="F427" s="329">
        <v>28185.33</v>
      </c>
      <c r="G427" s="330">
        <v>1</v>
      </c>
      <c r="H427" s="331">
        <v>0</v>
      </c>
      <c r="I427" s="332">
        <v>0</v>
      </c>
      <c r="J427" s="331">
        <f t="shared" si="56"/>
        <v>1</v>
      </c>
      <c r="K427" s="329">
        <f t="shared" si="57"/>
        <v>28185.33</v>
      </c>
      <c r="L427" s="298">
        <f t="shared" si="58"/>
        <v>0</v>
      </c>
      <c r="M427" s="298">
        <f t="shared" si="59"/>
        <v>0</v>
      </c>
      <c r="N427" s="603">
        <f t="shared" si="60"/>
        <v>28185.33</v>
      </c>
      <c r="O427" s="330"/>
      <c r="P427" s="333"/>
      <c r="Q427" s="330"/>
      <c r="R427" s="333"/>
    </row>
    <row r="428" spans="1:18">
      <c r="A428" s="324" t="s">
        <v>1056</v>
      </c>
      <c r="B428" s="325" t="s">
        <v>263</v>
      </c>
      <c r="C428" s="408" t="s">
        <v>1208</v>
      </c>
      <c r="D428" s="327" t="s">
        <v>1126</v>
      </c>
      <c r="E428" s="328" t="s">
        <v>72</v>
      </c>
      <c r="F428" s="329">
        <v>340.73</v>
      </c>
      <c r="G428" s="330">
        <v>2</v>
      </c>
      <c r="H428" s="331">
        <v>0</v>
      </c>
      <c r="I428" s="332">
        <v>0</v>
      </c>
      <c r="J428" s="331">
        <f t="shared" si="56"/>
        <v>2</v>
      </c>
      <c r="K428" s="329">
        <f t="shared" si="57"/>
        <v>681.46</v>
      </c>
      <c r="L428" s="298">
        <f t="shared" si="58"/>
        <v>0</v>
      </c>
      <c r="M428" s="298">
        <f t="shared" si="59"/>
        <v>0</v>
      </c>
      <c r="N428" s="603">
        <f t="shared" si="60"/>
        <v>681.46</v>
      </c>
      <c r="O428" s="330"/>
      <c r="P428" s="333"/>
      <c r="Q428" s="330"/>
      <c r="R428" s="333"/>
    </row>
    <row r="429" spans="1:18" s="345" customFormat="1">
      <c r="A429" s="334"/>
      <c r="B429" s="335"/>
      <c r="C429" s="336" t="s">
        <v>633</v>
      </c>
      <c r="D429" s="337" t="s">
        <v>1127</v>
      </c>
      <c r="E429" s="338"/>
      <c r="F429" s="339"/>
      <c r="G429" s="340"/>
      <c r="H429" s="341"/>
      <c r="I429" s="342"/>
      <c r="J429" s="341"/>
      <c r="K429" s="343"/>
      <c r="L429" s="298"/>
      <c r="M429" s="298"/>
      <c r="N429" s="603"/>
      <c r="O429" s="340"/>
      <c r="P429" s="344"/>
      <c r="Q429" s="340"/>
      <c r="R429" s="344"/>
    </row>
    <row r="430" spans="1:18" ht="30">
      <c r="A430" s="324" t="s">
        <v>1056</v>
      </c>
      <c r="B430" s="325" t="s">
        <v>635</v>
      </c>
      <c r="C430" s="408" t="s">
        <v>634</v>
      </c>
      <c r="D430" s="327" t="s">
        <v>636</v>
      </c>
      <c r="E430" s="328" t="s">
        <v>72</v>
      </c>
      <c r="F430" s="329">
        <v>1770.61</v>
      </c>
      <c r="G430" s="330">
        <v>1</v>
      </c>
      <c r="H430" s="331">
        <v>0</v>
      </c>
      <c r="I430" s="332">
        <v>0</v>
      </c>
      <c r="J430" s="331">
        <f t="shared" si="56"/>
        <v>1</v>
      </c>
      <c r="K430" s="329">
        <f t="shared" si="57"/>
        <v>1770.61</v>
      </c>
      <c r="L430" s="298">
        <f t="shared" si="58"/>
        <v>0</v>
      </c>
      <c r="M430" s="298">
        <f t="shared" si="59"/>
        <v>0</v>
      </c>
      <c r="N430" s="603">
        <f t="shared" si="60"/>
        <v>1770.61</v>
      </c>
      <c r="O430" s="330"/>
      <c r="P430" s="333"/>
      <c r="Q430" s="330"/>
      <c r="R430" s="333"/>
    </row>
    <row r="431" spans="1:18" s="345" customFormat="1">
      <c r="A431" s="334"/>
      <c r="B431" s="335"/>
      <c r="C431" s="336" t="s">
        <v>637</v>
      </c>
      <c r="D431" s="417" t="s">
        <v>281</v>
      </c>
      <c r="E431" s="338"/>
      <c r="F431" s="339"/>
      <c r="G431" s="340"/>
      <c r="H431" s="341"/>
      <c r="I431" s="342"/>
      <c r="J431" s="341"/>
      <c r="K431" s="343"/>
      <c r="L431" s="298"/>
      <c r="M431" s="298"/>
      <c r="N431" s="603"/>
      <c r="O431" s="340"/>
      <c r="P431" s="344"/>
      <c r="Q431" s="340"/>
      <c r="R431" s="344"/>
    </row>
    <row r="432" spans="1:18" ht="30">
      <c r="A432" s="324" t="s">
        <v>1096</v>
      </c>
      <c r="B432" s="325" t="s">
        <v>652</v>
      </c>
      <c r="C432" s="408" t="s">
        <v>638</v>
      </c>
      <c r="D432" s="348" t="s">
        <v>653</v>
      </c>
      <c r="E432" s="328" t="s">
        <v>315</v>
      </c>
      <c r="F432" s="329">
        <v>16620.009999999998</v>
      </c>
      <c r="G432" s="330">
        <v>2</v>
      </c>
      <c r="H432" s="331">
        <v>0</v>
      </c>
      <c r="I432" s="332">
        <v>0</v>
      </c>
      <c r="J432" s="331">
        <f t="shared" si="56"/>
        <v>2</v>
      </c>
      <c r="K432" s="329">
        <f t="shared" si="57"/>
        <v>33240.019999999997</v>
      </c>
      <c r="L432" s="298">
        <f t="shared" si="58"/>
        <v>0</v>
      </c>
      <c r="M432" s="298">
        <f t="shared" si="59"/>
        <v>0</v>
      </c>
      <c r="N432" s="603">
        <f t="shared" si="60"/>
        <v>33240.019999999997</v>
      </c>
      <c r="O432" s="330"/>
      <c r="P432" s="333"/>
      <c r="Q432" s="330"/>
      <c r="R432" s="333"/>
    </row>
    <row r="433" spans="1:18" ht="30">
      <c r="A433" s="324" t="s">
        <v>1056</v>
      </c>
      <c r="B433" s="325" t="s">
        <v>295</v>
      </c>
      <c r="C433" s="408" t="s">
        <v>640</v>
      </c>
      <c r="D433" s="348" t="s">
        <v>305</v>
      </c>
      <c r="E433" s="328" t="s">
        <v>51</v>
      </c>
      <c r="F433" s="329">
        <v>1268.83</v>
      </c>
      <c r="G433" s="330">
        <v>77.2</v>
      </c>
      <c r="H433" s="331">
        <v>0</v>
      </c>
      <c r="I433" s="332">
        <v>0</v>
      </c>
      <c r="J433" s="331">
        <f t="shared" si="56"/>
        <v>77.2</v>
      </c>
      <c r="K433" s="329">
        <f t="shared" si="57"/>
        <v>97953.675999999992</v>
      </c>
      <c r="L433" s="298">
        <f t="shared" si="58"/>
        <v>0</v>
      </c>
      <c r="M433" s="298">
        <f t="shared" si="59"/>
        <v>0</v>
      </c>
      <c r="N433" s="603">
        <f t="shared" si="60"/>
        <v>97953.675999999992</v>
      </c>
      <c r="O433" s="330"/>
      <c r="P433" s="333"/>
      <c r="Q433" s="330"/>
      <c r="R433" s="333"/>
    </row>
    <row r="434" spans="1:18" ht="30">
      <c r="A434" s="324" t="s">
        <v>1056</v>
      </c>
      <c r="B434" s="325" t="s">
        <v>295</v>
      </c>
      <c r="C434" s="408" t="s">
        <v>285</v>
      </c>
      <c r="D434" s="348" t="s">
        <v>1128</v>
      </c>
      <c r="E434" s="328" t="s">
        <v>51</v>
      </c>
      <c r="F434" s="329">
        <v>689.21</v>
      </c>
      <c r="G434" s="330">
        <v>0</v>
      </c>
      <c r="H434" s="331">
        <v>0</v>
      </c>
      <c r="I434" s="332">
        <v>0</v>
      </c>
      <c r="J434" s="331">
        <f t="shared" si="56"/>
        <v>0</v>
      </c>
      <c r="K434" s="329">
        <f t="shared" si="57"/>
        <v>0</v>
      </c>
      <c r="L434" s="298">
        <f t="shared" si="58"/>
        <v>0</v>
      </c>
      <c r="M434" s="298">
        <f t="shared" si="59"/>
        <v>0</v>
      </c>
      <c r="N434" s="603">
        <f t="shared" si="60"/>
        <v>0</v>
      </c>
      <c r="O434" s="330"/>
      <c r="P434" s="333"/>
      <c r="Q434" s="330"/>
      <c r="R434" s="333"/>
    </row>
    <row r="435" spans="1:18">
      <c r="A435" s="324" t="s">
        <v>1056</v>
      </c>
      <c r="B435" s="325" t="s">
        <v>297</v>
      </c>
      <c r="C435" s="408" t="s">
        <v>643</v>
      </c>
      <c r="D435" s="348" t="s">
        <v>1209</v>
      </c>
      <c r="E435" s="328" t="s">
        <v>51</v>
      </c>
      <c r="F435" s="329">
        <v>309.62</v>
      </c>
      <c r="G435" s="330">
        <v>50.2</v>
      </c>
      <c r="H435" s="331">
        <v>0</v>
      </c>
      <c r="I435" s="332">
        <v>0</v>
      </c>
      <c r="J435" s="331">
        <f t="shared" si="56"/>
        <v>50.2</v>
      </c>
      <c r="K435" s="329">
        <f t="shared" si="57"/>
        <v>15542.924000000001</v>
      </c>
      <c r="L435" s="298">
        <f t="shared" si="58"/>
        <v>0</v>
      </c>
      <c r="M435" s="298">
        <f t="shared" si="59"/>
        <v>0</v>
      </c>
      <c r="N435" s="603">
        <f t="shared" si="60"/>
        <v>15542.924000000001</v>
      </c>
      <c r="O435" s="330"/>
      <c r="P435" s="333"/>
      <c r="Q435" s="330"/>
      <c r="R435" s="333"/>
    </row>
    <row r="436" spans="1:18" ht="30">
      <c r="A436" s="324" t="s">
        <v>1056</v>
      </c>
      <c r="B436" s="325" t="s">
        <v>1130</v>
      </c>
      <c r="C436" s="408" t="s">
        <v>644</v>
      </c>
      <c r="D436" s="348" t="s">
        <v>1131</v>
      </c>
      <c r="E436" s="328" t="s">
        <v>51</v>
      </c>
      <c r="F436" s="329">
        <f>'[34]COMPOSIÇÕES ADITIVO'!I363</f>
        <v>147.34</v>
      </c>
      <c r="G436" s="330">
        <v>0</v>
      </c>
      <c r="H436" s="331">
        <v>0</v>
      </c>
      <c r="I436" s="332">
        <v>0</v>
      </c>
      <c r="J436" s="331">
        <f t="shared" si="56"/>
        <v>0</v>
      </c>
      <c r="K436" s="329">
        <f t="shared" si="57"/>
        <v>0</v>
      </c>
      <c r="L436" s="298">
        <f t="shared" si="58"/>
        <v>0</v>
      </c>
      <c r="M436" s="298">
        <f t="shared" si="59"/>
        <v>0</v>
      </c>
      <c r="N436" s="603">
        <f t="shared" si="60"/>
        <v>0</v>
      </c>
      <c r="O436" s="330"/>
      <c r="P436" s="333"/>
      <c r="Q436" s="330"/>
      <c r="R436" s="333"/>
    </row>
    <row r="437" spans="1:18">
      <c r="A437" s="324" t="s">
        <v>1056</v>
      </c>
      <c r="B437" s="325" t="s">
        <v>298</v>
      </c>
      <c r="C437" s="408" t="s">
        <v>645</v>
      </c>
      <c r="D437" s="348" t="s">
        <v>1183</v>
      </c>
      <c r="E437" s="328" t="s">
        <v>51</v>
      </c>
      <c r="F437" s="329">
        <v>358.26</v>
      </c>
      <c r="G437" s="330">
        <v>50.2</v>
      </c>
      <c r="H437" s="331">
        <v>0</v>
      </c>
      <c r="I437" s="332">
        <v>0</v>
      </c>
      <c r="J437" s="331">
        <f t="shared" si="56"/>
        <v>50.2</v>
      </c>
      <c r="K437" s="329">
        <f t="shared" si="57"/>
        <v>17984.652000000002</v>
      </c>
      <c r="L437" s="298">
        <f t="shared" si="58"/>
        <v>0</v>
      </c>
      <c r="M437" s="298">
        <f t="shared" si="59"/>
        <v>0</v>
      </c>
      <c r="N437" s="603">
        <f t="shared" si="60"/>
        <v>17984.652000000002</v>
      </c>
      <c r="O437" s="330"/>
      <c r="P437" s="333"/>
      <c r="Q437" s="330"/>
      <c r="R437" s="333"/>
    </row>
    <row r="438" spans="1:18" ht="30">
      <c r="A438" s="324" t="s">
        <v>1056</v>
      </c>
      <c r="B438" s="325" t="s">
        <v>497</v>
      </c>
      <c r="C438" s="408" t="s">
        <v>646</v>
      </c>
      <c r="D438" s="348" t="s">
        <v>500</v>
      </c>
      <c r="E438" s="328" t="s">
        <v>51</v>
      </c>
      <c r="F438" s="329">
        <v>3440.35</v>
      </c>
      <c r="G438" s="330">
        <v>8</v>
      </c>
      <c r="H438" s="331">
        <v>0</v>
      </c>
      <c r="I438" s="332">
        <v>0</v>
      </c>
      <c r="J438" s="331">
        <f t="shared" si="56"/>
        <v>8</v>
      </c>
      <c r="K438" s="329">
        <f t="shared" si="57"/>
        <v>27522.799999999999</v>
      </c>
      <c r="L438" s="298">
        <f t="shared" si="58"/>
        <v>0</v>
      </c>
      <c r="M438" s="298">
        <f t="shared" si="59"/>
        <v>0</v>
      </c>
      <c r="N438" s="603">
        <f t="shared" si="60"/>
        <v>27522.799999999999</v>
      </c>
      <c r="O438" s="330"/>
      <c r="P438" s="333"/>
      <c r="Q438" s="330"/>
      <c r="R438" s="333"/>
    </row>
    <row r="439" spans="1:18" ht="30">
      <c r="A439" s="324"/>
      <c r="B439" s="325"/>
      <c r="C439" s="408" t="s">
        <v>491</v>
      </c>
      <c r="D439" s="348" t="s">
        <v>1185</v>
      </c>
      <c r="E439" s="328" t="s">
        <v>51</v>
      </c>
      <c r="F439" s="329"/>
      <c r="G439" s="330">
        <v>0</v>
      </c>
      <c r="H439" s="331">
        <v>0</v>
      </c>
      <c r="I439" s="332">
        <v>0</v>
      </c>
      <c r="J439" s="331">
        <f t="shared" si="56"/>
        <v>0</v>
      </c>
      <c r="K439" s="329">
        <f t="shared" si="57"/>
        <v>0</v>
      </c>
      <c r="L439" s="298">
        <f>H439*F439</f>
        <v>0</v>
      </c>
      <c r="M439" s="298">
        <f t="shared" si="59"/>
        <v>0</v>
      </c>
      <c r="N439" s="603">
        <f t="shared" si="60"/>
        <v>0</v>
      </c>
      <c r="O439" s="330"/>
      <c r="P439" s="333"/>
      <c r="Q439" s="330"/>
      <c r="R439" s="333"/>
    </row>
    <row r="440" spans="1:18" ht="30">
      <c r="A440" s="324" t="s">
        <v>1056</v>
      </c>
      <c r="B440" s="325" t="s">
        <v>498</v>
      </c>
      <c r="C440" s="408" t="s">
        <v>648</v>
      </c>
      <c r="D440" s="348" t="s">
        <v>501</v>
      </c>
      <c r="E440" s="328" t="s">
        <v>51</v>
      </c>
      <c r="F440" s="329">
        <v>2019.23</v>
      </c>
      <c r="G440" s="330">
        <v>8</v>
      </c>
      <c r="H440" s="331">
        <v>0</v>
      </c>
      <c r="I440" s="332">
        <v>0</v>
      </c>
      <c r="J440" s="331">
        <f t="shared" si="56"/>
        <v>8</v>
      </c>
      <c r="K440" s="329">
        <f t="shared" si="57"/>
        <v>16153.84</v>
      </c>
      <c r="L440" s="298">
        <f t="shared" si="58"/>
        <v>0</v>
      </c>
      <c r="M440" s="298">
        <f t="shared" si="59"/>
        <v>0</v>
      </c>
      <c r="N440" s="603">
        <f t="shared" si="60"/>
        <v>16153.84</v>
      </c>
      <c r="O440" s="330"/>
      <c r="P440" s="333"/>
      <c r="Q440" s="330"/>
      <c r="R440" s="333"/>
    </row>
    <row r="441" spans="1:18" ht="30">
      <c r="A441" s="324" t="s">
        <v>1056</v>
      </c>
      <c r="B441" s="325" t="s">
        <v>299</v>
      </c>
      <c r="C441" s="408" t="s">
        <v>649</v>
      </c>
      <c r="D441" s="348" t="s">
        <v>309</v>
      </c>
      <c r="E441" s="328" t="s">
        <v>29</v>
      </c>
      <c r="F441" s="329">
        <v>8.1199999999999992</v>
      </c>
      <c r="G441" s="330">
        <v>5340</v>
      </c>
      <c r="H441" s="331">
        <v>0</v>
      </c>
      <c r="I441" s="332">
        <v>0</v>
      </c>
      <c r="J441" s="331">
        <f t="shared" si="56"/>
        <v>5340</v>
      </c>
      <c r="K441" s="329">
        <f t="shared" si="57"/>
        <v>43360.799999999996</v>
      </c>
      <c r="L441" s="298">
        <f t="shared" si="58"/>
        <v>0</v>
      </c>
      <c r="M441" s="298">
        <f t="shared" si="59"/>
        <v>0</v>
      </c>
      <c r="N441" s="603">
        <f t="shared" si="60"/>
        <v>43360.799999999996</v>
      </c>
      <c r="O441" s="330"/>
      <c r="P441" s="333"/>
      <c r="Q441" s="330"/>
      <c r="R441" s="333"/>
    </row>
    <row r="442" spans="1:18">
      <c r="A442" s="324" t="s">
        <v>1056</v>
      </c>
      <c r="B442" s="325" t="s">
        <v>300</v>
      </c>
      <c r="C442" s="408" t="s">
        <v>650</v>
      </c>
      <c r="D442" s="348" t="s">
        <v>1210</v>
      </c>
      <c r="E442" s="328" t="s">
        <v>29</v>
      </c>
      <c r="F442" s="329">
        <v>0.64</v>
      </c>
      <c r="G442" s="330">
        <v>5340</v>
      </c>
      <c r="H442" s="331">
        <v>0</v>
      </c>
      <c r="I442" s="332">
        <v>0</v>
      </c>
      <c r="J442" s="331">
        <f t="shared" si="56"/>
        <v>5340</v>
      </c>
      <c r="K442" s="329">
        <f t="shared" si="57"/>
        <v>3417.6</v>
      </c>
      <c r="L442" s="298">
        <f t="shared" si="58"/>
        <v>0</v>
      </c>
      <c r="M442" s="298">
        <f t="shared" si="59"/>
        <v>0</v>
      </c>
      <c r="N442" s="603">
        <f t="shared" si="60"/>
        <v>3417.6</v>
      </c>
      <c r="O442" s="330"/>
      <c r="P442" s="333"/>
      <c r="Q442" s="330"/>
      <c r="R442" s="333"/>
    </row>
    <row r="443" spans="1:18" ht="60">
      <c r="A443" s="324" t="s">
        <v>1056</v>
      </c>
      <c r="B443" s="325" t="s">
        <v>140</v>
      </c>
      <c r="C443" s="408" t="s">
        <v>651</v>
      </c>
      <c r="D443" s="348" t="s">
        <v>1103</v>
      </c>
      <c r="E443" s="328" t="s">
        <v>58</v>
      </c>
      <c r="F443" s="329">
        <v>486.08</v>
      </c>
      <c r="G443" s="330">
        <v>31.31</v>
      </c>
      <c r="H443" s="331">
        <v>0</v>
      </c>
      <c r="I443" s="332">
        <v>0</v>
      </c>
      <c r="J443" s="331">
        <f t="shared" si="56"/>
        <v>31.31</v>
      </c>
      <c r="K443" s="329">
        <f t="shared" si="57"/>
        <v>15219.164799999999</v>
      </c>
      <c r="L443" s="298">
        <f t="shared" si="58"/>
        <v>0</v>
      </c>
      <c r="M443" s="298">
        <f t="shared" si="59"/>
        <v>0</v>
      </c>
      <c r="N443" s="603">
        <f t="shared" si="60"/>
        <v>15219.164799999999</v>
      </c>
      <c r="O443" s="330"/>
      <c r="P443" s="333"/>
      <c r="Q443" s="330"/>
      <c r="R443" s="333"/>
    </row>
    <row r="444" spans="1:18">
      <c r="A444" s="324" t="s">
        <v>1056</v>
      </c>
      <c r="B444" s="325" t="s">
        <v>301</v>
      </c>
      <c r="C444" s="408" t="s">
        <v>1211</v>
      </c>
      <c r="D444" s="348" t="s">
        <v>1212</v>
      </c>
      <c r="E444" s="328" t="s">
        <v>49</v>
      </c>
      <c r="F444" s="329">
        <v>105.97</v>
      </c>
      <c r="G444" s="330">
        <v>31.31</v>
      </c>
      <c r="H444" s="331">
        <v>0</v>
      </c>
      <c r="I444" s="332">
        <v>0</v>
      </c>
      <c r="J444" s="331">
        <f t="shared" si="56"/>
        <v>31.31</v>
      </c>
      <c r="K444" s="329">
        <f t="shared" si="57"/>
        <v>3317.9206999999997</v>
      </c>
      <c r="L444" s="298">
        <f t="shared" si="58"/>
        <v>0</v>
      </c>
      <c r="M444" s="298">
        <f t="shared" si="59"/>
        <v>0</v>
      </c>
      <c r="N444" s="603">
        <f t="shared" si="60"/>
        <v>3317.9206999999997</v>
      </c>
      <c r="O444" s="330"/>
      <c r="P444" s="333"/>
      <c r="Q444" s="330"/>
      <c r="R444" s="333"/>
    </row>
    <row r="445" spans="1:18">
      <c r="A445" s="324" t="s">
        <v>1056</v>
      </c>
      <c r="B445" s="325" t="s">
        <v>302</v>
      </c>
      <c r="C445" s="408" t="s">
        <v>1213</v>
      </c>
      <c r="D445" s="348" t="s">
        <v>1133</v>
      </c>
      <c r="E445" s="328" t="s">
        <v>72</v>
      </c>
      <c r="F445" s="329">
        <v>1.62</v>
      </c>
      <c r="G445" s="330">
        <v>4</v>
      </c>
      <c r="H445" s="331">
        <v>0</v>
      </c>
      <c r="I445" s="332">
        <v>0</v>
      </c>
      <c r="J445" s="331">
        <f t="shared" si="56"/>
        <v>4</v>
      </c>
      <c r="K445" s="329">
        <f t="shared" si="57"/>
        <v>6.48</v>
      </c>
      <c r="L445" s="298">
        <f t="shared" si="58"/>
        <v>0</v>
      </c>
      <c r="M445" s="298">
        <f t="shared" si="59"/>
        <v>0</v>
      </c>
      <c r="N445" s="603">
        <f t="shared" si="60"/>
        <v>6.48</v>
      </c>
      <c r="O445" s="330"/>
      <c r="P445" s="333"/>
      <c r="Q445" s="330"/>
      <c r="R445" s="333"/>
    </row>
    <row r="446" spans="1:18">
      <c r="A446" s="324" t="s">
        <v>1056</v>
      </c>
      <c r="B446" s="325" t="s">
        <v>303</v>
      </c>
      <c r="C446" s="408" t="s">
        <v>1214</v>
      </c>
      <c r="D446" s="348" t="s">
        <v>1215</v>
      </c>
      <c r="E446" s="328" t="s">
        <v>72</v>
      </c>
      <c r="F446" s="329">
        <v>5793.75</v>
      </c>
      <c r="G446" s="330">
        <v>2</v>
      </c>
      <c r="H446" s="331">
        <v>0</v>
      </c>
      <c r="I446" s="332">
        <v>0</v>
      </c>
      <c r="J446" s="331">
        <f t="shared" si="56"/>
        <v>2</v>
      </c>
      <c r="K446" s="329">
        <f t="shared" si="57"/>
        <v>11587.5</v>
      </c>
      <c r="L446" s="298">
        <f t="shared" si="58"/>
        <v>0</v>
      </c>
      <c r="M446" s="298">
        <f t="shared" si="59"/>
        <v>0</v>
      </c>
      <c r="N446" s="603">
        <f t="shared" si="60"/>
        <v>11587.5</v>
      </c>
      <c r="O446" s="330"/>
      <c r="P446" s="333"/>
      <c r="Q446" s="330"/>
      <c r="R446" s="333"/>
    </row>
    <row r="447" spans="1:18" ht="30">
      <c r="A447" s="324" t="s">
        <v>1060</v>
      </c>
      <c r="B447" s="419">
        <v>190418</v>
      </c>
      <c r="C447" s="408" t="s">
        <v>1216</v>
      </c>
      <c r="D447" s="348" t="s">
        <v>314</v>
      </c>
      <c r="E447" s="328" t="s">
        <v>57</v>
      </c>
      <c r="F447" s="329">
        <v>33.049999999999997</v>
      </c>
      <c r="G447" s="330">
        <v>36.71</v>
      </c>
      <c r="H447" s="331">
        <v>0</v>
      </c>
      <c r="I447" s="332">
        <v>0</v>
      </c>
      <c r="J447" s="331">
        <f t="shared" si="56"/>
        <v>36.71</v>
      </c>
      <c r="K447" s="329">
        <f t="shared" si="57"/>
        <v>1213.2655</v>
      </c>
      <c r="L447" s="298">
        <f t="shared" si="58"/>
        <v>0</v>
      </c>
      <c r="M447" s="298">
        <f t="shared" si="59"/>
        <v>0</v>
      </c>
      <c r="N447" s="603">
        <f t="shared" si="60"/>
        <v>1213.2655</v>
      </c>
      <c r="O447" s="330"/>
      <c r="P447" s="333"/>
      <c r="Q447" s="330"/>
      <c r="R447" s="333"/>
    </row>
    <row r="448" spans="1:18" s="345" customFormat="1">
      <c r="A448" s="334"/>
      <c r="B448" s="335"/>
      <c r="C448" s="336" t="s">
        <v>654</v>
      </c>
      <c r="D448" s="337" t="s">
        <v>1110</v>
      </c>
      <c r="E448" s="338"/>
      <c r="F448" s="339"/>
      <c r="G448" s="340"/>
      <c r="H448" s="341"/>
      <c r="I448" s="342"/>
      <c r="J448" s="341"/>
      <c r="K448" s="343"/>
      <c r="L448" s="298"/>
      <c r="M448" s="298"/>
      <c r="N448" s="603"/>
      <c r="O448" s="340"/>
      <c r="P448" s="344"/>
      <c r="Q448" s="340"/>
      <c r="R448" s="344"/>
    </row>
    <row r="449" spans="1:18" ht="30">
      <c r="A449" s="324" t="s">
        <v>1056</v>
      </c>
      <c r="B449" s="325" t="s">
        <v>227</v>
      </c>
      <c r="C449" s="408" t="s">
        <v>655</v>
      </c>
      <c r="D449" s="348" t="s">
        <v>233</v>
      </c>
      <c r="E449" s="328" t="s">
        <v>51</v>
      </c>
      <c r="F449" s="329">
        <v>366.23</v>
      </c>
      <c r="G449" s="330">
        <v>23.86</v>
      </c>
      <c r="H449" s="331">
        <v>0</v>
      </c>
      <c r="I449" s="332">
        <v>0</v>
      </c>
      <c r="J449" s="331">
        <f t="shared" si="56"/>
        <v>23.86</v>
      </c>
      <c r="K449" s="329">
        <f t="shared" si="57"/>
        <v>8738.247800000001</v>
      </c>
      <c r="L449" s="298">
        <f t="shared" si="58"/>
        <v>0</v>
      </c>
      <c r="M449" s="298">
        <f t="shared" si="59"/>
        <v>0</v>
      </c>
      <c r="N449" s="603">
        <f t="shared" si="60"/>
        <v>8738.247800000001</v>
      </c>
      <c r="O449" s="330"/>
      <c r="P449" s="333"/>
      <c r="Q449" s="330"/>
      <c r="R449" s="333"/>
    </row>
    <row r="450" spans="1:18" s="312" customFormat="1">
      <c r="A450" s="392"/>
      <c r="B450" s="393"/>
      <c r="C450" s="394" t="s">
        <v>656</v>
      </c>
      <c r="D450" s="395" t="s">
        <v>1136</v>
      </c>
      <c r="E450" s="396"/>
      <c r="F450" s="397"/>
      <c r="G450" s="398"/>
      <c r="H450" s="427"/>
      <c r="I450" s="428"/>
      <c r="J450" s="427"/>
      <c r="K450" s="407"/>
      <c r="L450" s="298"/>
      <c r="M450" s="298"/>
      <c r="N450" s="603"/>
      <c r="O450" s="398"/>
      <c r="P450" s="402"/>
      <c r="Q450" s="398"/>
      <c r="R450" s="402"/>
    </row>
    <row r="451" spans="1:18" s="345" customFormat="1">
      <c r="A451" s="334"/>
      <c r="B451" s="335"/>
      <c r="C451" s="336" t="s">
        <v>657</v>
      </c>
      <c r="D451" s="337" t="s">
        <v>1136</v>
      </c>
      <c r="E451" s="338"/>
      <c r="F451" s="339"/>
      <c r="G451" s="340"/>
      <c r="H451" s="424"/>
      <c r="I451" s="425"/>
      <c r="J451" s="424"/>
      <c r="K451" s="343"/>
      <c r="L451" s="298"/>
      <c r="M451" s="298"/>
      <c r="N451" s="603"/>
      <c r="O451" s="340"/>
      <c r="P451" s="344"/>
      <c r="Q451" s="340"/>
      <c r="R451" s="344"/>
    </row>
    <row r="452" spans="1:18">
      <c r="A452" s="324" t="s">
        <v>1056</v>
      </c>
      <c r="B452" s="325" t="s">
        <v>323</v>
      </c>
      <c r="C452" s="408" t="s">
        <v>658</v>
      </c>
      <c r="D452" s="327" t="s">
        <v>1137</v>
      </c>
      <c r="E452" s="328" t="s">
        <v>59</v>
      </c>
      <c r="F452" s="329">
        <v>409453.83</v>
      </c>
      <c r="G452" s="330">
        <v>1</v>
      </c>
      <c r="H452" s="331">
        <v>0</v>
      </c>
      <c r="I452" s="332">
        <v>0</v>
      </c>
      <c r="J452" s="331">
        <f t="shared" si="56"/>
        <v>1</v>
      </c>
      <c r="K452" s="329">
        <f t="shared" si="57"/>
        <v>409453.83</v>
      </c>
      <c r="L452" s="298">
        <f t="shared" si="58"/>
        <v>0</v>
      </c>
      <c r="M452" s="298">
        <f t="shared" si="59"/>
        <v>0</v>
      </c>
      <c r="N452" s="603">
        <f t="shared" si="60"/>
        <v>409453.83</v>
      </c>
      <c r="O452" s="330"/>
      <c r="P452" s="333"/>
      <c r="Q452" s="330"/>
      <c r="R452" s="333"/>
    </row>
    <row r="453" spans="1:18">
      <c r="A453" s="324" t="s">
        <v>1056</v>
      </c>
      <c r="B453" s="325" t="s">
        <v>1217</v>
      </c>
      <c r="C453" s="408" t="s">
        <v>659</v>
      </c>
      <c r="D453" s="327" t="s">
        <v>327</v>
      </c>
      <c r="E453" s="328" t="s">
        <v>59</v>
      </c>
      <c r="F453" s="329">
        <v>3812.11</v>
      </c>
      <c r="G453" s="330">
        <v>1</v>
      </c>
      <c r="H453" s="331">
        <v>0</v>
      </c>
      <c r="I453" s="332">
        <v>0</v>
      </c>
      <c r="J453" s="331"/>
      <c r="K453" s="329">
        <f t="shared" si="57"/>
        <v>3812.11</v>
      </c>
      <c r="L453" s="298">
        <f t="shared" si="58"/>
        <v>0</v>
      </c>
      <c r="M453" s="298">
        <f t="shared" si="59"/>
        <v>0</v>
      </c>
      <c r="N453" s="603">
        <f t="shared" si="60"/>
        <v>0</v>
      </c>
      <c r="O453" s="330"/>
      <c r="P453" s="333"/>
      <c r="Q453" s="330"/>
      <c r="R453" s="333"/>
    </row>
    <row r="454" spans="1:18" ht="30">
      <c r="A454" s="324" t="s">
        <v>1056</v>
      </c>
      <c r="B454" s="325" t="s">
        <v>663</v>
      </c>
      <c r="C454" s="408" t="s">
        <v>660</v>
      </c>
      <c r="D454" s="348" t="s">
        <v>662</v>
      </c>
      <c r="E454" s="328" t="s">
        <v>72</v>
      </c>
      <c r="F454" s="329">
        <v>943.82</v>
      </c>
      <c r="G454" s="330">
        <v>1</v>
      </c>
      <c r="H454" s="331">
        <v>0</v>
      </c>
      <c r="I454" s="332">
        <v>0</v>
      </c>
      <c r="J454" s="331">
        <f t="shared" si="56"/>
        <v>1</v>
      </c>
      <c r="K454" s="329">
        <f t="shared" si="57"/>
        <v>943.82</v>
      </c>
      <c r="L454" s="298">
        <f t="shared" si="58"/>
        <v>0</v>
      </c>
      <c r="M454" s="298">
        <f t="shared" si="59"/>
        <v>0</v>
      </c>
      <c r="N454" s="603">
        <f t="shared" si="60"/>
        <v>943.82</v>
      </c>
      <c r="O454" s="330"/>
      <c r="P454" s="333"/>
      <c r="Q454" s="330"/>
      <c r="R454" s="333"/>
    </row>
    <row r="455" spans="1:18">
      <c r="A455" s="324" t="s">
        <v>1056</v>
      </c>
      <c r="B455" s="325" t="s">
        <v>325</v>
      </c>
      <c r="C455" s="408" t="s">
        <v>661</v>
      </c>
      <c r="D455" s="327" t="s">
        <v>1138</v>
      </c>
      <c r="E455" s="328" t="s">
        <v>50</v>
      </c>
      <c r="F455" s="329">
        <v>115.83</v>
      </c>
      <c r="G455" s="330">
        <v>120.68</v>
      </c>
      <c r="H455" s="331">
        <v>0</v>
      </c>
      <c r="I455" s="332">
        <v>0</v>
      </c>
      <c r="J455" s="331">
        <f t="shared" si="56"/>
        <v>120.68</v>
      </c>
      <c r="K455" s="329">
        <f t="shared" si="57"/>
        <v>13978.3644</v>
      </c>
      <c r="L455" s="298">
        <f t="shared" si="58"/>
        <v>0</v>
      </c>
      <c r="M455" s="298">
        <f t="shared" si="59"/>
        <v>0</v>
      </c>
      <c r="N455" s="603">
        <f t="shared" si="60"/>
        <v>13978.3644</v>
      </c>
      <c r="O455" s="330"/>
      <c r="P455" s="333"/>
      <c r="Q455" s="330"/>
      <c r="R455" s="333"/>
    </row>
    <row r="456" spans="1:18" s="312" customFormat="1">
      <c r="A456" s="392"/>
      <c r="B456" s="393"/>
      <c r="C456" s="394" t="s">
        <v>664</v>
      </c>
      <c r="D456" s="395" t="s">
        <v>1139</v>
      </c>
      <c r="E456" s="396"/>
      <c r="F456" s="397"/>
      <c r="G456" s="398"/>
      <c r="H456" s="427"/>
      <c r="I456" s="428"/>
      <c r="J456" s="427"/>
      <c r="K456" s="407"/>
      <c r="L456" s="298"/>
      <c r="M456" s="298"/>
      <c r="N456" s="603"/>
      <c r="O456" s="398"/>
      <c r="P456" s="402"/>
      <c r="Q456" s="398"/>
      <c r="R456" s="402"/>
    </row>
    <row r="457" spans="1:18" s="345" customFormat="1">
      <c r="A457" s="334"/>
      <c r="B457" s="335"/>
      <c r="C457" s="336" t="s">
        <v>665</v>
      </c>
      <c r="D457" s="337" t="s">
        <v>1139</v>
      </c>
      <c r="E457" s="338"/>
      <c r="F457" s="339"/>
      <c r="G457" s="340"/>
      <c r="H457" s="424"/>
      <c r="I457" s="425"/>
      <c r="J457" s="424"/>
      <c r="K457" s="343"/>
      <c r="L457" s="298"/>
      <c r="M457" s="298"/>
      <c r="N457" s="603"/>
      <c r="O457" s="340"/>
      <c r="P457" s="344"/>
      <c r="Q457" s="340"/>
      <c r="R457" s="344"/>
    </row>
    <row r="458" spans="1:18" ht="30">
      <c r="A458" s="324" t="s">
        <v>1060</v>
      </c>
      <c r="B458" s="419">
        <v>151701</v>
      </c>
      <c r="C458" s="408" t="s">
        <v>666</v>
      </c>
      <c r="D458" s="348" t="s">
        <v>685</v>
      </c>
      <c r="E458" s="328" t="s">
        <v>59</v>
      </c>
      <c r="F458" s="329">
        <v>1510.64</v>
      </c>
      <c r="G458" s="330">
        <v>1</v>
      </c>
      <c r="H458" s="331">
        <v>0</v>
      </c>
      <c r="I458" s="332">
        <v>0</v>
      </c>
      <c r="J458" s="331">
        <f t="shared" si="56"/>
        <v>1</v>
      </c>
      <c r="K458" s="329">
        <f t="shared" si="57"/>
        <v>1510.64</v>
      </c>
      <c r="L458" s="298">
        <f t="shared" si="58"/>
        <v>0</v>
      </c>
      <c r="M458" s="298">
        <f t="shared" ref="M458:M518" si="61">I458*F458</f>
        <v>0</v>
      </c>
      <c r="N458" s="603">
        <f t="shared" si="60"/>
        <v>1510.64</v>
      </c>
      <c r="O458" s="330"/>
      <c r="P458" s="333"/>
      <c r="Q458" s="330"/>
      <c r="R458" s="333"/>
    </row>
    <row r="459" spans="1:18">
      <c r="A459" s="324" t="s">
        <v>1060</v>
      </c>
      <c r="B459" s="419">
        <v>150312</v>
      </c>
      <c r="C459" s="408" t="s">
        <v>667</v>
      </c>
      <c r="D459" s="327" t="s">
        <v>1141</v>
      </c>
      <c r="E459" s="328" t="s">
        <v>59</v>
      </c>
      <c r="F459" s="329">
        <v>103.79</v>
      </c>
      <c r="G459" s="330">
        <v>1</v>
      </c>
      <c r="H459" s="331">
        <v>0</v>
      </c>
      <c r="I459" s="332">
        <v>0</v>
      </c>
      <c r="J459" s="331">
        <f t="shared" si="56"/>
        <v>1</v>
      </c>
      <c r="K459" s="329">
        <f t="shared" si="57"/>
        <v>103.79</v>
      </c>
      <c r="L459" s="298">
        <f t="shared" si="58"/>
        <v>0</v>
      </c>
      <c r="M459" s="298">
        <f t="shared" si="61"/>
        <v>0</v>
      </c>
      <c r="N459" s="603">
        <f t="shared" si="60"/>
        <v>103.79</v>
      </c>
      <c r="O459" s="330"/>
      <c r="P459" s="333"/>
      <c r="Q459" s="330"/>
      <c r="R459" s="333"/>
    </row>
    <row r="460" spans="1:18">
      <c r="A460" s="324" t="s">
        <v>1060</v>
      </c>
      <c r="B460" s="419">
        <v>150628</v>
      </c>
      <c r="C460" s="408" t="s">
        <v>668</v>
      </c>
      <c r="D460" s="327" t="s">
        <v>1142</v>
      </c>
      <c r="E460" s="328" t="s">
        <v>59</v>
      </c>
      <c r="F460" s="329">
        <v>7.47</v>
      </c>
      <c r="G460" s="330">
        <v>20</v>
      </c>
      <c r="H460" s="331">
        <v>0</v>
      </c>
      <c r="I460" s="332">
        <v>0</v>
      </c>
      <c r="J460" s="331">
        <f t="shared" si="56"/>
        <v>20</v>
      </c>
      <c r="K460" s="329">
        <f t="shared" si="57"/>
        <v>149.4</v>
      </c>
      <c r="L460" s="298">
        <f t="shared" si="58"/>
        <v>0</v>
      </c>
      <c r="M460" s="298">
        <f t="shared" si="61"/>
        <v>0</v>
      </c>
      <c r="N460" s="603">
        <f t="shared" si="60"/>
        <v>149.4</v>
      </c>
      <c r="O460" s="330"/>
      <c r="P460" s="333"/>
      <c r="Q460" s="330"/>
      <c r="R460" s="333"/>
    </row>
    <row r="461" spans="1:18">
      <c r="A461" s="324" t="s">
        <v>1060</v>
      </c>
      <c r="B461" s="419">
        <v>151417</v>
      </c>
      <c r="C461" s="408" t="s">
        <v>669</v>
      </c>
      <c r="D461" s="327" t="s">
        <v>1143</v>
      </c>
      <c r="E461" s="328" t="s">
        <v>51</v>
      </c>
      <c r="F461" s="329">
        <v>5.86</v>
      </c>
      <c r="G461" s="330">
        <v>169.2</v>
      </c>
      <c r="H461" s="331">
        <v>0</v>
      </c>
      <c r="I461" s="332">
        <v>0</v>
      </c>
      <c r="J461" s="331">
        <f t="shared" si="56"/>
        <v>169.2</v>
      </c>
      <c r="K461" s="329">
        <f t="shared" si="57"/>
        <v>991.51199999999994</v>
      </c>
      <c r="L461" s="298">
        <f t="shared" si="58"/>
        <v>0</v>
      </c>
      <c r="M461" s="298">
        <f t="shared" si="61"/>
        <v>0</v>
      </c>
      <c r="N461" s="603">
        <f t="shared" si="60"/>
        <v>991.51199999999994</v>
      </c>
      <c r="O461" s="330"/>
      <c r="P461" s="333"/>
      <c r="Q461" s="330"/>
      <c r="R461" s="333"/>
    </row>
    <row r="462" spans="1:18">
      <c r="A462" s="324" t="s">
        <v>1060</v>
      </c>
      <c r="B462" s="419">
        <v>151418</v>
      </c>
      <c r="C462" s="408" t="s">
        <v>670</v>
      </c>
      <c r="D462" s="327" t="s">
        <v>1144</v>
      </c>
      <c r="E462" s="328" t="s">
        <v>51</v>
      </c>
      <c r="F462" s="329">
        <v>6.74</v>
      </c>
      <c r="G462" s="330">
        <v>333.8</v>
      </c>
      <c r="H462" s="331">
        <v>0</v>
      </c>
      <c r="I462" s="332">
        <v>0</v>
      </c>
      <c r="J462" s="331">
        <f t="shared" ref="J462:J524" si="62">G462+H462-I462</f>
        <v>333.8</v>
      </c>
      <c r="K462" s="329">
        <f t="shared" ref="K462:K524" si="63">F462*G462</f>
        <v>2249.8120000000004</v>
      </c>
      <c r="L462" s="298">
        <f t="shared" ref="L462:L520" si="64">H462*F462</f>
        <v>0</v>
      </c>
      <c r="M462" s="298">
        <f t="shared" si="61"/>
        <v>0</v>
      </c>
      <c r="N462" s="603">
        <f t="shared" ref="N462:N524" si="65">J462*F462</f>
        <v>2249.8120000000004</v>
      </c>
      <c r="O462" s="330"/>
      <c r="P462" s="333"/>
      <c r="Q462" s="330"/>
      <c r="R462" s="333"/>
    </row>
    <row r="463" spans="1:18">
      <c r="A463" s="324" t="s">
        <v>1060</v>
      </c>
      <c r="B463" s="419">
        <v>151420</v>
      </c>
      <c r="C463" s="408" t="s">
        <v>671</v>
      </c>
      <c r="D463" s="327" t="s">
        <v>1145</v>
      </c>
      <c r="E463" s="328" t="s">
        <v>51</v>
      </c>
      <c r="F463" s="329">
        <v>10.63</v>
      </c>
      <c r="G463" s="330">
        <v>60</v>
      </c>
      <c r="H463" s="331">
        <v>0</v>
      </c>
      <c r="I463" s="332">
        <v>0</v>
      </c>
      <c r="J463" s="331">
        <f t="shared" si="62"/>
        <v>60</v>
      </c>
      <c r="K463" s="329">
        <f t="shared" si="63"/>
        <v>637.80000000000007</v>
      </c>
      <c r="L463" s="298">
        <f t="shared" si="64"/>
        <v>0</v>
      </c>
      <c r="M463" s="298">
        <f t="shared" si="61"/>
        <v>0</v>
      </c>
      <c r="N463" s="603">
        <f t="shared" si="65"/>
        <v>637.80000000000007</v>
      </c>
      <c r="O463" s="330"/>
      <c r="P463" s="333"/>
      <c r="Q463" s="330"/>
      <c r="R463" s="333"/>
    </row>
    <row r="464" spans="1:18" ht="30">
      <c r="A464" s="346" t="s">
        <v>1060</v>
      </c>
      <c r="B464" s="426">
        <v>151809</v>
      </c>
      <c r="C464" s="328" t="s">
        <v>672</v>
      </c>
      <c r="D464" s="327" t="s">
        <v>1146</v>
      </c>
      <c r="E464" s="328" t="s">
        <v>59</v>
      </c>
      <c r="F464" s="329">
        <v>150.13</v>
      </c>
      <c r="G464" s="330">
        <v>1</v>
      </c>
      <c r="H464" s="331">
        <v>0</v>
      </c>
      <c r="I464" s="332">
        <v>0</v>
      </c>
      <c r="J464" s="331">
        <f t="shared" si="62"/>
        <v>1</v>
      </c>
      <c r="K464" s="329">
        <f t="shared" si="63"/>
        <v>150.13</v>
      </c>
      <c r="L464" s="298">
        <f t="shared" si="64"/>
        <v>0</v>
      </c>
      <c r="M464" s="298">
        <f t="shared" si="61"/>
        <v>0</v>
      </c>
      <c r="N464" s="603">
        <f t="shared" si="65"/>
        <v>150.13</v>
      </c>
      <c r="O464" s="330"/>
      <c r="P464" s="333"/>
      <c r="Q464" s="330"/>
      <c r="R464" s="333"/>
    </row>
    <row r="465" spans="1:18" ht="30">
      <c r="A465" s="346" t="s">
        <v>1060</v>
      </c>
      <c r="B465" s="426">
        <v>151803</v>
      </c>
      <c r="C465" s="328" t="s">
        <v>673</v>
      </c>
      <c r="D465" s="327" t="s">
        <v>1147</v>
      </c>
      <c r="E465" s="328" t="s">
        <v>59</v>
      </c>
      <c r="F465" s="329">
        <v>170.86</v>
      </c>
      <c r="G465" s="330">
        <v>11</v>
      </c>
      <c r="H465" s="331">
        <v>0</v>
      </c>
      <c r="I465" s="332">
        <v>0</v>
      </c>
      <c r="J465" s="331">
        <f t="shared" si="62"/>
        <v>11</v>
      </c>
      <c r="K465" s="329">
        <f t="shared" si="63"/>
        <v>1879.46</v>
      </c>
      <c r="L465" s="298">
        <f t="shared" si="64"/>
        <v>0</v>
      </c>
      <c r="M465" s="298">
        <f t="shared" si="61"/>
        <v>0</v>
      </c>
      <c r="N465" s="603">
        <f t="shared" si="65"/>
        <v>1879.46</v>
      </c>
      <c r="O465" s="330"/>
      <c r="P465" s="333"/>
      <c r="Q465" s="330"/>
      <c r="R465" s="333"/>
    </row>
    <row r="466" spans="1:18" ht="30">
      <c r="A466" s="324" t="s">
        <v>1060</v>
      </c>
      <c r="B466" s="419">
        <v>151338</v>
      </c>
      <c r="C466" s="408" t="s">
        <v>674</v>
      </c>
      <c r="D466" s="348" t="s">
        <v>357</v>
      </c>
      <c r="E466" s="328" t="s">
        <v>59</v>
      </c>
      <c r="F466" s="329">
        <v>18.14</v>
      </c>
      <c r="G466" s="330">
        <v>1</v>
      </c>
      <c r="H466" s="331">
        <v>0</v>
      </c>
      <c r="I466" s="332">
        <v>0</v>
      </c>
      <c r="J466" s="331">
        <f t="shared" si="62"/>
        <v>1</v>
      </c>
      <c r="K466" s="329">
        <f t="shared" si="63"/>
        <v>18.14</v>
      </c>
      <c r="L466" s="298">
        <f t="shared" si="64"/>
        <v>0</v>
      </c>
      <c r="M466" s="298">
        <f t="shared" si="61"/>
        <v>0</v>
      </c>
      <c r="N466" s="603">
        <f t="shared" si="65"/>
        <v>18.14</v>
      </c>
      <c r="O466" s="330"/>
      <c r="P466" s="333"/>
      <c r="Q466" s="330"/>
      <c r="R466" s="333"/>
    </row>
    <row r="467" spans="1:18" ht="30">
      <c r="A467" s="324" t="s">
        <v>1060</v>
      </c>
      <c r="B467" s="419">
        <v>151301</v>
      </c>
      <c r="C467" s="408" t="s">
        <v>675</v>
      </c>
      <c r="D467" s="348" t="s">
        <v>358</v>
      </c>
      <c r="E467" s="328" t="s">
        <v>59</v>
      </c>
      <c r="F467" s="329">
        <v>18.14</v>
      </c>
      <c r="G467" s="330">
        <v>1</v>
      </c>
      <c r="H467" s="331">
        <v>0</v>
      </c>
      <c r="I467" s="332">
        <v>0</v>
      </c>
      <c r="J467" s="331">
        <f t="shared" si="62"/>
        <v>1</v>
      </c>
      <c r="K467" s="329">
        <f t="shared" si="63"/>
        <v>18.14</v>
      </c>
      <c r="L467" s="298">
        <f t="shared" si="64"/>
        <v>0</v>
      </c>
      <c r="M467" s="298">
        <f t="shared" si="61"/>
        <v>0</v>
      </c>
      <c r="N467" s="603">
        <f t="shared" si="65"/>
        <v>18.14</v>
      </c>
      <c r="O467" s="330"/>
      <c r="P467" s="333"/>
      <c r="Q467" s="330"/>
      <c r="R467" s="333"/>
    </row>
    <row r="468" spans="1:18" ht="30">
      <c r="A468" s="324" t="s">
        <v>1060</v>
      </c>
      <c r="B468" s="419">
        <v>151303</v>
      </c>
      <c r="C468" s="408" t="s">
        <v>676</v>
      </c>
      <c r="D468" s="348" t="s">
        <v>359</v>
      </c>
      <c r="E468" s="328" t="s">
        <v>59</v>
      </c>
      <c r="F468" s="329">
        <v>18.14</v>
      </c>
      <c r="G468" s="330">
        <v>1</v>
      </c>
      <c r="H468" s="331">
        <v>0</v>
      </c>
      <c r="I468" s="332">
        <v>0</v>
      </c>
      <c r="J468" s="331">
        <f t="shared" si="62"/>
        <v>1</v>
      </c>
      <c r="K468" s="329">
        <f t="shared" si="63"/>
        <v>18.14</v>
      </c>
      <c r="L468" s="298">
        <f t="shared" si="64"/>
        <v>0</v>
      </c>
      <c r="M468" s="298">
        <f t="shared" si="61"/>
        <v>0</v>
      </c>
      <c r="N468" s="603">
        <f t="shared" si="65"/>
        <v>18.14</v>
      </c>
      <c r="O468" s="330"/>
      <c r="P468" s="333"/>
      <c r="Q468" s="330"/>
      <c r="R468" s="333"/>
    </row>
    <row r="469" spans="1:18" ht="30">
      <c r="A469" s="324" t="s">
        <v>1060</v>
      </c>
      <c r="B469" s="419">
        <v>151318</v>
      </c>
      <c r="C469" s="408" t="s">
        <v>677</v>
      </c>
      <c r="D469" s="348" t="s">
        <v>547</v>
      </c>
      <c r="E469" s="328" t="s">
        <v>59</v>
      </c>
      <c r="F469" s="329">
        <v>22.63</v>
      </c>
      <c r="G469" s="330">
        <v>1</v>
      </c>
      <c r="H469" s="331">
        <v>0</v>
      </c>
      <c r="I469" s="332">
        <v>0</v>
      </c>
      <c r="J469" s="331">
        <f t="shared" si="62"/>
        <v>1</v>
      </c>
      <c r="K469" s="329">
        <f t="shared" si="63"/>
        <v>22.63</v>
      </c>
      <c r="L469" s="298">
        <f t="shared" si="64"/>
        <v>0</v>
      </c>
      <c r="M469" s="298">
        <f t="shared" si="61"/>
        <v>0</v>
      </c>
      <c r="N469" s="603">
        <f t="shared" si="65"/>
        <v>22.63</v>
      </c>
      <c r="O469" s="330"/>
      <c r="P469" s="333"/>
      <c r="Q469" s="330"/>
      <c r="R469" s="333"/>
    </row>
    <row r="470" spans="1:18">
      <c r="A470" s="324" t="s">
        <v>1060</v>
      </c>
      <c r="B470" s="419">
        <v>151350</v>
      </c>
      <c r="C470" s="408" t="s">
        <v>678</v>
      </c>
      <c r="D470" s="327" t="s">
        <v>1149</v>
      </c>
      <c r="E470" s="328" t="s">
        <v>59</v>
      </c>
      <c r="F470" s="329">
        <v>133.04</v>
      </c>
      <c r="G470" s="330">
        <v>1</v>
      </c>
      <c r="H470" s="331">
        <v>0</v>
      </c>
      <c r="I470" s="332">
        <v>0</v>
      </c>
      <c r="J470" s="331">
        <f t="shared" si="62"/>
        <v>1</v>
      </c>
      <c r="K470" s="329">
        <f t="shared" si="63"/>
        <v>133.04</v>
      </c>
      <c r="L470" s="298">
        <f t="shared" si="64"/>
        <v>0</v>
      </c>
      <c r="M470" s="298">
        <f t="shared" si="61"/>
        <v>0</v>
      </c>
      <c r="N470" s="603">
        <f t="shared" si="65"/>
        <v>133.04</v>
      </c>
      <c r="O470" s="330"/>
      <c r="P470" s="333"/>
      <c r="Q470" s="330"/>
      <c r="R470" s="333"/>
    </row>
    <row r="471" spans="1:18">
      <c r="A471" s="324" t="s">
        <v>1060</v>
      </c>
      <c r="B471" s="419">
        <v>151132</v>
      </c>
      <c r="C471" s="408" t="s">
        <v>679</v>
      </c>
      <c r="D471" s="327" t="s">
        <v>1150</v>
      </c>
      <c r="E471" s="328" t="s">
        <v>51</v>
      </c>
      <c r="F471" s="329">
        <v>7.5</v>
      </c>
      <c r="G471" s="330">
        <v>78.400000000000006</v>
      </c>
      <c r="H471" s="331">
        <v>0</v>
      </c>
      <c r="I471" s="332">
        <v>0</v>
      </c>
      <c r="J471" s="331">
        <f t="shared" si="62"/>
        <v>78.400000000000006</v>
      </c>
      <c r="K471" s="329">
        <f t="shared" si="63"/>
        <v>588</v>
      </c>
      <c r="L471" s="298">
        <f t="shared" si="64"/>
        <v>0</v>
      </c>
      <c r="M471" s="298">
        <f t="shared" si="61"/>
        <v>0</v>
      </c>
      <c r="N471" s="603">
        <f t="shared" si="65"/>
        <v>588</v>
      </c>
      <c r="O471" s="330"/>
      <c r="P471" s="333"/>
      <c r="Q471" s="330"/>
      <c r="R471" s="333"/>
    </row>
    <row r="472" spans="1:18">
      <c r="A472" s="324" t="s">
        <v>1060</v>
      </c>
      <c r="B472" s="419">
        <v>150801</v>
      </c>
      <c r="C472" s="408" t="s">
        <v>680</v>
      </c>
      <c r="D472" s="327" t="s">
        <v>1151</v>
      </c>
      <c r="E472" s="328" t="s">
        <v>51</v>
      </c>
      <c r="F472" s="329">
        <v>12.67</v>
      </c>
      <c r="G472" s="330">
        <v>70</v>
      </c>
      <c r="H472" s="331">
        <v>0</v>
      </c>
      <c r="I472" s="332">
        <v>0</v>
      </c>
      <c r="J472" s="331">
        <f t="shared" si="62"/>
        <v>70</v>
      </c>
      <c r="K472" s="329">
        <f t="shared" si="63"/>
        <v>886.9</v>
      </c>
      <c r="L472" s="298">
        <f t="shared" si="64"/>
        <v>0</v>
      </c>
      <c r="M472" s="298">
        <f t="shared" si="61"/>
        <v>0</v>
      </c>
      <c r="N472" s="603">
        <f t="shared" si="65"/>
        <v>886.9</v>
      </c>
      <c r="O472" s="330"/>
      <c r="P472" s="333"/>
      <c r="Q472" s="330"/>
      <c r="R472" s="333"/>
    </row>
    <row r="473" spans="1:18">
      <c r="A473" s="324" t="s">
        <v>1060</v>
      </c>
      <c r="B473" s="419">
        <v>180110</v>
      </c>
      <c r="C473" s="408" t="s">
        <v>681</v>
      </c>
      <c r="D473" s="327" t="s">
        <v>1152</v>
      </c>
      <c r="E473" s="328" t="s">
        <v>59</v>
      </c>
      <c r="F473" s="329">
        <v>106.15</v>
      </c>
      <c r="G473" s="330">
        <v>5</v>
      </c>
      <c r="H473" s="331">
        <v>0</v>
      </c>
      <c r="I473" s="332">
        <v>0</v>
      </c>
      <c r="J473" s="331">
        <f t="shared" si="62"/>
        <v>5</v>
      </c>
      <c r="K473" s="329">
        <f t="shared" si="63"/>
        <v>530.75</v>
      </c>
      <c r="L473" s="298">
        <f t="shared" si="64"/>
        <v>0</v>
      </c>
      <c r="M473" s="298">
        <f t="shared" si="61"/>
        <v>0</v>
      </c>
      <c r="N473" s="603">
        <f t="shared" si="65"/>
        <v>530.75</v>
      </c>
      <c r="O473" s="330"/>
      <c r="P473" s="333"/>
      <c r="Q473" s="330"/>
      <c r="R473" s="333"/>
    </row>
    <row r="474" spans="1:18">
      <c r="A474" s="324" t="s">
        <v>1056</v>
      </c>
      <c r="B474" s="325" t="s">
        <v>367</v>
      </c>
      <c r="C474" s="408" t="s">
        <v>682</v>
      </c>
      <c r="D474" s="327" t="s">
        <v>1153</v>
      </c>
      <c r="E474" s="328" t="s">
        <v>72</v>
      </c>
      <c r="F474" s="329">
        <v>362.44</v>
      </c>
      <c r="G474" s="330">
        <v>20</v>
      </c>
      <c r="H474" s="331">
        <v>0</v>
      </c>
      <c r="I474" s="332">
        <v>0</v>
      </c>
      <c r="J474" s="331">
        <f t="shared" si="62"/>
        <v>20</v>
      </c>
      <c r="K474" s="329">
        <f t="shared" si="63"/>
        <v>7248.8</v>
      </c>
      <c r="L474" s="298">
        <f t="shared" si="64"/>
        <v>0</v>
      </c>
      <c r="M474" s="298">
        <f t="shared" si="61"/>
        <v>0</v>
      </c>
      <c r="N474" s="603">
        <f t="shared" si="65"/>
        <v>7248.8</v>
      </c>
      <c r="O474" s="330"/>
      <c r="P474" s="333"/>
      <c r="Q474" s="330"/>
      <c r="R474" s="333"/>
    </row>
    <row r="475" spans="1:18">
      <c r="A475" s="324" t="s">
        <v>1056</v>
      </c>
      <c r="B475" s="325" t="s">
        <v>368</v>
      </c>
      <c r="C475" s="408" t="s">
        <v>683</v>
      </c>
      <c r="D475" s="327" t="s">
        <v>1154</v>
      </c>
      <c r="E475" s="328" t="s">
        <v>72</v>
      </c>
      <c r="F475" s="329">
        <v>4976.67</v>
      </c>
      <c r="G475" s="330">
        <v>2</v>
      </c>
      <c r="H475" s="331">
        <v>0</v>
      </c>
      <c r="I475" s="332">
        <v>0</v>
      </c>
      <c r="J475" s="331">
        <f t="shared" si="62"/>
        <v>2</v>
      </c>
      <c r="K475" s="329">
        <f t="shared" si="63"/>
        <v>9953.34</v>
      </c>
      <c r="L475" s="298">
        <f t="shared" si="64"/>
        <v>0</v>
      </c>
      <c r="M475" s="298">
        <f t="shared" si="61"/>
        <v>0</v>
      </c>
      <c r="N475" s="603">
        <f t="shared" si="65"/>
        <v>9953.34</v>
      </c>
      <c r="O475" s="330"/>
      <c r="P475" s="333"/>
      <c r="Q475" s="330"/>
      <c r="R475" s="333"/>
    </row>
    <row r="476" spans="1:18" ht="30">
      <c r="A476" s="324" t="s">
        <v>1096</v>
      </c>
      <c r="B476" s="325" t="s">
        <v>369</v>
      </c>
      <c r="C476" s="408" t="s">
        <v>684</v>
      </c>
      <c r="D476" s="348" t="s">
        <v>366</v>
      </c>
      <c r="E476" s="328" t="s">
        <v>10</v>
      </c>
      <c r="F476" s="329">
        <v>12903.37</v>
      </c>
      <c r="G476" s="330">
        <v>1</v>
      </c>
      <c r="H476" s="331">
        <v>0</v>
      </c>
      <c r="I476" s="332">
        <v>0</v>
      </c>
      <c r="J476" s="331">
        <f t="shared" si="62"/>
        <v>1</v>
      </c>
      <c r="K476" s="329">
        <f t="shared" si="63"/>
        <v>12903.37</v>
      </c>
      <c r="L476" s="298">
        <f t="shared" si="64"/>
        <v>0</v>
      </c>
      <c r="M476" s="298">
        <f t="shared" si="61"/>
        <v>0</v>
      </c>
      <c r="N476" s="603">
        <f t="shared" si="65"/>
        <v>12903.37</v>
      </c>
      <c r="O476" s="330"/>
      <c r="P476" s="333"/>
      <c r="Q476" s="330"/>
      <c r="R476" s="333"/>
    </row>
    <row r="477" spans="1:18" s="345" customFormat="1">
      <c r="A477" s="334"/>
      <c r="B477" s="335"/>
      <c r="C477" s="336" t="s">
        <v>686</v>
      </c>
      <c r="D477" s="417" t="s">
        <v>371</v>
      </c>
      <c r="E477" s="338"/>
      <c r="F477" s="339"/>
      <c r="G477" s="340"/>
      <c r="H477" s="341"/>
      <c r="I477" s="342"/>
      <c r="J477" s="341"/>
      <c r="K477" s="343"/>
      <c r="L477" s="298"/>
      <c r="M477" s="298"/>
      <c r="N477" s="603"/>
      <c r="O477" s="340"/>
      <c r="P477" s="344"/>
      <c r="Q477" s="340"/>
      <c r="R477" s="344"/>
    </row>
    <row r="478" spans="1:18" ht="45">
      <c r="A478" s="346" t="s">
        <v>1060</v>
      </c>
      <c r="B478" s="426">
        <v>150610</v>
      </c>
      <c r="C478" s="328" t="s">
        <v>687</v>
      </c>
      <c r="D478" s="327" t="s">
        <v>1194</v>
      </c>
      <c r="E478" s="328" t="s">
        <v>59</v>
      </c>
      <c r="F478" s="329">
        <v>188.46</v>
      </c>
      <c r="G478" s="330">
        <v>4</v>
      </c>
      <c r="H478" s="331">
        <v>0</v>
      </c>
      <c r="I478" s="332">
        <v>0</v>
      </c>
      <c r="J478" s="331">
        <f t="shared" si="62"/>
        <v>4</v>
      </c>
      <c r="K478" s="329">
        <f t="shared" si="63"/>
        <v>753.84</v>
      </c>
      <c r="L478" s="298">
        <f t="shared" si="64"/>
        <v>0</v>
      </c>
      <c r="M478" s="298">
        <f t="shared" si="61"/>
        <v>0</v>
      </c>
      <c r="N478" s="603">
        <f t="shared" si="65"/>
        <v>753.84</v>
      </c>
      <c r="O478" s="330"/>
      <c r="P478" s="333"/>
      <c r="Q478" s="330"/>
      <c r="R478" s="333"/>
    </row>
    <row r="479" spans="1:18" ht="45">
      <c r="A479" s="346" t="s">
        <v>1060</v>
      </c>
      <c r="B479" s="426">
        <v>160324</v>
      </c>
      <c r="C479" s="328" t="s">
        <v>688</v>
      </c>
      <c r="D479" s="348" t="s">
        <v>546</v>
      </c>
      <c r="E479" s="328" t="s">
        <v>59</v>
      </c>
      <c r="F479" s="329">
        <v>199.91</v>
      </c>
      <c r="G479" s="330">
        <v>1</v>
      </c>
      <c r="H479" s="331">
        <v>0</v>
      </c>
      <c r="I479" s="332">
        <v>0</v>
      </c>
      <c r="J479" s="331">
        <f t="shared" si="62"/>
        <v>1</v>
      </c>
      <c r="K479" s="329">
        <f t="shared" si="63"/>
        <v>199.91</v>
      </c>
      <c r="L479" s="298">
        <f t="shared" si="64"/>
        <v>0</v>
      </c>
      <c r="M479" s="298">
        <f t="shared" si="61"/>
        <v>0</v>
      </c>
      <c r="N479" s="603">
        <f t="shared" si="65"/>
        <v>199.91</v>
      </c>
      <c r="O479" s="330"/>
      <c r="P479" s="333"/>
      <c r="Q479" s="330"/>
      <c r="R479" s="333"/>
    </row>
    <row r="480" spans="1:18">
      <c r="A480" s="324" t="s">
        <v>1060</v>
      </c>
      <c r="B480" s="419">
        <v>160317</v>
      </c>
      <c r="C480" s="408" t="s">
        <v>689</v>
      </c>
      <c r="D480" s="327" t="s">
        <v>1156</v>
      </c>
      <c r="E480" s="328" t="s">
        <v>51</v>
      </c>
      <c r="F480" s="329">
        <v>33.369999999999997</v>
      </c>
      <c r="G480" s="330">
        <v>70.900000000000006</v>
      </c>
      <c r="H480" s="331">
        <v>0</v>
      </c>
      <c r="I480" s="332">
        <v>0</v>
      </c>
      <c r="J480" s="331">
        <f t="shared" si="62"/>
        <v>70.900000000000006</v>
      </c>
      <c r="K480" s="329">
        <f t="shared" si="63"/>
        <v>2365.933</v>
      </c>
      <c r="L480" s="298">
        <f t="shared" si="64"/>
        <v>0</v>
      </c>
      <c r="M480" s="298">
        <f t="shared" si="61"/>
        <v>0</v>
      </c>
      <c r="N480" s="603">
        <f t="shared" si="65"/>
        <v>2365.933</v>
      </c>
      <c r="O480" s="330"/>
      <c r="P480" s="333"/>
      <c r="Q480" s="330"/>
      <c r="R480" s="333"/>
    </row>
    <row r="481" spans="1:18" ht="30">
      <c r="A481" s="324" t="s">
        <v>1060</v>
      </c>
      <c r="B481" s="419">
        <v>160334</v>
      </c>
      <c r="C481" s="408" t="s">
        <v>690</v>
      </c>
      <c r="D481" s="348" t="s">
        <v>378</v>
      </c>
      <c r="E481" s="328" t="s">
        <v>59</v>
      </c>
      <c r="F481" s="329">
        <v>29.65</v>
      </c>
      <c r="G481" s="330">
        <v>2</v>
      </c>
      <c r="H481" s="331">
        <v>0</v>
      </c>
      <c r="I481" s="332">
        <v>0</v>
      </c>
      <c r="J481" s="331">
        <f t="shared" si="62"/>
        <v>2</v>
      </c>
      <c r="K481" s="329">
        <f t="shared" si="63"/>
        <v>59.3</v>
      </c>
      <c r="L481" s="298">
        <f t="shared" si="64"/>
        <v>0</v>
      </c>
      <c r="M481" s="298">
        <f t="shared" si="61"/>
        <v>0</v>
      </c>
      <c r="N481" s="603">
        <f t="shared" si="65"/>
        <v>59.3</v>
      </c>
      <c r="O481" s="330"/>
      <c r="P481" s="333"/>
      <c r="Q481" s="330"/>
      <c r="R481" s="333"/>
    </row>
    <row r="482" spans="1:18" s="312" customFormat="1">
      <c r="A482" s="392"/>
      <c r="B482" s="393"/>
      <c r="C482" s="394" t="s">
        <v>691</v>
      </c>
      <c r="D482" s="395" t="s">
        <v>1157</v>
      </c>
      <c r="E482" s="396"/>
      <c r="F482" s="397"/>
      <c r="G482" s="398"/>
      <c r="H482" s="427"/>
      <c r="I482" s="428"/>
      <c r="J482" s="427"/>
      <c r="K482" s="407"/>
      <c r="L482" s="298"/>
      <c r="M482" s="298"/>
      <c r="N482" s="603"/>
      <c r="O482" s="398"/>
      <c r="P482" s="402"/>
      <c r="Q482" s="398"/>
      <c r="R482" s="402"/>
    </row>
    <row r="483" spans="1:18" s="345" customFormat="1">
      <c r="A483" s="334"/>
      <c r="B483" s="335"/>
      <c r="C483" s="336" t="s">
        <v>692</v>
      </c>
      <c r="D483" s="337" t="s">
        <v>1157</v>
      </c>
      <c r="E483" s="338"/>
      <c r="F483" s="339"/>
      <c r="G483" s="340"/>
      <c r="H483" s="424"/>
      <c r="I483" s="425"/>
      <c r="J483" s="424"/>
      <c r="K483" s="343"/>
      <c r="L483" s="298"/>
      <c r="M483" s="298"/>
      <c r="N483" s="603"/>
      <c r="O483" s="340"/>
      <c r="P483" s="344"/>
      <c r="Q483" s="340"/>
      <c r="R483" s="344"/>
    </row>
    <row r="484" spans="1:18" ht="30">
      <c r="A484" s="324" t="s">
        <v>1060</v>
      </c>
      <c r="B484" s="419">
        <v>160612</v>
      </c>
      <c r="C484" s="408" t="s">
        <v>693</v>
      </c>
      <c r="D484" s="348" t="s">
        <v>387</v>
      </c>
      <c r="E484" s="328" t="s">
        <v>59</v>
      </c>
      <c r="F484" s="329">
        <v>29.96</v>
      </c>
      <c r="G484" s="330">
        <v>2</v>
      </c>
      <c r="H484" s="331">
        <v>0</v>
      </c>
      <c r="I484" s="332">
        <v>0</v>
      </c>
      <c r="J484" s="331">
        <f t="shared" si="62"/>
        <v>2</v>
      </c>
      <c r="K484" s="329">
        <f t="shared" si="63"/>
        <v>59.92</v>
      </c>
      <c r="L484" s="298">
        <f t="shared" si="64"/>
        <v>0</v>
      </c>
      <c r="M484" s="298">
        <f t="shared" si="61"/>
        <v>0</v>
      </c>
      <c r="N484" s="603">
        <f t="shared" si="65"/>
        <v>59.92</v>
      </c>
      <c r="O484" s="330"/>
      <c r="P484" s="333"/>
      <c r="Q484" s="330"/>
      <c r="R484" s="333"/>
    </row>
    <row r="485" spans="1:18" ht="45">
      <c r="A485" s="346" t="s">
        <v>1060</v>
      </c>
      <c r="B485" s="426">
        <v>160608</v>
      </c>
      <c r="C485" s="328" t="s">
        <v>694</v>
      </c>
      <c r="D485" s="348" t="s">
        <v>545</v>
      </c>
      <c r="E485" s="328" t="s">
        <v>59</v>
      </c>
      <c r="F485" s="329">
        <v>320.60000000000002</v>
      </c>
      <c r="G485" s="330">
        <v>3</v>
      </c>
      <c r="H485" s="331">
        <v>0</v>
      </c>
      <c r="I485" s="332">
        <v>0</v>
      </c>
      <c r="J485" s="331">
        <f t="shared" si="62"/>
        <v>3</v>
      </c>
      <c r="K485" s="329">
        <f t="shared" si="63"/>
        <v>961.80000000000007</v>
      </c>
      <c r="L485" s="298">
        <f t="shared" si="64"/>
        <v>0</v>
      </c>
      <c r="M485" s="298">
        <f t="shared" si="61"/>
        <v>0</v>
      </c>
      <c r="N485" s="603">
        <f t="shared" si="65"/>
        <v>961.80000000000007</v>
      </c>
      <c r="O485" s="330"/>
      <c r="P485" s="333"/>
      <c r="Q485" s="330"/>
      <c r="R485" s="333"/>
    </row>
    <row r="486" spans="1:18" ht="30">
      <c r="A486" s="324" t="s">
        <v>1060</v>
      </c>
      <c r="B486" s="419">
        <v>160613</v>
      </c>
      <c r="C486" s="408" t="s">
        <v>695</v>
      </c>
      <c r="D486" s="348" t="s">
        <v>389</v>
      </c>
      <c r="E486" s="328" t="s">
        <v>59</v>
      </c>
      <c r="F486" s="329">
        <v>197.45</v>
      </c>
      <c r="G486" s="330">
        <v>4</v>
      </c>
      <c r="H486" s="331">
        <v>0</v>
      </c>
      <c r="I486" s="332">
        <v>0</v>
      </c>
      <c r="J486" s="331">
        <f t="shared" si="62"/>
        <v>4</v>
      </c>
      <c r="K486" s="329">
        <f t="shared" si="63"/>
        <v>789.8</v>
      </c>
      <c r="L486" s="298">
        <f t="shared" si="64"/>
        <v>0</v>
      </c>
      <c r="M486" s="298">
        <f t="shared" si="61"/>
        <v>0</v>
      </c>
      <c r="N486" s="603">
        <f t="shared" si="65"/>
        <v>789.8</v>
      </c>
      <c r="O486" s="330"/>
      <c r="P486" s="333"/>
      <c r="Q486" s="330"/>
      <c r="R486" s="333"/>
    </row>
    <row r="487" spans="1:18" ht="30">
      <c r="A487" s="346" t="s">
        <v>1060</v>
      </c>
      <c r="B487" s="426">
        <v>160607</v>
      </c>
      <c r="C487" s="328" t="s">
        <v>696</v>
      </c>
      <c r="D487" s="327" t="s">
        <v>1159</v>
      </c>
      <c r="E487" s="328" t="s">
        <v>59</v>
      </c>
      <c r="F487" s="329">
        <v>178.48</v>
      </c>
      <c r="G487" s="330">
        <v>3</v>
      </c>
      <c r="H487" s="331">
        <v>0</v>
      </c>
      <c r="I487" s="332">
        <v>0</v>
      </c>
      <c r="J487" s="331">
        <f t="shared" si="62"/>
        <v>3</v>
      </c>
      <c r="K487" s="329">
        <f t="shared" si="63"/>
        <v>535.43999999999994</v>
      </c>
      <c r="L487" s="298">
        <f t="shared" si="64"/>
        <v>0</v>
      </c>
      <c r="M487" s="298">
        <f t="shared" si="61"/>
        <v>0</v>
      </c>
      <c r="N487" s="603">
        <f t="shared" si="65"/>
        <v>535.43999999999994</v>
      </c>
      <c r="O487" s="330"/>
      <c r="P487" s="333"/>
      <c r="Q487" s="330"/>
      <c r="R487" s="333"/>
    </row>
    <row r="488" spans="1:18" ht="45">
      <c r="A488" s="346" t="s">
        <v>1060</v>
      </c>
      <c r="B488" s="426">
        <v>190605</v>
      </c>
      <c r="C488" s="328" t="s">
        <v>697</v>
      </c>
      <c r="D488" s="327" t="s">
        <v>1195</v>
      </c>
      <c r="E488" s="328" t="s">
        <v>57</v>
      </c>
      <c r="F488" s="329">
        <v>50.18</v>
      </c>
      <c r="G488" s="330">
        <v>1.8</v>
      </c>
      <c r="H488" s="331">
        <v>0</v>
      </c>
      <c r="I488" s="332">
        <v>0</v>
      </c>
      <c r="J488" s="331">
        <f t="shared" si="62"/>
        <v>1.8</v>
      </c>
      <c r="K488" s="329">
        <f t="shared" si="63"/>
        <v>90.323999999999998</v>
      </c>
      <c r="L488" s="298">
        <f t="shared" si="64"/>
        <v>0</v>
      </c>
      <c r="M488" s="298">
        <f t="shared" si="61"/>
        <v>0</v>
      </c>
      <c r="N488" s="603">
        <f t="shared" si="65"/>
        <v>90.323999999999998</v>
      </c>
      <c r="O488" s="330"/>
      <c r="P488" s="333"/>
      <c r="Q488" s="330"/>
      <c r="R488" s="333"/>
    </row>
    <row r="489" spans="1:18" s="403" customFormat="1">
      <c r="C489" s="403">
        <v>5</v>
      </c>
      <c r="D489" s="403" t="s">
        <v>1218</v>
      </c>
      <c r="F489" s="404"/>
      <c r="G489" s="405"/>
      <c r="I489" s="405"/>
      <c r="K489" s="404"/>
      <c r="L489" s="596"/>
      <c r="M489" s="599"/>
      <c r="N489" s="606"/>
      <c r="O489" s="405"/>
      <c r="P489" s="406"/>
      <c r="Q489" s="405"/>
      <c r="R489" s="406"/>
    </row>
    <row r="490" spans="1:18" s="312" customFormat="1">
      <c r="A490" s="392"/>
      <c r="B490" s="393"/>
      <c r="C490" s="394" t="s">
        <v>28</v>
      </c>
      <c r="D490" s="395" t="s">
        <v>1054</v>
      </c>
      <c r="E490" s="396"/>
      <c r="F490" s="397"/>
      <c r="G490" s="398"/>
      <c r="H490" s="427"/>
      <c r="I490" s="428"/>
      <c r="J490" s="427"/>
      <c r="K490" s="407"/>
      <c r="L490" s="298"/>
      <c r="M490" s="298"/>
      <c r="N490" s="603"/>
      <c r="O490" s="398"/>
      <c r="P490" s="402"/>
      <c r="Q490" s="398"/>
      <c r="R490" s="402"/>
    </row>
    <row r="491" spans="1:18" s="345" customFormat="1">
      <c r="A491" s="334"/>
      <c r="B491" s="335"/>
      <c r="C491" s="336" t="s">
        <v>698</v>
      </c>
      <c r="D491" s="337" t="s">
        <v>1084</v>
      </c>
      <c r="E491" s="338"/>
      <c r="F491" s="339"/>
      <c r="G491" s="340"/>
      <c r="H491" s="424"/>
      <c r="I491" s="425"/>
      <c r="J491" s="424"/>
      <c r="K491" s="343"/>
      <c r="L491" s="298"/>
      <c r="M491" s="298"/>
      <c r="N491" s="603"/>
      <c r="O491" s="340"/>
      <c r="P491" s="344"/>
      <c r="Q491" s="340"/>
      <c r="R491" s="344"/>
    </row>
    <row r="492" spans="1:18">
      <c r="A492" s="324" t="s">
        <v>1060</v>
      </c>
      <c r="B492" s="349">
        <v>20305</v>
      </c>
      <c r="C492" s="408" t="s">
        <v>699</v>
      </c>
      <c r="D492" s="327" t="s">
        <v>1085</v>
      </c>
      <c r="E492" s="328" t="s">
        <v>57</v>
      </c>
      <c r="F492" s="329">
        <v>222.96</v>
      </c>
      <c r="G492" s="330">
        <v>8</v>
      </c>
      <c r="H492" s="331">
        <v>0</v>
      </c>
      <c r="I492" s="332">
        <v>0</v>
      </c>
      <c r="J492" s="331">
        <f t="shared" si="62"/>
        <v>8</v>
      </c>
      <c r="K492" s="329">
        <f t="shared" si="63"/>
        <v>1783.68</v>
      </c>
      <c r="L492" s="298">
        <f t="shared" si="64"/>
        <v>0</v>
      </c>
      <c r="M492" s="298">
        <f t="shared" si="61"/>
        <v>0</v>
      </c>
      <c r="N492" s="603">
        <f t="shared" si="65"/>
        <v>1783.68</v>
      </c>
      <c r="O492" s="330"/>
      <c r="P492" s="333"/>
      <c r="Q492" s="330"/>
      <c r="R492" s="333"/>
    </row>
    <row r="493" spans="1:18" s="345" customFormat="1">
      <c r="A493" s="334"/>
      <c r="B493" s="335"/>
      <c r="C493" s="336" t="s">
        <v>700</v>
      </c>
      <c r="D493" s="337" t="s">
        <v>1086</v>
      </c>
      <c r="E493" s="338"/>
      <c r="F493" s="339"/>
      <c r="G493" s="340"/>
      <c r="H493" s="424"/>
      <c r="I493" s="425"/>
      <c r="J493" s="424"/>
      <c r="K493" s="343"/>
      <c r="L493" s="298"/>
      <c r="M493" s="298"/>
      <c r="N493" s="603"/>
      <c r="O493" s="340"/>
      <c r="P493" s="344"/>
      <c r="Q493" s="340"/>
      <c r="R493" s="344"/>
    </row>
    <row r="494" spans="1:18">
      <c r="A494" s="324" t="s">
        <v>1060</v>
      </c>
      <c r="B494" s="349">
        <v>10402</v>
      </c>
      <c r="C494" s="408" t="s">
        <v>701</v>
      </c>
      <c r="D494" s="327" t="s">
        <v>1087</v>
      </c>
      <c r="E494" s="328" t="s">
        <v>57</v>
      </c>
      <c r="F494" s="329">
        <v>3.74</v>
      </c>
      <c r="G494" s="330">
        <v>180.88</v>
      </c>
      <c r="H494" s="331">
        <v>0</v>
      </c>
      <c r="I494" s="332">
        <v>0</v>
      </c>
      <c r="J494" s="331">
        <f t="shared" si="62"/>
        <v>180.88</v>
      </c>
      <c r="K494" s="329">
        <f t="shared" si="63"/>
        <v>676.49120000000005</v>
      </c>
      <c r="L494" s="298">
        <f t="shared" si="64"/>
        <v>0</v>
      </c>
      <c r="M494" s="298">
        <f t="shared" si="61"/>
        <v>0</v>
      </c>
      <c r="N494" s="603">
        <f t="shared" si="65"/>
        <v>676.49120000000005</v>
      </c>
      <c r="O494" s="330"/>
      <c r="P494" s="333"/>
      <c r="Q494" s="330"/>
      <c r="R494" s="333"/>
    </row>
    <row r="495" spans="1:18">
      <c r="A495" s="324" t="s">
        <v>1060</v>
      </c>
      <c r="B495" s="349">
        <v>10404</v>
      </c>
      <c r="C495" s="408" t="s">
        <v>702</v>
      </c>
      <c r="D495" s="327" t="s">
        <v>1090</v>
      </c>
      <c r="E495" s="328" t="s">
        <v>59</v>
      </c>
      <c r="F495" s="329">
        <v>111.49</v>
      </c>
      <c r="G495" s="330">
        <v>1</v>
      </c>
      <c r="H495" s="331">
        <v>0</v>
      </c>
      <c r="I495" s="332">
        <v>0</v>
      </c>
      <c r="J495" s="331">
        <f t="shared" si="62"/>
        <v>1</v>
      </c>
      <c r="K495" s="329">
        <f t="shared" si="63"/>
        <v>111.49</v>
      </c>
      <c r="L495" s="298">
        <f t="shared" si="64"/>
        <v>0</v>
      </c>
      <c r="M495" s="298">
        <f t="shared" si="61"/>
        <v>0</v>
      </c>
      <c r="N495" s="603">
        <f t="shared" si="65"/>
        <v>111.49</v>
      </c>
      <c r="O495" s="330"/>
      <c r="P495" s="333"/>
      <c r="Q495" s="330"/>
      <c r="R495" s="333"/>
    </row>
    <row r="496" spans="1:18" ht="45">
      <c r="A496" s="346" t="s">
        <v>1060</v>
      </c>
      <c r="B496" s="347">
        <v>30304</v>
      </c>
      <c r="C496" s="328" t="s">
        <v>703</v>
      </c>
      <c r="D496" s="348" t="s">
        <v>109</v>
      </c>
      <c r="E496" s="328" t="s">
        <v>58</v>
      </c>
      <c r="F496" s="329">
        <v>56.45</v>
      </c>
      <c r="G496" s="330">
        <v>27.13</v>
      </c>
      <c r="H496" s="331">
        <v>0</v>
      </c>
      <c r="I496" s="332">
        <v>0</v>
      </c>
      <c r="J496" s="331">
        <f t="shared" si="62"/>
        <v>27.13</v>
      </c>
      <c r="K496" s="329">
        <f t="shared" si="63"/>
        <v>1531.4884999999999</v>
      </c>
      <c r="L496" s="298">
        <f t="shared" si="64"/>
        <v>0</v>
      </c>
      <c r="M496" s="298">
        <f t="shared" si="61"/>
        <v>0</v>
      </c>
      <c r="N496" s="603">
        <f t="shared" si="65"/>
        <v>1531.4884999999999</v>
      </c>
      <c r="O496" s="330"/>
      <c r="P496" s="333"/>
      <c r="Q496" s="330"/>
      <c r="R496" s="333"/>
    </row>
    <row r="497" spans="1:18" s="312" customFormat="1">
      <c r="A497" s="392"/>
      <c r="B497" s="393"/>
      <c r="C497" s="394" t="s">
        <v>704</v>
      </c>
      <c r="D497" s="409" t="s">
        <v>56</v>
      </c>
      <c r="E497" s="396"/>
      <c r="F497" s="397"/>
      <c r="G497" s="398"/>
      <c r="H497" s="427"/>
      <c r="I497" s="428"/>
      <c r="J497" s="427"/>
      <c r="K497" s="407"/>
      <c r="L497" s="298"/>
      <c r="M497" s="298"/>
      <c r="N497" s="603"/>
      <c r="O497" s="398"/>
      <c r="P497" s="402"/>
      <c r="Q497" s="398"/>
      <c r="R497" s="402"/>
    </row>
    <row r="498" spans="1:18" s="345" customFormat="1">
      <c r="A498" s="334"/>
      <c r="B498" s="335"/>
      <c r="C498" s="336" t="s">
        <v>705</v>
      </c>
      <c r="D498" s="337" t="s">
        <v>1088</v>
      </c>
      <c r="E498" s="338"/>
      <c r="F498" s="339"/>
      <c r="G498" s="340"/>
      <c r="H498" s="424"/>
      <c r="I498" s="425"/>
      <c r="J498" s="424"/>
      <c r="K498" s="343"/>
      <c r="L498" s="298"/>
      <c r="M498" s="298"/>
      <c r="N498" s="603"/>
      <c r="O498" s="340"/>
      <c r="P498" s="344"/>
      <c r="Q498" s="340"/>
      <c r="R498" s="344"/>
    </row>
    <row r="499" spans="1:18" s="514" customFormat="1">
      <c r="A499" s="510" t="s">
        <v>1060</v>
      </c>
      <c r="B499" s="511">
        <v>30103</v>
      </c>
      <c r="C499" s="512" t="s">
        <v>706</v>
      </c>
      <c r="D499" s="503" t="s">
        <v>116</v>
      </c>
      <c r="E499" s="502" t="s">
        <v>58</v>
      </c>
      <c r="F499" s="504">
        <v>9.81</v>
      </c>
      <c r="G499" s="505">
        <v>0.88</v>
      </c>
      <c r="H499" s="513">
        <f>366-G499</f>
        <v>365.12</v>
      </c>
      <c r="I499" s="507">
        <v>0</v>
      </c>
      <c r="J499" s="506">
        <f t="shared" si="62"/>
        <v>366</v>
      </c>
      <c r="K499" s="504">
        <f t="shared" si="63"/>
        <v>8.6328000000000014</v>
      </c>
      <c r="L499" s="298">
        <f t="shared" si="64"/>
        <v>3581.8272000000002</v>
      </c>
      <c r="M499" s="298">
        <f t="shared" si="61"/>
        <v>0</v>
      </c>
      <c r="N499" s="603">
        <f t="shared" si="65"/>
        <v>3590.46</v>
      </c>
      <c r="O499" s="505">
        <f>H499</f>
        <v>365.12</v>
      </c>
      <c r="P499" s="508">
        <f>O499*F499</f>
        <v>3581.8272000000002</v>
      </c>
      <c r="Q499" s="505"/>
      <c r="R499" s="508">
        <f>Q499*H499</f>
        <v>0</v>
      </c>
    </row>
    <row r="500" spans="1:18" ht="30">
      <c r="A500" s="324" t="s">
        <v>1060</v>
      </c>
      <c r="B500" s="349">
        <v>30210</v>
      </c>
      <c r="C500" s="408" t="s">
        <v>708</v>
      </c>
      <c r="D500" s="348" t="s">
        <v>117</v>
      </c>
      <c r="E500" s="328" t="s">
        <v>58</v>
      </c>
      <c r="F500" s="329">
        <v>25.99</v>
      </c>
      <c r="G500" s="330">
        <v>0.88</v>
      </c>
      <c r="H500" s="331">
        <v>0</v>
      </c>
      <c r="I500" s="332">
        <v>0</v>
      </c>
      <c r="J500" s="331">
        <f t="shared" si="62"/>
        <v>0.88</v>
      </c>
      <c r="K500" s="329">
        <f t="shared" si="63"/>
        <v>22.871199999999998</v>
      </c>
      <c r="L500" s="298">
        <f t="shared" si="64"/>
        <v>0</v>
      </c>
      <c r="M500" s="298">
        <f t="shared" si="61"/>
        <v>0</v>
      </c>
      <c r="N500" s="603">
        <f t="shared" si="65"/>
        <v>22.871199999999998</v>
      </c>
      <c r="O500" s="330"/>
      <c r="P500" s="333"/>
      <c r="Q500" s="330"/>
      <c r="R500" s="333"/>
    </row>
    <row r="501" spans="1:18" ht="30">
      <c r="A501" s="324" t="s">
        <v>1060</v>
      </c>
      <c r="B501" s="349">
        <v>30208</v>
      </c>
      <c r="C501" s="408" t="s">
        <v>1219</v>
      </c>
      <c r="D501" s="348" t="s">
        <v>709</v>
      </c>
      <c r="E501" s="328" t="s">
        <v>58</v>
      </c>
      <c r="F501" s="329">
        <v>115.66</v>
      </c>
      <c r="G501" s="330">
        <v>80.989999999999995</v>
      </c>
      <c r="H501" s="331">
        <v>0</v>
      </c>
      <c r="I501" s="332">
        <v>0</v>
      </c>
      <c r="J501" s="331">
        <f t="shared" si="62"/>
        <v>80.989999999999995</v>
      </c>
      <c r="K501" s="329">
        <f t="shared" si="63"/>
        <v>9367.3033999999989</v>
      </c>
      <c r="L501" s="298">
        <f t="shared" si="64"/>
        <v>0</v>
      </c>
      <c r="M501" s="298">
        <f t="shared" si="61"/>
        <v>0</v>
      </c>
      <c r="N501" s="603">
        <f t="shared" si="65"/>
        <v>9367.3033999999989</v>
      </c>
      <c r="O501" s="330"/>
      <c r="P501" s="333"/>
      <c r="Q501" s="330"/>
      <c r="R501" s="333"/>
    </row>
    <row r="502" spans="1:18" s="312" customFormat="1">
      <c r="A502" s="392"/>
      <c r="B502" s="393"/>
      <c r="C502" s="394" t="s">
        <v>710</v>
      </c>
      <c r="D502" s="395" t="s">
        <v>1091</v>
      </c>
      <c r="E502" s="396"/>
      <c r="F502" s="397"/>
      <c r="G502" s="398"/>
      <c r="H502" s="399"/>
      <c r="I502" s="400"/>
      <c r="J502" s="399"/>
      <c r="K502" s="407"/>
      <c r="L502" s="298"/>
      <c r="M502" s="298"/>
      <c r="N502" s="603"/>
      <c r="O502" s="398"/>
      <c r="P502" s="402"/>
      <c r="Q502" s="398"/>
      <c r="R502" s="402"/>
    </row>
    <row r="503" spans="1:18" s="345" customFormat="1">
      <c r="A503" s="334"/>
      <c r="B503" s="335"/>
      <c r="C503" s="336" t="s">
        <v>711</v>
      </c>
      <c r="D503" s="337" t="s">
        <v>1081</v>
      </c>
      <c r="E503" s="338"/>
      <c r="F503" s="339"/>
      <c r="G503" s="340"/>
      <c r="H503" s="341"/>
      <c r="I503" s="342"/>
      <c r="J503" s="341"/>
      <c r="K503" s="343"/>
      <c r="L503" s="298"/>
      <c r="M503" s="298"/>
      <c r="N503" s="603"/>
      <c r="O503" s="340"/>
      <c r="P503" s="344"/>
      <c r="Q503" s="340"/>
      <c r="R503" s="344"/>
    </row>
    <row r="504" spans="1:18">
      <c r="A504" s="324" t="s">
        <v>1060</v>
      </c>
      <c r="B504" s="349">
        <v>10501</v>
      </c>
      <c r="C504" s="408" t="s">
        <v>712</v>
      </c>
      <c r="D504" s="327" t="s">
        <v>1092</v>
      </c>
      <c r="E504" s="328" t="s">
        <v>57</v>
      </c>
      <c r="F504" s="329">
        <v>7.69</v>
      </c>
      <c r="G504" s="330">
        <v>180.88</v>
      </c>
      <c r="H504" s="331">
        <v>0</v>
      </c>
      <c r="I504" s="332">
        <v>0</v>
      </c>
      <c r="J504" s="331">
        <f t="shared" si="62"/>
        <v>180.88</v>
      </c>
      <c r="K504" s="329">
        <f t="shared" si="63"/>
        <v>1390.9672</v>
      </c>
      <c r="L504" s="298">
        <f t="shared" si="64"/>
        <v>0</v>
      </c>
      <c r="M504" s="298">
        <f t="shared" si="61"/>
        <v>0</v>
      </c>
      <c r="N504" s="603">
        <f t="shared" si="65"/>
        <v>1390.9672</v>
      </c>
      <c r="O504" s="330"/>
      <c r="P504" s="333"/>
      <c r="Q504" s="330"/>
      <c r="R504" s="333"/>
    </row>
    <row r="505" spans="1:18" s="416" customFormat="1">
      <c r="A505" s="410" t="s">
        <v>1060</v>
      </c>
      <c r="B505" s="411" t="s">
        <v>1093</v>
      </c>
      <c r="C505" s="412" t="s">
        <v>1220</v>
      </c>
      <c r="D505" s="413" t="s">
        <v>1095</v>
      </c>
      <c r="E505" s="412" t="s">
        <v>51</v>
      </c>
      <c r="F505" s="367">
        <v>8.0299999999999994</v>
      </c>
      <c r="G505" s="414">
        <v>0</v>
      </c>
      <c r="H505" s="371">
        <v>114</v>
      </c>
      <c r="I505" s="370">
        <v>0</v>
      </c>
      <c r="J505" s="371">
        <f t="shared" si="62"/>
        <v>114</v>
      </c>
      <c r="K505" s="367">
        <f>F505*G505</f>
        <v>0</v>
      </c>
      <c r="L505" s="298">
        <f t="shared" si="64"/>
        <v>915.42</v>
      </c>
      <c r="M505" s="298">
        <f t="shared" si="61"/>
        <v>0</v>
      </c>
      <c r="N505" s="607">
        <f t="shared" si="65"/>
        <v>915.42</v>
      </c>
      <c r="O505" s="414"/>
      <c r="P505" s="415"/>
      <c r="Q505" s="414"/>
      <c r="R505" s="415"/>
    </row>
    <row r="506" spans="1:18" s="345" customFormat="1">
      <c r="A506" s="334"/>
      <c r="B506" s="335"/>
      <c r="C506" s="336" t="s">
        <v>713</v>
      </c>
      <c r="D506" s="417" t="s">
        <v>124</v>
      </c>
      <c r="E506" s="338"/>
      <c r="F506" s="339"/>
      <c r="G506" s="340"/>
      <c r="H506" s="341"/>
      <c r="I506" s="342"/>
      <c r="J506" s="341"/>
      <c r="K506" s="343"/>
      <c r="L506" s="298"/>
      <c r="M506" s="298"/>
      <c r="N506" s="603"/>
      <c r="O506" s="340"/>
      <c r="P506" s="344"/>
      <c r="Q506" s="340"/>
      <c r="R506" s="344"/>
    </row>
    <row r="507" spans="1:18" s="515" customFormat="1" ht="30">
      <c r="A507" s="346" t="s">
        <v>1096</v>
      </c>
      <c r="B507" s="420" t="s">
        <v>136</v>
      </c>
      <c r="C507" s="328" t="s">
        <v>714</v>
      </c>
      <c r="D507" s="352" t="s">
        <v>141</v>
      </c>
      <c r="E507" s="328" t="s">
        <v>60</v>
      </c>
      <c r="F507" s="329">
        <v>462.96</v>
      </c>
      <c r="G507" s="330">
        <v>85</v>
      </c>
      <c r="H507" s="331">
        <v>0</v>
      </c>
      <c r="I507" s="332">
        <v>0</v>
      </c>
      <c r="J507" s="331">
        <f t="shared" si="62"/>
        <v>85</v>
      </c>
      <c r="K507" s="329">
        <f t="shared" si="63"/>
        <v>39351.599999999999</v>
      </c>
      <c r="L507" s="298">
        <f t="shared" si="64"/>
        <v>0</v>
      </c>
      <c r="M507" s="298">
        <f t="shared" si="61"/>
        <v>0</v>
      </c>
      <c r="N507" s="603">
        <f>J507*F507</f>
        <v>39351.599999999999</v>
      </c>
      <c r="O507" s="330"/>
      <c r="P507" s="333"/>
      <c r="Q507" s="330"/>
      <c r="R507" s="333"/>
    </row>
    <row r="508" spans="1:18" s="464" customFormat="1">
      <c r="A508" s="455" t="s">
        <v>1056</v>
      </c>
      <c r="B508" s="456" t="s">
        <v>137</v>
      </c>
      <c r="C508" s="472" t="s">
        <v>715</v>
      </c>
      <c r="D508" s="458" t="s">
        <v>142</v>
      </c>
      <c r="E508" s="457" t="s">
        <v>49</v>
      </c>
      <c r="F508" s="459">
        <v>596.34</v>
      </c>
      <c r="G508" s="460">
        <v>36.83</v>
      </c>
      <c r="H508" s="461"/>
      <c r="I508" s="462">
        <f>G508</f>
        <v>36.83</v>
      </c>
      <c r="J508" s="461">
        <f t="shared" si="62"/>
        <v>0</v>
      </c>
      <c r="K508" s="459">
        <f t="shared" si="63"/>
        <v>21963.2022</v>
      </c>
      <c r="L508" s="298">
        <f t="shared" si="64"/>
        <v>0</v>
      </c>
      <c r="M508" s="298">
        <f t="shared" si="61"/>
        <v>21963.2022</v>
      </c>
      <c r="N508" s="605">
        <f t="shared" si="65"/>
        <v>0</v>
      </c>
      <c r="O508" s="460"/>
      <c r="P508" s="463"/>
      <c r="Q508" s="460"/>
      <c r="R508" s="463"/>
    </row>
    <row r="509" spans="1:18" s="469" customFormat="1">
      <c r="A509" s="455" t="s">
        <v>1056</v>
      </c>
      <c r="B509" s="456" t="s">
        <v>138</v>
      </c>
      <c r="C509" s="472" t="s">
        <v>716</v>
      </c>
      <c r="D509" s="458" t="s">
        <v>143</v>
      </c>
      <c r="E509" s="457" t="s">
        <v>29</v>
      </c>
      <c r="F509" s="466">
        <v>4.82</v>
      </c>
      <c r="G509" s="467">
        <v>528</v>
      </c>
      <c r="H509" s="461">
        <v>0</v>
      </c>
      <c r="I509" s="462">
        <f t="shared" ref="I509:I510" si="66">G509</f>
        <v>528</v>
      </c>
      <c r="J509" s="461">
        <f t="shared" si="62"/>
        <v>0</v>
      </c>
      <c r="K509" s="466">
        <f t="shared" si="63"/>
        <v>2544.96</v>
      </c>
      <c r="L509" s="298">
        <f t="shared" si="64"/>
        <v>0</v>
      </c>
      <c r="M509" s="298">
        <f t="shared" si="61"/>
        <v>2544.96</v>
      </c>
      <c r="N509" s="603">
        <f t="shared" si="65"/>
        <v>0</v>
      </c>
      <c r="O509" s="467"/>
      <c r="P509" s="468"/>
      <c r="Q509" s="467"/>
      <c r="R509" s="468"/>
    </row>
    <row r="510" spans="1:18" s="469" customFormat="1" ht="30">
      <c r="A510" s="455" t="s">
        <v>1056</v>
      </c>
      <c r="B510" s="456" t="s">
        <v>139</v>
      </c>
      <c r="C510" s="472" t="s">
        <v>717</v>
      </c>
      <c r="D510" s="458" t="s">
        <v>144</v>
      </c>
      <c r="E510" s="457" t="s">
        <v>29</v>
      </c>
      <c r="F510" s="466">
        <v>6.12</v>
      </c>
      <c r="G510" s="467">
        <v>4554</v>
      </c>
      <c r="H510" s="461">
        <v>0</v>
      </c>
      <c r="I510" s="462">
        <f t="shared" si="66"/>
        <v>4554</v>
      </c>
      <c r="J510" s="461">
        <f t="shared" si="62"/>
        <v>0</v>
      </c>
      <c r="K510" s="466">
        <f t="shared" si="63"/>
        <v>27870.48</v>
      </c>
      <c r="L510" s="298">
        <f t="shared" si="64"/>
        <v>0</v>
      </c>
      <c r="M510" s="298">
        <f t="shared" si="61"/>
        <v>27870.48</v>
      </c>
      <c r="N510" s="603">
        <f t="shared" si="65"/>
        <v>0</v>
      </c>
      <c r="O510" s="467"/>
      <c r="P510" s="468"/>
      <c r="Q510" s="467"/>
      <c r="R510" s="468"/>
    </row>
    <row r="511" spans="1:18" s="469" customFormat="1">
      <c r="A511" s="455" t="s">
        <v>1060</v>
      </c>
      <c r="B511" s="456">
        <v>30101</v>
      </c>
      <c r="C511" s="472" t="s">
        <v>718</v>
      </c>
      <c r="D511" s="458" t="s">
        <v>145</v>
      </c>
      <c r="E511" s="457" t="s">
        <v>58</v>
      </c>
      <c r="F511" s="466">
        <v>48.58</v>
      </c>
      <c r="G511" s="467">
        <v>5.8</v>
      </c>
      <c r="H511" s="461"/>
      <c r="I511" s="462">
        <v>5.8</v>
      </c>
      <c r="J511" s="461">
        <f t="shared" si="62"/>
        <v>0</v>
      </c>
      <c r="K511" s="466">
        <f t="shared" si="63"/>
        <v>281.76399999999995</v>
      </c>
      <c r="L511" s="298">
        <f t="shared" si="64"/>
        <v>0</v>
      </c>
      <c r="M511" s="298">
        <f t="shared" si="61"/>
        <v>281.76399999999995</v>
      </c>
      <c r="N511" s="603">
        <f t="shared" si="65"/>
        <v>0</v>
      </c>
      <c r="O511" s="467"/>
      <c r="P511" s="468"/>
      <c r="Q511" s="467"/>
      <c r="R511" s="468"/>
    </row>
    <row r="512" spans="1:18" s="387" customFormat="1" ht="45">
      <c r="A512" s="375" t="s">
        <v>1060</v>
      </c>
      <c r="B512" s="376">
        <v>40339</v>
      </c>
      <c r="C512" s="377" t="s">
        <v>720</v>
      </c>
      <c r="D512" s="378" t="s">
        <v>184</v>
      </c>
      <c r="E512" s="379" t="s">
        <v>57</v>
      </c>
      <c r="F512" s="380">
        <v>91.04</v>
      </c>
      <c r="G512" s="381">
        <v>122.6</v>
      </c>
      <c r="H512" s="384">
        <f>878.97-G512</f>
        <v>756.37</v>
      </c>
      <c r="I512" s="383">
        <v>0</v>
      </c>
      <c r="J512" s="384">
        <f t="shared" si="62"/>
        <v>878.97</v>
      </c>
      <c r="K512" s="385">
        <f t="shared" si="63"/>
        <v>11161.504000000001</v>
      </c>
      <c r="L512" s="358">
        <f t="shared" si="64"/>
        <v>68859.924800000008</v>
      </c>
      <c r="M512" s="359">
        <f t="shared" si="61"/>
        <v>0</v>
      </c>
      <c r="N512" s="604">
        <f t="shared" si="65"/>
        <v>80021.428800000009</v>
      </c>
      <c r="O512" s="381">
        <v>219.42</v>
      </c>
      <c r="P512" s="386">
        <f>O512*F512</f>
        <v>19975.996800000001</v>
      </c>
      <c r="Q512" s="381"/>
      <c r="R512" s="386">
        <f>Q512*H512</f>
        <v>0</v>
      </c>
    </row>
    <row r="513" spans="1:18" s="387" customFormat="1" ht="30">
      <c r="A513" s="375" t="s">
        <v>1060</v>
      </c>
      <c r="B513" s="376">
        <v>40328</v>
      </c>
      <c r="C513" s="377" t="s">
        <v>721</v>
      </c>
      <c r="D513" s="378" t="s">
        <v>147</v>
      </c>
      <c r="E513" s="379" t="s">
        <v>29</v>
      </c>
      <c r="F513" s="380">
        <v>7.98</v>
      </c>
      <c r="G513" s="381">
        <v>584</v>
      </c>
      <c r="H513" s="384">
        <f>1282+4266+6915-G513</f>
        <v>11879</v>
      </c>
      <c r="I513" s="383">
        <v>0</v>
      </c>
      <c r="J513" s="384">
        <f t="shared" si="62"/>
        <v>12463</v>
      </c>
      <c r="K513" s="385">
        <f t="shared" si="63"/>
        <v>4660.3200000000006</v>
      </c>
      <c r="L513" s="358">
        <f t="shared" si="64"/>
        <v>94794.42</v>
      </c>
      <c r="M513" s="359">
        <f t="shared" si="61"/>
        <v>0</v>
      </c>
      <c r="N513" s="604">
        <f t="shared" si="65"/>
        <v>99454.74</v>
      </c>
      <c r="O513" s="381">
        <v>6915</v>
      </c>
      <c r="P513" s="386">
        <f>O513*F513</f>
        <v>55181.700000000004</v>
      </c>
      <c r="Q513" s="381"/>
      <c r="R513" s="386">
        <f>Q513*H513</f>
        <v>0</v>
      </c>
    </row>
    <row r="514" spans="1:18" s="464" customFormat="1" ht="30">
      <c r="A514" s="455" t="s">
        <v>1060</v>
      </c>
      <c r="B514" s="456">
        <v>40245</v>
      </c>
      <c r="C514" s="516" t="s">
        <v>722</v>
      </c>
      <c r="D514" s="458" t="s">
        <v>148</v>
      </c>
      <c r="E514" s="457" t="s">
        <v>29</v>
      </c>
      <c r="F514" s="459">
        <v>8.41</v>
      </c>
      <c r="G514" s="460">
        <v>144</v>
      </c>
      <c r="H514" s="461">
        <v>0</v>
      </c>
      <c r="I514" s="462">
        <f>G514</f>
        <v>144</v>
      </c>
      <c r="J514" s="461">
        <f t="shared" si="62"/>
        <v>0</v>
      </c>
      <c r="K514" s="459">
        <f t="shared" si="63"/>
        <v>1211.04</v>
      </c>
      <c r="L514" s="298">
        <f t="shared" si="64"/>
        <v>0</v>
      </c>
      <c r="M514" s="298">
        <f t="shared" si="61"/>
        <v>1211.04</v>
      </c>
      <c r="N514" s="605">
        <f t="shared" si="65"/>
        <v>0</v>
      </c>
      <c r="O514" s="460"/>
      <c r="P514" s="463"/>
      <c r="Q514" s="460"/>
      <c r="R514" s="463"/>
    </row>
    <row r="515" spans="1:18" s="464" customFormat="1" ht="30">
      <c r="A515" s="455" t="s">
        <v>1060</v>
      </c>
      <c r="B515" s="456">
        <v>40246</v>
      </c>
      <c r="C515" s="516" t="s">
        <v>723</v>
      </c>
      <c r="D515" s="458" t="s">
        <v>149</v>
      </c>
      <c r="E515" s="457" t="s">
        <v>29</v>
      </c>
      <c r="F515" s="459">
        <v>8.08</v>
      </c>
      <c r="G515" s="460">
        <v>37</v>
      </c>
      <c r="H515" s="461">
        <v>0</v>
      </c>
      <c r="I515" s="462">
        <f>G515</f>
        <v>37</v>
      </c>
      <c r="J515" s="461">
        <f t="shared" si="62"/>
        <v>0</v>
      </c>
      <c r="K515" s="459">
        <f t="shared" si="63"/>
        <v>298.95999999999998</v>
      </c>
      <c r="L515" s="298">
        <f t="shared" si="64"/>
        <v>0</v>
      </c>
      <c r="M515" s="298">
        <f t="shared" si="61"/>
        <v>298.95999999999998</v>
      </c>
      <c r="N515" s="605">
        <f t="shared" si="65"/>
        <v>0</v>
      </c>
      <c r="O515" s="460"/>
      <c r="P515" s="463"/>
      <c r="Q515" s="460"/>
      <c r="R515" s="463"/>
    </row>
    <row r="516" spans="1:18" s="445" customFormat="1">
      <c r="A516" s="435" t="s">
        <v>1060</v>
      </c>
      <c r="B516" s="448">
        <v>130110</v>
      </c>
      <c r="C516" s="439" t="s">
        <v>724</v>
      </c>
      <c r="D516" s="438" t="s">
        <v>1168</v>
      </c>
      <c r="E516" s="517" t="str">
        <f>'[34]COMPOSIÇÕES ADITIVO'!H640</f>
        <v>m3</v>
      </c>
      <c r="F516" s="440">
        <f>'[34]COMPOSIÇÕES ADITIVO'!I674</f>
        <v>51.84</v>
      </c>
      <c r="G516" s="449">
        <v>0</v>
      </c>
      <c r="H516" s="442">
        <f>226.42</f>
        <v>226.42</v>
      </c>
      <c r="I516" s="443">
        <v>0</v>
      </c>
      <c r="J516" s="442">
        <f t="shared" si="62"/>
        <v>226.42</v>
      </c>
      <c r="K516" s="440">
        <f>F516*G516</f>
        <v>0</v>
      </c>
      <c r="L516" s="298">
        <f t="shared" si="64"/>
        <v>11737.612800000001</v>
      </c>
      <c r="M516" s="298">
        <f t="shared" si="61"/>
        <v>0</v>
      </c>
      <c r="N516" s="605">
        <f t="shared" si="65"/>
        <v>11737.612800000001</v>
      </c>
      <c r="O516" s="449"/>
      <c r="P516" s="444"/>
      <c r="Q516" s="449"/>
      <c r="R516" s="444"/>
    </row>
    <row r="517" spans="1:18" s="387" customFormat="1" ht="45">
      <c r="A517" s="375" t="s">
        <v>1056</v>
      </c>
      <c r="B517" s="376" t="s">
        <v>140</v>
      </c>
      <c r="C517" s="377" t="s">
        <v>723</v>
      </c>
      <c r="D517" s="378" t="s">
        <v>150</v>
      </c>
      <c r="E517" s="379" t="s">
        <v>58</v>
      </c>
      <c r="F517" s="380">
        <v>486.08</v>
      </c>
      <c r="G517" s="381">
        <v>16.8</v>
      </c>
      <c r="H517" s="384">
        <f>136.65-G517</f>
        <v>119.85000000000001</v>
      </c>
      <c r="I517" s="383">
        <v>0</v>
      </c>
      <c r="J517" s="384">
        <f t="shared" si="62"/>
        <v>136.65</v>
      </c>
      <c r="K517" s="385">
        <f t="shared" si="63"/>
        <v>8166.1440000000002</v>
      </c>
      <c r="L517" s="358">
        <f t="shared" si="64"/>
        <v>58256.688000000002</v>
      </c>
      <c r="M517" s="359">
        <f t="shared" si="61"/>
        <v>0</v>
      </c>
      <c r="N517" s="604">
        <f t="shared" si="65"/>
        <v>66422.831999999995</v>
      </c>
      <c r="O517" s="381"/>
      <c r="P517" s="386"/>
      <c r="Q517" s="381"/>
      <c r="R517" s="386"/>
    </row>
    <row r="518" spans="1:18" s="361" customFormat="1" ht="18">
      <c r="A518" s="350" t="s">
        <v>1060</v>
      </c>
      <c r="B518" s="351">
        <v>40813</v>
      </c>
      <c r="C518" s="328" t="s">
        <v>724</v>
      </c>
      <c r="D518" s="352" t="s">
        <v>151</v>
      </c>
      <c r="E518" s="353" t="s">
        <v>57</v>
      </c>
      <c r="F518" s="354">
        <v>64.3</v>
      </c>
      <c r="G518" s="355">
        <v>195.37</v>
      </c>
      <c r="H518" s="331"/>
      <c r="I518" s="356">
        <v>0</v>
      </c>
      <c r="J518" s="331">
        <f t="shared" si="62"/>
        <v>195.37</v>
      </c>
      <c r="K518" s="418">
        <f t="shared" si="63"/>
        <v>12562.290999999999</v>
      </c>
      <c r="L518" s="358">
        <f t="shared" si="64"/>
        <v>0</v>
      </c>
      <c r="M518" s="359">
        <f t="shared" si="61"/>
        <v>0</v>
      </c>
      <c r="N518" s="604">
        <f t="shared" si="65"/>
        <v>12562.290999999999</v>
      </c>
      <c r="O518" s="355"/>
      <c r="P518" s="360"/>
      <c r="Q518" s="355"/>
      <c r="R518" s="360"/>
    </row>
    <row r="519" spans="1:18" s="345" customFormat="1">
      <c r="A519" s="334"/>
      <c r="B519" s="335"/>
      <c r="C519" s="336" t="s">
        <v>725</v>
      </c>
      <c r="D519" s="417" t="s">
        <v>153</v>
      </c>
      <c r="E519" s="338"/>
      <c r="F519" s="339"/>
      <c r="G519" s="340"/>
      <c r="H519" s="341"/>
      <c r="I519" s="342"/>
      <c r="J519" s="341"/>
      <c r="K519" s="343"/>
      <c r="L519" s="298"/>
      <c r="M519" s="298"/>
      <c r="N519" s="603"/>
      <c r="O519" s="340"/>
      <c r="P519" s="344"/>
      <c r="Q519" s="340"/>
      <c r="R519" s="344"/>
    </row>
    <row r="520" spans="1:18" ht="30">
      <c r="A520" s="324" t="s">
        <v>1056</v>
      </c>
      <c r="B520" s="325" t="s">
        <v>155</v>
      </c>
      <c r="C520" s="408" t="s">
        <v>726</v>
      </c>
      <c r="D520" s="348" t="s">
        <v>156</v>
      </c>
      <c r="E520" s="328" t="s">
        <v>50</v>
      </c>
      <c r="F520" s="329">
        <v>91.41</v>
      </c>
      <c r="G520" s="330">
        <v>151.46</v>
      </c>
      <c r="H520" s="331">
        <v>0</v>
      </c>
      <c r="I520" s="332">
        <v>0</v>
      </c>
      <c r="J520" s="331">
        <f t="shared" si="62"/>
        <v>151.46</v>
      </c>
      <c r="K520" s="329">
        <f t="shared" si="63"/>
        <v>13844.9586</v>
      </c>
      <c r="L520" s="298">
        <f t="shared" si="64"/>
        <v>0</v>
      </c>
      <c r="M520" s="298">
        <f t="shared" ref="M520:M582" si="67">I520*F520</f>
        <v>0</v>
      </c>
      <c r="N520" s="603">
        <f t="shared" si="65"/>
        <v>13844.9586</v>
      </c>
      <c r="O520" s="330"/>
      <c r="P520" s="333"/>
      <c r="Q520" s="330"/>
      <c r="R520" s="333"/>
    </row>
    <row r="521" spans="1:18" s="345" customFormat="1">
      <c r="A521" s="334"/>
      <c r="B521" s="335"/>
      <c r="C521" s="336" t="s">
        <v>727</v>
      </c>
      <c r="D521" s="337" t="s">
        <v>1097</v>
      </c>
      <c r="E521" s="338"/>
      <c r="F521" s="339"/>
      <c r="G521" s="340"/>
      <c r="H521" s="341"/>
      <c r="I521" s="342"/>
      <c r="J521" s="341"/>
      <c r="K521" s="343"/>
      <c r="L521" s="298"/>
      <c r="M521" s="298"/>
      <c r="N521" s="603"/>
      <c r="O521" s="340"/>
      <c r="P521" s="344"/>
      <c r="Q521" s="340"/>
      <c r="R521" s="344"/>
    </row>
    <row r="522" spans="1:18" ht="30">
      <c r="A522" s="324" t="s">
        <v>1056</v>
      </c>
      <c r="B522" s="325" t="s">
        <v>155</v>
      </c>
      <c r="C522" s="408" t="s">
        <v>728</v>
      </c>
      <c r="D522" s="348" t="s">
        <v>156</v>
      </c>
      <c r="E522" s="328" t="s">
        <v>50</v>
      </c>
      <c r="F522" s="329">
        <v>91.41</v>
      </c>
      <c r="G522" s="330">
        <v>23.59</v>
      </c>
      <c r="H522" s="331">
        <v>0</v>
      </c>
      <c r="I522" s="332">
        <v>0</v>
      </c>
      <c r="J522" s="331">
        <f t="shared" si="62"/>
        <v>23.59</v>
      </c>
      <c r="K522" s="329">
        <f t="shared" si="63"/>
        <v>2156.3618999999999</v>
      </c>
      <c r="L522" s="298">
        <f t="shared" ref="L522:L580" si="68">H522*F522</f>
        <v>0</v>
      </c>
      <c r="M522" s="298">
        <f t="shared" si="67"/>
        <v>0</v>
      </c>
      <c r="N522" s="603">
        <f t="shared" si="65"/>
        <v>2156.3618999999999</v>
      </c>
      <c r="O522" s="330"/>
      <c r="P522" s="333"/>
      <c r="Q522" s="330"/>
      <c r="R522" s="333"/>
    </row>
    <row r="523" spans="1:18">
      <c r="A523" s="324" t="s">
        <v>1060</v>
      </c>
      <c r="B523" s="419">
        <v>200323</v>
      </c>
      <c r="C523" s="408" t="s">
        <v>729</v>
      </c>
      <c r="D523" s="327" t="s">
        <v>1099</v>
      </c>
      <c r="E523" s="328" t="s">
        <v>58</v>
      </c>
      <c r="F523" s="329">
        <v>125.94</v>
      </c>
      <c r="G523" s="330">
        <v>4.76</v>
      </c>
      <c r="H523" s="331">
        <v>0</v>
      </c>
      <c r="I523" s="332">
        <v>0</v>
      </c>
      <c r="J523" s="331">
        <f t="shared" si="62"/>
        <v>4.76</v>
      </c>
      <c r="K523" s="329">
        <f t="shared" si="63"/>
        <v>599.47439999999995</v>
      </c>
      <c r="L523" s="298">
        <f t="shared" si="68"/>
        <v>0</v>
      </c>
      <c r="M523" s="298">
        <f t="shared" si="67"/>
        <v>0</v>
      </c>
      <c r="N523" s="603">
        <f t="shared" si="65"/>
        <v>599.47439999999995</v>
      </c>
      <c r="O523" s="330"/>
      <c r="P523" s="333"/>
      <c r="Q523" s="330"/>
      <c r="R523" s="333"/>
    </row>
    <row r="524" spans="1:18" ht="45">
      <c r="A524" s="346" t="s">
        <v>1060</v>
      </c>
      <c r="B524" s="347">
        <v>50501</v>
      </c>
      <c r="C524" s="328" t="s">
        <v>730</v>
      </c>
      <c r="D524" s="348" t="s">
        <v>1221</v>
      </c>
      <c r="E524" s="328" t="s">
        <v>57</v>
      </c>
      <c r="F524" s="329">
        <v>94.9</v>
      </c>
      <c r="G524" s="330">
        <v>2.14</v>
      </c>
      <c r="H524" s="331">
        <v>0</v>
      </c>
      <c r="I524" s="332">
        <v>0</v>
      </c>
      <c r="J524" s="331">
        <f t="shared" si="62"/>
        <v>2.14</v>
      </c>
      <c r="K524" s="329">
        <f t="shared" si="63"/>
        <v>203.08600000000001</v>
      </c>
      <c r="L524" s="298">
        <f t="shared" si="68"/>
        <v>0</v>
      </c>
      <c r="M524" s="298">
        <f t="shared" si="67"/>
        <v>0</v>
      </c>
      <c r="N524" s="603">
        <f t="shared" si="65"/>
        <v>203.08600000000001</v>
      </c>
      <c r="O524" s="330"/>
      <c r="P524" s="333"/>
      <c r="Q524" s="330"/>
      <c r="R524" s="333"/>
    </row>
    <row r="525" spans="1:18" s="345" customFormat="1">
      <c r="A525" s="334"/>
      <c r="B525" s="335"/>
      <c r="C525" s="336" t="s">
        <v>731</v>
      </c>
      <c r="D525" s="417" t="s">
        <v>164</v>
      </c>
      <c r="E525" s="338"/>
      <c r="F525" s="339"/>
      <c r="G525" s="340"/>
      <c r="H525" s="341"/>
      <c r="I525" s="342"/>
      <c r="J525" s="341"/>
      <c r="K525" s="343"/>
      <c r="L525" s="298"/>
      <c r="M525" s="298"/>
      <c r="N525" s="603"/>
      <c r="O525" s="340"/>
      <c r="P525" s="344"/>
      <c r="Q525" s="340"/>
      <c r="R525" s="344"/>
    </row>
    <row r="526" spans="1:18" ht="45">
      <c r="A526" s="346" t="s">
        <v>1060</v>
      </c>
      <c r="B526" s="347">
        <v>40339</v>
      </c>
      <c r="C526" s="328" t="s">
        <v>732</v>
      </c>
      <c r="D526" s="327" t="s">
        <v>1101</v>
      </c>
      <c r="E526" s="328" t="s">
        <v>57</v>
      </c>
      <c r="F526" s="329">
        <v>91.04</v>
      </c>
      <c r="G526" s="330">
        <v>52.4</v>
      </c>
      <c r="H526" s="331">
        <v>0</v>
      </c>
      <c r="I526" s="332">
        <v>0</v>
      </c>
      <c r="J526" s="331">
        <f t="shared" ref="J526:J589" si="69">G526+H526-I526</f>
        <v>52.4</v>
      </c>
      <c r="K526" s="329">
        <f t="shared" ref="K526:K589" si="70">F526*G526</f>
        <v>4770.4960000000001</v>
      </c>
      <c r="L526" s="298">
        <f t="shared" si="68"/>
        <v>0</v>
      </c>
      <c r="M526" s="298">
        <f t="shared" si="67"/>
        <v>0</v>
      </c>
      <c r="N526" s="603">
        <f t="shared" ref="N526:N589" si="71">J526*F526</f>
        <v>4770.4960000000001</v>
      </c>
      <c r="O526" s="330"/>
      <c r="P526" s="333"/>
      <c r="Q526" s="330"/>
      <c r="R526" s="333"/>
    </row>
    <row r="527" spans="1:18" ht="30">
      <c r="A527" s="324" t="s">
        <v>1060</v>
      </c>
      <c r="B527" s="349">
        <v>40328</v>
      </c>
      <c r="C527" s="408" t="s">
        <v>733</v>
      </c>
      <c r="D527" s="348" t="s">
        <v>147</v>
      </c>
      <c r="E527" s="328" t="s">
        <v>29</v>
      </c>
      <c r="F527" s="329">
        <v>7.98</v>
      </c>
      <c r="G527" s="330">
        <v>210</v>
      </c>
      <c r="H527" s="331">
        <v>0</v>
      </c>
      <c r="I527" s="332">
        <v>0</v>
      </c>
      <c r="J527" s="331">
        <f t="shared" si="69"/>
        <v>210</v>
      </c>
      <c r="K527" s="329">
        <f t="shared" si="70"/>
        <v>1675.8000000000002</v>
      </c>
      <c r="L527" s="298">
        <f t="shared" si="68"/>
        <v>0</v>
      </c>
      <c r="M527" s="298">
        <f t="shared" si="67"/>
        <v>0</v>
      </c>
      <c r="N527" s="603">
        <f t="shared" si="71"/>
        <v>1675.8000000000002</v>
      </c>
      <c r="O527" s="330"/>
      <c r="P527" s="333"/>
      <c r="Q527" s="330"/>
      <c r="R527" s="333"/>
    </row>
    <row r="528" spans="1:18" ht="30">
      <c r="A528" s="324" t="s">
        <v>1060</v>
      </c>
      <c r="B528" s="349">
        <v>40245</v>
      </c>
      <c r="C528" s="408" t="s">
        <v>734</v>
      </c>
      <c r="D528" s="348" t="s">
        <v>148</v>
      </c>
      <c r="E528" s="328" t="s">
        <v>29</v>
      </c>
      <c r="F528" s="329">
        <v>8.41</v>
      </c>
      <c r="G528" s="330">
        <v>55</v>
      </c>
      <c r="H528" s="331">
        <v>0</v>
      </c>
      <c r="I528" s="332">
        <v>0</v>
      </c>
      <c r="J528" s="331">
        <f t="shared" si="69"/>
        <v>55</v>
      </c>
      <c r="K528" s="329">
        <f t="shared" si="70"/>
        <v>462.55</v>
      </c>
      <c r="L528" s="298">
        <f t="shared" si="68"/>
        <v>0</v>
      </c>
      <c r="M528" s="298">
        <f t="shared" si="67"/>
        <v>0</v>
      </c>
      <c r="N528" s="603">
        <f t="shared" si="71"/>
        <v>462.55</v>
      </c>
      <c r="O528" s="330"/>
      <c r="P528" s="333"/>
      <c r="Q528" s="330"/>
      <c r="R528" s="333"/>
    </row>
    <row r="529" spans="1:18" ht="30">
      <c r="A529" s="324" t="s">
        <v>1060</v>
      </c>
      <c r="B529" s="349">
        <v>40246</v>
      </c>
      <c r="C529" s="408" t="s">
        <v>735</v>
      </c>
      <c r="D529" s="348" t="s">
        <v>149</v>
      </c>
      <c r="E529" s="328" t="s">
        <v>29</v>
      </c>
      <c r="F529" s="329">
        <v>8.08</v>
      </c>
      <c r="G529" s="330">
        <v>78</v>
      </c>
      <c r="H529" s="331">
        <v>0</v>
      </c>
      <c r="I529" s="332">
        <v>0</v>
      </c>
      <c r="J529" s="331">
        <f t="shared" si="69"/>
        <v>78</v>
      </c>
      <c r="K529" s="329">
        <f t="shared" si="70"/>
        <v>630.24</v>
      </c>
      <c r="L529" s="298">
        <f t="shared" si="68"/>
        <v>0</v>
      </c>
      <c r="M529" s="298">
        <f t="shared" si="67"/>
        <v>0</v>
      </c>
      <c r="N529" s="603">
        <f t="shared" si="71"/>
        <v>630.24</v>
      </c>
      <c r="O529" s="330"/>
      <c r="P529" s="333"/>
      <c r="Q529" s="330"/>
      <c r="R529" s="333"/>
    </row>
    <row r="530" spans="1:18" ht="60">
      <c r="A530" s="346" t="s">
        <v>1056</v>
      </c>
      <c r="B530" s="420" t="s">
        <v>140</v>
      </c>
      <c r="C530" s="328" t="s">
        <v>736</v>
      </c>
      <c r="D530" s="327" t="s">
        <v>1103</v>
      </c>
      <c r="E530" s="328" t="s">
        <v>58</v>
      </c>
      <c r="F530" s="329">
        <v>486.08</v>
      </c>
      <c r="G530" s="330">
        <v>3.5</v>
      </c>
      <c r="H530" s="331">
        <v>0</v>
      </c>
      <c r="I530" s="332">
        <v>0</v>
      </c>
      <c r="J530" s="331">
        <f t="shared" si="69"/>
        <v>3.5</v>
      </c>
      <c r="K530" s="329">
        <f t="shared" si="70"/>
        <v>1701.28</v>
      </c>
      <c r="L530" s="298">
        <f t="shared" si="68"/>
        <v>0</v>
      </c>
      <c r="M530" s="298">
        <f t="shared" si="67"/>
        <v>0</v>
      </c>
      <c r="N530" s="603">
        <f t="shared" si="71"/>
        <v>1701.28</v>
      </c>
      <c r="O530" s="330"/>
      <c r="P530" s="333"/>
      <c r="Q530" s="330"/>
      <c r="R530" s="333"/>
    </row>
    <row r="531" spans="1:18" s="345" customFormat="1">
      <c r="A531" s="334"/>
      <c r="B531" s="335"/>
      <c r="C531" s="336" t="s">
        <v>737</v>
      </c>
      <c r="D531" s="337" t="s">
        <v>1102</v>
      </c>
      <c r="E531" s="338"/>
      <c r="F531" s="339"/>
      <c r="G531" s="340"/>
      <c r="H531" s="341"/>
      <c r="I531" s="342"/>
      <c r="J531" s="341"/>
      <c r="K531" s="343"/>
      <c r="L531" s="298"/>
      <c r="M531" s="298"/>
      <c r="N531" s="603"/>
      <c r="O531" s="340"/>
      <c r="P531" s="344"/>
      <c r="Q531" s="340"/>
      <c r="R531" s="344"/>
    </row>
    <row r="532" spans="1:18" ht="45">
      <c r="A532" s="346" t="s">
        <v>1060</v>
      </c>
      <c r="B532" s="347">
        <v>40339</v>
      </c>
      <c r="C532" s="328" t="s">
        <v>738</v>
      </c>
      <c r="D532" s="348" t="s">
        <v>184</v>
      </c>
      <c r="E532" s="328" t="s">
        <v>57</v>
      </c>
      <c r="F532" s="329">
        <v>91.04</v>
      </c>
      <c r="G532" s="330">
        <v>87.7</v>
      </c>
      <c r="H532" s="331">
        <v>0</v>
      </c>
      <c r="I532" s="332">
        <v>0</v>
      </c>
      <c r="J532" s="331">
        <f t="shared" si="69"/>
        <v>87.7</v>
      </c>
      <c r="K532" s="329">
        <f t="shared" si="70"/>
        <v>7984.2080000000005</v>
      </c>
      <c r="L532" s="298">
        <f t="shared" si="68"/>
        <v>0</v>
      </c>
      <c r="M532" s="298">
        <f t="shared" si="67"/>
        <v>0</v>
      </c>
      <c r="N532" s="603">
        <f t="shared" si="71"/>
        <v>7984.2080000000005</v>
      </c>
      <c r="O532" s="330"/>
      <c r="P532" s="333"/>
      <c r="Q532" s="330"/>
      <c r="R532" s="333"/>
    </row>
    <row r="533" spans="1:18" ht="30">
      <c r="A533" s="324" t="s">
        <v>1060</v>
      </c>
      <c r="B533" s="349">
        <v>40328</v>
      </c>
      <c r="C533" s="408" t="s">
        <v>739</v>
      </c>
      <c r="D533" s="348" t="s">
        <v>147</v>
      </c>
      <c r="E533" s="328" t="s">
        <v>29</v>
      </c>
      <c r="F533" s="329">
        <v>7.98</v>
      </c>
      <c r="G533" s="330">
        <v>502</v>
      </c>
      <c r="H533" s="331">
        <v>0</v>
      </c>
      <c r="I533" s="332">
        <v>0</v>
      </c>
      <c r="J533" s="331">
        <f t="shared" si="69"/>
        <v>502</v>
      </c>
      <c r="K533" s="329">
        <f t="shared" si="70"/>
        <v>4005.96</v>
      </c>
      <c r="L533" s="298">
        <f t="shared" si="68"/>
        <v>0</v>
      </c>
      <c r="M533" s="298">
        <f t="shared" si="67"/>
        <v>0</v>
      </c>
      <c r="N533" s="603">
        <f t="shared" si="71"/>
        <v>4005.96</v>
      </c>
      <c r="O533" s="330"/>
      <c r="P533" s="333"/>
      <c r="Q533" s="330"/>
      <c r="R533" s="333"/>
    </row>
    <row r="534" spans="1:18" ht="30">
      <c r="A534" s="324" t="s">
        <v>1060</v>
      </c>
      <c r="B534" s="349">
        <v>40245</v>
      </c>
      <c r="C534" s="408" t="s">
        <v>740</v>
      </c>
      <c r="D534" s="348" t="s">
        <v>148</v>
      </c>
      <c r="E534" s="328" t="s">
        <v>29</v>
      </c>
      <c r="F534" s="329">
        <v>8.41</v>
      </c>
      <c r="G534" s="330">
        <v>199</v>
      </c>
      <c r="H534" s="331">
        <v>0</v>
      </c>
      <c r="I534" s="332">
        <v>0</v>
      </c>
      <c r="J534" s="331">
        <f t="shared" si="69"/>
        <v>199</v>
      </c>
      <c r="K534" s="329">
        <f t="shared" si="70"/>
        <v>1673.59</v>
      </c>
      <c r="L534" s="298">
        <f t="shared" si="68"/>
        <v>0</v>
      </c>
      <c r="M534" s="298">
        <f t="shared" si="67"/>
        <v>0</v>
      </c>
      <c r="N534" s="603">
        <f t="shared" si="71"/>
        <v>1673.59</v>
      </c>
      <c r="O534" s="330"/>
      <c r="P534" s="333"/>
      <c r="Q534" s="330"/>
      <c r="R534" s="333"/>
    </row>
    <row r="535" spans="1:18" ht="30">
      <c r="A535" s="324" t="s">
        <v>1060</v>
      </c>
      <c r="B535" s="349">
        <v>40246</v>
      </c>
      <c r="C535" s="408" t="s">
        <v>741</v>
      </c>
      <c r="D535" s="348" t="s">
        <v>149</v>
      </c>
      <c r="E535" s="328" t="s">
        <v>29</v>
      </c>
      <c r="F535" s="329">
        <v>8.08</v>
      </c>
      <c r="G535" s="330">
        <v>34</v>
      </c>
      <c r="H535" s="331">
        <v>0</v>
      </c>
      <c r="I535" s="332">
        <v>0</v>
      </c>
      <c r="J535" s="331">
        <f t="shared" si="69"/>
        <v>34</v>
      </c>
      <c r="K535" s="329">
        <f t="shared" si="70"/>
        <v>274.72000000000003</v>
      </c>
      <c r="L535" s="298">
        <f t="shared" si="68"/>
        <v>0</v>
      </c>
      <c r="M535" s="298">
        <f t="shared" si="67"/>
        <v>0</v>
      </c>
      <c r="N535" s="603">
        <f t="shared" si="71"/>
        <v>274.72000000000003</v>
      </c>
      <c r="O535" s="330"/>
      <c r="P535" s="333"/>
      <c r="Q535" s="330"/>
      <c r="R535" s="333"/>
    </row>
    <row r="536" spans="1:18" ht="45">
      <c r="A536" s="346" t="s">
        <v>1056</v>
      </c>
      <c r="B536" s="420" t="s">
        <v>140</v>
      </c>
      <c r="C536" s="328" t="s">
        <v>742</v>
      </c>
      <c r="D536" s="348" t="s">
        <v>150</v>
      </c>
      <c r="E536" s="328" t="s">
        <v>58</v>
      </c>
      <c r="F536" s="329">
        <v>486.08</v>
      </c>
      <c r="G536" s="330">
        <v>8.9</v>
      </c>
      <c r="H536" s="331">
        <v>0</v>
      </c>
      <c r="I536" s="332">
        <v>0</v>
      </c>
      <c r="J536" s="331">
        <f t="shared" si="69"/>
        <v>8.9</v>
      </c>
      <c r="K536" s="329">
        <f t="shared" si="70"/>
        <v>4326.1120000000001</v>
      </c>
      <c r="L536" s="298">
        <f t="shared" si="68"/>
        <v>0</v>
      </c>
      <c r="M536" s="298">
        <f t="shared" si="67"/>
        <v>0</v>
      </c>
      <c r="N536" s="603">
        <f t="shared" si="71"/>
        <v>4326.1120000000001</v>
      </c>
      <c r="O536" s="330"/>
      <c r="P536" s="333"/>
      <c r="Q536" s="330"/>
      <c r="R536" s="333"/>
    </row>
    <row r="537" spans="1:18" s="345" customFormat="1">
      <c r="A537" s="334"/>
      <c r="B537" s="335"/>
      <c r="C537" s="336" t="s">
        <v>743</v>
      </c>
      <c r="D537" s="417" t="s">
        <v>179</v>
      </c>
      <c r="E537" s="338"/>
      <c r="F537" s="339"/>
      <c r="G537" s="340"/>
      <c r="H537" s="424"/>
      <c r="I537" s="425"/>
      <c r="J537" s="424"/>
      <c r="K537" s="343"/>
      <c r="L537" s="298"/>
      <c r="M537" s="298"/>
      <c r="N537" s="603"/>
      <c r="O537" s="340"/>
      <c r="P537" s="344"/>
      <c r="Q537" s="340"/>
      <c r="R537" s="344"/>
    </row>
    <row r="538" spans="1:18" ht="45">
      <c r="A538" s="346" t="s">
        <v>1060</v>
      </c>
      <c r="B538" s="347">
        <v>40339</v>
      </c>
      <c r="C538" s="328" t="s">
        <v>744</v>
      </c>
      <c r="D538" s="327" t="s">
        <v>1222</v>
      </c>
      <c r="E538" s="328" t="s">
        <v>57</v>
      </c>
      <c r="F538" s="329">
        <v>91.04</v>
      </c>
      <c r="G538" s="330">
        <v>34.1</v>
      </c>
      <c r="H538" s="331">
        <v>0</v>
      </c>
      <c r="I538" s="332">
        <v>0</v>
      </c>
      <c r="J538" s="331">
        <f t="shared" si="69"/>
        <v>34.1</v>
      </c>
      <c r="K538" s="329">
        <f t="shared" si="70"/>
        <v>3104.4640000000004</v>
      </c>
      <c r="L538" s="298">
        <f t="shared" si="68"/>
        <v>0</v>
      </c>
      <c r="M538" s="298">
        <f t="shared" si="67"/>
        <v>0</v>
      </c>
      <c r="N538" s="603">
        <f t="shared" si="71"/>
        <v>3104.4640000000004</v>
      </c>
      <c r="O538" s="330"/>
      <c r="P538" s="333"/>
      <c r="Q538" s="330"/>
      <c r="R538" s="333"/>
    </row>
    <row r="539" spans="1:18" ht="30">
      <c r="A539" s="324" t="s">
        <v>1060</v>
      </c>
      <c r="B539" s="349">
        <v>40328</v>
      </c>
      <c r="C539" s="408" t="s">
        <v>745</v>
      </c>
      <c r="D539" s="348" t="s">
        <v>1223</v>
      </c>
      <c r="E539" s="328" t="s">
        <v>29</v>
      </c>
      <c r="F539" s="329">
        <v>7.98</v>
      </c>
      <c r="G539" s="330">
        <v>370.3</v>
      </c>
      <c r="H539" s="331">
        <v>0</v>
      </c>
      <c r="I539" s="332">
        <v>0</v>
      </c>
      <c r="J539" s="331">
        <f t="shared" si="69"/>
        <v>370.3</v>
      </c>
      <c r="K539" s="329">
        <f t="shared" si="70"/>
        <v>2954.9940000000001</v>
      </c>
      <c r="L539" s="298">
        <f t="shared" si="68"/>
        <v>0</v>
      </c>
      <c r="M539" s="298">
        <f t="shared" si="67"/>
        <v>0</v>
      </c>
      <c r="N539" s="603">
        <f t="shared" si="71"/>
        <v>2954.9940000000001</v>
      </c>
      <c r="O539" s="330"/>
      <c r="P539" s="333"/>
      <c r="Q539" s="330"/>
      <c r="R539" s="333"/>
    </row>
    <row r="540" spans="1:18" ht="45">
      <c r="A540" s="346" t="s">
        <v>1056</v>
      </c>
      <c r="B540" s="420" t="s">
        <v>140</v>
      </c>
      <c r="C540" s="328" t="s">
        <v>746</v>
      </c>
      <c r="D540" s="348" t="s">
        <v>804</v>
      </c>
      <c r="E540" s="328" t="s">
        <v>58</v>
      </c>
      <c r="F540" s="329">
        <v>486.08</v>
      </c>
      <c r="G540" s="330">
        <v>6.54</v>
      </c>
      <c r="H540" s="331">
        <v>0</v>
      </c>
      <c r="I540" s="332">
        <v>0</v>
      </c>
      <c r="J540" s="331">
        <f t="shared" si="69"/>
        <v>6.54</v>
      </c>
      <c r="K540" s="329">
        <f t="shared" si="70"/>
        <v>3178.9631999999997</v>
      </c>
      <c r="L540" s="298">
        <f t="shared" si="68"/>
        <v>0</v>
      </c>
      <c r="M540" s="298">
        <f t="shared" si="67"/>
        <v>0</v>
      </c>
      <c r="N540" s="603">
        <f t="shared" si="71"/>
        <v>3178.9631999999997</v>
      </c>
      <c r="O540" s="330"/>
      <c r="P540" s="333"/>
      <c r="Q540" s="330"/>
      <c r="R540" s="333"/>
    </row>
    <row r="541" spans="1:18" ht="30">
      <c r="A541" s="324" t="s">
        <v>1060</v>
      </c>
      <c r="B541" s="349">
        <v>40602</v>
      </c>
      <c r="C541" s="408" t="s">
        <v>747</v>
      </c>
      <c r="D541" s="348" t="s">
        <v>1224</v>
      </c>
      <c r="E541" s="328" t="s">
        <v>57</v>
      </c>
      <c r="F541" s="329">
        <v>79.41</v>
      </c>
      <c r="G541" s="330">
        <v>169</v>
      </c>
      <c r="H541" s="331">
        <v>0</v>
      </c>
      <c r="I541" s="332">
        <v>0</v>
      </c>
      <c r="J541" s="331">
        <f t="shared" si="69"/>
        <v>169</v>
      </c>
      <c r="K541" s="329">
        <f t="shared" si="70"/>
        <v>13420.289999999999</v>
      </c>
      <c r="L541" s="298">
        <f t="shared" si="68"/>
        <v>0</v>
      </c>
      <c r="M541" s="298">
        <f t="shared" si="67"/>
        <v>0</v>
      </c>
      <c r="N541" s="603">
        <f t="shared" si="71"/>
        <v>13420.289999999999</v>
      </c>
      <c r="O541" s="330"/>
      <c r="P541" s="333"/>
      <c r="Q541" s="330"/>
      <c r="R541" s="333"/>
    </row>
    <row r="542" spans="1:18" s="345" customFormat="1">
      <c r="A542" s="421"/>
      <c r="B542" s="422"/>
      <c r="C542" s="336" t="s">
        <v>748</v>
      </c>
      <c r="D542" s="417" t="s">
        <v>187</v>
      </c>
      <c r="E542" s="338"/>
      <c r="F542" s="339"/>
      <c r="G542" s="340"/>
      <c r="H542" s="424"/>
      <c r="I542" s="425"/>
      <c r="J542" s="424"/>
      <c r="K542" s="343"/>
      <c r="L542" s="298"/>
      <c r="M542" s="298"/>
      <c r="N542" s="603"/>
      <c r="O542" s="340"/>
      <c r="P542" s="344"/>
      <c r="Q542" s="340"/>
      <c r="R542" s="344"/>
    </row>
    <row r="543" spans="1:18" ht="45">
      <c r="A543" s="346" t="s">
        <v>1060</v>
      </c>
      <c r="B543" s="347">
        <v>90102</v>
      </c>
      <c r="C543" s="297" t="s">
        <v>749</v>
      </c>
      <c r="D543" s="348" t="s">
        <v>1171</v>
      </c>
      <c r="E543" s="328" t="s">
        <v>57</v>
      </c>
      <c r="F543" s="329">
        <v>89.99</v>
      </c>
      <c r="G543" s="330">
        <v>191.8</v>
      </c>
      <c r="H543" s="331">
        <v>0</v>
      </c>
      <c r="I543" s="332">
        <v>0</v>
      </c>
      <c r="J543" s="331">
        <f t="shared" si="69"/>
        <v>191.8</v>
      </c>
      <c r="K543" s="329">
        <f t="shared" si="70"/>
        <v>17260.081999999999</v>
      </c>
      <c r="L543" s="298">
        <f t="shared" si="68"/>
        <v>0</v>
      </c>
      <c r="M543" s="298">
        <f t="shared" si="67"/>
        <v>0</v>
      </c>
      <c r="N543" s="603">
        <f t="shared" si="71"/>
        <v>17260.081999999999</v>
      </c>
      <c r="O543" s="330"/>
      <c r="P543" s="333"/>
      <c r="Q543" s="330"/>
      <c r="R543" s="333"/>
    </row>
    <row r="544" spans="1:18" ht="45">
      <c r="A544" s="346" t="s">
        <v>1060</v>
      </c>
      <c r="B544" s="347">
        <v>90223</v>
      </c>
      <c r="C544" s="297" t="s">
        <v>750</v>
      </c>
      <c r="D544" s="348" t="s">
        <v>1225</v>
      </c>
      <c r="E544" s="328" t="s">
        <v>57</v>
      </c>
      <c r="F544" s="329">
        <v>124.46</v>
      </c>
      <c r="G544" s="330">
        <v>200.69</v>
      </c>
      <c r="H544" s="331">
        <v>0</v>
      </c>
      <c r="I544" s="332">
        <v>0</v>
      </c>
      <c r="J544" s="331">
        <f t="shared" si="69"/>
        <v>200.69</v>
      </c>
      <c r="K544" s="329">
        <f t="shared" si="70"/>
        <v>24977.877399999998</v>
      </c>
      <c r="L544" s="298">
        <f t="shared" si="68"/>
        <v>0</v>
      </c>
      <c r="M544" s="298">
        <f t="shared" si="67"/>
        <v>0</v>
      </c>
      <c r="N544" s="603">
        <f t="shared" si="71"/>
        <v>24977.877399999998</v>
      </c>
      <c r="O544" s="330"/>
      <c r="P544" s="333"/>
      <c r="Q544" s="330"/>
      <c r="R544" s="333"/>
    </row>
    <row r="545" spans="1:18" ht="45">
      <c r="A545" s="346" t="s">
        <v>1060</v>
      </c>
      <c r="B545" s="347">
        <v>40339</v>
      </c>
      <c r="C545" s="297" t="s">
        <v>751</v>
      </c>
      <c r="D545" s="327" t="s">
        <v>1106</v>
      </c>
      <c r="E545" s="328" t="s">
        <v>57</v>
      </c>
      <c r="F545" s="329">
        <v>91.04</v>
      </c>
      <c r="G545" s="330">
        <v>25.2</v>
      </c>
      <c r="H545" s="331">
        <v>0</v>
      </c>
      <c r="I545" s="332">
        <v>0</v>
      </c>
      <c r="J545" s="331">
        <f t="shared" si="69"/>
        <v>25.2</v>
      </c>
      <c r="K545" s="329">
        <f t="shared" si="70"/>
        <v>2294.2080000000001</v>
      </c>
      <c r="L545" s="298">
        <f t="shared" si="68"/>
        <v>0</v>
      </c>
      <c r="M545" s="298">
        <f t="shared" si="67"/>
        <v>0</v>
      </c>
      <c r="N545" s="603">
        <f t="shared" si="71"/>
        <v>2294.2080000000001</v>
      </c>
      <c r="O545" s="330"/>
      <c r="P545" s="333"/>
      <c r="Q545" s="330"/>
      <c r="R545" s="333"/>
    </row>
    <row r="546" spans="1:18" ht="30">
      <c r="A546" s="324" t="s">
        <v>1060</v>
      </c>
      <c r="B546" s="349">
        <v>40328</v>
      </c>
      <c r="C546" s="326" t="s">
        <v>752</v>
      </c>
      <c r="D546" s="348" t="s">
        <v>197</v>
      </c>
      <c r="E546" s="328" t="s">
        <v>29</v>
      </c>
      <c r="F546" s="329">
        <v>7.98</v>
      </c>
      <c r="G546" s="330">
        <v>122</v>
      </c>
      <c r="H546" s="331">
        <v>0</v>
      </c>
      <c r="I546" s="332">
        <v>0</v>
      </c>
      <c r="J546" s="331">
        <f t="shared" si="69"/>
        <v>122</v>
      </c>
      <c r="K546" s="329">
        <f t="shared" si="70"/>
        <v>973.56000000000006</v>
      </c>
      <c r="L546" s="298">
        <f t="shared" si="68"/>
        <v>0</v>
      </c>
      <c r="M546" s="298">
        <f t="shared" si="67"/>
        <v>0</v>
      </c>
      <c r="N546" s="603">
        <f t="shared" si="71"/>
        <v>973.56000000000006</v>
      </c>
      <c r="O546" s="330"/>
      <c r="P546" s="333"/>
      <c r="Q546" s="330"/>
      <c r="R546" s="333"/>
    </row>
    <row r="547" spans="1:18" ht="60">
      <c r="A547" s="346" t="s">
        <v>1056</v>
      </c>
      <c r="B547" s="420" t="s">
        <v>140</v>
      </c>
      <c r="C547" s="297" t="s">
        <v>753</v>
      </c>
      <c r="D547" s="327" t="s">
        <v>1202</v>
      </c>
      <c r="E547" s="328" t="s">
        <v>58</v>
      </c>
      <c r="F547" s="329">
        <v>486.08</v>
      </c>
      <c r="G547" s="330">
        <v>1.3</v>
      </c>
      <c r="H547" s="331">
        <v>0</v>
      </c>
      <c r="I547" s="332">
        <v>0</v>
      </c>
      <c r="J547" s="331">
        <f t="shared" si="69"/>
        <v>1.3</v>
      </c>
      <c r="K547" s="329">
        <f t="shared" si="70"/>
        <v>631.904</v>
      </c>
      <c r="L547" s="298">
        <f t="shared" si="68"/>
        <v>0</v>
      </c>
      <c r="M547" s="298">
        <f t="shared" si="67"/>
        <v>0</v>
      </c>
      <c r="N547" s="603">
        <f t="shared" si="71"/>
        <v>631.904</v>
      </c>
      <c r="O547" s="330"/>
      <c r="P547" s="333"/>
      <c r="Q547" s="330"/>
      <c r="R547" s="333"/>
    </row>
    <row r="548" spans="1:18" ht="45">
      <c r="A548" s="346" t="s">
        <v>1060</v>
      </c>
      <c r="B548" s="347">
        <v>50602</v>
      </c>
      <c r="C548" s="297" t="s">
        <v>754</v>
      </c>
      <c r="D548" s="348" t="s">
        <v>199</v>
      </c>
      <c r="E548" s="328" t="s">
        <v>57</v>
      </c>
      <c r="F548" s="329">
        <v>62.2</v>
      </c>
      <c r="G548" s="330">
        <v>61.24</v>
      </c>
      <c r="H548" s="331">
        <v>0</v>
      </c>
      <c r="I548" s="332">
        <v>0</v>
      </c>
      <c r="J548" s="331">
        <f t="shared" si="69"/>
        <v>61.24</v>
      </c>
      <c r="K548" s="329">
        <f t="shared" si="70"/>
        <v>3809.1280000000002</v>
      </c>
      <c r="L548" s="298">
        <f t="shared" si="68"/>
        <v>0</v>
      </c>
      <c r="M548" s="298">
        <f t="shared" si="67"/>
        <v>0</v>
      </c>
      <c r="N548" s="603">
        <f t="shared" si="71"/>
        <v>3809.1280000000002</v>
      </c>
      <c r="O548" s="330"/>
      <c r="P548" s="333"/>
      <c r="Q548" s="330"/>
      <c r="R548" s="333"/>
    </row>
    <row r="549" spans="1:18" s="345" customFormat="1">
      <c r="A549" s="421"/>
      <c r="B549" s="422"/>
      <c r="C549" s="336" t="s">
        <v>755</v>
      </c>
      <c r="D549" s="417" t="s">
        <v>201</v>
      </c>
      <c r="E549" s="338"/>
      <c r="F549" s="339"/>
      <c r="G549" s="340"/>
      <c r="H549" s="341"/>
      <c r="I549" s="342"/>
      <c r="J549" s="341"/>
      <c r="K549" s="343"/>
      <c r="L549" s="298"/>
      <c r="M549" s="298"/>
      <c r="N549" s="603"/>
      <c r="O549" s="340"/>
      <c r="P549" s="344"/>
      <c r="Q549" s="340"/>
      <c r="R549" s="344"/>
    </row>
    <row r="550" spans="1:18" ht="30">
      <c r="A550" s="324" t="s">
        <v>1056</v>
      </c>
      <c r="B550" s="325" t="s">
        <v>206</v>
      </c>
      <c r="C550" s="326" t="s">
        <v>756</v>
      </c>
      <c r="D550" s="348" t="s">
        <v>207</v>
      </c>
      <c r="E550" s="328" t="s">
        <v>60</v>
      </c>
      <c r="F550" s="329">
        <v>72.83</v>
      </c>
      <c r="G550" s="330">
        <v>44.2</v>
      </c>
      <c r="H550" s="331">
        <v>0</v>
      </c>
      <c r="I550" s="332">
        <v>0</v>
      </c>
      <c r="J550" s="331">
        <f t="shared" si="69"/>
        <v>44.2</v>
      </c>
      <c r="K550" s="329">
        <f t="shared" si="70"/>
        <v>3219.0860000000002</v>
      </c>
      <c r="L550" s="298">
        <f t="shared" si="68"/>
        <v>0</v>
      </c>
      <c r="M550" s="298">
        <f t="shared" si="67"/>
        <v>0</v>
      </c>
      <c r="N550" s="603">
        <f t="shared" si="71"/>
        <v>3219.0860000000002</v>
      </c>
      <c r="O550" s="330"/>
      <c r="P550" s="333"/>
      <c r="Q550" s="330"/>
      <c r="R550" s="333"/>
    </row>
    <row r="551" spans="1:18">
      <c r="A551" s="324" t="s">
        <v>1060</v>
      </c>
      <c r="B551" s="349">
        <v>90302</v>
      </c>
      <c r="C551" s="326" t="s">
        <v>757</v>
      </c>
      <c r="D551" s="327" t="s">
        <v>1174</v>
      </c>
      <c r="E551" s="328" t="s">
        <v>51</v>
      </c>
      <c r="F551" s="329">
        <v>31.38</v>
      </c>
      <c r="G551" s="330">
        <v>64.14</v>
      </c>
      <c r="H551" s="331">
        <v>0</v>
      </c>
      <c r="I551" s="332">
        <v>0</v>
      </c>
      <c r="J551" s="331">
        <f t="shared" si="69"/>
        <v>64.14</v>
      </c>
      <c r="K551" s="329">
        <f t="shared" si="70"/>
        <v>2012.7131999999999</v>
      </c>
      <c r="L551" s="298">
        <f t="shared" si="68"/>
        <v>0</v>
      </c>
      <c r="M551" s="298">
        <f t="shared" si="67"/>
        <v>0</v>
      </c>
      <c r="N551" s="603">
        <f t="shared" si="71"/>
        <v>2012.7131999999999</v>
      </c>
      <c r="O551" s="330"/>
      <c r="P551" s="333"/>
      <c r="Q551" s="330"/>
      <c r="R551" s="333"/>
    </row>
    <row r="552" spans="1:18">
      <c r="A552" s="324" t="s">
        <v>1060</v>
      </c>
      <c r="B552" s="419">
        <v>141909</v>
      </c>
      <c r="C552" s="326" t="s">
        <v>758</v>
      </c>
      <c r="D552" s="327" t="s">
        <v>1108</v>
      </c>
      <c r="E552" s="328" t="s">
        <v>51</v>
      </c>
      <c r="F552" s="329">
        <v>61.57</v>
      </c>
      <c r="G552" s="330">
        <v>9.27</v>
      </c>
      <c r="H552" s="331">
        <v>0</v>
      </c>
      <c r="I552" s="332">
        <v>0</v>
      </c>
      <c r="J552" s="331">
        <f t="shared" si="69"/>
        <v>9.27</v>
      </c>
      <c r="K552" s="329">
        <f t="shared" si="70"/>
        <v>570.75389999999993</v>
      </c>
      <c r="L552" s="298">
        <f t="shared" si="68"/>
        <v>0</v>
      </c>
      <c r="M552" s="298">
        <f t="shared" si="67"/>
        <v>0</v>
      </c>
      <c r="N552" s="603">
        <f t="shared" si="71"/>
        <v>570.75389999999993</v>
      </c>
      <c r="O552" s="330"/>
      <c r="P552" s="333"/>
      <c r="Q552" s="330"/>
      <c r="R552" s="333"/>
    </row>
    <row r="553" spans="1:18">
      <c r="A553" s="324" t="s">
        <v>1060</v>
      </c>
      <c r="B553" s="419">
        <v>140903</v>
      </c>
      <c r="C553" s="326" t="s">
        <v>759</v>
      </c>
      <c r="D553" s="327" t="s">
        <v>1203</v>
      </c>
      <c r="E553" s="328" t="s">
        <v>51</v>
      </c>
      <c r="F553" s="329">
        <v>48.46</v>
      </c>
      <c r="G553" s="330">
        <v>10.73</v>
      </c>
      <c r="H553" s="331">
        <v>0</v>
      </c>
      <c r="I553" s="332">
        <v>0</v>
      </c>
      <c r="J553" s="331">
        <f t="shared" si="69"/>
        <v>10.73</v>
      </c>
      <c r="K553" s="329">
        <f t="shared" si="70"/>
        <v>519.97580000000005</v>
      </c>
      <c r="L553" s="298">
        <f t="shared" si="68"/>
        <v>0</v>
      </c>
      <c r="M553" s="298">
        <f t="shared" si="67"/>
        <v>0</v>
      </c>
      <c r="N553" s="603">
        <f t="shared" si="71"/>
        <v>519.97580000000005</v>
      </c>
      <c r="O553" s="330"/>
      <c r="P553" s="333"/>
      <c r="Q553" s="330"/>
      <c r="R553" s="333"/>
    </row>
    <row r="554" spans="1:18" s="345" customFormat="1">
      <c r="A554" s="334"/>
      <c r="B554" s="335"/>
      <c r="C554" s="423">
        <v>40301</v>
      </c>
      <c r="D554" s="337" t="s">
        <v>1110</v>
      </c>
      <c r="E554" s="338"/>
      <c r="F554" s="339"/>
      <c r="G554" s="340"/>
      <c r="H554" s="341"/>
      <c r="I554" s="342"/>
      <c r="J554" s="341"/>
      <c r="K554" s="343"/>
      <c r="L554" s="298"/>
      <c r="M554" s="298"/>
      <c r="N554" s="603"/>
      <c r="O554" s="340"/>
      <c r="P554" s="344"/>
      <c r="Q554" s="340"/>
      <c r="R554" s="344"/>
    </row>
    <row r="555" spans="1:18">
      <c r="A555" s="324" t="s">
        <v>1056</v>
      </c>
      <c r="B555" s="325" t="s">
        <v>224</v>
      </c>
      <c r="C555" s="326" t="s">
        <v>760</v>
      </c>
      <c r="D555" s="327" t="s">
        <v>1111</v>
      </c>
      <c r="E555" s="328" t="s">
        <v>50</v>
      </c>
      <c r="F555" s="329">
        <v>280.31</v>
      </c>
      <c r="G555" s="330">
        <v>111.39</v>
      </c>
      <c r="H555" s="331">
        <v>0</v>
      </c>
      <c r="I555" s="332">
        <v>0</v>
      </c>
      <c r="J555" s="331">
        <f t="shared" si="69"/>
        <v>111.39</v>
      </c>
      <c r="K555" s="329">
        <f t="shared" si="70"/>
        <v>31223.730899999999</v>
      </c>
      <c r="L555" s="298">
        <f t="shared" si="68"/>
        <v>0</v>
      </c>
      <c r="M555" s="298">
        <f t="shared" si="67"/>
        <v>0</v>
      </c>
      <c r="N555" s="603">
        <f t="shared" si="71"/>
        <v>31223.730899999999</v>
      </c>
      <c r="O555" s="330"/>
      <c r="P555" s="333"/>
      <c r="Q555" s="330"/>
      <c r="R555" s="333"/>
    </row>
    <row r="556" spans="1:18">
      <c r="A556" s="324" t="s">
        <v>1056</v>
      </c>
      <c r="B556" s="325" t="s">
        <v>225</v>
      </c>
      <c r="C556" s="326" t="s">
        <v>761</v>
      </c>
      <c r="D556" s="327" t="s">
        <v>1112</v>
      </c>
      <c r="E556" s="328" t="s">
        <v>50</v>
      </c>
      <c r="F556" s="329">
        <v>645.84</v>
      </c>
      <c r="G556" s="330">
        <v>15.3</v>
      </c>
      <c r="H556" s="331">
        <v>0</v>
      </c>
      <c r="I556" s="332">
        <v>0</v>
      </c>
      <c r="J556" s="331">
        <f t="shared" si="69"/>
        <v>15.3</v>
      </c>
      <c r="K556" s="329">
        <f t="shared" si="70"/>
        <v>9881.3520000000008</v>
      </c>
      <c r="L556" s="298">
        <f t="shared" si="68"/>
        <v>0</v>
      </c>
      <c r="M556" s="298">
        <f t="shared" si="67"/>
        <v>0</v>
      </c>
      <c r="N556" s="603">
        <f t="shared" si="71"/>
        <v>9881.3520000000008</v>
      </c>
      <c r="O556" s="330"/>
      <c r="P556" s="333"/>
      <c r="Q556" s="330"/>
      <c r="R556" s="333"/>
    </row>
    <row r="557" spans="1:18">
      <c r="A557" s="324" t="s">
        <v>1056</v>
      </c>
      <c r="B557" s="325" t="s">
        <v>226</v>
      </c>
      <c r="C557" s="326" t="s">
        <v>762</v>
      </c>
      <c r="D557" s="327" t="s">
        <v>1113</v>
      </c>
      <c r="E557" s="328" t="s">
        <v>50</v>
      </c>
      <c r="F557" s="329">
        <v>651.87</v>
      </c>
      <c r="G557" s="330">
        <v>5.63</v>
      </c>
      <c r="H557" s="331">
        <v>0</v>
      </c>
      <c r="I557" s="332">
        <v>0</v>
      </c>
      <c r="J557" s="331">
        <f t="shared" si="69"/>
        <v>5.63</v>
      </c>
      <c r="K557" s="329">
        <f t="shared" si="70"/>
        <v>3670.0281</v>
      </c>
      <c r="L557" s="298">
        <f t="shared" si="68"/>
        <v>0</v>
      </c>
      <c r="M557" s="298">
        <f t="shared" si="67"/>
        <v>0</v>
      </c>
      <c r="N557" s="603">
        <f t="shared" si="71"/>
        <v>3670.0281</v>
      </c>
      <c r="O557" s="330"/>
      <c r="P557" s="333"/>
      <c r="Q557" s="330"/>
      <c r="R557" s="333"/>
    </row>
    <row r="558" spans="1:18">
      <c r="A558" s="324" t="s">
        <v>1060</v>
      </c>
      <c r="B558" s="419">
        <v>210322</v>
      </c>
      <c r="C558" s="326" t="s">
        <v>763</v>
      </c>
      <c r="D558" s="327" t="s">
        <v>1114</v>
      </c>
      <c r="E558" s="328" t="s">
        <v>51</v>
      </c>
      <c r="F558" s="329">
        <v>91.5</v>
      </c>
      <c r="G558" s="330">
        <v>13.65</v>
      </c>
      <c r="H558" s="331">
        <v>0</v>
      </c>
      <c r="I558" s="332">
        <v>0</v>
      </c>
      <c r="J558" s="331">
        <f t="shared" si="69"/>
        <v>13.65</v>
      </c>
      <c r="K558" s="329">
        <f t="shared" si="70"/>
        <v>1248.9750000000001</v>
      </c>
      <c r="L558" s="298">
        <f t="shared" si="68"/>
        <v>0</v>
      </c>
      <c r="M558" s="298">
        <f t="shared" si="67"/>
        <v>0</v>
      </c>
      <c r="N558" s="603">
        <f t="shared" si="71"/>
        <v>1248.9750000000001</v>
      </c>
      <c r="O558" s="330"/>
      <c r="P558" s="333"/>
      <c r="Q558" s="330"/>
      <c r="R558" s="333"/>
    </row>
    <row r="559" spans="1:18" ht="30">
      <c r="A559" s="324" t="s">
        <v>1056</v>
      </c>
      <c r="B559" s="325" t="s">
        <v>227</v>
      </c>
      <c r="C559" s="326" t="s">
        <v>764</v>
      </c>
      <c r="D559" s="348" t="s">
        <v>233</v>
      </c>
      <c r="E559" s="328" t="s">
        <v>51</v>
      </c>
      <c r="F559" s="329">
        <v>366.23</v>
      </c>
      <c r="G559" s="330">
        <v>4.1500000000000004</v>
      </c>
      <c r="H559" s="331">
        <v>0</v>
      </c>
      <c r="I559" s="332">
        <v>0</v>
      </c>
      <c r="J559" s="331">
        <f t="shared" si="69"/>
        <v>4.1500000000000004</v>
      </c>
      <c r="K559" s="329">
        <f t="shared" si="70"/>
        <v>1519.8545000000001</v>
      </c>
      <c r="L559" s="298">
        <f t="shared" si="68"/>
        <v>0</v>
      </c>
      <c r="M559" s="298">
        <f t="shared" si="67"/>
        <v>0</v>
      </c>
      <c r="N559" s="603">
        <f t="shared" si="71"/>
        <v>1519.8545000000001</v>
      </c>
      <c r="O559" s="330"/>
      <c r="P559" s="333"/>
      <c r="Q559" s="330"/>
      <c r="R559" s="333"/>
    </row>
    <row r="560" spans="1:18" ht="45">
      <c r="A560" s="346" t="s">
        <v>1060</v>
      </c>
      <c r="B560" s="347">
        <v>50608</v>
      </c>
      <c r="C560" s="297" t="s">
        <v>765</v>
      </c>
      <c r="D560" s="348" t="s">
        <v>234</v>
      </c>
      <c r="E560" s="328" t="s">
        <v>57</v>
      </c>
      <c r="F560" s="329">
        <v>88.68</v>
      </c>
      <c r="G560" s="330">
        <v>8.32</v>
      </c>
      <c r="H560" s="331">
        <v>0</v>
      </c>
      <c r="I560" s="332">
        <v>0</v>
      </c>
      <c r="J560" s="331">
        <f t="shared" si="69"/>
        <v>8.32</v>
      </c>
      <c r="K560" s="329">
        <f t="shared" si="70"/>
        <v>737.81760000000008</v>
      </c>
      <c r="L560" s="298">
        <f t="shared" si="68"/>
        <v>0</v>
      </c>
      <c r="M560" s="298">
        <f t="shared" si="67"/>
        <v>0</v>
      </c>
      <c r="N560" s="603">
        <f t="shared" si="71"/>
        <v>737.81760000000008</v>
      </c>
      <c r="O560" s="330"/>
      <c r="P560" s="333"/>
      <c r="Q560" s="330"/>
      <c r="R560" s="333"/>
    </row>
    <row r="561" spans="1:18" ht="30">
      <c r="A561" s="324" t="s">
        <v>1060</v>
      </c>
      <c r="B561" s="419">
        <v>120101</v>
      </c>
      <c r="C561" s="326" t="s">
        <v>766</v>
      </c>
      <c r="D561" s="348" t="s">
        <v>235</v>
      </c>
      <c r="E561" s="328" t="s">
        <v>57</v>
      </c>
      <c r="F561" s="329">
        <v>5.64</v>
      </c>
      <c r="G561" s="330">
        <v>531.42999999999995</v>
      </c>
      <c r="H561" s="331">
        <v>0</v>
      </c>
      <c r="I561" s="332">
        <v>0</v>
      </c>
      <c r="J561" s="331">
        <f t="shared" si="69"/>
        <v>531.42999999999995</v>
      </c>
      <c r="K561" s="329">
        <f t="shared" si="70"/>
        <v>2997.2651999999994</v>
      </c>
      <c r="L561" s="298">
        <f t="shared" si="68"/>
        <v>0</v>
      </c>
      <c r="M561" s="298">
        <f t="shared" si="67"/>
        <v>0</v>
      </c>
      <c r="N561" s="603">
        <f t="shared" si="71"/>
        <v>2997.2651999999994</v>
      </c>
      <c r="O561" s="330"/>
      <c r="P561" s="333"/>
      <c r="Q561" s="330"/>
      <c r="R561" s="333"/>
    </row>
    <row r="562" spans="1:18" ht="30">
      <c r="A562" s="324" t="s">
        <v>1060</v>
      </c>
      <c r="B562" s="419">
        <v>120303</v>
      </c>
      <c r="C562" s="326" t="s">
        <v>767</v>
      </c>
      <c r="D562" s="348" t="s">
        <v>236</v>
      </c>
      <c r="E562" s="328" t="s">
        <v>57</v>
      </c>
      <c r="F562" s="329">
        <v>49.24</v>
      </c>
      <c r="G562" s="330">
        <v>531.42999999999995</v>
      </c>
      <c r="H562" s="331">
        <v>0</v>
      </c>
      <c r="I562" s="332">
        <v>0</v>
      </c>
      <c r="J562" s="331">
        <f t="shared" si="69"/>
        <v>531.42999999999995</v>
      </c>
      <c r="K562" s="329">
        <f t="shared" si="70"/>
        <v>26167.6132</v>
      </c>
      <c r="L562" s="298">
        <f t="shared" si="68"/>
        <v>0</v>
      </c>
      <c r="M562" s="298">
        <f t="shared" si="67"/>
        <v>0</v>
      </c>
      <c r="N562" s="603">
        <f t="shared" si="71"/>
        <v>26167.6132</v>
      </c>
      <c r="O562" s="330"/>
      <c r="P562" s="333"/>
      <c r="Q562" s="330"/>
      <c r="R562" s="333"/>
    </row>
    <row r="563" spans="1:18" ht="30">
      <c r="A563" s="324" t="s">
        <v>1060</v>
      </c>
      <c r="B563" s="419">
        <v>190117</v>
      </c>
      <c r="C563" s="326" t="s">
        <v>768</v>
      </c>
      <c r="D563" s="348" t="s">
        <v>237</v>
      </c>
      <c r="E563" s="328" t="s">
        <v>57</v>
      </c>
      <c r="F563" s="329">
        <v>18.27</v>
      </c>
      <c r="G563" s="330">
        <v>531.42999999999995</v>
      </c>
      <c r="H563" s="331">
        <v>0</v>
      </c>
      <c r="I563" s="332">
        <v>0</v>
      </c>
      <c r="J563" s="331">
        <f t="shared" si="69"/>
        <v>531.42999999999995</v>
      </c>
      <c r="K563" s="329">
        <f t="shared" si="70"/>
        <v>9709.226099999998</v>
      </c>
      <c r="L563" s="298">
        <f t="shared" si="68"/>
        <v>0</v>
      </c>
      <c r="M563" s="298">
        <f t="shared" si="67"/>
        <v>0</v>
      </c>
      <c r="N563" s="603">
        <f t="shared" si="71"/>
        <v>9709.226099999998</v>
      </c>
      <c r="O563" s="330"/>
      <c r="P563" s="333"/>
      <c r="Q563" s="330"/>
      <c r="R563" s="333"/>
    </row>
    <row r="564" spans="1:18" ht="45">
      <c r="A564" s="346" t="s">
        <v>1060</v>
      </c>
      <c r="B564" s="426">
        <v>130230</v>
      </c>
      <c r="C564" s="297" t="s">
        <v>769</v>
      </c>
      <c r="D564" s="348" t="s">
        <v>1226</v>
      </c>
      <c r="E564" s="328" t="s">
        <v>57</v>
      </c>
      <c r="F564" s="329">
        <v>106.19</v>
      </c>
      <c r="G564" s="330">
        <v>142.32</v>
      </c>
      <c r="H564" s="331">
        <v>0</v>
      </c>
      <c r="I564" s="332">
        <v>0</v>
      </c>
      <c r="J564" s="331">
        <f t="shared" si="69"/>
        <v>142.32</v>
      </c>
      <c r="K564" s="329">
        <f t="shared" si="70"/>
        <v>15112.960799999999</v>
      </c>
      <c r="L564" s="298">
        <f t="shared" si="68"/>
        <v>0</v>
      </c>
      <c r="M564" s="298">
        <f t="shared" si="67"/>
        <v>0</v>
      </c>
      <c r="N564" s="603">
        <f t="shared" si="71"/>
        <v>15112.960799999999</v>
      </c>
      <c r="O564" s="330"/>
      <c r="P564" s="333"/>
      <c r="Q564" s="330"/>
      <c r="R564" s="333"/>
    </row>
    <row r="565" spans="1:18" ht="30">
      <c r="A565" s="324" t="s">
        <v>1056</v>
      </c>
      <c r="B565" s="325" t="s">
        <v>228</v>
      </c>
      <c r="C565" s="326" t="s">
        <v>770</v>
      </c>
      <c r="D565" s="348" t="s">
        <v>239</v>
      </c>
      <c r="E565" s="328" t="s">
        <v>72</v>
      </c>
      <c r="F565" s="329">
        <v>333.45</v>
      </c>
      <c r="G565" s="330">
        <v>25</v>
      </c>
      <c r="H565" s="331">
        <v>0</v>
      </c>
      <c r="I565" s="332">
        <v>0</v>
      </c>
      <c r="J565" s="331">
        <f t="shared" si="69"/>
        <v>25</v>
      </c>
      <c r="K565" s="329">
        <f t="shared" si="70"/>
        <v>8336.25</v>
      </c>
      <c r="L565" s="298">
        <f t="shared" si="68"/>
        <v>0</v>
      </c>
      <c r="M565" s="298">
        <f t="shared" si="67"/>
        <v>0</v>
      </c>
      <c r="N565" s="603">
        <f t="shared" si="71"/>
        <v>8336.25</v>
      </c>
      <c r="O565" s="330"/>
      <c r="P565" s="333"/>
      <c r="Q565" s="330"/>
      <c r="R565" s="333"/>
    </row>
    <row r="566" spans="1:18" s="312" customFormat="1">
      <c r="A566" s="392"/>
      <c r="B566" s="393"/>
      <c r="C566" s="394" t="s">
        <v>771</v>
      </c>
      <c r="D566" s="395" t="s">
        <v>1116</v>
      </c>
      <c r="E566" s="396"/>
      <c r="F566" s="397"/>
      <c r="G566" s="398"/>
      <c r="H566" s="399"/>
      <c r="I566" s="400"/>
      <c r="J566" s="399"/>
      <c r="K566" s="407"/>
      <c r="L566" s="597"/>
      <c r="M566" s="298"/>
      <c r="N566" s="603"/>
      <c r="O566" s="398"/>
      <c r="P566" s="402"/>
      <c r="Q566" s="398"/>
      <c r="R566" s="402"/>
    </row>
    <row r="567" spans="1:18" s="345" customFormat="1">
      <c r="A567" s="334"/>
      <c r="B567" s="335"/>
      <c r="C567" s="336" t="s">
        <v>772</v>
      </c>
      <c r="D567" s="337" t="s">
        <v>1117</v>
      </c>
      <c r="E567" s="338"/>
      <c r="F567" s="339"/>
      <c r="G567" s="340"/>
      <c r="H567" s="341"/>
      <c r="I567" s="342"/>
      <c r="J567" s="341"/>
      <c r="K567" s="343"/>
      <c r="L567" s="298"/>
      <c r="M567" s="298"/>
      <c r="N567" s="603"/>
      <c r="O567" s="340"/>
      <c r="P567" s="344"/>
      <c r="Q567" s="340"/>
      <c r="R567" s="344"/>
    </row>
    <row r="568" spans="1:18" s="387" customFormat="1" ht="18">
      <c r="A568" s="518" t="s">
        <v>1060</v>
      </c>
      <c r="B568" s="376">
        <v>40405</v>
      </c>
      <c r="C568" s="377" t="s">
        <v>773</v>
      </c>
      <c r="D568" s="378" t="s">
        <v>264</v>
      </c>
      <c r="E568" s="379" t="s">
        <v>57</v>
      </c>
      <c r="F568" s="380">
        <v>86.33</v>
      </c>
      <c r="G568" s="381">
        <v>341</v>
      </c>
      <c r="H568" s="384">
        <v>90</v>
      </c>
      <c r="I568" s="383">
        <v>0</v>
      </c>
      <c r="J568" s="384">
        <f t="shared" si="69"/>
        <v>431</v>
      </c>
      <c r="K568" s="519">
        <f t="shared" si="70"/>
        <v>29438.53</v>
      </c>
      <c r="L568" s="358">
        <f t="shared" si="68"/>
        <v>7769.7</v>
      </c>
      <c r="M568" s="359">
        <f t="shared" si="67"/>
        <v>0</v>
      </c>
      <c r="N568" s="604">
        <f t="shared" si="71"/>
        <v>37208.229999999996</v>
      </c>
      <c r="O568" s="381">
        <v>90</v>
      </c>
      <c r="P568" s="386">
        <f>F568</f>
        <v>86.33</v>
      </c>
      <c r="Q568" s="381"/>
      <c r="R568" s="386">
        <f>H568</f>
        <v>90</v>
      </c>
    </row>
    <row r="569" spans="1:18" s="481" customFormat="1">
      <c r="A569" s="435" t="s">
        <v>1060</v>
      </c>
      <c r="B569" s="520"/>
      <c r="C569" s="437" t="s">
        <v>774</v>
      </c>
      <c r="D569" s="438" t="s">
        <v>1119</v>
      </c>
      <c r="E569" s="439" t="s">
        <v>10</v>
      </c>
      <c r="F569" s="478">
        <f>'[34]COMPOSIÇÕES ADITIVO'!I183</f>
        <v>13295.45</v>
      </c>
      <c r="G569" s="479">
        <v>0</v>
      </c>
      <c r="H569" s="442">
        <v>1</v>
      </c>
      <c r="I569" s="443">
        <v>0</v>
      </c>
      <c r="J569" s="442">
        <f t="shared" si="69"/>
        <v>1</v>
      </c>
      <c r="K569" s="478">
        <f t="shared" si="70"/>
        <v>0</v>
      </c>
      <c r="L569" s="298">
        <f t="shared" si="68"/>
        <v>13295.45</v>
      </c>
      <c r="M569" s="298">
        <f t="shared" si="67"/>
        <v>0</v>
      </c>
      <c r="N569" s="603">
        <f t="shared" si="71"/>
        <v>13295.45</v>
      </c>
      <c r="O569" s="479">
        <v>1</v>
      </c>
      <c r="P569" s="480">
        <f>O569*F569</f>
        <v>13295.45</v>
      </c>
      <c r="Q569" s="479"/>
      <c r="R569" s="480">
        <f>Q569*H569</f>
        <v>0</v>
      </c>
    </row>
    <row r="570" spans="1:18">
      <c r="A570" s="324" t="s">
        <v>1056</v>
      </c>
      <c r="B570" s="325" t="s">
        <v>255</v>
      </c>
      <c r="C570" s="408" t="s">
        <v>775</v>
      </c>
      <c r="D570" s="327" t="s">
        <v>1120</v>
      </c>
      <c r="E570" s="328" t="s">
        <v>29</v>
      </c>
      <c r="F570" s="329">
        <v>7.33</v>
      </c>
      <c r="G570" s="330">
        <v>3966.02</v>
      </c>
      <c r="H570" s="331">
        <v>0</v>
      </c>
      <c r="I570" s="332">
        <v>0</v>
      </c>
      <c r="J570" s="331">
        <f t="shared" si="69"/>
        <v>3966.02</v>
      </c>
      <c r="K570" s="329">
        <f t="shared" si="70"/>
        <v>29070.926599999999</v>
      </c>
      <c r="L570" s="298">
        <f t="shared" si="68"/>
        <v>0</v>
      </c>
      <c r="M570" s="298">
        <f t="shared" si="67"/>
        <v>0</v>
      </c>
      <c r="N570" s="603">
        <f t="shared" si="71"/>
        <v>29070.926599999999</v>
      </c>
      <c r="O570" s="330"/>
      <c r="P570" s="333"/>
      <c r="Q570" s="330"/>
      <c r="R570" s="333"/>
    </row>
    <row r="571" spans="1:18" ht="30">
      <c r="A571" s="324" t="s">
        <v>1060</v>
      </c>
      <c r="B571" s="349">
        <v>40328</v>
      </c>
      <c r="C571" s="408" t="s">
        <v>776</v>
      </c>
      <c r="D571" s="327" t="s">
        <v>1227</v>
      </c>
      <c r="E571" s="328" t="s">
        <v>29</v>
      </c>
      <c r="F571" s="329">
        <v>7.98</v>
      </c>
      <c r="G571" s="330">
        <v>1880</v>
      </c>
      <c r="H571" s="331">
        <v>0</v>
      </c>
      <c r="I571" s="332">
        <v>0</v>
      </c>
      <c r="J571" s="331">
        <f t="shared" si="69"/>
        <v>1880</v>
      </c>
      <c r="K571" s="329">
        <f t="shared" si="70"/>
        <v>15002.400000000001</v>
      </c>
      <c r="L571" s="298">
        <f t="shared" si="68"/>
        <v>0</v>
      </c>
      <c r="M571" s="298">
        <f t="shared" si="67"/>
        <v>0</v>
      </c>
      <c r="N571" s="603">
        <f t="shared" si="71"/>
        <v>15002.400000000001</v>
      </c>
      <c r="O571" s="330"/>
      <c r="P571" s="333"/>
      <c r="Q571" s="330"/>
      <c r="R571" s="333"/>
    </row>
    <row r="572" spans="1:18">
      <c r="A572" s="324" t="s">
        <v>1056</v>
      </c>
      <c r="B572" s="325" t="s">
        <v>256</v>
      </c>
      <c r="C572" s="408" t="s">
        <v>777</v>
      </c>
      <c r="D572" s="327" t="s">
        <v>1176</v>
      </c>
      <c r="E572" s="328" t="s">
        <v>29</v>
      </c>
      <c r="F572" s="329">
        <v>11.02</v>
      </c>
      <c r="G572" s="330">
        <v>73</v>
      </c>
      <c r="H572" s="331">
        <v>0</v>
      </c>
      <c r="I572" s="332">
        <v>0</v>
      </c>
      <c r="J572" s="331">
        <f t="shared" si="69"/>
        <v>73</v>
      </c>
      <c r="K572" s="329">
        <f t="shared" si="70"/>
        <v>804.45999999999992</v>
      </c>
      <c r="L572" s="298">
        <f t="shared" si="68"/>
        <v>0</v>
      </c>
      <c r="M572" s="298">
        <f t="shared" si="67"/>
        <v>0</v>
      </c>
      <c r="N572" s="603">
        <f t="shared" si="71"/>
        <v>804.45999999999992</v>
      </c>
      <c r="O572" s="330"/>
      <c r="P572" s="333"/>
      <c r="Q572" s="330"/>
      <c r="R572" s="333"/>
    </row>
    <row r="573" spans="1:18" ht="60">
      <c r="A573" s="324" t="s">
        <v>1056</v>
      </c>
      <c r="B573" s="325" t="s">
        <v>257</v>
      </c>
      <c r="C573" s="408" t="s">
        <v>778</v>
      </c>
      <c r="D573" s="327" t="s">
        <v>1228</v>
      </c>
      <c r="E573" s="328" t="s">
        <v>58</v>
      </c>
      <c r="F573" s="329">
        <v>777.83</v>
      </c>
      <c r="G573" s="330">
        <v>28.05</v>
      </c>
      <c r="H573" s="331">
        <v>0</v>
      </c>
      <c r="I573" s="332">
        <v>0</v>
      </c>
      <c r="J573" s="331">
        <f t="shared" si="69"/>
        <v>28.05</v>
      </c>
      <c r="K573" s="329">
        <f t="shared" si="70"/>
        <v>21818.131500000003</v>
      </c>
      <c r="L573" s="298">
        <f t="shared" si="68"/>
        <v>0</v>
      </c>
      <c r="M573" s="298">
        <f t="shared" si="67"/>
        <v>0</v>
      </c>
      <c r="N573" s="603">
        <f t="shared" si="71"/>
        <v>21818.131500000003</v>
      </c>
      <c r="O573" s="330"/>
      <c r="P573" s="333"/>
      <c r="Q573" s="330"/>
      <c r="R573" s="333"/>
    </row>
    <row r="574" spans="1:18">
      <c r="A574" s="324" t="s">
        <v>1056</v>
      </c>
      <c r="B574" s="325" t="s">
        <v>258</v>
      </c>
      <c r="C574" s="408" t="s">
        <v>780</v>
      </c>
      <c r="D574" s="327" t="s">
        <v>1177</v>
      </c>
      <c r="E574" s="328" t="s">
        <v>49</v>
      </c>
      <c r="F574" s="329">
        <v>641.15</v>
      </c>
      <c r="G574" s="330">
        <v>113.84</v>
      </c>
      <c r="H574" s="331">
        <v>0</v>
      </c>
      <c r="I574" s="332">
        <v>0</v>
      </c>
      <c r="J574" s="331">
        <f t="shared" si="69"/>
        <v>113.84</v>
      </c>
      <c r="K574" s="329">
        <f t="shared" si="70"/>
        <v>72988.516000000003</v>
      </c>
      <c r="L574" s="298">
        <f t="shared" si="68"/>
        <v>0</v>
      </c>
      <c r="M574" s="298">
        <f t="shared" si="67"/>
        <v>0</v>
      </c>
      <c r="N574" s="603">
        <f t="shared" si="71"/>
        <v>72988.516000000003</v>
      </c>
      <c r="O574" s="330"/>
      <c r="P574" s="333"/>
      <c r="Q574" s="330"/>
      <c r="R574" s="333"/>
    </row>
    <row r="575" spans="1:18" s="361" customFormat="1" ht="18">
      <c r="A575" s="324" t="s">
        <v>1056</v>
      </c>
      <c r="B575" s="351" t="s">
        <v>259</v>
      </c>
      <c r="C575" s="328" t="s">
        <v>781</v>
      </c>
      <c r="D575" s="352" t="s">
        <v>269</v>
      </c>
      <c r="E575" s="353" t="s">
        <v>72</v>
      </c>
      <c r="F575" s="354">
        <v>14345.61</v>
      </c>
      <c r="G575" s="355">
        <v>4</v>
      </c>
      <c r="H575" s="331"/>
      <c r="I575" s="356">
        <v>0</v>
      </c>
      <c r="J575" s="331">
        <f t="shared" si="69"/>
        <v>4</v>
      </c>
      <c r="K575" s="357">
        <f t="shared" si="70"/>
        <v>57382.44</v>
      </c>
      <c r="L575" s="358">
        <f t="shared" si="68"/>
        <v>0</v>
      </c>
      <c r="M575" s="359">
        <f t="shared" si="67"/>
        <v>0</v>
      </c>
      <c r="N575" s="604">
        <f t="shared" si="71"/>
        <v>57382.44</v>
      </c>
      <c r="O575" s="355"/>
      <c r="P575" s="360"/>
      <c r="Q575" s="355"/>
      <c r="R575" s="360"/>
    </row>
    <row r="576" spans="1:18">
      <c r="A576" s="324" t="s">
        <v>1056</v>
      </c>
      <c r="B576" s="325" t="s">
        <v>260</v>
      </c>
      <c r="C576" s="408" t="s">
        <v>782</v>
      </c>
      <c r="D576" s="327" t="s">
        <v>1122</v>
      </c>
      <c r="E576" s="328" t="s">
        <v>72</v>
      </c>
      <c r="F576" s="329">
        <v>5478.19</v>
      </c>
      <c r="G576" s="330">
        <v>2</v>
      </c>
      <c r="H576" s="331">
        <v>0</v>
      </c>
      <c r="I576" s="332">
        <v>0</v>
      </c>
      <c r="J576" s="331">
        <f t="shared" si="69"/>
        <v>2</v>
      </c>
      <c r="K576" s="329">
        <f t="shared" si="70"/>
        <v>10956.38</v>
      </c>
      <c r="L576" s="298">
        <f t="shared" si="68"/>
        <v>0</v>
      </c>
      <c r="M576" s="298">
        <f t="shared" si="67"/>
        <v>0</v>
      </c>
      <c r="N576" s="603">
        <f t="shared" si="71"/>
        <v>10956.38</v>
      </c>
      <c r="O576" s="330"/>
      <c r="P576" s="333"/>
      <c r="Q576" s="330"/>
      <c r="R576" s="333"/>
    </row>
    <row r="577" spans="1:18" ht="30">
      <c r="A577" s="324" t="s">
        <v>1060</v>
      </c>
      <c r="B577" s="349">
        <v>40817</v>
      </c>
      <c r="C577" s="408" t="s">
        <v>783</v>
      </c>
      <c r="D577" s="348" t="s">
        <v>271</v>
      </c>
      <c r="E577" s="328" t="s">
        <v>58</v>
      </c>
      <c r="F577" s="329">
        <v>3001.6</v>
      </c>
      <c r="G577" s="330">
        <v>0.03</v>
      </c>
      <c r="H577" s="331">
        <v>0</v>
      </c>
      <c r="I577" s="332">
        <v>0</v>
      </c>
      <c r="J577" s="331">
        <f t="shared" si="69"/>
        <v>0.03</v>
      </c>
      <c r="K577" s="329">
        <f t="shared" si="70"/>
        <v>90.047999999999988</v>
      </c>
      <c r="L577" s="298">
        <f t="shared" si="68"/>
        <v>0</v>
      </c>
      <c r="M577" s="298">
        <f t="shared" si="67"/>
        <v>0</v>
      </c>
      <c r="N577" s="603">
        <f t="shared" si="71"/>
        <v>90.047999999999988</v>
      </c>
      <c r="O577" s="330"/>
      <c r="P577" s="333"/>
      <c r="Q577" s="330"/>
      <c r="R577" s="333"/>
    </row>
    <row r="578" spans="1:18">
      <c r="A578" s="324" t="s">
        <v>1056</v>
      </c>
      <c r="B578" s="325" t="s">
        <v>261</v>
      </c>
      <c r="C578" s="408" t="s">
        <v>784</v>
      </c>
      <c r="D578" s="327" t="s">
        <v>1123</v>
      </c>
      <c r="E578" s="328" t="s">
        <v>72</v>
      </c>
      <c r="F578" s="329">
        <v>2011.04</v>
      </c>
      <c r="G578" s="330">
        <v>15</v>
      </c>
      <c r="H578" s="331">
        <v>0</v>
      </c>
      <c r="I578" s="332">
        <v>0</v>
      </c>
      <c r="J578" s="331">
        <f t="shared" si="69"/>
        <v>15</v>
      </c>
      <c r="K578" s="329">
        <f t="shared" si="70"/>
        <v>30165.599999999999</v>
      </c>
      <c r="L578" s="298">
        <f t="shared" si="68"/>
        <v>0</v>
      </c>
      <c r="M578" s="298">
        <f t="shared" si="67"/>
        <v>0</v>
      </c>
      <c r="N578" s="603">
        <f t="shared" si="71"/>
        <v>30165.599999999999</v>
      </c>
      <c r="O578" s="330"/>
      <c r="P578" s="333"/>
      <c r="Q578" s="330"/>
      <c r="R578" s="333"/>
    </row>
    <row r="579" spans="1:18" ht="30">
      <c r="A579" s="324" t="s">
        <v>1056</v>
      </c>
      <c r="B579" s="325" t="s">
        <v>262</v>
      </c>
      <c r="C579" s="408" t="s">
        <v>1229</v>
      </c>
      <c r="D579" s="327" t="s">
        <v>273</v>
      </c>
      <c r="E579" s="328" t="s">
        <v>72</v>
      </c>
      <c r="F579" s="329">
        <v>28185.33</v>
      </c>
      <c r="G579" s="330">
        <v>1</v>
      </c>
      <c r="H579" s="331">
        <v>0</v>
      </c>
      <c r="I579" s="332">
        <v>0</v>
      </c>
      <c r="J579" s="331">
        <f t="shared" si="69"/>
        <v>1</v>
      </c>
      <c r="K579" s="329">
        <f t="shared" si="70"/>
        <v>28185.33</v>
      </c>
      <c r="L579" s="298">
        <f t="shared" si="68"/>
        <v>0</v>
      </c>
      <c r="M579" s="298">
        <f t="shared" si="67"/>
        <v>0</v>
      </c>
      <c r="N579" s="603">
        <f t="shared" si="71"/>
        <v>28185.33</v>
      </c>
      <c r="O579" s="330"/>
      <c r="P579" s="333"/>
      <c r="Q579" s="330"/>
      <c r="R579" s="333"/>
    </row>
    <row r="580" spans="1:18">
      <c r="A580" s="324" t="s">
        <v>1056</v>
      </c>
      <c r="B580" s="325" t="s">
        <v>263</v>
      </c>
      <c r="C580" s="408" t="s">
        <v>1230</v>
      </c>
      <c r="D580" s="327" t="s">
        <v>1126</v>
      </c>
      <c r="E580" s="328" t="s">
        <v>72</v>
      </c>
      <c r="F580" s="329">
        <v>340.73</v>
      </c>
      <c r="G580" s="330">
        <v>2</v>
      </c>
      <c r="H580" s="331">
        <v>0</v>
      </c>
      <c r="I580" s="332">
        <v>0</v>
      </c>
      <c r="J580" s="331">
        <f t="shared" si="69"/>
        <v>2</v>
      </c>
      <c r="K580" s="329">
        <f t="shared" si="70"/>
        <v>681.46</v>
      </c>
      <c r="L580" s="298">
        <f t="shared" si="68"/>
        <v>0</v>
      </c>
      <c r="M580" s="298">
        <f t="shared" si="67"/>
        <v>0</v>
      </c>
      <c r="N580" s="603">
        <f t="shared" si="71"/>
        <v>681.46</v>
      </c>
      <c r="O580" s="330"/>
      <c r="P580" s="333"/>
      <c r="Q580" s="330"/>
      <c r="R580" s="333"/>
    </row>
    <row r="581" spans="1:18" s="345" customFormat="1">
      <c r="A581" s="334"/>
      <c r="B581" s="335"/>
      <c r="C581" s="336" t="s">
        <v>785</v>
      </c>
      <c r="D581" s="337" t="s">
        <v>1127</v>
      </c>
      <c r="E581" s="338"/>
      <c r="F581" s="339"/>
      <c r="G581" s="340"/>
      <c r="H581" s="341"/>
      <c r="I581" s="342"/>
      <c r="J581" s="341"/>
      <c r="K581" s="343"/>
      <c r="L581" s="298"/>
      <c r="M581" s="298"/>
      <c r="N581" s="603"/>
      <c r="O581" s="340"/>
      <c r="P581" s="344"/>
      <c r="Q581" s="340"/>
      <c r="R581" s="344"/>
    </row>
    <row r="582" spans="1:18" ht="30">
      <c r="A582" s="324" t="s">
        <v>1056</v>
      </c>
      <c r="B582" s="325" t="s">
        <v>787</v>
      </c>
      <c r="C582" s="408" t="s">
        <v>786</v>
      </c>
      <c r="D582" s="327" t="s">
        <v>788</v>
      </c>
      <c r="E582" s="328" t="s">
        <v>72</v>
      </c>
      <c r="F582" s="329">
        <v>1359.12</v>
      </c>
      <c r="G582" s="330">
        <v>1</v>
      </c>
      <c r="H582" s="331">
        <v>0</v>
      </c>
      <c r="I582" s="332">
        <v>0</v>
      </c>
      <c r="J582" s="331">
        <f t="shared" si="69"/>
        <v>1</v>
      </c>
      <c r="K582" s="329">
        <f t="shared" si="70"/>
        <v>1359.12</v>
      </c>
      <c r="L582" s="298">
        <f>H582*F582</f>
        <v>0</v>
      </c>
      <c r="M582" s="298">
        <f t="shared" si="67"/>
        <v>0</v>
      </c>
      <c r="N582" s="603">
        <f t="shared" si="71"/>
        <v>1359.12</v>
      </c>
      <c r="O582" s="330"/>
      <c r="P582" s="333"/>
      <c r="Q582" s="330"/>
      <c r="R582" s="333"/>
    </row>
    <row r="583" spans="1:18" s="345" customFormat="1">
      <c r="A583" s="334"/>
      <c r="B583" s="335"/>
      <c r="C583" s="336" t="s">
        <v>789</v>
      </c>
      <c r="D583" s="417" t="s">
        <v>281</v>
      </c>
      <c r="E583" s="338"/>
      <c r="F583" s="339"/>
      <c r="G583" s="340"/>
      <c r="H583" s="341"/>
      <c r="I583" s="342"/>
      <c r="J583" s="341"/>
      <c r="K583" s="343"/>
      <c r="L583" s="298"/>
      <c r="M583" s="298"/>
      <c r="N583" s="603"/>
      <c r="O583" s="340"/>
      <c r="P583" s="344"/>
      <c r="Q583" s="340"/>
      <c r="R583" s="344"/>
    </row>
    <row r="584" spans="1:18" ht="30">
      <c r="A584" s="324" t="s">
        <v>1096</v>
      </c>
      <c r="B584" s="325" t="s">
        <v>294</v>
      </c>
      <c r="C584" s="408" t="s">
        <v>790</v>
      </c>
      <c r="D584" s="348" t="s">
        <v>304</v>
      </c>
      <c r="E584" s="328" t="s">
        <v>315</v>
      </c>
      <c r="F584" s="329">
        <v>18178.13</v>
      </c>
      <c r="G584" s="330">
        <v>2</v>
      </c>
      <c r="H584" s="331">
        <v>0</v>
      </c>
      <c r="I584" s="332">
        <v>0</v>
      </c>
      <c r="J584" s="331">
        <f t="shared" si="69"/>
        <v>2</v>
      </c>
      <c r="K584" s="329">
        <f t="shared" si="70"/>
        <v>36356.26</v>
      </c>
      <c r="L584" s="298">
        <f t="shared" ref="L584:L640" si="72">H584*F584</f>
        <v>0</v>
      </c>
      <c r="M584" s="298">
        <f t="shared" ref="M584:M641" si="73">I584*F584</f>
        <v>0</v>
      </c>
      <c r="N584" s="603">
        <f t="shared" si="71"/>
        <v>36356.26</v>
      </c>
      <c r="O584" s="330"/>
      <c r="P584" s="333"/>
      <c r="Q584" s="330"/>
      <c r="R584" s="333"/>
    </row>
    <row r="585" spans="1:18" s="464" customFormat="1" ht="30">
      <c r="A585" s="455" t="s">
        <v>1056</v>
      </c>
      <c r="B585" s="456" t="s">
        <v>295</v>
      </c>
      <c r="C585" s="472" t="s">
        <v>792</v>
      </c>
      <c r="D585" s="458" t="s">
        <v>305</v>
      </c>
      <c r="E585" s="457" t="s">
        <v>51</v>
      </c>
      <c r="F585" s="459">
        <v>1268.83</v>
      </c>
      <c r="G585" s="460">
        <v>92.4</v>
      </c>
      <c r="H585" s="461">
        <v>0</v>
      </c>
      <c r="I585" s="462">
        <v>92.4</v>
      </c>
      <c r="J585" s="461">
        <f t="shared" si="69"/>
        <v>0</v>
      </c>
      <c r="K585" s="459">
        <f t="shared" si="70"/>
        <v>117239.89200000001</v>
      </c>
      <c r="L585" s="298">
        <f t="shared" si="72"/>
        <v>0</v>
      </c>
      <c r="M585" s="298">
        <f t="shared" si="73"/>
        <v>117239.89200000001</v>
      </c>
      <c r="N585" s="605">
        <f t="shared" si="71"/>
        <v>0</v>
      </c>
      <c r="O585" s="460"/>
      <c r="P585" s="463"/>
      <c r="Q585" s="460"/>
      <c r="R585" s="463"/>
    </row>
    <row r="586" spans="1:18" s="481" customFormat="1" ht="30">
      <c r="A586" s="435" t="s">
        <v>1056</v>
      </c>
      <c r="B586" s="436" t="s">
        <v>1180</v>
      </c>
      <c r="C586" s="437" t="s">
        <v>793</v>
      </c>
      <c r="D586" s="438" t="s">
        <v>1181</v>
      </c>
      <c r="E586" s="439" t="s">
        <v>51</v>
      </c>
      <c r="F586" s="478">
        <f>'[34]COMPOSIÇÕES ADITIVO'!I231</f>
        <v>742.5</v>
      </c>
      <c r="G586" s="479">
        <v>0</v>
      </c>
      <c r="H586" s="442">
        <f>(6*23) + (6*23.5)</f>
        <v>279</v>
      </c>
      <c r="I586" s="443">
        <v>0</v>
      </c>
      <c r="J586" s="442">
        <f t="shared" si="69"/>
        <v>279</v>
      </c>
      <c r="K586" s="478">
        <f t="shared" si="70"/>
        <v>0</v>
      </c>
      <c r="L586" s="298">
        <f t="shared" si="72"/>
        <v>207157.5</v>
      </c>
      <c r="M586" s="298">
        <f t="shared" si="73"/>
        <v>0</v>
      </c>
      <c r="N586" s="603">
        <f t="shared" si="71"/>
        <v>207157.5</v>
      </c>
      <c r="O586" s="479"/>
      <c r="P586" s="480"/>
      <c r="Q586" s="479"/>
      <c r="R586" s="480"/>
    </row>
    <row r="587" spans="1:18" s="387" customFormat="1" ht="18">
      <c r="A587" s="375" t="s">
        <v>1056</v>
      </c>
      <c r="B587" s="376" t="s">
        <v>296</v>
      </c>
      <c r="C587" s="377" t="s">
        <v>794</v>
      </c>
      <c r="D587" s="378" t="s">
        <v>1231</v>
      </c>
      <c r="E587" s="379" t="s">
        <v>51</v>
      </c>
      <c r="F587" s="380">
        <v>294.97000000000003</v>
      </c>
      <c r="G587" s="381">
        <v>92.4</v>
      </c>
      <c r="H587" s="384">
        <f>H586-G587</f>
        <v>186.6</v>
      </c>
      <c r="I587" s="383">
        <v>0</v>
      </c>
      <c r="J587" s="384">
        <f t="shared" si="69"/>
        <v>279</v>
      </c>
      <c r="K587" s="385">
        <f>F587*G587</f>
        <v>27255.228000000003</v>
      </c>
      <c r="L587" s="358">
        <f t="shared" si="72"/>
        <v>55041.402000000002</v>
      </c>
      <c r="M587" s="359">
        <f t="shared" si="73"/>
        <v>0</v>
      </c>
      <c r="N587" s="604">
        <f t="shared" si="71"/>
        <v>82296.63</v>
      </c>
      <c r="O587" s="381"/>
      <c r="P587" s="386"/>
      <c r="Q587" s="381"/>
      <c r="R587" s="386"/>
    </row>
    <row r="588" spans="1:18" s="464" customFormat="1">
      <c r="A588" s="455" t="s">
        <v>1056</v>
      </c>
      <c r="B588" s="456" t="s">
        <v>297</v>
      </c>
      <c r="C588" s="472" t="s">
        <v>795</v>
      </c>
      <c r="D588" s="458" t="s">
        <v>307</v>
      </c>
      <c r="E588" s="457" t="s">
        <v>51</v>
      </c>
      <c r="F588" s="459">
        <v>309.62</v>
      </c>
      <c r="G588" s="460">
        <v>66.599999999999994</v>
      </c>
      <c r="H588" s="461">
        <v>0</v>
      </c>
      <c r="I588" s="462">
        <v>66.599999999999994</v>
      </c>
      <c r="J588" s="461">
        <f t="shared" si="69"/>
        <v>0</v>
      </c>
      <c r="K588" s="459">
        <f t="shared" si="70"/>
        <v>20620.691999999999</v>
      </c>
      <c r="L588" s="298">
        <f t="shared" si="72"/>
        <v>0</v>
      </c>
      <c r="M588" s="298">
        <f t="shared" si="73"/>
        <v>20620.691999999999</v>
      </c>
      <c r="N588" s="605">
        <f t="shared" si="71"/>
        <v>0</v>
      </c>
      <c r="O588" s="460"/>
      <c r="P588" s="463"/>
      <c r="Q588" s="460"/>
      <c r="R588" s="463"/>
    </row>
    <row r="589" spans="1:18" s="445" customFormat="1" ht="30">
      <c r="A589" s="435" t="s">
        <v>1056</v>
      </c>
      <c r="B589" s="436" t="s">
        <v>1182</v>
      </c>
      <c r="C589" s="437" t="s">
        <v>796</v>
      </c>
      <c r="D589" s="438" t="s">
        <v>1131</v>
      </c>
      <c r="E589" s="439" t="s">
        <v>51</v>
      </c>
      <c r="F589" s="440">
        <f>'[34]COMPOSIÇÕES ADITIVO'!I448</f>
        <v>575.30999999999995</v>
      </c>
      <c r="G589" s="441">
        <v>0</v>
      </c>
      <c r="H589" s="442">
        <f>(6*23) + (6*23.5)</f>
        <v>279</v>
      </c>
      <c r="I589" s="443">
        <v>0</v>
      </c>
      <c r="J589" s="442">
        <f t="shared" si="69"/>
        <v>279</v>
      </c>
      <c r="K589" s="440">
        <f t="shared" si="70"/>
        <v>0</v>
      </c>
      <c r="L589" s="298">
        <f t="shared" si="72"/>
        <v>160511.49</v>
      </c>
      <c r="M589" s="298">
        <f t="shared" si="73"/>
        <v>0</v>
      </c>
      <c r="N589" s="605">
        <f t="shared" si="71"/>
        <v>160511.49</v>
      </c>
      <c r="O589" s="441"/>
      <c r="P589" s="444"/>
      <c r="Q589" s="441"/>
      <c r="R589" s="444"/>
    </row>
    <row r="590" spans="1:18" s="497" customFormat="1" ht="18">
      <c r="A590" s="486" t="s">
        <v>1056</v>
      </c>
      <c r="B590" s="487" t="s">
        <v>298</v>
      </c>
      <c r="C590" s="488" t="s">
        <v>797</v>
      </c>
      <c r="D590" s="489" t="s">
        <v>1183</v>
      </c>
      <c r="E590" s="490" t="s">
        <v>51</v>
      </c>
      <c r="F590" s="491">
        <v>358.26</v>
      </c>
      <c r="G590" s="492">
        <v>66.599999999999994</v>
      </c>
      <c r="H590" s="493">
        <f>H589-G590</f>
        <v>212.4</v>
      </c>
      <c r="I590" s="494">
        <v>0</v>
      </c>
      <c r="J590" s="493">
        <f t="shared" ref="J590:J641" si="74">G590+H590-I590</f>
        <v>279</v>
      </c>
      <c r="K590" s="495">
        <f t="shared" ref="K590:K641" si="75">F590*G590</f>
        <v>23860.115999999998</v>
      </c>
      <c r="L590" s="358">
        <f t="shared" si="72"/>
        <v>76094.423999999999</v>
      </c>
      <c r="M590" s="359">
        <f t="shared" si="73"/>
        <v>0</v>
      </c>
      <c r="N590" s="604">
        <f t="shared" ref="N590:N640" si="76">J590*F590</f>
        <v>99954.54</v>
      </c>
      <c r="O590" s="492"/>
      <c r="P590" s="496"/>
      <c r="Q590" s="492"/>
      <c r="R590" s="496"/>
    </row>
    <row r="591" spans="1:18" s="464" customFormat="1" ht="30">
      <c r="A591" s="455" t="s">
        <v>1056</v>
      </c>
      <c r="B591" s="456" t="s">
        <v>497</v>
      </c>
      <c r="C591" s="472" t="s">
        <v>798</v>
      </c>
      <c r="D591" s="458" t="s">
        <v>500</v>
      </c>
      <c r="E591" s="457" t="s">
        <v>51</v>
      </c>
      <c r="F591" s="459">
        <v>3440.35</v>
      </c>
      <c r="G591" s="460">
        <v>8</v>
      </c>
      <c r="H591" s="461">
        <v>0</v>
      </c>
      <c r="I591" s="462">
        <v>8</v>
      </c>
      <c r="J591" s="461">
        <f t="shared" si="74"/>
        <v>0</v>
      </c>
      <c r="K591" s="459">
        <f t="shared" si="75"/>
        <v>27522.799999999999</v>
      </c>
      <c r="L591" s="298">
        <f t="shared" si="72"/>
        <v>0</v>
      </c>
      <c r="M591" s="298">
        <f t="shared" si="73"/>
        <v>27522.799999999999</v>
      </c>
      <c r="N591" s="605">
        <f t="shared" si="76"/>
        <v>0</v>
      </c>
      <c r="O591" s="460"/>
      <c r="P591" s="463"/>
      <c r="Q591" s="460"/>
      <c r="R591" s="463"/>
    </row>
    <row r="592" spans="1:18" s="530" customFormat="1" ht="30">
      <c r="A592" s="521" t="s">
        <v>1056</v>
      </c>
      <c r="B592" s="522" t="s">
        <v>498</v>
      </c>
      <c r="C592" s="472" t="s">
        <v>799</v>
      </c>
      <c r="D592" s="523" t="s">
        <v>501</v>
      </c>
      <c r="E592" s="524" t="s">
        <v>51</v>
      </c>
      <c r="F592" s="525">
        <v>2019.23</v>
      </c>
      <c r="G592" s="526">
        <v>8</v>
      </c>
      <c r="H592" s="461">
        <v>0</v>
      </c>
      <c r="I592" s="527">
        <f>G592</f>
        <v>8</v>
      </c>
      <c r="J592" s="461">
        <f t="shared" si="74"/>
        <v>0</v>
      </c>
      <c r="K592" s="528">
        <f t="shared" si="75"/>
        <v>16153.84</v>
      </c>
      <c r="L592" s="358">
        <f t="shared" si="72"/>
        <v>0</v>
      </c>
      <c r="M592" s="359">
        <f t="shared" si="73"/>
        <v>16153.84</v>
      </c>
      <c r="N592" s="604">
        <f t="shared" si="76"/>
        <v>0</v>
      </c>
      <c r="O592" s="526"/>
      <c r="P592" s="529"/>
      <c r="Q592" s="526"/>
      <c r="R592" s="529"/>
    </row>
    <row r="593" spans="1:18" s="464" customFormat="1" ht="30">
      <c r="A593" s="455" t="s">
        <v>1056</v>
      </c>
      <c r="B593" s="456" t="s">
        <v>299</v>
      </c>
      <c r="C593" s="472" t="s">
        <v>800</v>
      </c>
      <c r="D593" s="458" t="s">
        <v>309</v>
      </c>
      <c r="E593" s="457" t="s">
        <v>29</v>
      </c>
      <c r="F593" s="459">
        <v>8.1199999999999992</v>
      </c>
      <c r="G593" s="460">
        <v>6521</v>
      </c>
      <c r="H593" s="461">
        <v>0</v>
      </c>
      <c r="I593" s="462">
        <f>G593</f>
        <v>6521</v>
      </c>
      <c r="J593" s="461">
        <f t="shared" si="74"/>
        <v>0</v>
      </c>
      <c r="K593" s="459">
        <f t="shared" si="75"/>
        <v>52950.52</v>
      </c>
      <c r="L593" s="298">
        <f t="shared" si="72"/>
        <v>0</v>
      </c>
      <c r="M593" s="298">
        <f t="shared" si="73"/>
        <v>52950.52</v>
      </c>
      <c r="N593" s="605">
        <f t="shared" si="76"/>
        <v>0</v>
      </c>
      <c r="O593" s="460"/>
      <c r="P593" s="463"/>
      <c r="Q593" s="460"/>
      <c r="R593" s="463"/>
    </row>
    <row r="594" spans="1:18" s="530" customFormat="1" ht="18">
      <c r="A594" s="521" t="s">
        <v>1056</v>
      </c>
      <c r="B594" s="522" t="s">
        <v>300</v>
      </c>
      <c r="C594" s="472" t="s">
        <v>801</v>
      </c>
      <c r="D594" s="523" t="s">
        <v>310</v>
      </c>
      <c r="E594" s="524" t="s">
        <v>29</v>
      </c>
      <c r="F594" s="525">
        <v>0.64</v>
      </c>
      <c r="G594" s="526">
        <v>6521</v>
      </c>
      <c r="H594" s="461">
        <f>H593</f>
        <v>0</v>
      </c>
      <c r="I594" s="527">
        <f>G594</f>
        <v>6521</v>
      </c>
      <c r="J594" s="461">
        <f t="shared" si="74"/>
        <v>0</v>
      </c>
      <c r="K594" s="528">
        <f t="shared" si="75"/>
        <v>4173.4400000000005</v>
      </c>
      <c r="L594" s="358">
        <f t="shared" si="72"/>
        <v>0</v>
      </c>
      <c r="M594" s="359">
        <f t="shared" si="73"/>
        <v>4173.4400000000005</v>
      </c>
      <c r="N594" s="604">
        <f t="shared" si="76"/>
        <v>0</v>
      </c>
      <c r="O594" s="526"/>
      <c r="P594" s="529"/>
      <c r="Q594" s="526"/>
      <c r="R594" s="529"/>
    </row>
    <row r="595" spans="1:18" s="464" customFormat="1" ht="45">
      <c r="A595" s="455" t="s">
        <v>1056</v>
      </c>
      <c r="B595" s="456" t="s">
        <v>140</v>
      </c>
      <c r="C595" s="472" t="s">
        <v>802</v>
      </c>
      <c r="D595" s="458" t="s">
        <v>804</v>
      </c>
      <c r="E595" s="457" t="s">
        <v>58</v>
      </c>
      <c r="F595" s="459">
        <v>486.08</v>
      </c>
      <c r="G595" s="460">
        <v>36.89</v>
      </c>
      <c r="H595" s="461">
        <v>0</v>
      </c>
      <c r="I595" s="462">
        <f>G595</f>
        <v>36.89</v>
      </c>
      <c r="J595" s="461">
        <f t="shared" si="74"/>
        <v>0</v>
      </c>
      <c r="K595" s="459">
        <f t="shared" si="75"/>
        <v>17931.4912</v>
      </c>
      <c r="L595" s="298">
        <f t="shared" si="72"/>
        <v>0</v>
      </c>
      <c r="M595" s="298">
        <f t="shared" si="73"/>
        <v>17931.4912</v>
      </c>
      <c r="N595" s="605">
        <f t="shared" si="76"/>
        <v>0</v>
      </c>
      <c r="O595" s="460"/>
      <c r="P595" s="463"/>
      <c r="Q595" s="460"/>
      <c r="R595" s="463"/>
    </row>
    <row r="596" spans="1:18" s="469" customFormat="1">
      <c r="A596" s="455" t="s">
        <v>1056</v>
      </c>
      <c r="B596" s="456" t="s">
        <v>301</v>
      </c>
      <c r="C596" s="472" t="s">
        <v>803</v>
      </c>
      <c r="D596" s="458" t="s">
        <v>311</v>
      </c>
      <c r="E596" s="457" t="s">
        <v>49</v>
      </c>
      <c r="F596" s="466">
        <v>105.97</v>
      </c>
      <c r="G596" s="467">
        <v>36.89</v>
      </c>
      <c r="H596" s="461">
        <v>0</v>
      </c>
      <c r="I596" s="462">
        <f>G596</f>
        <v>36.89</v>
      </c>
      <c r="J596" s="461">
        <f t="shared" si="74"/>
        <v>0</v>
      </c>
      <c r="K596" s="466">
        <f t="shared" si="75"/>
        <v>3909.2332999999999</v>
      </c>
      <c r="L596" s="298">
        <f t="shared" si="72"/>
        <v>0</v>
      </c>
      <c r="M596" s="298">
        <f t="shared" si="73"/>
        <v>3909.2332999999999</v>
      </c>
      <c r="N596" s="603">
        <f t="shared" si="76"/>
        <v>0</v>
      </c>
      <c r="O596" s="467"/>
      <c r="P596" s="468"/>
      <c r="Q596" s="467"/>
      <c r="R596" s="468"/>
    </row>
    <row r="597" spans="1:18">
      <c r="A597" s="324" t="s">
        <v>1056</v>
      </c>
      <c r="B597" s="325" t="s">
        <v>302</v>
      </c>
      <c r="C597" s="328" t="s">
        <v>1232</v>
      </c>
      <c r="D597" s="327" t="s">
        <v>1133</v>
      </c>
      <c r="E597" s="328" t="s">
        <v>72</v>
      </c>
      <c r="F597" s="329">
        <v>1.62</v>
      </c>
      <c r="G597" s="330">
        <v>4</v>
      </c>
      <c r="H597" s="331">
        <v>0</v>
      </c>
      <c r="I597" s="332">
        <v>0</v>
      </c>
      <c r="J597" s="331">
        <f t="shared" si="74"/>
        <v>4</v>
      </c>
      <c r="K597" s="329">
        <f t="shared" si="75"/>
        <v>6.48</v>
      </c>
      <c r="L597" s="298">
        <f t="shared" si="72"/>
        <v>0</v>
      </c>
      <c r="M597" s="298">
        <f t="shared" si="73"/>
        <v>0</v>
      </c>
      <c r="N597" s="603">
        <f t="shared" si="76"/>
        <v>6.48</v>
      </c>
      <c r="O597" s="330"/>
      <c r="P597" s="333"/>
      <c r="Q597" s="330"/>
      <c r="R597" s="333"/>
    </row>
    <row r="598" spans="1:18" s="469" customFormat="1">
      <c r="A598" s="455" t="s">
        <v>1056</v>
      </c>
      <c r="B598" s="456" t="s">
        <v>303</v>
      </c>
      <c r="C598" s="457" t="s">
        <v>1233</v>
      </c>
      <c r="D598" s="458" t="s">
        <v>313</v>
      </c>
      <c r="E598" s="457" t="s">
        <v>72</v>
      </c>
      <c r="F598" s="466">
        <v>5793.75</v>
      </c>
      <c r="G598" s="467">
        <v>2</v>
      </c>
      <c r="H598" s="461"/>
      <c r="I598" s="462">
        <v>2</v>
      </c>
      <c r="J598" s="461">
        <f t="shared" si="74"/>
        <v>0</v>
      </c>
      <c r="K598" s="466">
        <f t="shared" si="75"/>
        <v>11587.5</v>
      </c>
      <c r="L598" s="298">
        <f t="shared" si="72"/>
        <v>0</v>
      </c>
      <c r="M598" s="298">
        <f t="shared" si="73"/>
        <v>11587.5</v>
      </c>
      <c r="N598" s="603">
        <f t="shared" si="76"/>
        <v>0</v>
      </c>
      <c r="O598" s="467"/>
      <c r="P598" s="468"/>
      <c r="Q598" s="467"/>
      <c r="R598" s="468"/>
    </row>
    <row r="599" spans="1:18" s="481" customFormat="1">
      <c r="A599" s="435" t="s">
        <v>1056</v>
      </c>
      <c r="B599" s="436" t="s">
        <v>1234</v>
      </c>
      <c r="C599" s="437" t="s">
        <v>1235</v>
      </c>
      <c r="D599" s="438" t="s">
        <v>1236</v>
      </c>
      <c r="E599" s="439" t="s">
        <v>72</v>
      </c>
      <c r="F599" s="478">
        <f>'[34]COMPOSIÇÕES ADITIVO'!I323</f>
        <v>6550.59</v>
      </c>
      <c r="G599" s="479">
        <v>0</v>
      </c>
      <c r="H599" s="442">
        <v>2</v>
      </c>
      <c r="I599" s="443">
        <v>0</v>
      </c>
      <c r="J599" s="442">
        <f t="shared" si="74"/>
        <v>2</v>
      </c>
      <c r="K599" s="478">
        <f t="shared" si="75"/>
        <v>0</v>
      </c>
      <c r="L599" s="298">
        <f t="shared" si="72"/>
        <v>13101.18</v>
      </c>
      <c r="M599" s="298">
        <f t="shared" si="73"/>
        <v>0</v>
      </c>
      <c r="N599" s="603">
        <f t="shared" si="76"/>
        <v>13101.18</v>
      </c>
      <c r="O599" s="479"/>
      <c r="P599" s="480"/>
      <c r="Q599" s="479"/>
      <c r="R599" s="480"/>
    </row>
    <row r="600" spans="1:18" s="497" customFormat="1" ht="30">
      <c r="A600" s="486" t="s">
        <v>1060</v>
      </c>
      <c r="B600" s="487">
        <v>190418</v>
      </c>
      <c r="C600" s="488" t="s">
        <v>1237</v>
      </c>
      <c r="D600" s="489" t="s">
        <v>314</v>
      </c>
      <c r="E600" s="490" t="s">
        <v>57</v>
      </c>
      <c r="F600" s="491">
        <v>33.049999999999997</v>
      </c>
      <c r="G600" s="492">
        <v>36.71</v>
      </c>
      <c r="H600" s="493">
        <f>49.17-G600</f>
        <v>12.46</v>
      </c>
      <c r="I600" s="494">
        <v>0</v>
      </c>
      <c r="J600" s="493">
        <f t="shared" si="74"/>
        <v>49.17</v>
      </c>
      <c r="K600" s="495">
        <f t="shared" si="75"/>
        <v>1213.2655</v>
      </c>
      <c r="L600" s="358">
        <f t="shared" si="72"/>
        <v>411.803</v>
      </c>
      <c r="M600" s="359">
        <f t="shared" si="73"/>
        <v>0</v>
      </c>
      <c r="N600" s="604">
        <f t="shared" si="76"/>
        <v>1625.0684999999999</v>
      </c>
      <c r="O600" s="492"/>
      <c r="P600" s="496"/>
      <c r="Q600" s="492"/>
      <c r="R600" s="496"/>
    </row>
    <row r="601" spans="1:18" s="345" customFormat="1">
      <c r="A601" s="334"/>
      <c r="B601" s="335"/>
      <c r="C601" s="336" t="s">
        <v>805</v>
      </c>
      <c r="D601" s="337" t="s">
        <v>1110</v>
      </c>
      <c r="E601" s="338"/>
      <c r="F601" s="339"/>
      <c r="G601" s="340"/>
      <c r="H601" s="341"/>
      <c r="I601" s="342"/>
      <c r="J601" s="341"/>
      <c r="K601" s="343"/>
      <c r="L601" s="298"/>
      <c r="M601" s="298"/>
      <c r="N601" s="603"/>
      <c r="O601" s="340"/>
      <c r="P601" s="344"/>
      <c r="Q601" s="340"/>
      <c r="R601" s="344"/>
    </row>
    <row r="602" spans="1:18" ht="30">
      <c r="A602" s="324" t="s">
        <v>1056</v>
      </c>
      <c r="B602" s="325" t="s">
        <v>227</v>
      </c>
      <c r="C602" s="408" t="s">
        <v>806</v>
      </c>
      <c r="D602" s="348" t="s">
        <v>233</v>
      </c>
      <c r="E602" s="328" t="s">
        <v>51</v>
      </c>
      <c r="F602" s="329">
        <v>366.23</v>
      </c>
      <c r="G602" s="330">
        <v>23.86</v>
      </c>
      <c r="H602" s="331">
        <v>0</v>
      </c>
      <c r="I602" s="332">
        <v>0</v>
      </c>
      <c r="J602" s="331">
        <f t="shared" si="74"/>
        <v>23.86</v>
      </c>
      <c r="K602" s="329">
        <f>F602*G602</f>
        <v>8738.247800000001</v>
      </c>
      <c r="L602" s="298">
        <f t="shared" si="72"/>
        <v>0</v>
      </c>
      <c r="M602" s="298">
        <f t="shared" si="73"/>
        <v>0</v>
      </c>
      <c r="N602" s="603">
        <f t="shared" si="76"/>
        <v>8738.247800000001</v>
      </c>
      <c r="O602" s="330"/>
      <c r="P602" s="333"/>
      <c r="Q602" s="330"/>
      <c r="R602" s="333"/>
    </row>
    <row r="603" spans="1:18" s="312" customFormat="1">
      <c r="A603" s="392"/>
      <c r="B603" s="393"/>
      <c r="C603" s="394" t="s">
        <v>807</v>
      </c>
      <c r="D603" s="395" t="s">
        <v>1136</v>
      </c>
      <c r="E603" s="396"/>
      <c r="F603" s="397"/>
      <c r="G603" s="398"/>
      <c r="H603" s="399"/>
      <c r="I603" s="400"/>
      <c r="J603" s="399"/>
      <c r="K603" s="407"/>
      <c r="L603" s="298"/>
      <c r="M603" s="298"/>
      <c r="N603" s="603"/>
      <c r="O603" s="398"/>
      <c r="P603" s="402"/>
      <c r="Q603" s="398"/>
      <c r="R603" s="402"/>
    </row>
    <row r="604" spans="1:18" s="345" customFormat="1">
      <c r="A604" s="334"/>
      <c r="B604" s="335"/>
      <c r="C604" s="336" t="s">
        <v>808</v>
      </c>
      <c r="D604" s="337" t="s">
        <v>1136</v>
      </c>
      <c r="E604" s="338"/>
      <c r="F604" s="339"/>
      <c r="G604" s="340"/>
      <c r="H604" s="341"/>
      <c r="I604" s="342"/>
      <c r="J604" s="341"/>
      <c r="K604" s="343"/>
      <c r="L604" s="298"/>
      <c r="M604" s="298"/>
      <c r="N604" s="603"/>
      <c r="O604" s="340"/>
      <c r="P604" s="344"/>
      <c r="Q604" s="340"/>
      <c r="R604" s="344"/>
    </row>
    <row r="605" spans="1:18">
      <c r="A605" s="324" t="s">
        <v>1056</v>
      </c>
      <c r="B605" s="325" t="s">
        <v>323</v>
      </c>
      <c r="C605" s="408" t="s">
        <v>809</v>
      </c>
      <c r="D605" s="327" t="s">
        <v>1137</v>
      </c>
      <c r="E605" s="328" t="s">
        <v>59</v>
      </c>
      <c r="F605" s="329">
        <v>409453.83</v>
      </c>
      <c r="G605" s="330">
        <v>1</v>
      </c>
      <c r="H605" s="331">
        <v>0</v>
      </c>
      <c r="I605" s="332">
        <v>0</v>
      </c>
      <c r="J605" s="331">
        <f t="shared" si="74"/>
        <v>1</v>
      </c>
      <c r="K605" s="329">
        <f t="shared" si="75"/>
        <v>409453.83</v>
      </c>
      <c r="L605" s="298">
        <f t="shared" si="72"/>
        <v>0</v>
      </c>
      <c r="M605" s="298">
        <f t="shared" si="73"/>
        <v>0</v>
      </c>
      <c r="N605" s="603">
        <f t="shared" si="76"/>
        <v>409453.83</v>
      </c>
      <c r="O605" s="330"/>
      <c r="P605" s="333"/>
      <c r="Q605" s="330"/>
      <c r="R605" s="333"/>
    </row>
    <row r="606" spans="1:18">
      <c r="A606" s="324" t="s">
        <v>1056</v>
      </c>
      <c r="B606" s="325" t="s">
        <v>324</v>
      </c>
      <c r="C606" s="408" t="s">
        <v>810</v>
      </c>
      <c r="D606" s="327" t="s">
        <v>327</v>
      </c>
      <c r="E606" s="328" t="s">
        <v>59</v>
      </c>
      <c r="F606" s="329">
        <v>3812.11</v>
      </c>
      <c r="G606" s="330">
        <v>1</v>
      </c>
      <c r="H606" s="331">
        <v>0</v>
      </c>
      <c r="I606" s="332">
        <v>0</v>
      </c>
      <c r="J606" s="331">
        <f t="shared" si="74"/>
        <v>1</v>
      </c>
      <c r="K606" s="329">
        <f>F606*G606</f>
        <v>3812.11</v>
      </c>
      <c r="L606" s="298">
        <f>H606*F606</f>
        <v>0</v>
      </c>
      <c r="M606" s="298">
        <f>I606*F606</f>
        <v>0</v>
      </c>
      <c r="N606" s="603">
        <f>J606*F606</f>
        <v>3812.11</v>
      </c>
      <c r="O606" s="330"/>
      <c r="P606" s="333"/>
      <c r="Q606" s="330"/>
      <c r="R606" s="333"/>
    </row>
    <row r="607" spans="1:18" s="294" customFormat="1" ht="30">
      <c r="A607" s="324" t="s">
        <v>1056</v>
      </c>
      <c r="B607" s="325"/>
      <c r="C607" s="408" t="s">
        <v>811</v>
      </c>
      <c r="D607" s="348" t="s">
        <v>814</v>
      </c>
      <c r="E607" s="328" t="s">
        <v>59</v>
      </c>
      <c r="F607" s="531">
        <v>208.08</v>
      </c>
      <c r="G607" s="532">
        <v>1</v>
      </c>
      <c r="H607" s="331">
        <v>0</v>
      </c>
      <c r="I607" s="332">
        <v>0</v>
      </c>
      <c r="J607" s="331">
        <f t="shared" si="74"/>
        <v>1</v>
      </c>
      <c r="K607" s="432">
        <f>F607*G607</f>
        <v>208.08</v>
      </c>
      <c r="L607" s="298">
        <f t="shared" ref="L607" si="77">H607*F607</f>
        <v>0</v>
      </c>
      <c r="M607" s="298">
        <f t="shared" ref="M607" si="78">I607*F607</f>
        <v>0</v>
      </c>
      <c r="N607" s="605">
        <f t="shared" ref="N607" si="79">J607*F607</f>
        <v>208.08</v>
      </c>
      <c r="O607" s="532"/>
      <c r="P607" s="433"/>
      <c r="Q607" s="532"/>
      <c r="R607" s="433"/>
    </row>
    <row r="608" spans="1:18">
      <c r="A608" s="324" t="s">
        <v>1056</v>
      </c>
      <c r="B608" s="325" t="s">
        <v>325</v>
      </c>
      <c r="C608" s="408" t="s">
        <v>812</v>
      </c>
      <c r="D608" s="327" t="s">
        <v>1138</v>
      </c>
      <c r="E608" s="328" t="s">
        <v>50</v>
      </c>
      <c r="F608" s="329">
        <v>115.83</v>
      </c>
      <c r="G608" s="330">
        <v>120.68</v>
      </c>
      <c r="H608" s="331">
        <v>0</v>
      </c>
      <c r="I608" s="332">
        <v>0</v>
      </c>
      <c r="J608" s="331">
        <f t="shared" si="74"/>
        <v>120.68</v>
      </c>
      <c r="K608" s="329">
        <f t="shared" si="75"/>
        <v>13978.3644</v>
      </c>
      <c r="L608" s="298">
        <f t="shared" si="72"/>
        <v>0</v>
      </c>
      <c r="M608" s="298">
        <f t="shared" si="73"/>
        <v>0</v>
      </c>
      <c r="N608" s="603">
        <f t="shared" si="76"/>
        <v>13978.3644</v>
      </c>
      <c r="O608" s="330"/>
      <c r="P608" s="333"/>
      <c r="Q608" s="330"/>
      <c r="R608" s="333"/>
    </row>
    <row r="609" spans="1:18" s="312" customFormat="1">
      <c r="A609" s="392"/>
      <c r="B609" s="393"/>
      <c r="C609" s="394" t="s">
        <v>815</v>
      </c>
      <c r="D609" s="395" t="s">
        <v>1139</v>
      </c>
      <c r="E609" s="396"/>
      <c r="F609" s="397"/>
      <c r="G609" s="398"/>
      <c r="H609" s="399"/>
      <c r="I609" s="400"/>
      <c r="J609" s="399"/>
      <c r="K609" s="407"/>
      <c r="L609" s="298"/>
      <c r="M609" s="298"/>
      <c r="N609" s="603"/>
      <c r="O609" s="398"/>
      <c r="P609" s="402"/>
      <c r="Q609" s="398"/>
      <c r="R609" s="402"/>
    </row>
    <row r="610" spans="1:18" s="345" customFormat="1">
      <c r="A610" s="334"/>
      <c r="B610" s="335"/>
      <c r="C610" s="336" t="s">
        <v>816</v>
      </c>
      <c r="D610" s="337" t="s">
        <v>1139</v>
      </c>
      <c r="E610" s="338"/>
      <c r="F610" s="339"/>
      <c r="G610" s="340"/>
      <c r="H610" s="341"/>
      <c r="I610" s="342"/>
      <c r="J610" s="341"/>
      <c r="K610" s="343"/>
      <c r="L610" s="298"/>
      <c r="M610" s="298"/>
      <c r="N610" s="603"/>
      <c r="O610" s="340"/>
      <c r="P610" s="344"/>
      <c r="Q610" s="340"/>
      <c r="R610" s="344"/>
    </row>
    <row r="611" spans="1:18" ht="30">
      <c r="A611" s="324" t="s">
        <v>1060</v>
      </c>
      <c r="B611" s="419">
        <v>151701</v>
      </c>
      <c r="C611" s="408" t="s">
        <v>817</v>
      </c>
      <c r="D611" s="348" t="s">
        <v>685</v>
      </c>
      <c r="E611" s="328" t="s">
        <v>59</v>
      </c>
      <c r="F611" s="329">
        <v>1510.64</v>
      </c>
      <c r="G611" s="330">
        <v>1</v>
      </c>
      <c r="H611" s="331">
        <v>0</v>
      </c>
      <c r="I611" s="332">
        <v>0</v>
      </c>
      <c r="J611" s="331">
        <f t="shared" si="74"/>
        <v>1</v>
      </c>
      <c r="K611" s="329">
        <f t="shared" si="75"/>
        <v>1510.64</v>
      </c>
      <c r="L611" s="298">
        <f t="shared" si="72"/>
        <v>0</v>
      </c>
      <c r="M611" s="298">
        <f t="shared" si="73"/>
        <v>0</v>
      </c>
      <c r="N611" s="603">
        <f t="shared" si="76"/>
        <v>1510.64</v>
      </c>
      <c r="O611" s="330"/>
      <c r="P611" s="333"/>
      <c r="Q611" s="330"/>
      <c r="R611" s="333"/>
    </row>
    <row r="612" spans="1:18">
      <c r="A612" s="324" t="s">
        <v>1060</v>
      </c>
      <c r="B612" s="419">
        <v>150312</v>
      </c>
      <c r="C612" s="408" t="s">
        <v>818</v>
      </c>
      <c r="D612" s="327" t="s">
        <v>1141</v>
      </c>
      <c r="E612" s="328" t="s">
        <v>59</v>
      </c>
      <c r="F612" s="329">
        <v>103.79</v>
      </c>
      <c r="G612" s="330">
        <v>1</v>
      </c>
      <c r="H612" s="331">
        <v>0</v>
      </c>
      <c r="I612" s="332">
        <v>0</v>
      </c>
      <c r="J612" s="331">
        <f t="shared" si="74"/>
        <v>1</v>
      </c>
      <c r="K612" s="329">
        <f t="shared" si="75"/>
        <v>103.79</v>
      </c>
      <c r="L612" s="298">
        <f t="shared" si="72"/>
        <v>0</v>
      </c>
      <c r="M612" s="298">
        <f t="shared" si="73"/>
        <v>0</v>
      </c>
      <c r="N612" s="603">
        <f t="shared" si="76"/>
        <v>103.79</v>
      </c>
      <c r="O612" s="330"/>
      <c r="P612" s="333"/>
      <c r="Q612" s="330"/>
      <c r="R612" s="333"/>
    </row>
    <row r="613" spans="1:18">
      <c r="A613" s="324" t="s">
        <v>1060</v>
      </c>
      <c r="B613" s="419">
        <v>150628</v>
      </c>
      <c r="C613" s="408" t="s">
        <v>819</v>
      </c>
      <c r="D613" s="327" t="s">
        <v>1142</v>
      </c>
      <c r="E613" s="328" t="s">
        <v>59</v>
      </c>
      <c r="F613" s="329">
        <v>7.47</v>
      </c>
      <c r="G613" s="330">
        <v>20</v>
      </c>
      <c r="H613" s="331">
        <v>0</v>
      </c>
      <c r="I613" s="332">
        <v>0</v>
      </c>
      <c r="J613" s="331">
        <f t="shared" si="74"/>
        <v>20</v>
      </c>
      <c r="K613" s="329">
        <f t="shared" si="75"/>
        <v>149.4</v>
      </c>
      <c r="L613" s="298">
        <f t="shared" si="72"/>
        <v>0</v>
      </c>
      <c r="M613" s="298">
        <f t="shared" si="73"/>
        <v>0</v>
      </c>
      <c r="N613" s="603">
        <f t="shared" si="76"/>
        <v>149.4</v>
      </c>
      <c r="O613" s="330"/>
      <c r="P613" s="333"/>
      <c r="Q613" s="330"/>
      <c r="R613" s="333"/>
    </row>
    <row r="614" spans="1:18">
      <c r="A614" s="324" t="s">
        <v>1060</v>
      </c>
      <c r="B614" s="419">
        <v>151417</v>
      </c>
      <c r="C614" s="408" t="s">
        <v>820</v>
      </c>
      <c r="D614" s="327" t="s">
        <v>1143</v>
      </c>
      <c r="E614" s="328" t="s">
        <v>51</v>
      </c>
      <c r="F614" s="329">
        <v>5.86</v>
      </c>
      <c r="G614" s="330">
        <v>169.2</v>
      </c>
      <c r="H614" s="331">
        <v>0</v>
      </c>
      <c r="I614" s="332">
        <v>0</v>
      </c>
      <c r="J614" s="331">
        <f t="shared" si="74"/>
        <v>169.2</v>
      </c>
      <c r="K614" s="329">
        <f t="shared" si="75"/>
        <v>991.51199999999994</v>
      </c>
      <c r="L614" s="298">
        <f t="shared" si="72"/>
        <v>0</v>
      </c>
      <c r="M614" s="298">
        <f t="shared" si="73"/>
        <v>0</v>
      </c>
      <c r="N614" s="603">
        <f t="shared" si="76"/>
        <v>991.51199999999994</v>
      </c>
      <c r="O614" s="330"/>
      <c r="P614" s="333"/>
      <c r="Q614" s="330"/>
      <c r="R614" s="333"/>
    </row>
    <row r="615" spans="1:18">
      <c r="A615" s="324" t="s">
        <v>1060</v>
      </c>
      <c r="B615" s="419">
        <v>151418</v>
      </c>
      <c r="C615" s="408" t="s">
        <v>821</v>
      </c>
      <c r="D615" s="327" t="s">
        <v>1144</v>
      </c>
      <c r="E615" s="328" t="s">
        <v>51</v>
      </c>
      <c r="F615" s="329">
        <v>6.74</v>
      </c>
      <c r="G615" s="330">
        <v>333.8</v>
      </c>
      <c r="H615" s="331">
        <v>0</v>
      </c>
      <c r="I615" s="332">
        <v>0</v>
      </c>
      <c r="J615" s="331">
        <f t="shared" si="74"/>
        <v>333.8</v>
      </c>
      <c r="K615" s="329">
        <f t="shared" si="75"/>
        <v>2249.8120000000004</v>
      </c>
      <c r="L615" s="298">
        <f t="shared" si="72"/>
        <v>0</v>
      </c>
      <c r="M615" s="298">
        <f t="shared" si="73"/>
        <v>0</v>
      </c>
      <c r="N615" s="603">
        <f t="shared" si="76"/>
        <v>2249.8120000000004</v>
      </c>
      <c r="O615" s="330"/>
      <c r="P615" s="333"/>
      <c r="Q615" s="330"/>
      <c r="R615" s="333"/>
    </row>
    <row r="616" spans="1:18">
      <c r="A616" s="324" t="s">
        <v>1060</v>
      </c>
      <c r="B616" s="419">
        <v>151420</v>
      </c>
      <c r="C616" s="408" t="s">
        <v>822</v>
      </c>
      <c r="D616" s="327" t="s">
        <v>1145</v>
      </c>
      <c r="E616" s="328" t="s">
        <v>51</v>
      </c>
      <c r="F616" s="329">
        <v>10.63</v>
      </c>
      <c r="G616" s="330">
        <v>60</v>
      </c>
      <c r="H616" s="331">
        <v>0</v>
      </c>
      <c r="I616" s="332">
        <v>0</v>
      </c>
      <c r="J616" s="331">
        <f t="shared" si="74"/>
        <v>60</v>
      </c>
      <c r="K616" s="329">
        <f t="shared" si="75"/>
        <v>637.80000000000007</v>
      </c>
      <c r="L616" s="298">
        <f t="shared" si="72"/>
        <v>0</v>
      </c>
      <c r="M616" s="298">
        <f t="shared" si="73"/>
        <v>0</v>
      </c>
      <c r="N616" s="603">
        <f t="shared" si="76"/>
        <v>637.80000000000007</v>
      </c>
      <c r="O616" s="330"/>
      <c r="P616" s="333"/>
      <c r="Q616" s="330"/>
      <c r="R616" s="333"/>
    </row>
    <row r="617" spans="1:18" ht="30">
      <c r="A617" s="346" t="s">
        <v>1060</v>
      </c>
      <c r="B617" s="426">
        <v>151809</v>
      </c>
      <c r="C617" s="328" t="s">
        <v>823</v>
      </c>
      <c r="D617" s="327" t="s">
        <v>1146</v>
      </c>
      <c r="E617" s="328" t="s">
        <v>59</v>
      </c>
      <c r="F617" s="329">
        <v>150.13</v>
      </c>
      <c r="G617" s="330">
        <v>1</v>
      </c>
      <c r="H617" s="331">
        <v>0</v>
      </c>
      <c r="I617" s="332">
        <v>0</v>
      </c>
      <c r="J617" s="331">
        <f t="shared" si="74"/>
        <v>1</v>
      </c>
      <c r="K617" s="329">
        <f t="shared" si="75"/>
        <v>150.13</v>
      </c>
      <c r="L617" s="298">
        <f t="shared" si="72"/>
        <v>0</v>
      </c>
      <c r="M617" s="298">
        <f t="shared" si="73"/>
        <v>0</v>
      </c>
      <c r="N617" s="603">
        <f t="shared" si="76"/>
        <v>150.13</v>
      </c>
      <c r="O617" s="330"/>
      <c r="P617" s="333"/>
      <c r="Q617" s="330"/>
      <c r="R617" s="333"/>
    </row>
    <row r="618" spans="1:18" ht="30">
      <c r="A618" s="346" t="s">
        <v>1060</v>
      </c>
      <c r="B618" s="426">
        <v>151803</v>
      </c>
      <c r="C618" s="328" t="s">
        <v>824</v>
      </c>
      <c r="D618" s="327" t="s">
        <v>1147</v>
      </c>
      <c r="E618" s="328" t="s">
        <v>59</v>
      </c>
      <c r="F618" s="329">
        <v>170.86</v>
      </c>
      <c r="G618" s="330">
        <v>11</v>
      </c>
      <c r="H618" s="331">
        <v>0</v>
      </c>
      <c r="I618" s="332">
        <v>0</v>
      </c>
      <c r="J618" s="331">
        <f t="shared" si="74"/>
        <v>11</v>
      </c>
      <c r="K618" s="329">
        <f t="shared" si="75"/>
        <v>1879.46</v>
      </c>
      <c r="L618" s="298">
        <f t="shared" si="72"/>
        <v>0</v>
      </c>
      <c r="M618" s="298">
        <f t="shared" si="73"/>
        <v>0</v>
      </c>
      <c r="N618" s="603">
        <f t="shared" si="76"/>
        <v>1879.46</v>
      </c>
      <c r="O618" s="330"/>
      <c r="P618" s="333"/>
      <c r="Q618" s="330"/>
      <c r="R618" s="333"/>
    </row>
    <row r="619" spans="1:18" ht="30">
      <c r="A619" s="324" t="s">
        <v>1060</v>
      </c>
      <c r="B619" s="419">
        <v>151338</v>
      </c>
      <c r="C619" s="408" t="s">
        <v>825</v>
      </c>
      <c r="D619" s="348" t="s">
        <v>357</v>
      </c>
      <c r="E619" s="328" t="s">
        <v>59</v>
      </c>
      <c r="F619" s="329">
        <v>18.14</v>
      </c>
      <c r="G619" s="330">
        <v>1</v>
      </c>
      <c r="H619" s="331">
        <v>0</v>
      </c>
      <c r="I619" s="332">
        <v>0</v>
      </c>
      <c r="J619" s="331">
        <f t="shared" si="74"/>
        <v>1</v>
      </c>
      <c r="K619" s="329">
        <f t="shared" si="75"/>
        <v>18.14</v>
      </c>
      <c r="L619" s="298">
        <f t="shared" si="72"/>
        <v>0</v>
      </c>
      <c r="M619" s="298">
        <f t="shared" si="73"/>
        <v>0</v>
      </c>
      <c r="N619" s="603">
        <f t="shared" si="76"/>
        <v>18.14</v>
      </c>
      <c r="O619" s="330"/>
      <c r="P619" s="333"/>
      <c r="Q619" s="330"/>
      <c r="R619" s="333"/>
    </row>
    <row r="620" spans="1:18" ht="30">
      <c r="A620" s="324" t="s">
        <v>1060</v>
      </c>
      <c r="B620" s="419">
        <v>151301</v>
      </c>
      <c r="C620" s="408" t="s">
        <v>826</v>
      </c>
      <c r="D620" s="348" t="s">
        <v>358</v>
      </c>
      <c r="E620" s="328" t="s">
        <v>59</v>
      </c>
      <c r="F620" s="329">
        <v>18.14</v>
      </c>
      <c r="G620" s="330">
        <v>1</v>
      </c>
      <c r="H620" s="331">
        <v>0</v>
      </c>
      <c r="I620" s="332">
        <v>0</v>
      </c>
      <c r="J620" s="331">
        <f t="shared" si="74"/>
        <v>1</v>
      </c>
      <c r="K620" s="329">
        <f t="shared" si="75"/>
        <v>18.14</v>
      </c>
      <c r="L620" s="298">
        <f t="shared" si="72"/>
        <v>0</v>
      </c>
      <c r="M620" s="298">
        <f t="shared" si="73"/>
        <v>0</v>
      </c>
      <c r="N620" s="603">
        <f t="shared" si="76"/>
        <v>18.14</v>
      </c>
      <c r="O620" s="330"/>
      <c r="P620" s="333"/>
      <c r="Q620" s="330"/>
      <c r="R620" s="333"/>
    </row>
    <row r="621" spans="1:18" ht="30">
      <c r="A621" s="324" t="s">
        <v>1060</v>
      </c>
      <c r="B621" s="419">
        <v>151303</v>
      </c>
      <c r="C621" s="408" t="s">
        <v>827</v>
      </c>
      <c r="D621" s="348" t="s">
        <v>359</v>
      </c>
      <c r="E621" s="328" t="s">
        <v>59</v>
      </c>
      <c r="F621" s="329">
        <v>18.14</v>
      </c>
      <c r="G621" s="330">
        <v>1</v>
      </c>
      <c r="H621" s="331">
        <v>0</v>
      </c>
      <c r="I621" s="332">
        <v>0</v>
      </c>
      <c r="J621" s="331">
        <f t="shared" si="74"/>
        <v>1</v>
      </c>
      <c r="K621" s="329">
        <f t="shared" si="75"/>
        <v>18.14</v>
      </c>
      <c r="L621" s="298">
        <f t="shared" si="72"/>
        <v>0</v>
      </c>
      <c r="M621" s="298">
        <f t="shared" si="73"/>
        <v>0</v>
      </c>
      <c r="N621" s="603">
        <f t="shared" si="76"/>
        <v>18.14</v>
      </c>
      <c r="O621" s="330"/>
      <c r="P621" s="333"/>
      <c r="Q621" s="330"/>
      <c r="R621" s="333"/>
    </row>
    <row r="622" spans="1:18" ht="30">
      <c r="A622" s="324" t="s">
        <v>1060</v>
      </c>
      <c r="B622" s="419">
        <v>151318</v>
      </c>
      <c r="C622" s="408" t="s">
        <v>828</v>
      </c>
      <c r="D622" s="348" t="s">
        <v>547</v>
      </c>
      <c r="E622" s="328" t="s">
        <v>59</v>
      </c>
      <c r="F622" s="329">
        <v>22.63</v>
      </c>
      <c r="G622" s="330">
        <v>1</v>
      </c>
      <c r="H622" s="331">
        <v>0</v>
      </c>
      <c r="I622" s="332">
        <v>0</v>
      </c>
      <c r="J622" s="331">
        <f t="shared" si="74"/>
        <v>1</v>
      </c>
      <c r="K622" s="329">
        <f t="shared" si="75"/>
        <v>22.63</v>
      </c>
      <c r="L622" s="298">
        <f t="shared" si="72"/>
        <v>0</v>
      </c>
      <c r="M622" s="298">
        <f t="shared" si="73"/>
        <v>0</v>
      </c>
      <c r="N622" s="603">
        <f t="shared" si="76"/>
        <v>22.63</v>
      </c>
      <c r="O622" s="330"/>
      <c r="P622" s="333"/>
      <c r="Q622" s="330"/>
      <c r="R622" s="333"/>
    </row>
    <row r="623" spans="1:18">
      <c r="A623" s="324" t="s">
        <v>1060</v>
      </c>
      <c r="B623" s="419">
        <v>151350</v>
      </c>
      <c r="C623" s="408" t="s">
        <v>829</v>
      </c>
      <c r="D623" s="327" t="s">
        <v>1149</v>
      </c>
      <c r="E623" s="328" t="s">
        <v>59</v>
      </c>
      <c r="F623" s="329">
        <v>133.04</v>
      </c>
      <c r="G623" s="330">
        <v>1</v>
      </c>
      <c r="H623" s="331">
        <v>0</v>
      </c>
      <c r="I623" s="332">
        <v>0</v>
      </c>
      <c r="J623" s="331">
        <f t="shared" si="74"/>
        <v>1</v>
      </c>
      <c r="K623" s="329">
        <f t="shared" si="75"/>
        <v>133.04</v>
      </c>
      <c r="L623" s="298">
        <f t="shared" si="72"/>
        <v>0</v>
      </c>
      <c r="M623" s="298">
        <f t="shared" si="73"/>
        <v>0</v>
      </c>
      <c r="N623" s="603">
        <f t="shared" si="76"/>
        <v>133.04</v>
      </c>
      <c r="O623" s="330"/>
      <c r="P623" s="333"/>
      <c r="Q623" s="330"/>
      <c r="R623" s="333"/>
    </row>
    <row r="624" spans="1:18">
      <c r="A624" s="324" t="s">
        <v>1060</v>
      </c>
      <c r="B624" s="419">
        <v>151132</v>
      </c>
      <c r="C624" s="408" t="s">
        <v>830</v>
      </c>
      <c r="D624" s="327" t="s">
        <v>1150</v>
      </c>
      <c r="E624" s="328" t="s">
        <v>51</v>
      </c>
      <c r="F624" s="329">
        <v>7.5</v>
      </c>
      <c r="G624" s="330">
        <v>78.400000000000006</v>
      </c>
      <c r="H624" s="331">
        <v>0</v>
      </c>
      <c r="I624" s="332">
        <v>0</v>
      </c>
      <c r="J624" s="331">
        <f t="shared" si="74"/>
        <v>78.400000000000006</v>
      </c>
      <c r="K624" s="329">
        <f t="shared" si="75"/>
        <v>588</v>
      </c>
      <c r="L624" s="298">
        <f t="shared" si="72"/>
        <v>0</v>
      </c>
      <c r="M624" s="298">
        <f t="shared" si="73"/>
        <v>0</v>
      </c>
      <c r="N624" s="603">
        <f t="shared" si="76"/>
        <v>588</v>
      </c>
      <c r="O624" s="330"/>
      <c r="P624" s="333"/>
      <c r="Q624" s="330"/>
      <c r="R624" s="333"/>
    </row>
    <row r="625" spans="1:18">
      <c r="A625" s="324" t="s">
        <v>1060</v>
      </c>
      <c r="B625" s="419">
        <v>150801</v>
      </c>
      <c r="C625" s="408" t="s">
        <v>831</v>
      </c>
      <c r="D625" s="327" t="s">
        <v>1151</v>
      </c>
      <c r="E625" s="328" t="s">
        <v>51</v>
      </c>
      <c r="F625" s="329">
        <v>12.67</v>
      </c>
      <c r="G625" s="330">
        <v>70</v>
      </c>
      <c r="H625" s="331">
        <v>0</v>
      </c>
      <c r="I625" s="332">
        <v>0</v>
      </c>
      <c r="J625" s="331">
        <f t="shared" si="74"/>
        <v>70</v>
      </c>
      <c r="K625" s="329">
        <f t="shared" si="75"/>
        <v>886.9</v>
      </c>
      <c r="L625" s="298">
        <f t="shared" si="72"/>
        <v>0</v>
      </c>
      <c r="M625" s="298">
        <f t="shared" si="73"/>
        <v>0</v>
      </c>
      <c r="N625" s="603">
        <f t="shared" si="76"/>
        <v>886.9</v>
      </c>
      <c r="O625" s="330"/>
      <c r="P625" s="333"/>
      <c r="Q625" s="330"/>
      <c r="R625" s="333"/>
    </row>
    <row r="626" spans="1:18">
      <c r="A626" s="324" t="s">
        <v>1060</v>
      </c>
      <c r="B626" s="419">
        <v>180110</v>
      </c>
      <c r="C626" s="408" t="s">
        <v>832</v>
      </c>
      <c r="D626" s="327" t="s">
        <v>1152</v>
      </c>
      <c r="E626" s="328" t="s">
        <v>59</v>
      </c>
      <c r="F626" s="329">
        <v>106.15</v>
      </c>
      <c r="G626" s="330">
        <v>5</v>
      </c>
      <c r="H626" s="331">
        <v>0</v>
      </c>
      <c r="I626" s="332">
        <v>0</v>
      </c>
      <c r="J626" s="331">
        <f t="shared" si="74"/>
        <v>5</v>
      </c>
      <c r="K626" s="329">
        <f t="shared" si="75"/>
        <v>530.75</v>
      </c>
      <c r="L626" s="298">
        <f t="shared" si="72"/>
        <v>0</v>
      </c>
      <c r="M626" s="298">
        <f t="shared" si="73"/>
        <v>0</v>
      </c>
      <c r="N626" s="603">
        <f t="shared" si="76"/>
        <v>530.75</v>
      </c>
      <c r="O626" s="330"/>
      <c r="P626" s="333"/>
      <c r="Q626" s="330"/>
      <c r="R626" s="333"/>
    </row>
    <row r="627" spans="1:18">
      <c r="A627" s="324" t="s">
        <v>1056</v>
      </c>
      <c r="B627" s="325" t="s">
        <v>367</v>
      </c>
      <c r="C627" s="408" t="s">
        <v>833</v>
      </c>
      <c r="D627" s="327" t="s">
        <v>1153</v>
      </c>
      <c r="E627" s="328" t="s">
        <v>72</v>
      </c>
      <c r="F627" s="329">
        <v>362.44</v>
      </c>
      <c r="G627" s="330">
        <v>20</v>
      </c>
      <c r="H627" s="331">
        <v>0</v>
      </c>
      <c r="I627" s="332">
        <v>0</v>
      </c>
      <c r="J627" s="331">
        <f t="shared" si="74"/>
        <v>20</v>
      </c>
      <c r="K627" s="329">
        <f t="shared" si="75"/>
        <v>7248.8</v>
      </c>
      <c r="L627" s="298">
        <f t="shared" si="72"/>
        <v>0</v>
      </c>
      <c r="M627" s="298">
        <f t="shared" si="73"/>
        <v>0</v>
      </c>
      <c r="N627" s="603">
        <f t="shared" si="76"/>
        <v>7248.8</v>
      </c>
      <c r="O627" s="330"/>
      <c r="P627" s="333"/>
      <c r="Q627" s="330"/>
      <c r="R627" s="333"/>
    </row>
    <row r="628" spans="1:18">
      <c r="A628" s="324" t="s">
        <v>1056</v>
      </c>
      <c r="B628" s="325" t="s">
        <v>368</v>
      </c>
      <c r="C628" s="408" t="s">
        <v>834</v>
      </c>
      <c r="D628" s="327" t="s">
        <v>1154</v>
      </c>
      <c r="E628" s="328" t="s">
        <v>72</v>
      </c>
      <c r="F628" s="329">
        <v>4976.67</v>
      </c>
      <c r="G628" s="330">
        <v>2</v>
      </c>
      <c r="H628" s="331">
        <v>0</v>
      </c>
      <c r="I628" s="332">
        <v>0</v>
      </c>
      <c r="J628" s="331">
        <f t="shared" si="74"/>
        <v>2</v>
      </c>
      <c r="K628" s="329">
        <f t="shared" si="75"/>
        <v>9953.34</v>
      </c>
      <c r="L628" s="298">
        <f t="shared" si="72"/>
        <v>0</v>
      </c>
      <c r="M628" s="298">
        <f t="shared" si="73"/>
        <v>0</v>
      </c>
      <c r="N628" s="603">
        <f t="shared" si="76"/>
        <v>9953.34</v>
      </c>
      <c r="O628" s="330"/>
      <c r="P628" s="333"/>
      <c r="Q628" s="330"/>
      <c r="R628" s="333"/>
    </row>
    <row r="629" spans="1:18" ht="30">
      <c r="A629" s="324" t="s">
        <v>1096</v>
      </c>
      <c r="B629" s="325" t="s">
        <v>369</v>
      </c>
      <c r="C629" s="408" t="s">
        <v>835</v>
      </c>
      <c r="D629" s="348" t="s">
        <v>366</v>
      </c>
      <c r="E629" s="328" t="s">
        <v>10</v>
      </c>
      <c r="F629" s="329">
        <v>12903.37</v>
      </c>
      <c r="G629" s="330">
        <v>1</v>
      </c>
      <c r="H629" s="331">
        <v>0</v>
      </c>
      <c r="I629" s="332">
        <v>0</v>
      </c>
      <c r="J629" s="331">
        <f>G629+H629-I629</f>
        <v>1</v>
      </c>
      <c r="K629" s="329">
        <f t="shared" si="75"/>
        <v>12903.37</v>
      </c>
      <c r="L629" s="298">
        <f t="shared" si="72"/>
        <v>0</v>
      </c>
      <c r="M629" s="298">
        <f t="shared" si="73"/>
        <v>0</v>
      </c>
      <c r="N629" s="603">
        <f>J629*F629</f>
        <v>12903.37</v>
      </c>
      <c r="O629" s="330"/>
      <c r="P629" s="333"/>
      <c r="Q629" s="330"/>
      <c r="R629" s="333"/>
    </row>
    <row r="630" spans="1:18" s="345" customFormat="1">
      <c r="A630" s="334"/>
      <c r="B630" s="335"/>
      <c r="C630" s="336" t="s">
        <v>836</v>
      </c>
      <c r="D630" s="417" t="s">
        <v>371</v>
      </c>
      <c r="E630" s="338"/>
      <c r="F630" s="339"/>
      <c r="G630" s="340"/>
      <c r="H630" s="341"/>
      <c r="I630" s="342"/>
      <c r="J630" s="341"/>
      <c r="K630" s="343"/>
      <c r="L630" s="298"/>
      <c r="M630" s="298"/>
      <c r="N630" s="603"/>
      <c r="O630" s="340"/>
      <c r="P630" s="344"/>
      <c r="Q630" s="340"/>
      <c r="R630" s="344"/>
    </row>
    <row r="631" spans="1:18" ht="45">
      <c r="A631" s="346" t="s">
        <v>1060</v>
      </c>
      <c r="B631" s="426">
        <v>150610</v>
      </c>
      <c r="C631" s="328" t="s">
        <v>837</v>
      </c>
      <c r="D631" s="327" t="s">
        <v>1194</v>
      </c>
      <c r="E631" s="328" t="s">
        <v>59</v>
      </c>
      <c r="F631" s="329">
        <v>188.46</v>
      </c>
      <c r="G631" s="330">
        <v>4</v>
      </c>
      <c r="H631" s="331">
        <v>0</v>
      </c>
      <c r="I631" s="332">
        <v>0</v>
      </c>
      <c r="J631" s="331">
        <f t="shared" si="74"/>
        <v>4</v>
      </c>
      <c r="K631" s="329">
        <f t="shared" si="75"/>
        <v>753.84</v>
      </c>
      <c r="L631" s="298">
        <f t="shared" si="72"/>
        <v>0</v>
      </c>
      <c r="M631" s="298">
        <f t="shared" si="73"/>
        <v>0</v>
      </c>
      <c r="N631" s="603">
        <f t="shared" si="76"/>
        <v>753.84</v>
      </c>
      <c r="O631" s="330"/>
      <c r="P631" s="333"/>
      <c r="Q631" s="330"/>
      <c r="R631" s="333"/>
    </row>
    <row r="632" spans="1:18" ht="45">
      <c r="A632" s="346" t="s">
        <v>1060</v>
      </c>
      <c r="B632" s="426">
        <v>160324</v>
      </c>
      <c r="C632" s="328" t="s">
        <v>838</v>
      </c>
      <c r="D632" s="348" t="s">
        <v>546</v>
      </c>
      <c r="E632" s="328" t="s">
        <v>59</v>
      </c>
      <c r="F632" s="329">
        <v>199.91</v>
      </c>
      <c r="G632" s="330">
        <v>1</v>
      </c>
      <c r="H632" s="331">
        <v>0</v>
      </c>
      <c r="I632" s="332">
        <v>0</v>
      </c>
      <c r="J632" s="331">
        <f t="shared" si="74"/>
        <v>1</v>
      </c>
      <c r="K632" s="329">
        <f t="shared" si="75"/>
        <v>199.91</v>
      </c>
      <c r="L632" s="298">
        <f t="shared" si="72"/>
        <v>0</v>
      </c>
      <c r="M632" s="298">
        <f t="shared" si="73"/>
        <v>0</v>
      </c>
      <c r="N632" s="603">
        <f t="shared" si="76"/>
        <v>199.91</v>
      </c>
      <c r="O632" s="330"/>
      <c r="P632" s="333"/>
      <c r="Q632" s="330"/>
      <c r="R632" s="333"/>
    </row>
    <row r="633" spans="1:18">
      <c r="A633" s="324" t="s">
        <v>1060</v>
      </c>
      <c r="B633" s="419">
        <v>160317</v>
      </c>
      <c r="C633" s="408" t="s">
        <v>839</v>
      </c>
      <c r="D633" s="348" t="s">
        <v>377</v>
      </c>
      <c r="E633" s="328" t="s">
        <v>51</v>
      </c>
      <c r="F633" s="329">
        <v>33.369999999999997</v>
      </c>
      <c r="G633" s="330">
        <v>70.900000000000006</v>
      </c>
      <c r="H633" s="331">
        <v>0</v>
      </c>
      <c r="I633" s="332">
        <v>0</v>
      </c>
      <c r="J633" s="331">
        <f t="shared" si="74"/>
        <v>70.900000000000006</v>
      </c>
      <c r="K633" s="329">
        <f t="shared" si="75"/>
        <v>2365.933</v>
      </c>
      <c r="L633" s="298">
        <f t="shared" si="72"/>
        <v>0</v>
      </c>
      <c r="M633" s="298">
        <f t="shared" si="73"/>
        <v>0</v>
      </c>
      <c r="N633" s="603">
        <f t="shared" si="76"/>
        <v>2365.933</v>
      </c>
      <c r="O633" s="330"/>
      <c r="P633" s="333"/>
      <c r="Q633" s="330"/>
      <c r="R633" s="333"/>
    </row>
    <row r="634" spans="1:18" ht="30">
      <c r="A634" s="324" t="s">
        <v>1060</v>
      </c>
      <c r="B634" s="419">
        <v>160334</v>
      </c>
      <c r="C634" s="408" t="s">
        <v>840</v>
      </c>
      <c r="D634" s="348" t="s">
        <v>1238</v>
      </c>
      <c r="E634" s="328" t="s">
        <v>59</v>
      </c>
      <c r="F634" s="329">
        <v>29.65</v>
      </c>
      <c r="G634" s="330">
        <v>2</v>
      </c>
      <c r="H634" s="331">
        <v>0</v>
      </c>
      <c r="I634" s="332">
        <v>0</v>
      </c>
      <c r="J634" s="331">
        <f t="shared" si="74"/>
        <v>2</v>
      </c>
      <c r="K634" s="329">
        <f t="shared" si="75"/>
        <v>59.3</v>
      </c>
      <c r="L634" s="298">
        <f t="shared" si="72"/>
        <v>0</v>
      </c>
      <c r="M634" s="298">
        <f t="shared" si="73"/>
        <v>0</v>
      </c>
      <c r="N634" s="603">
        <f t="shared" si="76"/>
        <v>59.3</v>
      </c>
      <c r="O634" s="330"/>
      <c r="P634" s="333"/>
      <c r="Q634" s="330"/>
      <c r="R634" s="333"/>
    </row>
    <row r="635" spans="1:18" s="312" customFormat="1">
      <c r="A635" s="392"/>
      <c r="B635" s="393"/>
      <c r="C635" s="394" t="s">
        <v>841</v>
      </c>
      <c r="D635" s="395" t="s">
        <v>1157</v>
      </c>
      <c r="E635" s="396"/>
      <c r="F635" s="397"/>
      <c r="G635" s="398"/>
      <c r="H635" s="399"/>
      <c r="I635" s="400"/>
      <c r="J635" s="399"/>
      <c r="K635" s="407"/>
      <c r="L635" s="298"/>
      <c r="M635" s="298"/>
      <c r="N635" s="603"/>
      <c r="O635" s="398"/>
      <c r="P635" s="402"/>
      <c r="Q635" s="398"/>
      <c r="R635" s="402"/>
    </row>
    <row r="636" spans="1:18" s="345" customFormat="1">
      <c r="A636" s="334"/>
      <c r="B636" s="335"/>
      <c r="C636" s="336" t="s">
        <v>842</v>
      </c>
      <c r="D636" s="337" t="s">
        <v>1157</v>
      </c>
      <c r="E636" s="338"/>
      <c r="F636" s="339"/>
      <c r="G636" s="340"/>
      <c r="H636" s="341"/>
      <c r="I636" s="342"/>
      <c r="J636" s="341"/>
      <c r="K636" s="343"/>
      <c r="L636" s="298"/>
      <c r="M636" s="298"/>
      <c r="N636" s="603"/>
      <c r="O636" s="340"/>
      <c r="P636" s="344"/>
      <c r="Q636" s="340"/>
      <c r="R636" s="344"/>
    </row>
    <row r="637" spans="1:18" ht="30">
      <c r="A637" s="324" t="s">
        <v>1060</v>
      </c>
      <c r="B637" s="419">
        <v>160612</v>
      </c>
      <c r="C637" s="408" t="s">
        <v>843</v>
      </c>
      <c r="D637" s="348" t="s">
        <v>387</v>
      </c>
      <c r="E637" s="328" t="s">
        <v>59</v>
      </c>
      <c r="F637" s="329">
        <v>29.96</v>
      </c>
      <c r="G637" s="330">
        <v>2</v>
      </c>
      <c r="H637" s="331">
        <v>0</v>
      </c>
      <c r="I637" s="332">
        <v>0</v>
      </c>
      <c r="J637" s="331">
        <f t="shared" si="74"/>
        <v>2</v>
      </c>
      <c r="K637" s="329">
        <f>F637*G637</f>
        <v>59.92</v>
      </c>
      <c r="L637" s="298">
        <f t="shared" si="72"/>
        <v>0</v>
      </c>
      <c r="M637" s="298">
        <f t="shared" si="73"/>
        <v>0</v>
      </c>
      <c r="N637" s="603">
        <f t="shared" si="76"/>
        <v>59.92</v>
      </c>
      <c r="O637" s="330"/>
      <c r="P637" s="333"/>
      <c r="Q637" s="330"/>
      <c r="R637" s="333"/>
    </row>
    <row r="638" spans="1:18" ht="45">
      <c r="A638" s="346" t="s">
        <v>1060</v>
      </c>
      <c r="B638" s="426">
        <v>160608</v>
      </c>
      <c r="C638" s="328" t="s">
        <v>844</v>
      </c>
      <c r="D638" s="348" t="s">
        <v>545</v>
      </c>
      <c r="E638" s="328" t="s">
        <v>59</v>
      </c>
      <c r="F638" s="329">
        <v>320.60000000000002</v>
      </c>
      <c r="G638" s="330">
        <v>3</v>
      </c>
      <c r="H638" s="331">
        <v>0</v>
      </c>
      <c r="I638" s="332">
        <v>0</v>
      </c>
      <c r="J638" s="331">
        <f t="shared" si="74"/>
        <v>3</v>
      </c>
      <c r="K638" s="329">
        <f t="shared" si="75"/>
        <v>961.80000000000007</v>
      </c>
      <c r="L638" s="298">
        <f t="shared" si="72"/>
        <v>0</v>
      </c>
      <c r="M638" s="298">
        <f t="shared" si="73"/>
        <v>0</v>
      </c>
      <c r="N638" s="603">
        <f t="shared" si="76"/>
        <v>961.80000000000007</v>
      </c>
      <c r="O638" s="330"/>
      <c r="P638" s="333"/>
      <c r="Q638" s="330"/>
      <c r="R638" s="333"/>
    </row>
    <row r="639" spans="1:18" ht="30">
      <c r="A639" s="324" t="s">
        <v>1060</v>
      </c>
      <c r="B639" s="419">
        <v>160613</v>
      </c>
      <c r="C639" s="408" t="s">
        <v>845</v>
      </c>
      <c r="D639" s="348" t="s">
        <v>389</v>
      </c>
      <c r="E639" s="328" t="s">
        <v>59</v>
      </c>
      <c r="F639" s="329">
        <v>197.45</v>
      </c>
      <c r="G639" s="330">
        <v>4</v>
      </c>
      <c r="H639" s="331">
        <v>0</v>
      </c>
      <c r="I639" s="332">
        <v>0</v>
      </c>
      <c r="J639" s="331">
        <f t="shared" si="74"/>
        <v>4</v>
      </c>
      <c r="K639" s="329">
        <f t="shared" si="75"/>
        <v>789.8</v>
      </c>
      <c r="L639" s="298">
        <f t="shared" si="72"/>
        <v>0</v>
      </c>
      <c r="M639" s="298">
        <f t="shared" si="73"/>
        <v>0</v>
      </c>
      <c r="N639" s="603">
        <f t="shared" si="76"/>
        <v>789.8</v>
      </c>
      <c r="O639" s="330"/>
      <c r="P639" s="333"/>
      <c r="Q639" s="330"/>
      <c r="R639" s="333"/>
    </row>
    <row r="640" spans="1:18" ht="30">
      <c r="A640" s="346" t="s">
        <v>1060</v>
      </c>
      <c r="B640" s="426">
        <v>160607</v>
      </c>
      <c r="C640" s="328" t="s">
        <v>846</v>
      </c>
      <c r="D640" s="327" t="s">
        <v>1159</v>
      </c>
      <c r="E640" s="328" t="s">
        <v>59</v>
      </c>
      <c r="F640" s="329">
        <v>178.48</v>
      </c>
      <c r="G640" s="330">
        <v>3</v>
      </c>
      <c r="H640" s="331">
        <v>0</v>
      </c>
      <c r="I640" s="332">
        <v>0</v>
      </c>
      <c r="J640" s="331">
        <f t="shared" si="74"/>
        <v>3</v>
      </c>
      <c r="K640" s="329">
        <f t="shared" si="75"/>
        <v>535.43999999999994</v>
      </c>
      <c r="L640" s="298">
        <f t="shared" si="72"/>
        <v>0</v>
      </c>
      <c r="M640" s="298">
        <f t="shared" si="73"/>
        <v>0</v>
      </c>
      <c r="N640" s="603">
        <f t="shared" si="76"/>
        <v>535.43999999999994</v>
      </c>
      <c r="O640" s="330"/>
      <c r="P640" s="333"/>
      <c r="Q640" s="330"/>
      <c r="R640" s="333"/>
    </row>
    <row r="641" spans="1:22" ht="30">
      <c r="A641" s="346" t="s">
        <v>1060</v>
      </c>
      <c r="B641" s="426">
        <v>190605</v>
      </c>
      <c r="C641" s="328" t="s">
        <v>847</v>
      </c>
      <c r="D641" s="348" t="s">
        <v>544</v>
      </c>
      <c r="E641" s="328" t="s">
        <v>57</v>
      </c>
      <c r="F641" s="329">
        <v>50.18</v>
      </c>
      <c r="G641" s="330">
        <v>1.8</v>
      </c>
      <c r="H641" s="331">
        <v>0</v>
      </c>
      <c r="I641" s="332">
        <v>0</v>
      </c>
      <c r="J641" s="331">
        <f t="shared" si="74"/>
        <v>1.8</v>
      </c>
      <c r="K641" s="329">
        <f t="shared" si="75"/>
        <v>90.323999999999998</v>
      </c>
      <c r="L641" s="298">
        <f>H641*F641</f>
        <v>0</v>
      </c>
      <c r="M641" s="298">
        <f t="shared" si="73"/>
        <v>0</v>
      </c>
      <c r="N641" s="603">
        <f>J641*F641</f>
        <v>90.323999999999998</v>
      </c>
      <c r="O641" s="330"/>
      <c r="P641" s="333"/>
      <c r="Q641" s="330"/>
      <c r="R641" s="333"/>
    </row>
    <row r="642" spans="1:22" ht="35.25" customHeight="1">
      <c r="C642" s="535"/>
      <c r="E642" s="291"/>
      <c r="J642" s="539" t="s">
        <v>1239</v>
      </c>
      <c r="K642" s="540">
        <v>5997821.9000000004</v>
      </c>
      <c r="L642" s="540">
        <f>SUM(L9:L641)</f>
        <v>1393237.7009786731</v>
      </c>
      <c r="M642" s="540">
        <f>SUM(M9:M641)</f>
        <v>512054.09500000003</v>
      </c>
      <c r="N642" s="540">
        <f>SUM(N9:N641)</f>
        <v>6840187.077999996</v>
      </c>
      <c r="O642" s="541"/>
      <c r="P642" s="541">
        <f>SUM(P9:P641)</f>
        <v>248845.78417867282</v>
      </c>
      <c r="Q642" s="541"/>
      <c r="R642" s="541">
        <f>SUM(R9:R641)</f>
        <v>166600.23699999999</v>
      </c>
    </row>
    <row r="643" spans="1:22">
      <c r="A643" s="542"/>
      <c r="B643" s="542"/>
      <c r="C643" s="543" t="s">
        <v>1240</v>
      </c>
      <c r="E643" s="535"/>
      <c r="G643" s="544"/>
      <c r="J643" s="539" t="s">
        <v>1241</v>
      </c>
      <c r="K643" s="545">
        <f>K642+K644</f>
        <v>6879005.5059786737</v>
      </c>
      <c r="R643" s="547"/>
    </row>
    <row r="644" spans="1:22" ht="18">
      <c r="A644" s="548"/>
      <c r="B644" s="548"/>
      <c r="C644" s="549" t="s">
        <v>1242</v>
      </c>
      <c r="E644" s="535"/>
      <c r="G644" s="544"/>
      <c r="J644" s="539" t="s">
        <v>1243</v>
      </c>
      <c r="K644" s="545">
        <f>L642-M642</f>
        <v>881183.60597867309</v>
      </c>
    </row>
    <row r="645" spans="1:22" s="546" customFormat="1">
      <c r="A645" s="550"/>
      <c r="B645" s="551"/>
      <c r="C645" s="549" t="s">
        <v>1244</v>
      </c>
      <c r="D645" s="291"/>
      <c r="E645" s="535"/>
      <c r="F645" s="536"/>
      <c r="G645" s="544"/>
      <c r="H645" s="538"/>
      <c r="I645" s="537"/>
      <c r="J645" s="539" t="s">
        <v>1245</v>
      </c>
      <c r="K645" s="552">
        <f>K644/K642</f>
        <v>0.14691726774659197</v>
      </c>
      <c r="L645" s="540"/>
      <c r="N645" s="608"/>
      <c r="O645" s="536"/>
      <c r="P645" s="536"/>
      <c r="Q645" s="291"/>
      <c r="R645" s="291"/>
      <c r="S645" s="291"/>
      <c r="T645" s="291"/>
      <c r="U645" s="291"/>
      <c r="V645" s="291"/>
    </row>
    <row r="646" spans="1:22" s="546" customFormat="1">
      <c r="A646" s="533"/>
      <c r="B646" s="534"/>
      <c r="C646" s="553"/>
      <c r="D646" s="535"/>
      <c r="E646" s="535"/>
      <c r="F646" s="536"/>
      <c r="G646" s="544"/>
      <c r="H646" s="538"/>
      <c r="I646" s="537"/>
      <c r="J646" s="538"/>
      <c r="K646" s="536"/>
      <c r="L646" s="540"/>
      <c r="N646" s="608"/>
      <c r="O646" s="536"/>
      <c r="P646" s="536"/>
      <c r="Q646" s="291"/>
      <c r="R646" s="291"/>
      <c r="S646" s="291"/>
      <c r="T646" s="291"/>
      <c r="U646" s="291"/>
      <c r="V646" s="291"/>
    </row>
    <row r="647" spans="1:22" s="546" customFormat="1">
      <c r="A647" s="533"/>
      <c r="B647" s="534"/>
      <c r="C647" s="534"/>
      <c r="D647" s="291"/>
      <c r="E647" s="538"/>
      <c r="F647" s="536"/>
      <c r="G647" s="537"/>
      <c r="H647" s="538"/>
      <c r="I647" s="537"/>
      <c r="J647" s="538"/>
      <c r="K647" s="545"/>
      <c r="L647" s="540"/>
      <c r="N647" s="608"/>
      <c r="O647" s="536"/>
      <c r="P647" s="536"/>
      <c r="Q647" s="291"/>
      <c r="R647" s="291"/>
      <c r="S647" s="291"/>
      <c r="T647" s="291"/>
      <c r="U647" s="291"/>
      <c r="V647" s="291"/>
    </row>
    <row r="649" spans="1:22" s="546" customFormat="1">
      <c r="A649" s="533"/>
      <c r="B649" s="534"/>
      <c r="C649" s="534"/>
      <c r="D649" s="534"/>
      <c r="E649" s="538"/>
      <c r="F649" s="536"/>
      <c r="G649" s="537"/>
      <c r="H649" s="538"/>
      <c r="I649" s="537"/>
      <c r="J649" s="538"/>
      <c r="K649" s="536"/>
      <c r="L649" s="554"/>
      <c r="N649" s="608"/>
      <c r="O649" s="536"/>
      <c r="P649" s="536"/>
      <c r="Q649" s="291"/>
      <c r="R649" s="291"/>
      <c r="S649" s="291"/>
      <c r="T649" s="291"/>
      <c r="U649" s="291"/>
      <c r="V649" s="291"/>
    </row>
    <row r="650" spans="1:22" s="546" customFormat="1">
      <c r="A650" s="533"/>
      <c r="B650" s="534"/>
      <c r="C650" s="534"/>
      <c r="D650" s="534"/>
      <c r="E650" s="538"/>
      <c r="F650" s="536"/>
      <c r="G650" s="537"/>
      <c r="H650" s="538"/>
      <c r="I650" s="537"/>
      <c r="J650" s="538"/>
      <c r="K650" s="536"/>
      <c r="L650" s="540"/>
      <c r="N650" s="608"/>
      <c r="O650" s="536"/>
      <c r="P650" s="536"/>
      <c r="Q650" s="291"/>
      <c r="R650" s="291"/>
      <c r="S650" s="291"/>
      <c r="T650" s="291"/>
      <c r="U650" s="291"/>
      <c r="V650" s="291"/>
    </row>
  </sheetData>
  <mergeCells count="15">
    <mergeCell ref="A5:A6"/>
    <mergeCell ref="B5:B6"/>
    <mergeCell ref="C5:C6"/>
    <mergeCell ref="D5:D6"/>
    <mergeCell ref="E5:E6"/>
    <mergeCell ref="A1:B3"/>
    <mergeCell ref="C1:N3"/>
    <mergeCell ref="O1:P4"/>
    <mergeCell ref="R1:S3"/>
    <mergeCell ref="A4:N4"/>
    <mergeCell ref="F5:F6"/>
    <mergeCell ref="G5:J5"/>
    <mergeCell ref="K5:N5"/>
    <mergeCell ref="O5:P5"/>
    <mergeCell ref="Q5:R5"/>
  </mergeCells>
  <pageMargins left="0.7" right="0.7" top="0.75" bottom="0.75" header="0.3" footer="0.3"/>
  <pageSetup paperSize="9" scale="17" fitToHeight="0" orientation="portrait" r:id="rId1"/>
  <rowBreaks count="5" manualBreakCount="5">
    <brk id="71" max="17" man="1"/>
    <brk id="77" max="17" man="1"/>
    <brk id="488" max="16383" man="1"/>
    <brk id="565" max="16383" man="1"/>
    <brk id="634" max="16383" man="1"/>
  </row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B2A8A-5DD0-4523-A4DD-38D2D1EAA81A}">
  <sheetPr codeName="Planilha128">
    <tabColor rgb="FF339933"/>
    <pageSetUpPr fitToPage="1"/>
  </sheetPr>
  <dimension ref="B2:Q727"/>
  <sheetViews>
    <sheetView showGridLines="0" view="pageBreakPreview" zoomScale="60" workbookViewId="0">
      <pane ySplit="14" topLeftCell="A703" activePane="bottomLeft" state="frozen"/>
      <selection activeCell="O75" sqref="O75"/>
      <selection pane="bottomLeft" activeCell="N712" sqref="N712"/>
    </sheetView>
  </sheetViews>
  <sheetFormatPr defaultColWidth="9.140625" defaultRowHeight="12.75"/>
  <cols>
    <col min="1" max="1" width="2.140625" style="2" customWidth="1"/>
    <col min="2" max="2" width="9.140625" style="587" customWidth="1"/>
    <col min="3" max="3" width="11.5703125" style="134" customWidth="1"/>
    <col min="4" max="4" width="76.42578125" style="114" bestFit="1" customWidth="1"/>
    <col min="5" max="5" width="20.7109375" style="10" customWidth="1"/>
    <col min="6" max="6" width="20.7109375" style="2" customWidth="1"/>
    <col min="7" max="7" width="23.5703125" style="2" customWidth="1"/>
    <col min="8" max="8" width="20.85546875" style="2" customWidth="1"/>
    <col min="9" max="9" width="13.7109375" style="47" customWidth="1"/>
    <col min="10" max="10" width="13.7109375" style="2" customWidth="1"/>
    <col min="11" max="11" width="13.7109375" style="47" customWidth="1"/>
    <col min="12" max="12" width="14.7109375" style="2" customWidth="1"/>
    <col min="13" max="13" width="13.7109375" style="2" customWidth="1"/>
    <col min="14" max="14" width="16.140625" style="2" customWidth="1"/>
    <col min="15" max="15" width="13" style="2" customWidth="1"/>
    <col min="16" max="16" width="20.140625" style="2" bestFit="1" customWidth="1"/>
    <col min="17" max="17" width="16" style="2" customWidth="1"/>
    <col min="18" max="16384" width="9.140625" style="2"/>
  </cols>
  <sheetData>
    <row r="2" spans="2:17" ht="12.75" customHeight="1">
      <c r="B2" s="890" t="s">
        <v>64</v>
      </c>
      <c r="C2" s="891"/>
      <c r="D2" s="891"/>
      <c r="E2" s="891"/>
      <c r="F2" s="891"/>
      <c r="G2" s="891"/>
      <c r="H2" s="891"/>
      <c r="I2" s="891"/>
      <c r="J2" s="891"/>
      <c r="K2" s="891"/>
      <c r="L2" s="891"/>
      <c r="M2" s="891"/>
      <c r="N2" s="891"/>
      <c r="O2" s="891"/>
      <c r="P2" s="891"/>
      <c r="Q2" s="2" t="s">
        <v>909</v>
      </c>
    </row>
    <row r="3" spans="2:17">
      <c r="B3" s="890"/>
      <c r="C3" s="891"/>
      <c r="D3" s="891"/>
      <c r="E3" s="891"/>
      <c r="F3" s="891"/>
      <c r="G3" s="891"/>
      <c r="H3" s="891"/>
      <c r="I3" s="891"/>
      <c r="J3" s="891"/>
      <c r="K3" s="891"/>
      <c r="L3" s="891"/>
      <c r="M3" s="891"/>
      <c r="N3" s="891"/>
      <c r="O3" s="891"/>
      <c r="P3" s="891"/>
      <c r="Q3" s="2" t="s">
        <v>910</v>
      </c>
    </row>
    <row r="4" spans="2:17">
      <c r="B4" s="890"/>
      <c r="C4" s="891"/>
      <c r="D4" s="891"/>
      <c r="E4" s="891"/>
      <c r="F4" s="891"/>
      <c r="G4" s="891"/>
      <c r="H4" s="891"/>
      <c r="I4" s="891"/>
      <c r="J4" s="891"/>
      <c r="K4" s="891"/>
      <c r="L4" s="891"/>
      <c r="M4" s="891"/>
      <c r="N4" s="891"/>
      <c r="O4" s="891"/>
      <c r="P4" s="891"/>
      <c r="Q4" s="2" t="s">
        <v>911</v>
      </c>
    </row>
    <row r="5" spans="2:17">
      <c r="B5" s="890"/>
      <c r="C5" s="891"/>
      <c r="D5" s="891"/>
      <c r="E5" s="891"/>
      <c r="F5" s="891"/>
      <c r="G5" s="891"/>
      <c r="H5" s="891"/>
      <c r="I5" s="891"/>
      <c r="J5" s="891"/>
      <c r="K5" s="891"/>
      <c r="L5" s="891"/>
      <c r="M5" s="891"/>
      <c r="N5" s="891"/>
      <c r="O5" s="891"/>
      <c r="P5" s="891"/>
      <c r="Q5" s="2" t="s">
        <v>912</v>
      </c>
    </row>
    <row r="6" spans="2:17">
      <c r="B6" s="892" t="s">
        <v>5</v>
      </c>
      <c r="C6" s="893"/>
      <c r="D6" s="893"/>
      <c r="E6" s="279" t="s">
        <v>6</v>
      </c>
      <c r="F6" s="279"/>
      <c r="G6" s="280"/>
      <c r="H6" s="280"/>
      <c r="I6" s="280"/>
      <c r="J6" s="280"/>
      <c r="K6" s="280"/>
      <c r="L6" s="280"/>
      <c r="M6" s="280"/>
      <c r="N6" s="280"/>
      <c r="O6" s="280"/>
      <c r="P6" s="281"/>
      <c r="Q6" s="2" t="s">
        <v>913</v>
      </c>
    </row>
    <row r="7" spans="2:17">
      <c r="B7" s="561" t="s">
        <v>4</v>
      </c>
      <c r="C7" s="267"/>
      <c r="D7" s="268" t="s">
        <v>859</v>
      </c>
      <c r="E7" s="561" t="s">
        <v>44</v>
      </c>
      <c r="F7" s="148"/>
      <c r="G7" s="277" t="s">
        <v>48</v>
      </c>
      <c r="H7" s="148"/>
      <c r="I7" s="148"/>
      <c r="J7" s="1"/>
      <c r="K7" s="562"/>
      <c r="L7" s="563"/>
      <c r="M7" s="278"/>
      <c r="N7" s="278"/>
    </row>
    <row r="8" spans="2:17">
      <c r="B8" s="147"/>
      <c r="C8" s="564"/>
      <c r="D8" s="269"/>
      <c r="E8" s="147" t="s">
        <v>45</v>
      </c>
      <c r="F8" s="148"/>
      <c r="G8" s="214" t="s">
        <v>852</v>
      </c>
      <c r="H8" s="148"/>
      <c r="I8" s="148"/>
      <c r="J8" s="1"/>
      <c r="K8" s="562"/>
      <c r="L8" s="894"/>
      <c r="M8" s="894"/>
      <c r="N8" s="278"/>
    </row>
    <row r="9" spans="2:17">
      <c r="B9" s="147" t="s">
        <v>7</v>
      </c>
      <c r="C9" s="564"/>
      <c r="D9" s="270">
        <v>7</v>
      </c>
      <c r="E9" s="565" t="s">
        <v>46</v>
      </c>
      <c r="F9" s="149"/>
      <c r="G9" s="150">
        <v>44349</v>
      </c>
      <c r="H9" s="149"/>
      <c r="I9" s="148"/>
      <c r="J9" s="1"/>
      <c r="K9" s="562"/>
      <c r="L9" s="894"/>
      <c r="M9" s="894"/>
      <c r="N9" s="278"/>
    </row>
    <row r="10" spans="2:17">
      <c r="B10" s="566" t="s">
        <v>8</v>
      </c>
      <c r="C10" s="567"/>
      <c r="D10" s="568" t="s">
        <v>1251</v>
      </c>
      <c r="E10" s="569" t="s">
        <v>47</v>
      </c>
      <c r="F10" s="570"/>
      <c r="G10" s="166">
        <v>44473</v>
      </c>
      <c r="H10" s="570"/>
      <c r="I10" s="148"/>
      <c r="J10" s="1"/>
      <c r="K10" s="562"/>
      <c r="L10" s="148"/>
      <c r="M10" s="167"/>
      <c r="N10" s="278"/>
    </row>
    <row r="11" spans="2:17" ht="18">
      <c r="B11" s="895" t="s">
        <v>15</v>
      </c>
      <c r="C11" s="896"/>
      <c r="D11" s="896"/>
      <c r="E11" s="896"/>
      <c r="F11" s="896"/>
      <c r="G11" s="896"/>
      <c r="H11" s="896"/>
      <c r="I11" s="896"/>
      <c r="J11" s="896"/>
      <c r="K11" s="896"/>
      <c r="L11" s="896"/>
      <c r="M11" s="896"/>
      <c r="N11" s="896"/>
      <c r="O11" s="896"/>
      <c r="P11" s="896"/>
    </row>
    <row r="12" spans="2:17">
      <c r="B12" s="571"/>
      <c r="C12" s="572"/>
      <c r="D12" s="572"/>
      <c r="E12" s="572"/>
      <c r="F12" s="572"/>
      <c r="G12" s="572"/>
      <c r="H12" s="572"/>
      <c r="I12" s="572"/>
      <c r="J12" s="572"/>
      <c r="K12" s="572"/>
      <c r="L12" s="572"/>
      <c r="M12" s="572"/>
      <c r="N12" s="572"/>
      <c r="O12" s="572"/>
      <c r="P12" s="573"/>
    </row>
    <row r="13" spans="2:17">
      <c r="B13" s="897" t="s">
        <v>30</v>
      </c>
      <c r="C13" s="899" t="s">
        <v>2</v>
      </c>
      <c r="D13" s="901" t="s">
        <v>16</v>
      </c>
      <c r="E13" s="903" t="s">
        <v>10</v>
      </c>
      <c r="F13" s="905" t="s">
        <v>17</v>
      </c>
      <c r="G13" s="906"/>
      <c r="H13" s="907"/>
      <c r="I13" s="905" t="s">
        <v>31</v>
      </c>
      <c r="J13" s="907"/>
      <c r="K13" s="911">
        <v>7</v>
      </c>
      <c r="L13" s="912"/>
      <c r="M13" s="913" t="s">
        <v>36</v>
      </c>
      <c r="N13" s="914"/>
      <c r="O13" s="915" t="s">
        <v>63</v>
      </c>
      <c r="P13" s="916"/>
    </row>
    <row r="14" spans="2:17">
      <c r="B14" s="898"/>
      <c r="C14" s="900"/>
      <c r="D14" s="902"/>
      <c r="E14" s="904"/>
      <c r="F14" s="3" t="s">
        <v>18</v>
      </c>
      <c r="G14" s="4" t="s">
        <v>9</v>
      </c>
      <c r="H14" s="5" t="s">
        <v>3</v>
      </c>
      <c r="I14" s="45" t="s">
        <v>9</v>
      </c>
      <c r="J14" s="5" t="s">
        <v>3</v>
      </c>
      <c r="K14" s="45" t="s">
        <v>9</v>
      </c>
      <c r="L14" s="5" t="s">
        <v>3</v>
      </c>
      <c r="M14" s="592" t="s">
        <v>9</v>
      </c>
      <c r="N14" s="593" t="s">
        <v>3</v>
      </c>
      <c r="O14" s="227" t="s">
        <v>9</v>
      </c>
      <c r="P14" s="228" t="s">
        <v>3</v>
      </c>
    </row>
    <row r="15" spans="2:17" s="209" customFormat="1">
      <c r="B15" s="202">
        <v>1</v>
      </c>
      <c r="C15" s="203" t="s">
        <v>848</v>
      </c>
      <c r="E15" s="204"/>
      <c r="F15" s="205"/>
      <c r="G15" s="206"/>
      <c r="H15" s="207">
        <v>196427.87</v>
      </c>
      <c r="I15" s="208"/>
      <c r="J15" s="207">
        <f>SUBTOTAL(9,J16:J42)</f>
        <v>129825.29000000002</v>
      </c>
      <c r="K15" s="208"/>
      <c r="L15" s="207">
        <f>SUBTOTAL(9,L16:L42)</f>
        <v>21734.279999999992</v>
      </c>
      <c r="M15" s="207"/>
      <c r="N15" s="207">
        <f>SUBTOTAL(9,N16:N42)</f>
        <v>151559.57</v>
      </c>
      <c r="O15" s="207">
        <f>G15-M15</f>
        <v>0</v>
      </c>
      <c r="P15" s="207">
        <f>H15-N15</f>
        <v>44868.299999999988</v>
      </c>
    </row>
    <row r="16" spans="2:17" s="213" customFormat="1">
      <c r="B16" s="210" t="s">
        <v>19</v>
      </c>
      <c r="C16" s="211"/>
      <c r="D16" s="212" t="s">
        <v>65</v>
      </c>
      <c r="E16" s="197"/>
      <c r="F16" s="198"/>
      <c r="G16" s="199"/>
      <c r="H16" s="200">
        <v>160167.63</v>
      </c>
      <c r="I16" s="201"/>
      <c r="J16" s="200">
        <f>SUBTOTAL(9,J17:J38)</f>
        <v>109827.77000000002</v>
      </c>
      <c r="K16" s="201"/>
      <c r="L16" s="200">
        <f>SUBTOTAL(9,L17:L38)</f>
        <v>21734.279999999992</v>
      </c>
      <c r="M16" s="200"/>
      <c r="N16" s="200">
        <f>SUBTOTAL(9,N17:N38)</f>
        <v>131562.05000000002</v>
      </c>
      <c r="O16" s="200">
        <f t="shared" ref="O16:P31" si="0">G16-M16</f>
        <v>0</v>
      </c>
      <c r="P16" s="200">
        <f t="shared" si="0"/>
        <v>28605.579999999987</v>
      </c>
    </row>
    <row r="17" spans="2:16" s="236" customFormat="1">
      <c r="B17" s="229" t="s">
        <v>40</v>
      </c>
      <c r="C17" s="230"/>
      <c r="D17" s="574" t="s">
        <v>61</v>
      </c>
      <c r="E17" s="231"/>
      <c r="F17" s="232"/>
      <c r="G17" s="233"/>
      <c r="H17" s="234">
        <v>27297.05</v>
      </c>
      <c r="I17" s="235"/>
      <c r="J17" s="234">
        <f>SUBTOTAL(9,J18:J19)</f>
        <v>20807.46</v>
      </c>
      <c r="K17" s="235"/>
      <c r="L17" s="234">
        <f>SUBTOTAL(9,L18:L19)</f>
        <v>0</v>
      </c>
      <c r="M17" s="234"/>
      <c r="N17" s="234">
        <f>SUBTOTAL(9,N18:N19)</f>
        <v>20807.46</v>
      </c>
      <c r="O17" s="234">
        <f t="shared" si="0"/>
        <v>0</v>
      </c>
      <c r="P17" s="234">
        <f t="shared" si="0"/>
        <v>6489.59</v>
      </c>
    </row>
    <row r="18" spans="2:16" ht="25.5">
      <c r="B18" s="190" t="s">
        <v>66</v>
      </c>
      <c r="C18" s="191" t="s">
        <v>68</v>
      </c>
      <c r="D18" s="575" t="s">
        <v>70</v>
      </c>
      <c r="E18" s="192" t="s">
        <v>72</v>
      </c>
      <c r="F18" s="193">
        <v>20807.46</v>
      </c>
      <c r="G18" s="194">
        <v>1</v>
      </c>
      <c r="H18" s="193">
        <v>20807.46</v>
      </c>
      <c r="I18" s="195">
        <v>1</v>
      </c>
      <c r="J18" s="193">
        <f>TRUNC(I18*F18,2)</f>
        <v>20807.46</v>
      </c>
      <c r="K18" s="194">
        <f>IFERROR(VLOOKUP(B18,'[35]1.1.1.1'!A:U,18,FALSE),)</f>
        <v>0</v>
      </c>
      <c r="L18" s="193">
        <f t="shared" ref="L18:L19" si="1">N18-J18</f>
        <v>0</v>
      </c>
      <c r="M18" s="194">
        <f>K18+I18</f>
        <v>1</v>
      </c>
      <c r="N18" s="196">
        <f>TRUNC(M18*F18,2)</f>
        <v>20807.46</v>
      </c>
      <c r="O18" s="194">
        <f t="shared" si="0"/>
        <v>0</v>
      </c>
      <c r="P18" s="196">
        <f t="shared" si="0"/>
        <v>0</v>
      </c>
    </row>
    <row r="19" spans="2:16">
      <c r="B19" s="190" t="s">
        <v>67</v>
      </c>
      <c r="C19" s="191" t="s">
        <v>69</v>
      </c>
      <c r="D19" s="575" t="s">
        <v>71</v>
      </c>
      <c r="E19" s="192" t="s">
        <v>72</v>
      </c>
      <c r="F19" s="193">
        <v>6489.59</v>
      </c>
      <c r="G19" s="194">
        <v>1</v>
      </c>
      <c r="H19" s="193">
        <v>6489.59</v>
      </c>
      <c r="I19" s="195">
        <v>0</v>
      </c>
      <c r="J19" s="193">
        <f t="shared" ref="J19" si="2">TRUNC(I19*F19,2)</f>
        <v>0</v>
      </c>
      <c r="K19" s="194">
        <f>IFERROR(VLOOKUP(B19,'[35]1.1.1.1'!A:U,18,FALSE),)</f>
        <v>0</v>
      </c>
      <c r="L19" s="193">
        <f t="shared" si="1"/>
        <v>0</v>
      </c>
      <c r="M19" s="194">
        <f t="shared" ref="M19" si="3">K19+I19</f>
        <v>0</v>
      </c>
      <c r="N19" s="196">
        <f t="shared" ref="N19" si="4">TRUNC(M19*F19,2)</f>
        <v>0</v>
      </c>
      <c r="O19" s="194">
        <f t="shared" si="0"/>
        <v>1</v>
      </c>
      <c r="P19" s="196">
        <f t="shared" si="0"/>
        <v>6489.59</v>
      </c>
    </row>
    <row r="20" spans="2:16">
      <c r="B20" s="138"/>
      <c r="C20" s="132"/>
      <c r="D20" s="123"/>
      <c r="E20" s="123"/>
      <c r="F20" s="123"/>
      <c r="G20" s="123"/>
      <c r="H20" s="123"/>
      <c r="I20" s="123"/>
      <c r="J20" s="123"/>
      <c r="K20" s="123"/>
      <c r="L20" s="123"/>
      <c r="M20" s="123"/>
      <c r="N20" s="124"/>
      <c r="O20" s="123">
        <f t="shared" si="0"/>
        <v>0</v>
      </c>
      <c r="P20" s="124">
        <f t="shared" si="0"/>
        <v>0</v>
      </c>
    </row>
    <row r="21" spans="2:16" s="131" customFormat="1">
      <c r="B21" s="137" t="s">
        <v>41</v>
      </c>
      <c r="C21" s="133"/>
      <c r="D21" s="125" t="s">
        <v>73</v>
      </c>
      <c r="E21" s="126"/>
      <c r="F21" s="127"/>
      <c r="G21" s="128"/>
      <c r="H21" s="129">
        <v>61975.519999999997</v>
      </c>
      <c r="I21" s="130"/>
      <c r="J21" s="129">
        <f>SUBTOTAL(9,J22:J30)</f>
        <v>41956.500000000007</v>
      </c>
      <c r="K21" s="130"/>
      <c r="L21" s="129">
        <f>SUBTOTAL(9,L22:L30)</f>
        <v>4241.7599999999984</v>
      </c>
      <c r="M21" s="129"/>
      <c r="N21" s="129">
        <f>SUBTOTAL(9,N22:N30)</f>
        <v>46198.26</v>
      </c>
      <c r="O21" s="129">
        <f t="shared" si="0"/>
        <v>0</v>
      </c>
      <c r="P21" s="129">
        <f t="shared" si="0"/>
        <v>15777.259999999995</v>
      </c>
    </row>
    <row r="22" spans="2:16" ht="38.25">
      <c r="B22" s="190" t="s">
        <v>74</v>
      </c>
      <c r="C22" s="191">
        <v>20350</v>
      </c>
      <c r="D22" s="575" t="s">
        <v>866</v>
      </c>
      <c r="E22" s="192" t="s">
        <v>51</v>
      </c>
      <c r="F22" s="193">
        <v>138.65</v>
      </c>
      <c r="G22" s="194">
        <v>140.08000000000001</v>
      </c>
      <c r="H22" s="193">
        <v>19422.09</v>
      </c>
      <c r="I22" s="194">
        <v>140.08000000000001</v>
      </c>
      <c r="J22" s="193">
        <f t="shared" ref="J22" si="5">TRUNC(I22*F22,2)</f>
        <v>19422.09</v>
      </c>
      <c r="K22" s="194">
        <f>IFERROR(VLOOKUP(B22,'[35]1.1.2.1'!A:U,18,FALSE),)</f>
        <v>0</v>
      </c>
      <c r="L22" s="193">
        <f t="shared" ref="L22" si="6">N22-J22</f>
        <v>0</v>
      </c>
      <c r="M22" s="194">
        <f t="shared" ref="M22" si="7">K22+I22</f>
        <v>140.08000000000001</v>
      </c>
      <c r="N22" s="196">
        <f t="shared" ref="N22" si="8">TRUNC(M22*F22,2)</f>
        <v>19422.09</v>
      </c>
      <c r="O22" s="194">
        <f t="shared" si="0"/>
        <v>0</v>
      </c>
      <c r="P22" s="196">
        <f t="shared" si="0"/>
        <v>0</v>
      </c>
    </row>
    <row r="23" spans="2:16" s="244" customFormat="1" ht="51">
      <c r="B23" s="576" t="s">
        <v>75</v>
      </c>
      <c r="C23" s="238">
        <v>20343</v>
      </c>
      <c r="D23" s="239" t="s">
        <v>84</v>
      </c>
      <c r="E23" s="240" t="s">
        <v>52</v>
      </c>
      <c r="F23" s="241">
        <v>783.92</v>
      </c>
      <c r="G23" s="242">
        <v>10</v>
      </c>
      <c r="H23" s="241">
        <v>7839.2</v>
      </c>
      <c r="I23" s="242">
        <f>'[35]1.1.2.2'!R29</f>
        <v>6</v>
      </c>
      <c r="J23" s="241">
        <f>TRUNC(I23*F23,2)</f>
        <v>4703.5200000000004</v>
      </c>
      <c r="K23" s="259">
        <v>1</v>
      </c>
      <c r="L23" s="260">
        <f>N23-J23</f>
        <v>783.91999999999916</v>
      </c>
      <c r="M23" s="242">
        <f>K23+I23</f>
        <v>7</v>
      </c>
      <c r="N23" s="243">
        <f>TRUNC(M23*F23,2)</f>
        <v>5487.44</v>
      </c>
      <c r="O23" s="242">
        <f t="shared" si="0"/>
        <v>3</v>
      </c>
      <c r="P23" s="243">
        <f t="shared" si="0"/>
        <v>2351.7600000000002</v>
      </c>
    </row>
    <row r="24" spans="2:16" s="244" customFormat="1" ht="38.25">
      <c r="B24" s="576" t="s">
        <v>76</v>
      </c>
      <c r="C24" s="238">
        <v>20353</v>
      </c>
      <c r="D24" s="239" t="s">
        <v>97</v>
      </c>
      <c r="E24" s="240" t="s">
        <v>85</v>
      </c>
      <c r="F24" s="241">
        <v>823.11</v>
      </c>
      <c r="G24" s="242">
        <v>10</v>
      </c>
      <c r="H24" s="241">
        <v>8231.1</v>
      </c>
      <c r="I24" s="242">
        <v>2</v>
      </c>
      <c r="J24" s="241">
        <f t="shared" ref="J24:J25" si="9">TRUNC(I24*F24,2)</f>
        <v>1646.22</v>
      </c>
      <c r="K24" s="259">
        <f>'[35]1.1.2.3'!R29</f>
        <v>2</v>
      </c>
      <c r="L24" s="260">
        <f t="shared" ref="L24:L25" si="10">N24-J24</f>
        <v>1646.22</v>
      </c>
      <c r="M24" s="242">
        <f>K24+I24</f>
        <v>4</v>
      </c>
      <c r="N24" s="243">
        <f t="shared" ref="N24:N25" si="11">TRUNC(M24*F24,2)</f>
        <v>3292.44</v>
      </c>
      <c r="O24" s="242">
        <f t="shared" si="0"/>
        <v>6</v>
      </c>
      <c r="P24" s="243">
        <f t="shared" si="0"/>
        <v>4938.66</v>
      </c>
    </row>
    <row r="25" spans="2:16" s="244" customFormat="1" ht="38.25">
      <c r="B25" s="576" t="s">
        <v>77</v>
      </c>
      <c r="C25" s="238">
        <v>20354</v>
      </c>
      <c r="D25" s="239" t="s">
        <v>86</v>
      </c>
      <c r="E25" s="240" t="s">
        <v>85</v>
      </c>
      <c r="F25" s="241">
        <v>479.75</v>
      </c>
      <c r="G25" s="242">
        <v>10</v>
      </c>
      <c r="H25" s="241">
        <v>4797.5</v>
      </c>
      <c r="I25" s="242">
        <f>'[35]1.1.2.4'!R29</f>
        <v>5</v>
      </c>
      <c r="J25" s="241">
        <f t="shared" si="9"/>
        <v>2398.75</v>
      </c>
      <c r="K25" s="259">
        <v>1</v>
      </c>
      <c r="L25" s="260">
        <f t="shared" si="10"/>
        <v>479.75</v>
      </c>
      <c r="M25" s="242">
        <f t="shared" ref="M25" si="12">K25+I25</f>
        <v>6</v>
      </c>
      <c r="N25" s="243">
        <f t="shared" si="11"/>
        <v>2878.5</v>
      </c>
      <c r="O25" s="242">
        <f t="shared" si="0"/>
        <v>4</v>
      </c>
      <c r="P25" s="243">
        <f t="shared" si="0"/>
        <v>1919</v>
      </c>
    </row>
    <row r="26" spans="2:16" s="244" customFormat="1" ht="38.25">
      <c r="B26" s="576" t="s">
        <v>78</v>
      </c>
      <c r="C26" s="238">
        <v>20355</v>
      </c>
      <c r="D26" s="239" t="s">
        <v>87</v>
      </c>
      <c r="E26" s="240" t="s">
        <v>85</v>
      </c>
      <c r="F26" s="241">
        <v>841.92</v>
      </c>
      <c r="G26" s="242">
        <v>10</v>
      </c>
      <c r="H26" s="241">
        <v>8419.2000000000007</v>
      </c>
      <c r="I26" s="242">
        <f>'[35]1.1.2.5'!R29</f>
        <v>6</v>
      </c>
      <c r="J26" s="241">
        <f>TRUNC(I26*F26,2)</f>
        <v>5051.5200000000004</v>
      </c>
      <c r="K26" s="259">
        <v>1</v>
      </c>
      <c r="L26" s="260">
        <f>N26-J26</f>
        <v>841.91999999999916</v>
      </c>
      <c r="M26" s="242">
        <f>K26+I26</f>
        <v>7</v>
      </c>
      <c r="N26" s="243">
        <f>TRUNC(M26*F26,2)</f>
        <v>5893.44</v>
      </c>
      <c r="O26" s="242">
        <f t="shared" si="0"/>
        <v>3</v>
      </c>
      <c r="P26" s="243">
        <f t="shared" si="0"/>
        <v>2525.7600000000011</v>
      </c>
    </row>
    <row r="27" spans="2:16" s="244" customFormat="1" ht="38.25">
      <c r="B27" s="576" t="s">
        <v>79</v>
      </c>
      <c r="C27" s="238">
        <v>20356</v>
      </c>
      <c r="D27" s="239" t="s">
        <v>88</v>
      </c>
      <c r="E27" s="240" t="s">
        <v>85</v>
      </c>
      <c r="F27" s="241">
        <v>489.95</v>
      </c>
      <c r="G27" s="242">
        <v>10</v>
      </c>
      <c r="H27" s="241">
        <v>4899.5</v>
      </c>
      <c r="I27" s="242">
        <f>'[35]1.1.2.6'!R29</f>
        <v>6</v>
      </c>
      <c r="J27" s="241">
        <f>TRUNC(I27*F27,2)</f>
        <v>2939.7</v>
      </c>
      <c r="K27" s="259">
        <v>1</v>
      </c>
      <c r="L27" s="260">
        <f>N27-J27</f>
        <v>489.95000000000027</v>
      </c>
      <c r="M27" s="242">
        <f>K27+I27</f>
        <v>7</v>
      </c>
      <c r="N27" s="243">
        <f>TRUNC(M27*F27,2)</f>
        <v>3429.65</v>
      </c>
      <c r="O27" s="242">
        <f t="shared" si="0"/>
        <v>3</v>
      </c>
      <c r="P27" s="243">
        <f t="shared" si="0"/>
        <v>1469.85</v>
      </c>
    </row>
    <row r="28" spans="2:16">
      <c r="B28" s="190" t="s">
        <v>80</v>
      </c>
      <c r="C28" s="191">
        <v>20344</v>
      </c>
      <c r="D28" s="575" t="s">
        <v>89</v>
      </c>
      <c r="E28" s="192" t="s">
        <v>59</v>
      </c>
      <c r="F28" s="193">
        <v>1028.8900000000001</v>
      </c>
      <c r="G28" s="194">
        <v>5</v>
      </c>
      <c r="H28" s="193">
        <v>5144.45</v>
      </c>
      <c r="I28" s="194">
        <v>2.5</v>
      </c>
      <c r="J28" s="193">
        <f t="shared" ref="J28:J29" si="13">TRUNC(I28*F28,2)</f>
        <v>2572.2199999999998</v>
      </c>
      <c r="K28" s="194">
        <f>IFERROR(VLOOKUP(B28,'[35]1.1.2.7'!A:U,18,FALSE),)</f>
        <v>0</v>
      </c>
      <c r="L28" s="193">
        <f t="shared" ref="L28:L29" si="14">N28-J28</f>
        <v>0</v>
      </c>
      <c r="M28" s="194">
        <f t="shared" ref="M28:M29" si="15">K28+I28</f>
        <v>2.5</v>
      </c>
      <c r="N28" s="196">
        <f t="shared" ref="N28:N29" si="16">TRUNC(M28*F28,2)</f>
        <v>2572.2199999999998</v>
      </c>
      <c r="O28" s="194">
        <f t="shared" si="0"/>
        <v>2.5</v>
      </c>
      <c r="P28" s="196">
        <f t="shared" si="0"/>
        <v>2572.23</v>
      </c>
    </row>
    <row r="29" spans="2:16" ht="38.25">
      <c r="B29" s="190" t="s">
        <v>81</v>
      </c>
      <c r="C29" s="191">
        <v>20708</v>
      </c>
      <c r="D29" s="575" t="s">
        <v>861</v>
      </c>
      <c r="E29" s="192" t="s">
        <v>57</v>
      </c>
      <c r="F29" s="193">
        <v>160.19999999999999</v>
      </c>
      <c r="G29" s="194">
        <v>12</v>
      </c>
      <c r="H29" s="193">
        <v>1922.4</v>
      </c>
      <c r="I29" s="194">
        <v>12</v>
      </c>
      <c r="J29" s="193">
        <f t="shared" si="13"/>
        <v>1922.4</v>
      </c>
      <c r="K29" s="194">
        <f>IFERROR(VLOOKUP(B29,'[35]1.1.2.8'!A:U,18,FALSE),)</f>
        <v>0</v>
      </c>
      <c r="L29" s="193">
        <f t="shared" si="14"/>
        <v>0</v>
      </c>
      <c r="M29" s="194">
        <f t="shared" si="15"/>
        <v>12</v>
      </c>
      <c r="N29" s="196">
        <f t="shared" si="16"/>
        <v>1922.4</v>
      </c>
      <c r="O29" s="194">
        <f t="shared" si="0"/>
        <v>0</v>
      </c>
      <c r="P29" s="196">
        <f t="shared" si="0"/>
        <v>0</v>
      </c>
    </row>
    <row r="30" spans="2:16" ht="38.25">
      <c r="B30" s="190" t="s">
        <v>82</v>
      </c>
      <c r="C30" s="191">
        <v>20709</v>
      </c>
      <c r="D30" s="575" t="s">
        <v>862</v>
      </c>
      <c r="E30" s="192" t="s">
        <v>57</v>
      </c>
      <c r="F30" s="193">
        <v>216.68</v>
      </c>
      <c r="G30" s="194">
        <v>6</v>
      </c>
      <c r="H30" s="193">
        <v>1300.08</v>
      </c>
      <c r="I30" s="194">
        <v>6</v>
      </c>
      <c r="J30" s="193">
        <f>TRUNC(I30*F30,2)</f>
        <v>1300.08</v>
      </c>
      <c r="K30" s="194">
        <f>IFERROR(VLOOKUP(B30,'[35]1.1.2.9'!A:U,18,FALSE),)</f>
        <v>0</v>
      </c>
      <c r="L30" s="193">
        <f>N30-J30</f>
        <v>0</v>
      </c>
      <c r="M30" s="194">
        <f>K30+I30</f>
        <v>6</v>
      </c>
      <c r="N30" s="196">
        <f>TRUNC(M30*F30,2)</f>
        <v>1300.08</v>
      </c>
      <c r="O30" s="194">
        <f t="shared" si="0"/>
        <v>0</v>
      </c>
      <c r="P30" s="196">
        <f t="shared" si="0"/>
        <v>0</v>
      </c>
    </row>
    <row r="31" spans="2:16">
      <c r="B31" s="138"/>
      <c r="C31" s="132"/>
      <c r="D31" s="123"/>
      <c r="E31" s="123"/>
      <c r="F31" s="123"/>
      <c r="G31" s="123"/>
      <c r="H31" s="123"/>
      <c r="I31" s="123"/>
      <c r="J31" s="123"/>
      <c r="K31" s="123"/>
      <c r="L31" s="123"/>
      <c r="M31" s="123"/>
      <c r="N31" s="124"/>
      <c r="O31" s="123">
        <f t="shared" si="0"/>
        <v>0</v>
      </c>
      <c r="P31" s="124">
        <f t="shared" si="0"/>
        <v>0</v>
      </c>
    </row>
    <row r="32" spans="2:16" s="131" customFormat="1">
      <c r="B32" s="137" t="s">
        <v>42</v>
      </c>
      <c r="C32" s="133"/>
      <c r="D32" s="125" t="s">
        <v>90</v>
      </c>
      <c r="E32" s="126"/>
      <c r="F32" s="127"/>
      <c r="G32" s="128"/>
      <c r="H32" s="129">
        <v>70895.06</v>
      </c>
      <c r="I32" s="130"/>
      <c r="J32" s="129">
        <f>SUBTOTAL(9,J33:J38)</f>
        <v>47063.81</v>
      </c>
      <c r="K32" s="130"/>
      <c r="L32" s="129">
        <f>SUBTOTAL(9,L33:L38)</f>
        <v>17492.519999999993</v>
      </c>
      <c r="M32" s="129"/>
      <c r="N32" s="129">
        <f>SUBTOTAL(9,N33:N38)</f>
        <v>64556.329999999994</v>
      </c>
      <c r="O32" s="129">
        <f t="shared" ref="O32:P42" si="17">G32-M32</f>
        <v>0</v>
      </c>
      <c r="P32" s="129">
        <f t="shared" si="17"/>
        <v>6338.7300000000032</v>
      </c>
    </row>
    <row r="33" spans="2:16" s="244" customFormat="1" ht="51">
      <c r="B33" s="576" t="s">
        <v>91</v>
      </c>
      <c r="C33" s="238">
        <v>20350</v>
      </c>
      <c r="D33" s="239" t="s">
        <v>83</v>
      </c>
      <c r="E33" s="240" t="s">
        <v>51</v>
      </c>
      <c r="F33" s="241">
        <v>138.65</v>
      </c>
      <c r="G33" s="242">
        <v>251.25</v>
      </c>
      <c r="H33" s="241">
        <v>34835.81</v>
      </c>
      <c r="I33" s="242">
        <f>'[35]1.1.3.1'!R28</f>
        <v>191</v>
      </c>
      <c r="J33" s="241">
        <f t="shared" ref="J33" si="18">TRUNC(I33*F33,2)</f>
        <v>26482.15</v>
      </c>
      <c r="K33" s="259">
        <f>'[35]1.1.3.1'!R29</f>
        <v>60.25</v>
      </c>
      <c r="L33" s="260">
        <f t="shared" ref="L33" si="19">N33-J33</f>
        <v>8353.6599999999962</v>
      </c>
      <c r="M33" s="242">
        <f t="shared" ref="M33" si="20">K33+I33</f>
        <v>251.25</v>
      </c>
      <c r="N33" s="243">
        <f t="shared" ref="N33" si="21">TRUNC(M33*F33,2)</f>
        <v>34835.81</v>
      </c>
      <c r="O33" s="242">
        <f t="shared" si="17"/>
        <v>0</v>
      </c>
      <c r="P33" s="243">
        <f t="shared" si="17"/>
        <v>0</v>
      </c>
    </row>
    <row r="34" spans="2:16" s="244" customFormat="1" ht="38.25">
      <c r="B34" s="576" t="s">
        <v>92</v>
      </c>
      <c r="C34" s="238">
        <v>20356</v>
      </c>
      <c r="D34" s="239" t="s">
        <v>88</v>
      </c>
      <c r="E34" s="240" t="s">
        <v>85</v>
      </c>
      <c r="F34" s="241">
        <v>489.95</v>
      </c>
      <c r="G34" s="242">
        <v>9</v>
      </c>
      <c r="H34" s="241">
        <v>4409.55</v>
      </c>
      <c r="I34" s="242">
        <f>'[35]1.1.3.2'!R29</f>
        <v>5</v>
      </c>
      <c r="J34" s="241">
        <f>TRUNC(I34*F34,2)</f>
        <v>2449.75</v>
      </c>
      <c r="K34" s="259">
        <f>'[35]1.1.3.2'!R30</f>
        <v>3</v>
      </c>
      <c r="L34" s="260">
        <f>N34-J34</f>
        <v>1469.85</v>
      </c>
      <c r="M34" s="242">
        <f>K34+I34</f>
        <v>8</v>
      </c>
      <c r="N34" s="243">
        <f>TRUNC(M34*F34,2)</f>
        <v>3919.6</v>
      </c>
      <c r="O34" s="242">
        <f t="shared" si="17"/>
        <v>1</v>
      </c>
      <c r="P34" s="243">
        <f t="shared" si="17"/>
        <v>489.95000000000027</v>
      </c>
    </row>
    <row r="35" spans="2:16" s="244" customFormat="1" ht="38.25">
      <c r="B35" s="576" t="s">
        <v>93</v>
      </c>
      <c r="C35" s="238">
        <v>20353</v>
      </c>
      <c r="D35" s="239" t="s">
        <v>97</v>
      </c>
      <c r="E35" s="240" t="s">
        <v>85</v>
      </c>
      <c r="F35" s="241">
        <v>823.11</v>
      </c>
      <c r="G35" s="242">
        <v>9</v>
      </c>
      <c r="H35" s="241">
        <v>7407.99</v>
      </c>
      <c r="I35" s="242">
        <f>'[35]1.1.3.3'!R26</f>
        <v>4</v>
      </c>
      <c r="J35" s="241">
        <f t="shared" ref="J35:J36" si="22">TRUNC(I35*F35,2)</f>
        <v>3292.44</v>
      </c>
      <c r="K35" s="259">
        <v>2</v>
      </c>
      <c r="L35" s="260">
        <f t="shared" ref="L35:L36" si="23">N35-J35</f>
        <v>1646.2199999999998</v>
      </c>
      <c r="M35" s="242">
        <f t="shared" ref="M35:M36" si="24">K35+I35</f>
        <v>6</v>
      </c>
      <c r="N35" s="243">
        <f t="shared" ref="N35:N36" si="25">TRUNC(M35*F35,2)</f>
        <v>4938.66</v>
      </c>
      <c r="O35" s="242">
        <f t="shared" si="17"/>
        <v>3</v>
      </c>
      <c r="P35" s="243">
        <f t="shared" si="17"/>
        <v>2469.33</v>
      </c>
    </row>
    <row r="36" spans="2:16" s="244" customFormat="1" ht="38.25">
      <c r="B36" s="576" t="s">
        <v>94</v>
      </c>
      <c r="C36" s="238">
        <v>20354</v>
      </c>
      <c r="D36" s="239" t="s">
        <v>86</v>
      </c>
      <c r="E36" s="240" t="s">
        <v>85</v>
      </c>
      <c r="F36" s="241">
        <v>479.75</v>
      </c>
      <c r="G36" s="242">
        <v>9</v>
      </c>
      <c r="H36" s="241">
        <v>4317.75</v>
      </c>
      <c r="I36" s="242">
        <f>'[35]1.1.3.4'!R29</f>
        <v>5</v>
      </c>
      <c r="J36" s="241">
        <f t="shared" si="22"/>
        <v>2398.75</v>
      </c>
      <c r="K36" s="259">
        <f>'[35]1.1.3.2'!R30</f>
        <v>3</v>
      </c>
      <c r="L36" s="260">
        <f t="shared" si="23"/>
        <v>1439.25</v>
      </c>
      <c r="M36" s="242">
        <f t="shared" si="24"/>
        <v>8</v>
      </c>
      <c r="N36" s="243">
        <f t="shared" si="25"/>
        <v>3838</v>
      </c>
      <c r="O36" s="242">
        <f t="shared" si="17"/>
        <v>1</v>
      </c>
      <c r="P36" s="243">
        <f t="shared" si="17"/>
        <v>479.75</v>
      </c>
    </row>
    <row r="37" spans="2:16" s="244" customFormat="1" ht="38.25">
      <c r="B37" s="576" t="s">
        <v>95</v>
      </c>
      <c r="C37" s="238">
        <v>20355</v>
      </c>
      <c r="D37" s="239" t="s">
        <v>87</v>
      </c>
      <c r="E37" s="240" t="s">
        <v>85</v>
      </c>
      <c r="F37" s="241">
        <v>841.92</v>
      </c>
      <c r="G37" s="242">
        <v>9</v>
      </c>
      <c r="H37" s="241">
        <v>7577.28</v>
      </c>
      <c r="I37" s="242">
        <f>'[35]1.1.3.5'!R29</f>
        <v>5</v>
      </c>
      <c r="J37" s="241">
        <f>TRUNC(I37*F37,2)</f>
        <v>4209.6000000000004</v>
      </c>
      <c r="K37" s="259">
        <f>'[35]1.1.3.5'!R30</f>
        <v>3</v>
      </c>
      <c r="L37" s="260">
        <f>N37-J37</f>
        <v>2525.7599999999993</v>
      </c>
      <c r="M37" s="242">
        <f>K37+I37</f>
        <v>8</v>
      </c>
      <c r="N37" s="243">
        <f>TRUNC(M37*F37,2)</f>
        <v>6735.36</v>
      </c>
      <c r="O37" s="242">
        <f t="shared" si="17"/>
        <v>1</v>
      </c>
      <c r="P37" s="243">
        <f t="shared" si="17"/>
        <v>841.92000000000007</v>
      </c>
    </row>
    <row r="38" spans="2:16" s="244" customFormat="1">
      <c r="B38" s="576" t="s">
        <v>96</v>
      </c>
      <c r="C38" s="238">
        <v>20344</v>
      </c>
      <c r="D38" s="239" t="s">
        <v>89</v>
      </c>
      <c r="E38" s="240" t="s">
        <v>59</v>
      </c>
      <c r="F38" s="241">
        <v>1028.8900000000001</v>
      </c>
      <c r="G38" s="242">
        <v>12</v>
      </c>
      <c r="H38" s="241">
        <v>12346.68</v>
      </c>
      <c r="I38" s="242">
        <v>8</v>
      </c>
      <c r="J38" s="241">
        <f>TRUNC(I38*F38,2)</f>
        <v>8231.1200000000008</v>
      </c>
      <c r="K38" s="259">
        <f>'[35]1.1.3.6'!R29</f>
        <v>2</v>
      </c>
      <c r="L38" s="260">
        <f>N38-J38</f>
        <v>2057.7799999999988</v>
      </c>
      <c r="M38" s="242">
        <f>K38+I38</f>
        <v>10</v>
      </c>
      <c r="N38" s="243">
        <f>TRUNC(M38*F38,2)</f>
        <v>10288.9</v>
      </c>
      <c r="O38" s="242">
        <f t="shared" si="17"/>
        <v>2</v>
      </c>
      <c r="P38" s="243">
        <f t="shared" si="17"/>
        <v>2057.7800000000007</v>
      </c>
    </row>
    <row r="39" spans="2:16">
      <c r="B39" s="138"/>
      <c r="C39" s="132"/>
      <c r="D39" s="123"/>
      <c r="E39" s="123"/>
      <c r="F39" s="123"/>
      <c r="G39" s="123"/>
      <c r="H39" s="123"/>
      <c r="I39" s="123"/>
      <c r="J39" s="123"/>
      <c r="K39" s="123"/>
      <c r="L39" s="123"/>
      <c r="M39" s="123"/>
      <c r="N39" s="124"/>
      <c r="O39" s="123">
        <f t="shared" si="17"/>
        <v>0</v>
      </c>
      <c r="P39" s="124">
        <f t="shared" si="17"/>
        <v>0</v>
      </c>
    </row>
    <row r="40" spans="2:16" s="213" customFormat="1">
      <c r="B40" s="210" t="s">
        <v>20</v>
      </c>
      <c r="C40" s="211"/>
      <c r="D40" s="212" t="s">
        <v>98</v>
      </c>
      <c r="E40" s="197"/>
      <c r="F40" s="198"/>
      <c r="G40" s="199"/>
      <c r="H40" s="200">
        <v>36260.239999999998</v>
      </c>
      <c r="I40" s="201"/>
      <c r="J40" s="200">
        <f>SUBTOTAL(9,J41:J42)</f>
        <v>19997.52</v>
      </c>
      <c r="K40" s="201"/>
      <c r="L40" s="200">
        <f>SUBTOTAL(9,L41:L42)</f>
        <v>0</v>
      </c>
      <c r="M40" s="200"/>
      <c r="N40" s="200">
        <f>SUBTOTAL(9,N41:N42)</f>
        <v>19997.52</v>
      </c>
      <c r="O40" s="200">
        <f t="shared" si="17"/>
        <v>0</v>
      </c>
      <c r="P40" s="200">
        <f t="shared" si="17"/>
        <v>16262.719999999998</v>
      </c>
    </row>
    <row r="41" spans="2:16" s="131" customFormat="1">
      <c r="B41" s="137" t="s">
        <v>43</v>
      </c>
      <c r="C41" s="133"/>
      <c r="D41" s="125" t="s">
        <v>98</v>
      </c>
      <c r="E41" s="126"/>
      <c r="F41" s="127"/>
      <c r="G41" s="128"/>
      <c r="H41" s="129">
        <v>36260.239999999998</v>
      </c>
      <c r="I41" s="130"/>
      <c r="J41" s="129">
        <f>SUBTOTAL(9,J42)</f>
        <v>19997.52</v>
      </c>
      <c r="K41" s="130"/>
      <c r="L41" s="129">
        <f>SUBTOTAL(9,L42)</f>
        <v>0</v>
      </c>
      <c r="M41" s="129"/>
      <c r="N41" s="129">
        <f>SUBTOTAL(9,N42)</f>
        <v>19997.52</v>
      </c>
      <c r="O41" s="129">
        <f t="shared" si="17"/>
        <v>0</v>
      </c>
      <c r="P41" s="129">
        <f t="shared" si="17"/>
        <v>16262.719999999998</v>
      </c>
    </row>
    <row r="42" spans="2:16" ht="25.5">
      <c r="B42" s="190" t="s">
        <v>99</v>
      </c>
      <c r="C42" s="191">
        <v>10512</v>
      </c>
      <c r="D42" s="575" t="s">
        <v>860</v>
      </c>
      <c r="E42" s="192" t="s">
        <v>52</v>
      </c>
      <c r="F42" s="193">
        <v>18130.12</v>
      </c>
      <c r="G42" s="194">
        <v>2</v>
      </c>
      <c r="H42" s="193">
        <v>36260.239999999998</v>
      </c>
      <c r="I42" s="194">
        <v>1.103</v>
      </c>
      <c r="J42" s="193">
        <f t="shared" ref="J42" si="26">TRUNC(I42*F42,2)</f>
        <v>19997.52</v>
      </c>
      <c r="K42" s="194">
        <f>IFERROR(VLOOKUP(B42,'[35]1.2.1.1'!A:U,18,FALSE),)</f>
        <v>0</v>
      </c>
      <c r="L42" s="193">
        <f t="shared" ref="L42" si="27">N42-J42</f>
        <v>0</v>
      </c>
      <c r="M42" s="194">
        <f t="shared" ref="M42" si="28">K42+I42</f>
        <v>1.103</v>
      </c>
      <c r="N42" s="196">
        <f t="shared" ref="N42" si="29">TRUNC(M42*F42,2)</f>
        <v>19997.52</v>
      </c>
      <c r="O42" s="194">
        <f t="shared" si="17"/>
        <v>0.89700000000000002</v>
      </c>
      <c r="P42" s="196">
        <f t="shared" si="17"/>
        <v>16262.719999999998</v>
      </c>
    </row>
    <row r="43" spans="2:16" s="209" customFormat="1">
      <c r="B43" s="202">
        <v>2</v>
      </c>
      <c r="C43" s="203" t="s">
        <v>391</v>
      </c>
      <c r="D43" s="209" t="s">
        <v>391</v>
      </c>
      <c r="E43" s="204"/>
      <c r="F43" s="205"/>
      <c r="G43" s="206"/>
      <c r="H43" s="207">
        <v>1447631.42</v>
      </c>
      <c r="I43" s="208"/>
      <c r="J43" s="207">
        <f>SUBTOTAL(9,J44:J205)</f>
        <v>101025.90000000001</v>
      </c>
      <c r="K43" s="208"/>
      <c r="L43" s="207">
        <f>SUBTOTAL(9,L44:L205)</f>
        <v>34093.42</v>
      </c>
      <c r="M43" s="207"/>
      <c r="N43" s="207">
        <f>SUBTOTAL(9,N44:N205)</f>
        <v>135119.32</v>
      </c>
      <c r="O43" s="207">
        <f>G43-M43</f>
        <v>0</v>
      </c>
      <c r="P43" s="207">
        <f>H43-N43</f>
        <v>1312512.0999999999</v>
      </c>
    </row>
    <row r="44" spans="2:16" s="213" customFormat="1">
      <c r="B44" s="210" t="s">
        <v>21</v>
      </c>
      <c r="C44" s="211"/>
      <c r="D44" s="212" t="s">
        <v>65</v>
      </c>
      <c r="E44" s="197"/>
      <c r="F44" s="198"/>
      <c r="G44" s="199"/>
      <c r="H44" s="200">
        <v>4236.45</v>
      </c>
      <c r="I44" s="201"/>
      <c r="J44" s="200">
        <f>SUBTOTAL(9,J45:J50)</f>
        <v>1783.68</v>
      </c>
      <c r="K44" s="201"/>
      <c r="L44" s="200">
        <f>SUBTOTAL(9,L45:L50)</f>
        <v>0</v>
      </c>
      <c r="M44" s="200"/>
      <c r="N44" s="200">
        <f>SUBTOTAL(9,N45:N50)</f>
        <v>1783.68</v>
      </c>
      <c r="O44" s="200">
        <f t="shared" ref="O44:P59" si="30">G44-M44</f>
        <v>0</v>
      </c>
      <c r="P44" s="200">
        <f t="shared" si="30"/>
        <v>2452.7699999999995</v>
      </c>
    </row>
    <row r="45" spans="2:16" s="131" customFormat="1">
      <c r="B45" s="137" t="s">
        <v>100</v>
      </c>
      <c r="C45" s="133"/>
      <c r="D45" s="125" t="s">
        <v>101</v>
      </c>
      <c r="E45" s="126"/>
      <c r="F45" s="127"/>
      <c r="G45" s="128"/>
      <c r="H45" s="129">
        <v>1783.68</v>
      </c>
      <c r="I45" s="130"/>
      <c r="J45" s="129">
        <f>SUBTOTAL(9,J46:J46)</f>
        <v>1783.68</v>
      </c>
      <c r="K45" s="130"/>
      <c r="L45" s="129">
        <f>SUBTOTAL(9,L46:L46)</f>
        <v>0</v>
      </c>
      <c r="M45" s="129"/>
      <c r="N45" s="129">
        <f>SUBTOTAL(9,N46:N46)</f>
        <v>1783.68</v>
      </c>
      <c r="O45" s="129">
        <f t="shared" si="30"/>
        <v>0</v>
      </c>
      <c r="P45" s="129">
        <f t="shared" si="30"/>
        <v>0</v>
      </c>
    </row>
    <row r="46" spans="2:16">
      <c r="B46" s="190" t="s">
        <v>102</v>
      </c>
      <c r="C46" s="191">
        <v>20305</v>
      </c>
      <c r="D46" s="575" t="s">
        <v>103</v>
      </c>
      <c r="E46" s="192" t="s">
        <v>57</v>
      </c>
      <c r="F46" s="193">
        <v>222.96</v>
      </c>
      <c r="G46" s="194">
        <v>8</v>
      </c>
      <c r="H46" s="193">
        <v>1783.68</v>
      </c>
      <c r="I46" s="194">
        <f>'[35]2.1.1.1'!R24</f>
        <v>8</v>
      </c>
      <c r="J46" s="193">
        <f>TRUNC(I46*F46,2)</f>
        <v>1783.68</v>
      </c>
      <c r="K46" s="264">
        <f>'[35]2.1.1.1'!R25</f>
        <v>0</v>
      </c>
      <c r="L46" s="263">
        <f t="shared" ref="L46" si="31">N46-J46</f>
        <v>0</v>
      </c>
      <c r="M46" s="194">
        <f>K46+I46</f>
        <v>8</v>
      </c>
      <c r="N46" s="196">
        <f>TRUNC(M46*F46,2)</f>
        <v>1783.68</v>
      </c>
      <c r="O46" s="194">
        <f t="shared" si="30"/>
        <v>0</v>
      </c>
      <c r="P46" s="196">
        <f t="shared" si="30"/>
        <v>0</v>
      </c>
    </row>
    <row r="47" spans="2:16">
      <c r="B47" s="138"/>
      <c r="C47" s="132"/>
      <c r="D47" s="123"/>
      <c r="E47" s="123"/>
      <c r="F47" s="123"/>
      <c r="G47" s="123"/>
      <c r="H47" s="123"/>
      <c r="I47" s="123"/>
      <c r="J47" s="123"/>
      <c r="K47" s="123"/>
      <c r="L47" s="123"/>
      <c r="M47" s="123"/>
      <c r="N47" s="124"/>
      <c r="O47" s="123">
        <f t="shared" si="30"/>
        <v>0</v>
      </c>
      <c r="P47" s="124">
        <f t="shared" si="30"/>
        <v>0</v>
      </c>
    </row>
    <row r="48" spans="2:16" s="131" customFormat="1">
      <c r="B48" s="137" t="s">
        <v>104</v>
      </c>
      <c r="C48" s="133"/>
      <c r="D48" s="125" t="s">
        <v>105</v>
      </c>
      <c r="E48" s="126"/>
      <c r="F48" s="127"/>
      <c r="G48" s="128"/>
      <c r="H48" s="129">
        <v>2452.77</v>
      </c>
      <c r="I48" s="130"/>
      <c r="J48" s="129">
        <f>SUBTOTAL(9,J49:J50)</f>
        <v>0</v>
      </c>
      <c r="K48" s="130"/>
      <c r="L48" s="129">
        <f>SUBTOTAL(9,L49:L50)</f>
        <v>0</v>
      </c>
      <c r="M48" s="129"/>
      <c r="N48" s="129">
        <f>SUBTOTAL(9,N49:N50)</f>
        <v>0</v>
      </c>
      <c r="O48" s="129">
        <f t="shared" si="30"/>
        <v>0</v>
      </c>
      <c r="P48" s="129">
        <f t="shared" si="30"/>
        <v>2452.77</v>
      </c>
    </row>
    <row r="49" spans="2:16">
      <c r="B49" s="190" t="s">
        <v>106</v>
      </c>
      <c r="C49" s="191">
        <v>10402</v>
      </c>
      <c r="D49" s="575" t="s">
        <v>108</v>
      </c>
      <c r="E49" s="192" t="s">
        <v>57</v>
      </c>
      <c r="F49" s="193">
        <v>3.74</v>
      </c>
      <c r="G49" s="194">
        <v>200.9</v>
      </c>
      <c r="H49" s="193">
        <v>751.37</v>
      </c>
      <c r="I49" s="195">
        <v>0</v>
      </c>
      <c r="J49" s="193">
        <f>TRUNC(I49*F49,2)</f>
        <v>0</v>
      </c>
      <c r="K49" s="194">
        <f>IFERROR(VLOOKUP(B49,'[35]1.1.1.1'!A:U,18,FALSE),)</f>
        <v>0</v>
      </c>
      <c r="L49" s="193">
        <f t="shared" ref="L49:L50" si="32">N49-J49</f>
        <v>0</v>
      </c>
      <c r="M49" s="194">
        <f>K49+I49</f>
        <v>0</v>
      </c>
      <c r="N49" s="196">
        <f>TRUNC(M49*F49,2)</f>
        <v>0</v>
      </c>
      <c r="O49" s="194">
        <f t="shared" si="30"/>
        <v>200.9</v>
      </c>
      <c r="P49" s="196">
        <f t="shared" si="30"/>
        <v>751.37</v>
      </c>
    </row>
    <row r="50" spans="2:16" ht="38.25">
      <c r="B50" s="190" t="s">
        <v>107</v>
      </c>
      <c r="C50" s="191">
        <v>30304</v>
      </c>
      <c r="D50" s="575" t="s">
        <v>109</v>
      </c>
      <c r="E50" s="192" t="s">
        <v>58</v>
      </c>
      <c r="F50" s="193">
        <v>56.45</v>
      </c>
      <c r="G50" s="194">
        <v>30.14</v>
      </c>
      <c r="H50" s="193">
        <v>1701.4</v>
      </c>
      <c r="I50" s="195">
        <v>0</v>
      </c>
      <c r="J50" s="193">
        <f t="shared" ref="J50" si="33">TRUNC(I50*F50,2)</f>
        <v>0</v>
      </c>
      <c r="K50" s="194">
        <f>IFERROR(VLOOKUP(B50,'[35]1.1.1.1'!A:U,18,FALSE),)</f>
        <v>0</v>
      </c>
      <c r="L50" s="193">
        <f t="shared" si="32"/>
        <v>0</v>
      </c>
      <c r="M50" s="194">
        <f t="shared" ref="M50" si="34">K50+I50</f>
        <v>0</v>
      </c>
      <c r="N50" s="196">
        <f t="shared" ref="N50" si="35">TRUNC(M50*F50,2)</f>
        <v>0</v>
      </c>
      <c r="O50" s="194">
        <f t="shared" si="30"/>
        <v>30.14</v>
      </c>
      <c r="P50" s="196">
        <f t="shared" si="30"/>
        <v>1701.4</v>
      </c>
    </row>
    <row r="51" spans="2:16">
      <c r="B51" s="138"/>
      <c r="C51" s="132"/>
      <c r="D51" s="123"/>
      <c r="E51" s="123"/>
      <c r="F51" s="123"/>
      <c r="G51" s="123"/>
      <c r="H51" s="123"/>
      <c r="I51" s="123"/>
      <c r="J51" s="123"/>
      <c r="K51" s="123"/>
      <c r="L51" s="123"/>
      <c r="M51" s="123"/>
      <c r="N51" s="124"/>
      <c r="O51" s="123">
        <f t="shared" si="30"/>
        <v>0</v>
      </c>
      <c r="P51" s="124">
        <f t="shared" si="30"/>
        <v>0</v>
      </c>
    </row>
    <row r="52" spans="2:16" s="213" customFormat="1">
      <c r="B52" s="210" t="s">
        <v>22</v>
      </c>
      <c r="C52" s="211"/>
      <c r="D52" s="212" t="s">
        <v>56</v>
      </c>
      <c r="E52" s="197"/>
      <c r="F52" s="198"/>
      <c r="G52" s="199"/>
      <c r="H52" s="200">
        <v>4949.41</v>
      </c>
      <c r="I52" s="201"/>
      <c r="J52" s="200">
        <f>SUBTOTAL(9,J53:J57)</f>
        <v>0</v>
      </c>
      <c r="K52" s="201"/>
      <c r="L52" s="200">
        <f>SUBTOTAL(9,L53:L57)</f>
        <v>0</v>
      </c>
      <c r="M52" s="200"/>
      <c r="N52" s="200">
        <f>SUBTOTAL(9,N53:N57)</f>
        <v>0</v>
      </c>
      <c r="O52" s="200">
        <f t="shared" si="30"/>
        <v>0</v>
      </c>
      <c r="P52" s="200">
        <f t="shared" si="30"/>
        <v>4949.41</v>
      </c>
    </row>
    <row r="53" spans="2:16" s="131" customFormat="1">
      <c r="B53" s="137" t="s">
        <v>110</v>
      </c>
      <c r="C53" s="133"/>
      <c r="D53" s="125" t="s">
        <v>111</v>
      </c>
      <c r="E53" s="126"/>
      <c r="F53" s="127"/>
      <c r="G53" s="128"/>
      <c r="H53" s="129">
        <v>4949.41</v>
      </c>
      <c r="I53" s="130"/>
      <c r="J53" s="129">
        <f>SUBTOTAL(9,J54:J57)</f>
        <v>0</v>
      </c>
      <c r="K53" s="130"/>
      <c r="L53" s="129">
        <f>SUBTOTAL(9,L54:L57)</f>
        <v>0</v>
      </c>
      <c r="M53" s="129"/>
      <c r="N53" s="129">
        <f>SUBTOTAL(9,N54:N57)</f>
        <v>0</v>
      </c>
      <c r="O53" s="129">
        <f t="shared" si="30"/>
        <v>0</v>
      </c>
      <c r="P53" s="129">
        <f t="shared" si="30"/>
        <v>4949.41</v>
      </c>
    </row>
    <row r="54" spans="2:16">
      <c r="B54" s="190" t="s">
        <v>112</v>
      </c>
      <c r="C54" s="191">
        <v>30103</v>
      </c>
      <c r="D54" s="575" t="s">
        <v>116</v>
      </c>
      <c r="E54" s="192" t="s">
        <v>58</v>
      </c>
      <c r="F54" s="193">
        <v>9.81</v>
      </c>
      <c r="G54" s="194">
        <v>75.569999999999993</v>
      </c>
      <c r="H54" s="193">
        <v>741.34</v>
      </c>
      <c r="I54" s="194">
        <v>0</v>
      </c>
      <c r="J54" s="193">
        <f t="shared" ref="J54" si="36">TRUNC(I54*F54,2)</f>
        <v>0</v>
      </c>
      <c r="K54" s="194">
        <f>IFERROR(VLOOKUP(B54,'[35]1.1.1.1'!A:U,18,FALSE),)</f>
        <v>0</v>
      </c>
      <c r="L54" s="193">
        <f t="shared" ref="L54" si="37">N54-J54</f>
        <v>0</v>
      </c>
      <c r="M54" s="194">
        <f t="shared" ref="M54" si="38">K54+I54</f>
        <v>0</v>
      </c>
      <c r="N54" s="196">
        <f t="shared" ref="N54" si="39">TRUNC(M54*F54,2)</f>
        <v>0</v>
      </c>
      <c r="O54" s="194">
        <f t="shared" si="30"/>
        <v>75.569999999999993</v>
      </c>
      <c r="P54" s="196">
        <f t="shared" si="30"/>
        <v>741.34</v>
      </c>
    </row>
    <row r="55" spans="2:16" ht="25.5">
      <c r="B55" s="190" t="s">
        <v>113</v>
      </c>
      <c r="C55" s="191">
        <v>30210</v>
      </c>
      <c r="D55" s="575" t="s">
        <v>117</v>
      </c>
      <c r="E55" s="192" t="s">
        <v>58</v>
      </c>
      <c r="F55" s="193">
        <v>25.99</v>
      </c>
      <c r="G55" s="194">
        <v>12.88</v>
      </c>
      <c r="H55" s="193">
        <v>334.75</v>
      </c>
      <c r="I55" s="194">
        <v>0</v>
      </c>
      <c r="J55" s="193">
        <f>TRUNC(I55*F55,2)</f>
        <v>0</v>
      </c>
      <c r="K55" s="194">
        <f>IFERROR(VLOOKUP(B55,'[35]1.1.1.1'!A:U,18,FALSE),)</f>
        <v>0</v>
      </c>
      <c r="L55" s="193">
        <f>N55-J55</f>
        <v>0</v>
      </c>
      <c r="M55" s="194">
        <f>K55+I55</f>
        <v>0</v>
      </c>
      <c r="N55" s="196">
        <f>TRUNC(M55*F55,2)</f>
        <v>0</v>
      </c>
      <c r="O55" s="194">
        <f t="shared" si="30"/>
        <v>12.88</v>
      </c>
      <c r="P55" s="196">
        <f t="shared" si="30"/>
        <v>334.75</v>
      </c>
    </row>
    <row r="56" spans="2:16">
      <c r="B56" s="190" t="s">
        <v>114</v>
      </c>
      <c r="C56" s="191">
        <v>10404</v>
      </c>
      <c r="D56" s="575" t="s">
        <v>118</v>
      </c>
      <c r="E56" s="192" t="s">
        <v>59</v>
      </c>
      <c r="F56" s="193">
        <v>111.49</v>
      </c>
      <c r="G56" s="194">
        <v>3</v>
      </c>
      <c r="H56" s="193">
        <v>334.47</v>
      </c>
      <c r="I56" s="194">
        <v>0</v>
      </c>
      <c r="J56" s="193">
        <f t="shared" ref="J56:J57" si="40">TRUNC(I56*F56,2)</f>
        <v>0</v>
      </c>
      <c r="K56" s="194">
        <f>IFERROR(VLOOKUP(B56,'[35]1.1.1.1'!A:U,18,FALSE),)</f>
        <v>0</v>
      </c>
      <c r="L56" s="193">
        <f t="shared" ref="L56:L57" si="41">N56-J56</f>
        <v>0</v>
      </c>
      <c r="M56" s="194">
        <f t="shared" ref="M56:M57" si="42">K56+I56</f>
        <v>0</v>
      </c>
      <c r="N56" s="196">
        <f t="shared" ref="N56:N57" si="43">TRUNC(M56*F56,2)</f>
        <v>0</v>
      </c>
      <c r="O56" s="194">
        <f t="shared" si="30"/>
        <v>3</v>
      </c>
      <c r="P56" s="196">
        <f t="shared" si="30"/>
        <v>334.47</v>
      </c>
    </row>
    <row r="57" spans="2:16" ht="38.25">
      <c r="B57" s="190" t="s">
        <v>115</v>
      </c>
      <c r="C57" s="191">
        <v>30304</v>
      </c>
      <c r="D57" s="575" t="s">
        <v>109</v>
      </c>
      <c r="E57" s="192" t="s">
        <v>58</v>
      </c>
      <c r="F57" s="193">
        <v>56.45</v>
      </c>
      <c r="G57" s="194">
        <v>62.69</v>
      </c>
      <c r="H57" s="193">
        <v>3538.85</v>
      </c>
      <c r="I57" s="194">
        <v>0</v>
      </c>
      <c r="J57" s="193">
        <f t="shared" si="40"/>
        <v>0</v>
      </c>
      <c r="K57" s="194">
        <f>IFERROR(VLOOKUP(B57,'[35]1.1.1.1'!A:U,18,FALSE),)</f>
        <v>0</v>
      </c>
      <c r="L57" s="193">
        <f t="shared" si="41"/>
        <v>0</v>
      </c>
      <c r="M57" s="194">
        <f t="shared" si="42"/>
        <v>0</v>
      </c>
      <c r="N57" s="196">
        <f t="shared" si="43"/>
        <v>0</v>
      </c>
      <c r="O57" s="194">
        <f t="shared" si="30"/>
        <v>62.69</v>
      </c>
      <c r="P57" s="196">
        <f t="shared" si="30"/>
        <v>3538.85</v>
      </c>
    </row>
    <row r="58" spans="2:16" s="213" customFormat="1">
      <c r="B58" s="210" t="s">
        <v>23</v>
      </c>
      <c r="C58" s="211"/>
      <c r="D58" s="212" t="s">
        <v>119</v>
      </c>
      <c r="E58" s="197"/>
      <c r="F58" s="198"/>
      <c r="G58" s="199"/>
      <c r="H58" s="200">
        <v>369381.33</v>
      </c>
      <c r="I58" s="201"/>
      <c r="J58" s="200">
        <f>SUBTOTAL(9,J59:J128)</f>
        <v>0</v>
      </c>
      <c r="K58" s="201"/>
      <c r="L58" s="200">
        <f>SUBTOTAL(9,L59:L128)</f>
        <v>0</v>
      </c>
      <c r="M58" s="200"/>
      <c r="N58" s="200">
        <f>SUBTOTAL(9,N59:N128)</f>
        <v>0</v>
      </c>
      <c r="O58" s="200">
        <f t="shared" si="30"/>
        <v>0</v>
      </c>
      <c r="P58" s="200">
        <f t="shared" si="30"/>
        <v>369381.33</v>
      </c>
    </row>
    <row r="59" spans="2:16" s="131" customFormat="1">
      <c r="B59" s="137" t="s">
        <v>121</v>
      </c>
      <c r="C59" s="133"/>
      <c r="D59" s="125" t="s">
        <v>98</v>
      </c>
      <c r="E59" s="126"/>
      <c r="F59" s="127"/>
      <c r="G59" s="128"/>
      <c r="H59" s="129">
        <v>1544.92</v>
      </c>
      <c r="I59" s="130"/>
      <c r="J59" s="129">
        <f>SUBTOTAL(9,J60)</f>
        <v>0</v>
      </c>
      <c r="K59" s="130"/>
      <c r="L59" s="129">
        <f>SUBTOTAL(9,L60)</f>
        <v>0</v>
      </c>
      <c r="M59" s="129"/>
      <c r="N59" s="129">
        <f>SUBTOTAL(9,N60)</f>
        <v>0</v>
      </c>
      <c r="O59" s="129">
        <f t="shared" si="30"/>
        <v>0</v>
      </c>
      <c r="P59" s="129">
        <f t="shared" si="30"/>
        <v>1544.92</v>
      </c>
    </row>
    <row r="60" spans="2:16">
      <c r="B60" s="190" t="s">
        <v>120</v>
      </c>
      <c r="C60" s="191">
        <v>10501</v>
      </c>
      <c r="D60" s="575" t="s">
        <v>122</v>
      </c>
      <c r="E60" s="192" t="s">
        <v>57</v>
      </c>
      <c r="F60" s="193">
        <v>7.69</v>
      </c>
      <c r="G60" s="194">
        <v>200.9</v>
      </c>
      <c r="H60" s="193">
        <v>1544.92</v>
      </c>
      <c r="I60" s="194">
        <v>0</v>
      </c>
      <c r="J60" s="193">
        <f t="shared" ref="J60" si="44">TRUNC(I60*F60,2)</f>
        <v>0</v>
      </c>
      <c r="K60" s="194">
        <f>IFERROR(VLOOKUP(B60,'[35]1.1.1.1'!A:U,18,FALSE),)</f>
        <v>0</v>
      </c>
      <c r="L60" s="193">
        <f t="shared" ref="L60" si="45">N60-J60</f>
        <v>0</v>
      </c>
      <c r="M60" s="194">
        <f t="shared" ref="M60" si="46">K60+I60</f>
        <v>0</v>
      </c>
      <c r="N60" s="196">
        <f t="shared" ref="N60" si="47">TRUNC(M60*F60,2)</f>
        <v>0</v>
      </c>
      <c r="O60" s="194">
        <f t="shared" ref="O60:P75" si="48">G60-M60</f>
        <v>200.9</v>
      </c>
      <c r="P60" s="196">
        <f t="shared" si="48"/>
        <v>1544.92</v>
      </c>
    </row>
    <row r="61" spans="2:16">
      <c r="B61" s="138"/>
      <c r="C61" s="132"/>
      <c r="D61" s="123"/>
      <c r="E61" s="123"/>
      <c r="F61" s="123"/>
      <c r="G61" s="123"/>
      <c r="H61" s="123"/>
      <c r="I61" s="123"/>
      <c r="J61" s="123"/>
      <c r="K61" s="123"/>
      <c r="L61" s="123"/>
      <c r="M61" s="123"/>
      <c r="N61" s="124"/>
      <c r="O61" s="123">
        <f t="shared" si="48"/>
        <v>0</v>
      </c>
      <c r="P61" s="124">
        <f t="shared" si="48"/>
        <v>0</v>
      </c>
    </row>
    <row r="62" spans="2:16" s="131" customFormat="1">
      <c r="B62" s="137" t="s">
        <v>123</v>
      </c>
      <c r="C62" s="133"/>
      <c r="D62" s="125" t="s">
        <v>124</v>
      </c>
      <c r="E62" s="126"/>
      <c r="F62" s="127"/>
      <c r="G62" s="128"/>
      <c r="H62" s="129">
        <v>121328.59</v>
      </c>
      <c r="I62" s="130"/>
      <c r="J62" s="129">
        <f>SUBTOTAL(9,J63:J73)</f>
        <v>0</v>
      </c>
      <c r="K62" s="130"/>
      <c r="L62" s="129">
        <f>SUBTOTAL(9,L63:L73)</f>
        <v>0</v>
      </c>
      <c r="M62" s="129"/>
      <c r="N62" s="129">
        <f>SUBTOTAL(9,N63:N73)</f>
        <v>0</v>
      </c>
      <c r="O62" s="129">
        <f t="shared" si="48"/>
        <v>0</v>
      </c>
      <c r="P62" s="129">
        <f t="shared" si="48"/>
        <v>121328.59</v>
      </c>
    </row>
    <row r="63" spans="2:16" ht="25.5">
      <c r="B63" s="190" t="s">
        <v>125</v>
      </c>
      <c r="C63" s="191" t="s">
        <v>136</v>
      </c>
      <c r="D63" s="575" t="s">
        <v>141</v>
      </c>
      <c r="E63" s="192" t="s">
        <v>60</v>
      </c>
      <c r="F63" s="193">
        <v>462.96</v>
      </c>
      <c r="G63" s="194">
        <v>85</v>
      </c>
      <c r="H63" s="193">
        <v>39351.599999999999</v>
      </c>
      <c r="I63" s="194">
        <v>0</v>
      </c>
      <c r="J63" s="193">
        <f t="shared" ref="J63" si="49">TRUNC(I63*F63,2)</f>
        <v>0</v>
      </c>
      <c r="K63" s="194"/>
      <c r="L63" s="193">
        <f t="shared" ref="L63" si="50">N63-J63</f>
        <v>0</v>
      </c>
      <c r="M63" s="194">
        <f t="shared" ref="M63" si="51">K63+I63</f>
        <v>0</v>
      </c>
      <c r="N63" s="196">
        <f t="shared" ref="N63" si="52">TRUNC(M63*F63,2)</f>
        <v>0</v>
      </c>
      <c r="O63" s="194">
        <f t="shared" si="48"/>
        <v>85</v>
      </c>
      <c r="P63" s="196">
        <f t="shared" si="48"/>
        <v>39351.599999999999</v>
      </c>
    </row>
    <row r="64" spans="2:16">
      <c r="B64" s="190" t="s">
        <v>126</v>
      </c>
      <c r="C64" s="191" t="s">
        <v>137</v>
      </c>
      <c r="D64" s="575" t="s">
        <v>142</v>
      </c>
      <c r="E64" s="192" t="s">
        <v>49</v>
      </c>
      <c r="F64" s="193">
        <v>596.34</v>
      </c>
      <c r="G64" s="194">
        <v>35.71</v>
      </c>
      <c r="H64" s="193">
        <v>21295.3</v>
      </c>
      <c r="I64" s="194">
        <v>0</v>
      </c>
      <c r="J64" s="193">
        <f>TRUNC(I64*F64,2)</f>
        <v>0</v>
      </c>
      <c r="K64" s="194">
        <f>IFERROR(VLOOKUP(B64,'[35]1.1.1.1'!A:U,18,FALSE),)</f>
        <v>0</v>
      </c>
      <c r="L64" s="193">
        <f>N64-J64</f>
        <v>0</v>
      </c>
      <c r="M64" s="194">
        <f>K64+I64</f>
        <v>0</v>
      </c>
      <c r="N64" s="196">
        <f>TRUNC(M64*F64,2)</f>
        <v>0</v>
      </c>
      <c r="O64" s="194">
        <f t="shared" si="48"/>
        <v>35.71</v>
      </c>
      <c r="P64" s="196">
        <f t="shared" si="48"/>
        <v>21295.3</v>
      </c>
    </row>
    <row r="65" spans="2:16" ht="25.5">
      <c r="B65" s="190" t="s">
        <v>127</v>
      </c>
      <c r="C65" s="191" t="s">
        <v>138</v>
      </c>
      <c r="D65" s="575" t="s">
        <v>143</v>
      </c>
      <c r="E65" s="192" t="s">
        <v>29</v>
      </c>
      <c r="F65" s="193">
        <v>4.82</v>
      </c>
      <c r="G65" s="194">
        <v>512</v>
      </c>
      <c r="H65" s="193">
        <v>2467.84</v>
      </c>
      <c r="I65" s="194">
        <v>0</v>
      </c>
      <c r="J65" s="193">
        <f t="shared" ref="J65:J71" si="53">TRUNC(I65*F65,2)</f>
        <v>0</v>
      </c>
      <c r="K65" s="194">
        <f>IFERROR(VLOOKUP(B65,'[35]1.1.1.1'!A:U,18,FALSE),)</f>
        <v>0</v>
      </c>
      <c r="L65" s="193">
        <f t="shared" ref="L65:L71" si="54">N65-J65</f>
        <v>0</v>
      </c>
      <c r="M65" s="194">
        <f t="shared" ref="M65:M71" si="55">K65+I65</f>
        <v>0</v>
      </c>
      <c r="N65" s="196">
        <f t="shared" ref="N65:N71" si="56">TRUNC(M65*F65,2)</f>
        <v>0</v>
      </c>
      <c r="O65" s="194">
        <f t="shared" si="48"/>
        <v>512</v>
      </c>
      <c r="P65" s="196">
        <f t="shared" si="48"/>
        <v>2467.84</v>
      </c>
    </row>
    <row r="66" spans="2:16" ht="25.5">
      <c r="B66" s="190" t="s">
        <v>128</v>
      </c>
      <c r="C66" s="191" t="s">
        <v>139</v>
      </c>
      <c r="D66" s="575" t="s">
        <v>144</v>
      </c>
      <c r="E66" s="192" t="s">
        <v>29</v>
      </c>
      <c r="F66" s="193">
        <v>6.12</v>
      </c>
      <c r="G66" s="194">
        <v>4419.01</v>
      </c>
      <c r="H66" s="193">
        <v>27044.34</v>
      </c>
      <c r="I66" s="194">
        <v>0</v>
      </c>
      <c r="J66" s="193">
        <f t="shared" si="53"/>
        <v>0</v>
      </c>
      <c r="K66" s="194">
        <f>IFERROR(VLOOKUP(B66,'[35]1.1.1.1'!A:U,18,FALSE),)</f>
        <v>0</v>
      </c>
      <c r="L66" s="193">
        <f t="shared" si="54"/>
        <v>0</v>
      </c>
      <c r="M66" s="194">
        <f t="shared" si="55"/>
        <v>0</v>
      </c>
      <c r="N66" s="196">
        <f t="shared" si="56"/>
        <v>0</v>
      </c>
      <c r="O66" s="194">
        <f t="shared" si="48"/>
        <v>4419.01</v>
      </c>
      <c r="P66" s="196">
        <f t="shared" si="48"/>
        <v>27044.34</v>
      </c>
    </row>
    <row r="67" spans="2:16">
      <c r="B67" s="190" t="s">
        <v>129</v>
      </c>
      <c r="C67" s="191">
        <v>30101</v>
      </c>
      <c r="D67" s="575" t="s">
        <v>145</v>
      </c>
      <c r="E67" s="192" t="s">
        <v>58</v>
      </c>
      <c r="F67" s="193">
        <v>48.58</v>
      </c>
      <c r="G67" s="194">
        <v>6.3</v>
      </c>
      <c r="H67" s="193">
        <v>306.05</v>
      </c>
      <c r="I67" s="194">
        <v>0</v>
      </c>
      <c r="J67" s="193">
        <f t="shared" si="53"/>
        <v>0</v>
      </c>
      <c r="K67" s="194">
        <f>IFERROR(VLOOKUP(B67,'[35]1.1.1.1'!A:U,18,FALSE),)</f>
        <v>0</v>
      </c>
      <c r="L67" s="193">
        <f t="shared" si="54"/>
        <v>0</v>
      </c>
      <c r="M67" s="194">
        <f t="shared" si="55"/>
        <v>0</v>
      </c>
      <c r="N67" s="196">
        <f t="shared" si="56"/>
        <v>0</v>
      </c>
      <c r="O67" s="194">
        <f t="shared" si="48"/>
        <v>6.3</v>
      </c>
      <c r="P67" s="196">
        <f t="shared" si="48"/>
        <v>306.05</v>
      </c>
    </row>
    <row r="68" spans="2:16" ht="51">
      <c r="B68" s="190" t="s">
        <v>130</v>
      </c>
      <c r="C68" s="191">
        <v>40339</v>
      </c>
      <c r="D68" s="575" t="s">
        <v>146</v>
      </c>
      <c r="E68" s="192" t="s">
        <v>57</v>
      </c>
      <c r="F68" s="193">
        <v>91.04</v>
      </c>
      <c r="G68" s="194">
        <v>108</v>
      </c>
      <c r="H68" s="193">
        <v>9832.32</v>
      </c>
      <c r="I68" s="194">
        <v>0</v>
      </c>
      <c r="J68" s="193">
        <f t="shared" si="53"/>
        <v>0</v>
      </c>
      <c r="K68" s="194">
        <f>IFERROR(VLOOKUP(B68,'[35]1.1.1.1'!A:U,18,FALSE),)</f>
        <v>0</v>
      </c>
      <c r="L68" s="193">
        <f t="shared" si="54"/>
        <v>0</v>
      </c>
      <c r="M68" s="194">
        <f t="shared" si="55"/>
        <v>0</v>
      </c>
      <c r="N68" s="196">
        <f t="shared" si="56"/>
        <v>0</v>
      </c>
      <c r="O68" s="194">
        <f t="shared" si="48"/>
        <v>108</v>
      </c>
      <c r="P68" s="196">
        <f t="shared" si="48"/>
        <v>9832.32</v>
      </c>
    </row>
    <row r="69" spans="2:16" ht="25.5">
      <c r="B69" s="190" t="s">
        <v>131</v>
      </c>
      <c r="C69" s="191">
        <v>40328</v>
      </c>
      <c r="D69" s="575" t="s">
        <v>147</v>
      </c>
      <c r="E69" s="192" t="s">
        <v>29</v>
      </c>
      <c r="F69" s="193">
        <v>7.98</v>
      </c>
      <c r="G69" s="194">
        <v>594</v>
      </c>
      <c r="H69" s="193">
        <v>4740.12</v>
      </c>
      <c r="I69" s="194">
        <v>0</v>
      </c>
      <c r="J69" s="193">
        <f t="shared" si="53"/>
        <v>0</v>
      </c>
      <c r="K69" s="194">
        <f>IFERROR(VLOOKUP(B69,'[35]1.1.1.1'!A:U,18,FALSE),)</f>
        <v>0</v>
      </c>
      <c r="L69" s="193">
        <f t="shared" si="54"/>
        <v>0</v>
      </c>
      <c r="M69" s="194">
        <f t="shared" si="55"/>
        <v>0</v>
      </c>
      <c r="N69" s="196">
        <f t="shared" si="56"/>
        <v>0</v>
      </c>
      <c r="O69" s="194">
        <f t="shared" si="48"/>
        <v>594</v>
      </c>
      <c r="P69" s="196">
        <f t="shared" si="48"/>
        <v>4740.12</v>
      </c>
    </row>
    <row r="70" spans="2:16" ht="25.5">
      <c r="B70" s="190" t="s">
        <v>132</v>
      </c>
      <c r="C70" s="191">
        <v>40245</v>
      </c>
      <c r="D70" s="575" t="s">
        <v>148</v>
      </c>
      <c r="E70" s="192" t="s">
        <v>29</v>
      </c>
      <c r="F70" s="193">
        <v>8.41</v>
      </c>
      <c r="G70" s="194">
        <v>40</v>
      </c>
      <c r="H70" s="193">
        <v>336.4</v>
      </c>
      <c r="I70" s="194">
        <v>0</v>
      </c>
      <c r="J70" s="193">
        <f t="shared" si="53"/>
        <v>0</v>
      </c>
      <c r="K70" s="194">
        <f>IFERROR(VLOOKUP(B70,'[35]1.1.1.1'!A:U,18,FALSE),)</f>
        <v>0</v>
      </c>
      <c r="L70" s="193">
        <f t="shared" si="54"/>
        <v>0</v>
      </c>
      <c r="M70" s="194">
        <f t="shared" si="55"/>
        <v>0</v>
      </c>
      <c r="N70" s="196">
        <f t="shared" si="56"/>
        <v>0</v>
      </c>
      <c r="O70" s="194">
        <f t="shared" si="48"/>
        <v>40</v>
      </c>
      <c r="P70" s="196">
        <f t="shared" si="48"/>
        <v>336.4</v>
      </c>
    </row>
    <row r="71" spans="2:16" ht="25.5">
      <c r="B71" s="190" t="s">
        <v>133</v>
      </c>
      <c r="C71" s="191">
        <v>40246</v>
      </c>
      <c r="D71" s="575" t="s">
        <v>149</v>
      </c>
      <c r="E71" s="192" t="s">
        <v>29</v>
      </c>
      <c r="F71" s="193">
        <v>8.08</v>
      </c>
      <c r="G71" s="194">
        <v>29</v>
      </c>
      <c r="H71" s="193">
        <v>234.32</v>
      </c>
      <c r="I71" s="194">
        <v>0</v>
      </c>
      <c r="J71" s="193">
        <f t="shared" si="53"/>
        <v>0</v>
      </c>
      <c r="K71" s="194">
        <f>IFERROR(VLOOKUP(B71,'[35]1.1.1.1'!A:U,18,FALSE),)</f>
        <v>0</v>
      </c>
      <c r="L71" s="193">
        <f t="shared" si="54"/>
        <v>0</v>
      </c>
      <c r="M71" s="194">
        <f t="shared" si="55"/>
        <v>0</v>
      </c>
      <c r="N71" s="196">
        <f t="shared" si="56"/>
        <v>0</v>
      </c>
      <c r="O71" s="194">
        <f t="shared" si="48"/>
        <v>29</v>
      </c>
      <c r="P71" s="196">
        <f t="shared" si="48"/>
        <v>234.32</v>
      </c>
    </row>
    <row r="72" spans="2:16" ht="38.25">
      <c r="B72" s="190" t="s">
        <v>134</v>
      </c>
      <c r="C72" s="191" t="s">
        <v>140</v>
      </c>
      <c r="D72" s="575" t="s">
        <v>150</v>
      </c>
      <c r="E72" s="192" t="s">
        <v>58</v>
      </c>
      <c r="F72" s="193">
        <v>486.08</v>
      </c>
      <c r="G72" s="194">
        <v>14.5</v>
      </c>
      <c r="H72" s="193">
        <v>7048.16</v>
      </c>
      <c r="I72" s="194">
        <v>0</v>
      </c>
      <c r="J72" s="193">
        <f>TRUNC(I72*F72,2)</f>
        <v>0</v>
      </c>
      <c r="K72" s="194">
        <f>IFERROR(VLOOKUP(B72,'[35]1.1.1.1'!A:U,18,FALSE),)</f>
        <v>0</v>
      </c>
      <c r="L72" s="193">
        <f>N72-J72</f>
        <v>0</v>
      </c>
      <c r="M72" s="194">
        <f>K72+I72</f>
        <v>0</v>
      </c>
      <c r="N72" s="196">
        <f>TRUNC(M72*F72,2)</f>
        <v>0</v>
      </c>
      <c r="O72" s="194">
        <f t="shared" si="48"/>
        <v>14.5</v>
      </c>
      <c r="P72" s="196">
        <f t="shared" si="48"/>
        <v>7048.16</v>
      </c>
    </row>
    <row r="73" spans="2:16">
      <c r="B73" s="190" t="s">
        <v>135</v>
      </c>
      <c r="C73" s="191">
        <v>40813</v>
      </c>
      <c r="D73" s="575" t="s">
        <v>151</v>
      </c>
      <c r="E73" s="192" t="s">
        <v>57</v>
      </c>
      <c r="F73" s="193">
        <v>64.3</v>
      </c>
      <c r="G73" s="194">
        <v>134.87</v>
      </c>
      <c r="H73" s="193">
        <v>8672.14</v>
      </c>
      <c r="I73" s="194">
        <v>0</v>
      </c>
      <c r="J73" s="193">
        <f>TRUNC(I73*F73,2)</f>
        <v>0</v>
      </c>
      <c r="K73" s="194">
        <f>IFERROR(VLOOKUP(B73,'[35]1.1.1.1'!A:U,18,FALSE),)</f>
        <v>0</v>
      </c>
      <c r="L73" s="193">
        <f>N73-J73</f>
        <v>0</v>
      </c>
      <c r="M73" s="194">
        <f>K73+I73</f>
        <v>0</v>
      </c>
      <c r="N73" s="196">
        <f>TRUNC(M73*F73,2)</f>
        <v>0</v>
      </c>
      <c r="O73" s="194">
        <f t="shared" si="48"/>
        <v>134.87</v>
      </c>
      <c r="P73" s="196">
        <f t="shared" si="48"/>
        <v>8672.14</v>
      </c>
    </row>
    <row r="74" spans="2:16">
      <c r="B74" s="138"/>
      <c r="C74" s="132"/>
      <c r="D74" s="123"/>
      <c r="E74" s="123"/>
      <c r="F74" s="123"/>
      <c r="G74" s="123"/>
      <c r="H74" s="123"/>
      <c r="I74" s="123"/>
      <c r="J74" s="123"/>
      <c r="K74" s="123"/>
      <c r="L74" s="123"/>
      <c r="M74" s="123"/>
      <c r="N74" s="124"/>
      <c r="O74" s="123">
        <f t="shared" si="48"/>
        <v>0</v>
      </c>
      <c r="P74" s="124">
        <f t="shared" si="48"/>
        <v>0</v>
      </c>
    </row>
    <row r="75" spans="2:16" s="131" customFormat="1">
      <c r="B75" s="137" t="s">
        <v>152</v>
      </c>
      <c r="C75" s="133"/>
      <c r="D75" s="125" t="s">
        <v>153</v>
      </c>
      <c r="E75" s="126"/>
      <c r="F75" s="127"/>
      <c r="G75" s="128"/>
      <c r="H75" s="129">
        <v>15164.92</v>
      </c>
      <c r="I75" s="130"/>
      <c r="J75" s="129">
        <f>SUBTOTAL(9,J76)</f>
        <v>0</v>
      </c>
      <c r="K75" s="130"/>
      <c r="L75" s="129">
        <f>SUBTOTAL(9,L76)</f>
        <v>0</v>
      </c>
      <c r="M75" s="129"/>
      <c r="N75" s="129">
        <f>SUBTOTAL(9,N76)</f>
        <v>0</v>
      </c>
      <c r="O75" s="129">
        <f t="shared" si="48"/>
        <v>0</v>
      </c>
      <c r="P75" s="129">
        <f t="shared" si="48"/>
        <v>15164.92</v>
      </c>
    </row>
    <row r="76" spans="2:16" ht="25.5">
      <c r="B76" s="190" t="s">
        <v>154</v>
      </c>
      <c r="C76" s="191" t="s">
        <v>155</v>
      </c>
      <c r="D76" s="575" t="s">
        <v>156</v>
      </c>
      <c r="E76" s="192" t="s">
        <v>50</v>
      </c>
      <c r="F76" s="193">
        <v>91.41</v>
      </c>
      <c r="G76" s="194">
        <v>165.9</v>
      </c>
      <c r="H76" s="193">
        <v>15164.92</v>
      </c>
      <c r="I76" s="194">
        <v>0</v>
      </c>
      <c r="J76" s="193">
        <f t="shared" ref="J76" si="57">TRUNC(I76*F76,2)</f>
        <v>0</v>
      </c>
      <c r="K76" s="194">
        <f>IFERROR(VLOOKUP(B76,'[35]1.1.1.1'!A:U,18,FALSE),)</f>
        <v>0</v>
      </c>
      <c r="L76" s="193">
        <f t="shared" ref="L76" si="58">N76-J76</f>
        <v>0</v>
      </c>
      <c r="M76" s="194">
        <f t="shared" ref="M76" si="59">K76+I76</f>
        <v>0</v>
      </c>
      <c r="N76" s="196">
        <f t="shared" ref="N76" si="60">TRUNC(M76*F76,2)</f>
        <v>0</v>
      </c>
      <c r="O76" s="194">
        <f t="shared" ref="O76:P91" si="61">G76-M76</f>
        <v>165.9</v>
      </c>
      <c r="P76" s="196">
        <f t="shared" si="61"/>
        <v>15164.92</v>
      </c>
    </row>
    <row r="77" spans="2:16">
      <c r="B77" s="138"/>
      <c r="C77" s="132"/>
      <c r="D77" s="123"/>
      <c r="E77" s="123"/>
      <c r="F77" s="123"/>
      <c r="G77" s="123"/>
      <c r="H77" s="123"/>
      <c r="I77" s="123"/>
      <c r="J77" s="123"/>
      <c r="K77" s="123"/>
      <c r="L77" s="123"/>
      <c r="M77" s="123"/>
      <c r="N77" s="124"/>
      <c r="O77" s="123">
        <f t="shared" si="61"/>
        <v>0</v>
      </c>
      <c r="P77" s="124">
        <f t="shared" si="61"/>
        <v>0</v>
      </c>
    </row>
    <row r="78" spans="2:16" s="131" customFormat="1">
      <c r="B78" s="137" t="s">
        <v>157</v>
      </c>
      <c r="C78" s="133"/>
      <c r="D78" s="125" t="s">
        <v>158</v>
      </c>
      <c r="E78" s="126"/>
      <c r="F78" s="127"/>
      <c r="G78" s="128"/>
      <c r="H78" s="129">
        <v>3771.01</v>
      </c>
      <c r="I78" s="130"/>
      <c r="J78" s="129">
        <f>SUBTOTAL(9,J79:J81)</f>
        <v>0</v>
      </c>
      <c r="K78" s="130"/>
      <c r="L78" s="129">
        <f>SUBTOTAL(9,L79:L81)</f>
        <v>0</v>
      </c>
      <c r="M78" s="129"/>
      <c r="N78" s="129">
        <f>SUBTOTAL(9,N79:N81)</f>
        <v>0</v>
      </c>
      <c r="O78" s="129">
        <f t="shared" si="61"/>
        <v>0</v>
      </c>
      <c r="P78" s="129">
        <f t="shared" si="61"/>
        <v>3771.01</v>
      </c>
    </row>
    <row r="79" spans="2:16" ht="25.5">
      <c r="B79" s="190" t="s">
        <v>159</v>
      </c>
      <c r="C79" s="191" t="s">
        <v>155</v>
      </c>
      <c r="D79" s="575" t="s">
        <v>156</v>
      </c>
      <c r="E79" s="192" t="s">
        <v>50</v>
      </c>
      <c r="F79" s="193">
        <v>91.41</v>
      </c>
      <c r="G79" s="194">
        <v>29.33</v>
      </c>
      <c r="H79" s="193">
        <v>2681.06</v>
      </c>
      <c r="I79" s="194">
        <v>0</v>
      </c>
      <c r="J79" s="193">
        <f t="shared" ref="J79" si="62">TRUNC(I79*F79,2)</f>
        <v>0</v>
      </c>
      <c r="K79" s="194">
        <f>IFERROR(VLOOKUP(B79,'[35]1.1.1.1'!A:U,18,FALSE),)</f>
        <v>0</v>
      </c>
      <c r="L79" s="193">
        <f t="shared" ref="L79" si="63">N79-J79</f>
        <v>0</v>
      </c>
      <c r="M79" s="194">
        <f t="shared" ref="M79" si="64">K79+I79</f>
        <v>0</v>
      </c>
      <c r="N79" s="196">
        <f t="shared" ref="N79" si="65">TRUNC(M79*F79,2)</f>
        <v>0</v>
      </c>
      <c r="O79" s="194">
        <f t="shared" si="61"/>
        <v>29.33</v>
      </c>
      <c r="P79" s="196">
        <f t="shared" si="61"/>
        <v>2681.06</v>
      </c>
    </row>
    <row r="80" spans="2:16">
      <c r="B80" s="190" t="s">
        <v>160</v>
      </c>
      <c r="C80" s="191">
        <v>200323</v>
      </c>
      <c r="D80" s="575" t="s">
        <v>162</v>
      </c>
      <c r="E80" s="192" t="s">
        <v>58</v>
      </c>
      <c r="F80" s="193">
        <v>125.94</v>
      </c>
      <c r="G80" s="194">
        <v>6.62</v>
      </c>
      <c r="H80" s="193">
        <v>833.72</v>
      </c>
      <c r="I80" s="194">
        <v>0</v>
      </c>
      <c r="J80" s="193">
        <f>TRUNC(I80*F80,2)</f>
        <v>0</v>
      </c>
      <c r="K80" s="194">
        <f>IFERROR(VLOOKUP(B80,'[35]1.1.1.1'!A:U,18,FALSE),)</f>
        <v>0</v>
      </c>
      <c r="L80" s="193">
        <f>N80-J80</f>
        <v>0</v>
      </c>
      <c r="M80" s="194">
        <f>K80+I80</f>
        <v>0</v>
      </c>
      <c r="N80" s="196">
        <f>TRUNC(M80*F80,2)</f>
        <v>0</v>
      </c>
      <c r="O80" s="194">
        <f t="shared" si="61"/>
        <v>6.62</v>
      </c>
      <c r="P80" s="196">
        <f t="shared" si="61"/>
        <v>833.72</v>
      </c>
    </row>
    <row r="81" spans="2:16" ht="38.25">
      <c r="B81" s="190" t="s">
        <v>161</v>
      </c>
      <c r="C81" s="191">
        <v>50501</v>
      </c>
      <c r="D81" s="575" t="s">
        <v>916</v>
      </c>
      <c r="E81" s="192" t="s">
        <v>57</v>
      </c>
      <c r="F81" s="193">
        <v>94.9</v>
      </c>
      <c r="G81" s="194">
        <v>2.7</v>
      </c>
      <c r="H81" s="193">
        <v>256.23</v>
      </c>
      <c r="I81" s="194">
        <v>0</v>
      </c>
      <c r="J81" s="193">
        <f t="shared" ref="J81" si="66">TRUNC(I81*F81,2)</f>
        <v>0</v>
      </c>
      <c r="K81" s="194">
        <f>IFERROR(VLOOKUP(B81,'[35]1.1.1.1'!A:U,18,FALSE),)</f>
        <v>0</v>
      </c>
      <c r="L81" s="193">
        <f t="shared" ref="L81" si="67">N81-J81</f>
        <v>0</v>
      </c>
      <c r="M81" s="194">
        <f t="shared" ref="M81" si="68">K81+I81</f>
        <v>0</v>
      </c>
      <c r="N81" s="196">
        <f t="shared" ref="N81" si="69">TRUNC(M81*F81,2)</f>
        <v>0</v>
      </c>
      <c r="O81" s="194">
        <f t="shared" si="61"/>
        <v>2.7</v>
      </c>
      <c r="P81" s="196">
        <f t="shared" si="61"/>
        <v>256.23</v>
      </c>
    </row>
    <row r="82" spans="2:16">
      <c r="B82" s="138"/>
      <c r="C82" s="132"/>
      <c r="D82" s="123"/>
      <c r="E82" s="123"/>
      <c r="F82" s="123"/>
      <c r="G82" s="123"/>
      <c r="H82" s="123"/>
      <c r="I82" s="123"/>
      <c r="J82" s="123"/>
      <c r="K82" s="123"/>
      <c r="L82" s="123"/>
      <c r="M82" s="123"/>
      <c r="N82" s="124"/>
      <c r="O82" s="123">
        <f t="shared" si="61"/>
        <v>0</v>
      </c>
      <c r="P82" s="124">
        <f t="shared" si="61"/>
        <v>0</v>
      </c>
    </row>
    <row r="83" spans="2:16" s="131" customFormat="1">
      <c r="B83" s="137" t="s">
        <v>163</v>
      </c>
      <c r="C83" s="133"/>
      <c r="D83" s="125" t="s">
        <v>164</v>
      </c>
      <c r="E83" s="126"/>
      <c r="F83" s="127"/>
      <c r="G83" s="128"/>
      <c r="H83" s="129">
        <v>9601.49</v>
      </c>
      <c r="I83" s="130"/>
      <c r="J83" s="129">
        <f>SUBTOTAL(9,J84:J88)</f>
        <v>0</v>
      </c>
      <c r="K83" s="130"/>
      <c r="L83" s="129">
        <f>SUBTOTAL(9,L84:L88)</f>
        <v>0</v>
      </c>
      <c r="M83" s="129"/>
      <c r="N83" s="129">
        <f>SUBTOTAL(9,N84:N88)</f>
        <v>0</v>
      </c>
      <c r="O83" s="129">
        <f t="shared" si="61"/>
        <v>0</v>
      </c>
      <c r="P83" s="129">
        <f t="shared" si="61"/>
        <v>9601.49</v>
      </c>
    </row>
    <row r="84" spans="2:16" ht="38.25">
      <c r="B84" s="190" t="s">
        <v>165</v>
      </c>
      <c r="C84" s="191">
        <v>40339</v>
      </c>
      <c r="D84" s="575" t="s">
        <v>184</v>
      </c>
      <c r="E84" s="192" t="s">
        <v>57</v>
      </c>
      <c r="F84" s="193">
        <v>91.04</v>
      </c>
      <c r="G84" s="194">
        <v>51</v>
      </c>
      <c r="H84" s="193">
        <v>4643.04</v>
      </c>
      <c r="I84" s="194">
        <v>0</v>
      </c>
      <c r="J84" s="193">
        <f t="shared" ref="J84" si="70">TRUNC(I84*F84,2)</f>
        <v>0</v>
      </c>
      <c r="K84" s="194">
        <f>IFERROR(VLOOKUP(B84,'[35]1.1.1.1'!A:U,18,FALSE),)</f>
        <v>0</v>
      </c>
      <c r="L84" s="193">
        <f t="shared" ref="L84" si="71">N84-J84</f>
        <v>0</v>
      </c>
      <c r="M84" s="194">
        <f t="shared" ref="M84" si="72">K84+I84</f>
        <v>0</v>
      </c>
      <c r="N84" s="196">
        <f t="shared" ref="N84" si="73">TRUNC(M84*F84,2)</f>
        <v>0</v>
      </c>
      <c r="O84" s="194">
        <f t="shared" si="61"/>
        <v>51</v>
      </c>
      <c r="P84" s="196">
        <f t="shared" si="61"/>
        <v>4643.04</v>
      </c>
    </row>
    <row r="85" spans="2:16" ht="25.5">
      <c r="B85" s="190" t="s">
        <v>166</v>
      </c>
      <c r="C85" s="191">
        <v>40328</v>
      </c>
      <c r="D85" s="575" t="s">
        <v>147</v>
      </c>
      <c r="E85" s="192" t="s">
        <v>29</v>
      </c>
      <c r="F85" s="193">
        <v>7.98</v>
      </c>
      <c r="G85" s="194">
        <v>160</v>
      </c>
      <c r="H85" s="193">
        <v>1276.8</v>
      </c>
      <c r="I85" s="194">
        <v>0</v>
      </c>
      <c r="J85" s="193">
        <f>TRUNC(I85*F85,2)</f>
        <v>0</v>
      </c>
      <c r="K85" s="194">
        <f>IFERROR(VLOOKUP(B85,'[35]1.1.1.1'!A:U,18,FALSE),)</f>
        <v>0</v>
      </c>
      <c r="L85" s="193">
        <f>N85-J85</f>
        <v>0</v>
      </c>
      <c r="M85" s="194">
        <f>K85+I85</f>
        <v>0</v>
      </c>
      <c r="N85" s="196">
        <f>TRUNC(M85*F85,2)</f>
        <v>0</v>
      </c>
      <c r="O85" s="194">
        <f t="shared" si="61"/>
        <v>160</v>
      </c>
      <c r="P85" s="196">
        <f t="shared" si="61"/>
        <v>1276.8</v>
      </c>
    </row>
    <row r="86" spans="2:16" ht="25.5">
      <c r="B86" s="190" t="s">
        <v>167</v>
      </c>
      <c r="C86" s="191">
        <v>40245</v>
      </c>
      <c r="D86" s="575" t="s">
        <v>148</v>
      </c>
      <c r="E86" s="192" t="s">
        <v>29</v>
      </c>
      <c r="F86" s="193">
        <v>8.41</v>
      </c>
      <c r="G86" s="194">
        <v>199</v>
      </c>
      <c r="H86" s="193">
        <v>1673.59</v>
      </c>
      <c r="I86" s="194">
        <v>0</v>
      </c>
      <c r="J86" s="193">
        <f t="shared" ref="J86:J88" si="74">TRUNC(I86*F86,2)</f>
        <v>0</v>
      </c>
      <c r="K86" s="194">
        <f>IFERROR(VLOOKUP(B86,'[35]1.1.1.1'!A:U,18,FALSE),)</f>
        <v>0</v>
      </c>
      <c r="L86" s="193">
        <f t="shared" ref="L86:L88" si="75">N86-J86</f>
        <v>0</v>
      </c>
      <c r="M86" s="194">
        <f t="shared" ref="M86:M88" si="76">K86+I86</f>
        <v>0</v>
      </c>
      <c r="N86" s="196">
        <f t="shared" ref="N86:N88" si="77">TRUNC(M86*F86,2)</f>
        <v>0</v>
      </c>
      <c r="O86" s="194">
        <f t="shared" si="61"/>
        <v>199</v>
      </c>
      <c r="P86" s="196">
        <f t="shared" si="61"/>
        <v>1673.59</v>
      </c>
    </row>
    <row r="87" spans="2:16" ht="25.5">
      <c r="B87" s="190" t="s">
        <v>168</v>
      </c>
      <c r="C87" s="191">
        <v>40246</v>
      </c>
      <c r="D87" s="575" t="s">
        <v>149</v>
      </c>
      <c r="E87" s="192" t="s">
        <v>29</v>
      </c>
      <c r="F87" s="193">
        <v>8.08</v>
      </c>
      <c r="G87" s="194">
        <v>50</v>
      </c>
      <c r="H87" s="193">
        <v>404</v>
      </c>
      <c r="I87" s="194">
        <v>0</v>
      </c>
      <c r="J87" s="193">
        <f t="shared" si="74"/>
        <v>0</v>
      </c>
      <c r="K87" s="194">
        <f>IFERROR(VLOOKUP(B87,'[35]1.1.1.1'!A:U,18,FALSE),)</f>
        <v>0</v>
      </c>
      <c r="L87" s="193">
        <f t="shared" si="75"/>
        <v>0</v>
      </c>
      <c r="M87" s="194">
        <f t="shared" si="76"/>
        <v>0</v>
      </c>
      <c r="N87" s="196">
        <f t="shared" si="77"/>
        <v>0</v>
      </c>
      <c r="O87" s="194">
        <f t="shared" si="61"/>
        <v>50</v>
      </c>
      <c r="P87" s="196">
        <f t="shared" si="61"/>
        <v>404</v>
      </c>
    </row>
    <row r="88" spans="2:16" ht="38.25">
      <c r="B88" s="190" t="s">
        <v>169</v>
      </c>
      <c r="C88" s="191" t="s">
        <v>140</v>
      </c>
      <c r="D88" s="575" t="s">
        <v>150</v>
      </c>
      <c r="E88" s="192" t="s">
        <v>58</v>
      </c>
      <c r="F88" s="193">
        <v>486.08</v>
      </c>
      <c r="G88" s="194">
        <v>3.3</v>
      </c>
      <c r="H88" s="193">
        <v>1604.06</v>
      </c>
      <c r="I88" s="194">
        <v>0</v>
      </c>
      <c r="J88" s="193">
        <f t="shared" si="74"/>
        <v>0</v>
      </c>
      <c r="K88" s="194">
        <f>IFERROR(VLOOKUP(B88,'[35]1.1.1.1'!A:U,18,FALSE),)</f>
        <v>0</v>
      </c>
      <c r="L88" s="193">
        <f t="shared" si="75"/>
        <v>0</v>
      </c>
      <c r="M88" s="194">
        <f t="shared" si="76"/>
        <v>0</v>
      </c>
      <c r="N88" s="196">
        <f t="shared" si="77"/>
        <v>0</v>
      </c>
      <c r="O88" s="194">
        <f t="shared" si="61"/>
        <v>3.3</v>
      </c>
      <c r="P88" s="196">
        <f t="shared" si="61"/>
        <v>1604.06</v>
      </c>
    </row>
    <row r="89" spans="2:16">
      <c r="B89" s="138"/>
      <c r="C89" s="132"/>
      <c r="D89" s="123"/>
      <c r="E89" s="123"/>
      <c r="F89" s="123"/>
      <c r="G89" s="123"/>
      <c r="H89" s="123"/>
      <c r="I89" s="123"/>
      <c r="J89" s="123"/>
      <c r="K89" s="123"/>
      <c r="L89" s="123"/>
      <c r="M89" s="123"/>
      <c r="N89" s="124"/>
      <c r="O89" s="123">
        <f t="shared" si="61"/>
        <v>0</v>
      </c>
      <c r="P89" s="124">
        <f t="shared" si="61"/>
        <v>0</v>
      </c>
    </row>
    <row r="90" spans="2:16" s="131" customFormat="1">
      <c r="B90" s="137" t="s">
        <v>170</v>
      </c>
      <c r="C90" s="133"/>
      <c r="D90" s="125" t="s">
        <v>171</v>
      </c>
      <c r="E90" s="126"/>
      <c r="F90" s="127"/>
      <c r="G90" s="128"/>
      <c r="H90" s="129">
        <v>20580.71</v>
      </c>
      <c r="I90" s="130"/>
      <c r="J90" s="129">
        <f>SUBTOTAL(9,J91:J95)</f>
        <v>0</v>
      </c>
      <c r="K90" s="130"/>
      <c r="L90" s="129">
        <f>SUBTOTAL(9,L91:L95)</f>
        <v>0</v>
      </c>
      <c r="M90" s="129"/>
      <c r="N90" s="129">
        <f>SUBTOTAL(9,N91:N95)</f>
        <v>0</v>
      </c>
      <c r="O90" s="129">
        <f t="shared" si="61"/>
        <v>0</v>
      </c>
      <c r="P90" s="129">
        <f t="shared" si="61"/>
        <v>20580.71</v>
      </c>
    </row>
    <row r="91" spans="2:16" ht="51">
      <c r="B91" s="190" t="s">
        <v>172</v>
      </c>
      <c r="C91" s="191">
        <v>40339</v>
      </c>
      <c r="D91" s="575" t="s">
        <v>146</v>
      </c>
      <c r="E91" s="192" t="s">
        <v>57</v>
      </c>
      <c r="F91" s="193">
        <v>91.04</v>
      </c>
      <c r="G91" s="194">
        <v>100</v>
      </c>
      <c r="H91" s="193">
        <v>9104</v>
      </c>
      <c r="I91" s="194">
        <v>0</v>
      </c>
      <c r="J91" s="193">
        <f t="shared" ref="J91" si="78">TRUNC(I91*F91,2)</f>
        <v>0</v>
      </c>
      <c r="K91" s="194">
        <f>IFERROR(VLOOKUP(B91,'[35]1.1.1.1'!A:U,18,FALSE),)</f>
        <v>0</v>
      </c>
      <c r="L91" s="193">
        <f t="shared" ref="L91" si="79">N91-J91</f>
        <v>0</v>
      </c>
      <c r="M91" s="194">
        <f t="shared" ref="M91" si="80">K91+I91</f>
        <v>0</v>
      </c>
      <c r="N91" s="196">
        <f t="shared" ref="N91" si="81">TRUNC(M91*F91,2)</f>
        <v>0</v>
      </c>
      <c r="O91" s="194">
        <f t="shared" si="61"/>
        <v>100</v>
      </c>
      <c r="P91" s="196">
        <f t="shared" si="61"/>
        <v>9104</v>
      </c>
    </row>
    <row r="92" spans="2:16" ht="25.5">
      <c r="B92" s="190" t="s">
        <v>173</v>
      </c>
      <c r="C92" s="191">
        <v>40328</v>
      </c>
      <c r="D92" s="575" t="s">
        <v>147</v>
      </c>
      <c r="E92" s="192" t="s">
        <v>29</v>
      </c>
      <c r="F92" s="193">
        <v>7.98</v>
      </c>
      <c r="G92" s="194">
        <v>481</v>
      </c>
      <c r="H92" s="193">
        <v>3838.38</v>
      </c>
      <c r="I92" s="194">
        <v>0</v>
      </c>
      <c r="J92" s="193">
        <f>TRUNC(I92*F92,2)</f>
        <v>0</v>
      </c>
      <c r="K92" s="194">
        <f>IFERROR(VLOOKUP(B92,'[35]1.1.1.1'!A:U,18,FALSE),)</f>
        <v>0</v>
      </c>
      <c r="L92" s="193">
        <f>N92-J92</f>
        <v>0</v>
      </c>
      <c r="M92" s="194">
        <f>K92+I92</f>
        <v>0</v>
      </c>
      <c r="N92" s="196">
        <f>TRUNC(M92*F92,2)</f>
        <v>0</v>
      </c>
      <c r="O92" s="194">
        <f t="shared" ref="O92:P107" si="82">G92-M92</f>
        <v>481</v>
      </c>
      <c r="P92" s="196">
        <f t="shared" si="82"/>
        <v>3838.38</v>
      </c>
    </row>
    <row r="93" spans="2:16" ht="25.5">
      <c r="B93" s="190" t="s">
        <v>174</v>
      </c>
      <c r="C93" s="191">
        <v>40245</v>
      </c>
      <c r="D93" s="575" t="s">
        <v>148</v>
      </c>
      <c r="E93" s="192" t="s">
        <v>29</v>
      </c>
      <c r="F93" s="193">
        <v>8.41</v>
      </c>
      <c r="G93" s="194">
        <v>287</v>
      </c>
      <c r="H93" s="193">
        <v>2413.67</v>
      </c>
      <c r="I93" s="194">
        <v>0</v>
      </c>
      <c r="J93" s="193">
        <f t="shared" ref="J93:J95" si="83">TRUNC(I93*F93,2)</f>
        <v>0</v>
      </c>
      <c r="K93" s="194">
        <f>IFERROR(VLOOKUP(B93,'[35]1.1.1.1'!A:U,18,FALSE),)</f>
        <v>0</v>
      </c>
      <c r="L93" s="193">
        <f t="shared" ref="L93:L95" si="84">N93-J93</f>
        <v>0</v>
      </c>
      <c r="M93" s="194">
        <f t="shared" ref="M93:M95" si="85">K93+I93</f>
        <v>0</v>
      </c>
      <c r="N93" s="196">
        <f t="shared" ref="N93:N95" si="86">TRUNC(M93*F93,2)</f>
        <v>0</v>
      </c>
      <c r="O93" s="194">
        <f t="shared" si="82"/>
        <v>287</v>
      </c>
      <c r="P93" s="196">
        <f t="shared" si="82"/>
        <v>2413.67</v>
      </c>
    </row>
    <row r="94" spans="2:16" ht="25.5">
      <c r="B94" s="190" t="s">
        <v>175</v>
      </c>
      <c r="C94" s="191">
        <v>40246</v>
      </c>
      <c r="D94" s="575" t="s">
        <v>149</v>
      </c>
      <c r="E94" s="192" t="s">
        <v>29</v>
      </c>
      <c r="F94" s="193">
        <v>8.08</v>
      </c>
      <c r="G94" s="194">
        <v>33</v>
      </c>
      <c r="H94" s="193">
        <v>266.64</v>
      </c>
      <c r="I94" s="194">
        <v>0</v>
      </c>
      <c r="J94" s="193">
        <f t="shared" si="83"/>
        <v>0</v>
      </c>
      <c r="K94" s="194">
        <f>IFERROR(VLOOKUP(B94,'[35]1.1.1.1'!A:U,18,FALSE),)</f>
        <v>0</v>
      </c>
      <c r="L94" s="193">
        <f t="shared" si="84"/>
        <v>0</v>
      </c>
      <c r="M94" s="194">
        <f t="shared" si="85"/>
        <v>0</v>
      </c>
      <c r="N94" s="196">
        <f t="shared" si="86"/>
        <v>0</v>
      </c>
      <c r="O94" s="194">
        <f t="shared" si="82"/>
        <v>33</v>
      </c>
      <c r="P94" s="196">
        <f t="shared" si="82"/>
        <v>266.64</v>
      </c>
    </row>
    <row r="95" spans="2:16" ht="51">
      <c r="B95" s="190" t="s">
        <v>176</v>
      </c>
      <c r="C95" s="191" t="s">
        <v>140</v>
      </c>
      <c r="D95" s="575" t="s">
        <v>177</v>
      </c>
      <c r="E95" s="192" t="s">
        <v>58</v>
      </c>
      <c r="F95" s="193">
        <v>486.08</v>
      </c>
      <c r="G95" s="194">
        <v>10.199999999999999</v>
      </c>
      <c r="H95" s="193">
        <v>4958.0200000000004</v>
      </c>
      <c r="I95" s="194">
        <v>0</v>
      </c>
      <c r="J95" s="193">
        <f t="shared" si="83"/>
        <v>0</v>
      </c>
      <c r="K95" s="194">
        <f>IFERROR(VLOOKUP(B95,'[35]1.1.1.1'!A:U,18,FALSE),)</f>
        <v>0</v>
      </c>
      <c r="L95" s="193">
        <f t="shared" si="84"/>
        <v>0</v>
      </c>
      <c r="M95" s="194">
        <f t="shared" si="85"/>
        <v>0</v>
      </c>
      <c r="N95" s="196">
        <f t="shared" si="86"/>
        <v>0</v>
      </c>
      <c r="O95" s="194">
        <f t="shared" si="82"/>
        <v>10.199999999999999</v>
      </c>
      <c r="P95" s="196">
        <f t="shared" si="82"/>
        <v>4958.0200000000004</v>
      </c>
    </row>
    <row r="96" spans="2:16">
      <c r="B96" s="138"/>
      <c r="C96" s="132"/>
      <c r="D96" s="123"/>
      <c r="E96" s="123"/>
      <c r="F96" s="123"/>
      <c r="G96" s="123"/>
      <c r="H96" s="123"/>
      <c r="I96" s="123"/>
      <c r="J96" s="123"/>
      <c r="K96" s="123"/>
      <c r="L96" s="123"/>
      <c r="M96" s="123"/>
      <c r="N96" s="124"/>
      <c r="O96" s="123">
        <f t="shared" si="82"/>
        <v>0</v>
      </c>
      <c r="P96" s="124">
        <f t="shared" si="82"/>
        <v>0</v>
      </c>
    </row>
    <row r="97" spans="2:16" s="131" customFormat="1">
      <c r="B97" s="137" t="s">
        <v>178</v>
      </c>
      <c r="C97" s="133"/>
      <c r="D97" s="125" t="s">
        <v>179</v>
      </c>
      <c r="E97" s="126"/>
      <c r="F97" s="127"/>
      <c r="G97" s="128"/>
      <c r="H97" s="129">
        <v>23928.71</v>
      </c>
      <c r="I97" s="130"/>
      <c r="J97" s="129">
        <f>SUBTOTAL(9,J98:J101)</f>
        <v>0</v>
      </c>
      <c r="K97" s="130"/>
      <c r="L97" s="129">
        <f>SUBTOTAL(9,L98:L101)</f>
        <v>0</v>
      </c>
      <c r="M97" s="129"/>
      <c r="N97" s="129">
        <f>SUBTOTAL(9,N98:N101)</f>
        <v>0</v>
      </c>
      <c r="O97" s="129">
        <f t="shared" si="82"/>
        <v>0</v>
      </c>
      <c r="P97" s="129">
        <f t="shared" si="82"/>
        <v>23928.71</v>
      </c>
    </row>
    <row r="98" spans="2:16" ht="38.25">
      <c r="B98" s="190" t="s">
        <v>180</v>
      </c>
      <c r="C98" s="191">
        <v>40339</v>
      </c>
      <c r="D98" s="575" t="s">
        <v>184</v>
      </c>
      <c r="E98" s="192" t="s">
        <v>57</v>
      </c>
      <c r="F98" s="193">
        <v>91.04</v>
      </c>
      <c r="G98" s="194">
        <v>33</v>
      </c>
      <c r="H98" s="193">
        <v>3004.32</v>
      </c>
      <c r="I98" s="194">
        <v>0</v>
      </c>
      <c r="J98" s="193">
        <f t="shared" ref="J98" si="87">TRUNC(I98*F98,2)</f>
        <v>0</v>
      </c>
      <c r="K98" s="194">
        <f>IFERROR(VLOOKUP(B98,'[35]1.1.1.1'!A:U,18,FALSE),)</f>
        <v>0</v>
      </c>
      <c r="L98" s="193">
        <f t="shared" ref="L98" si="88">N98-J98</f>
        <v>0</v>
      </c>
      <c r="M98" s="194">
        <f t="shared" ref="M98" si="89">K98+I98</f>
        <v>0</v>
      </c>
      <c r="N98" s="196">
        <f t="shared" ref="N98" si="90">TRUNC(M98*F98,2)</f>
        <v>0</v>
      </c>
      <c r="O98" s="194">
        <f t="shared" si="82"/>
        <v>33</v>
      </c>
      <c r="P98" s="196">
        <f t="shared" si="82"/>
        <v>3004.32</v>
      </c>
    </row>
    <row r="99" spans="2:16" ht="25.5">
      <c r="B99" s="190" t="s">
        <v>181</v>
      </c>
      <c r="C99" s="191">
        <v>40328</v>
      </c>
      <c r="D99" s="575" t="s">
        <v>147</v>
      </c>
      <c r="E99" s="192" t="s">
        <v>29</v>
      </c>
      <c r="F99" s="193">
        <v>7.98</v>
      </c>
      <c r="G99" s="194">
        <v>344</v>
      </c>
      <c r="H99" s="193">
        <v>2745.12</v>
      </c>
      <c r="I99" s="194">
        <v>0</v>
      </c>
      <c r="J99" s="193">
        <f>TRUNC(I99*F99,2)</f>
        <v>0</v>
      </c>
      <c r="K99" s="194">
        <f>IFERROR(VLOOKUP(B99,'[35]1.1.1.1'!A:U,18,FALSE),)</f>
        <v>0</v>
      </c>
      <c r="L99" s="193">
        <f>N99-J99</f>
        <v>0</v>
      </c>
      <c r="M99" s="194">
        <f>K99+I99</f>
        <v>0</v>
      </c>
      <c r="N99" s="196">
        <f>TRUNC(M99*F99,2)</f>
        <v>0</v>
      </c>
      <c r="O99" s="194">
        <f t="shared" si="82"/>
        <v>344</v>
      </c>
      <c r="P99" s="196">
        <f t="shared" si="82"/>
        <v>2745.12</v>
      </c>
    </row>
    <row r="100" spans="2:16" ht="51">
      <c r="B100" s="190" t="s">
        <v>182</v>
      </c>
      <c r="C100" s="191" t="s">
        <v>140</v>
      </c>
      <c r="D100" s="575" t="s">
        <v>177</v>
      </c>
      <c r="E100" s="192" t="s">
        <v>58</v>
      </c>
      <c r="F100" s="193">
        <v>486.08</v>
      </c>
      <c r="G100" s="194">
        <v>7.34</v>
      </c>
      <c r="H100" s="193">
        <v>3567.83</v>
      </c>
      <c r="I100" s="194">
        <v>0</v>
      </c>
      <c r="J100" s="193">
        <f t="shared" ref="J100:J101" si="91">TRUNC(I100*F100,2)</f>
        <v>0</v>
      </c>
      <c r="K100" s="194">
        <f>IFERROR(VLOOKUP(B100,'[35]1.1.1.1'!A:U,18,FALSE),)</f>
        <v>0</v>
      </c>
      <c r="L100" s="193">
        <f t="shared" ref="L100:L101" si="92">N100-J100</f>
        <v>0</v>
      </c>
      <c r="M100" s="194">
        <f t="shared" ref="M100:M101" si="93">K100+I100</f>
        <v>0</v>
      </c>
      <c r="N100" s="196">
        <f t="shared" ref="N100:N101" si="94">TRUNC(M100*F100,2)</f>
        <v>0</v>
      </c>
      <c r="O100" s="194">
        <f t="shared" si="82"/>
        <v>7.34</v>
      </c>
      <c r="P100" s="196">
        <f t="shared" si="82"/>
        <v>3567.83</v>
      </c>
    </row>
    <row r="101" spans="2:16" ht="25.5">
      <c r="B101" s="190" t="s">
        <v>183</v>
      </c>
      <c r="C101" s="191">
        <v>40602</v>
      </c>
      <c r="D101" s="575" t="s">
        <v>185</v>
      </c>
      <c r="E101" s="192" t="s">
        <v>57</v>
      </c>
      <c r="F101" s="193">
        <v>79.41</v>
      </c>
      <c r="G101" s="194">
        <v>184</v>
      </c>
      <c r="H101" s="193">
        <v>14611.44</v>
      </c>
      <c r="I101" s="194">
        <v>0</v>
      </c>
      <c r="J101" s="193">
        <f t="shared" si="91"/>
        <v>0</v>
      </c>
      <c r="K101" s="194">
        <f>IFERROR(VLOOKUP(B101,'[35]1.1.1.1'!A:U,18,FALSE),)</f>
        <v>0</v>
      </c>
      <c r="L101" s="193">
        <f t="shared" si="92"/>
        <v>0</v>
      </c>
      <c r="M101" s="194">
        <f t="shared" si="93"/>
        <v>0</v>
      </c>
      <c r="N101" s="196">
        <f t="shared" si="94"/>
        <v>0</v>
      </c>
      <c r="O101" s="194">
        <f t="shared" si="82"/>
        <v>184</v>
      </c>
      <c r="P101" s="196">
        <f t="shared" si="82"/>
        <v>14611.44</v>
      </c>
    </row>
    <row r="102" spans="2:16">
      <c r="B102" s="138"/>
      <c r="C102" s="132"/>
      <c r="D102" s="123"/>
      <c r="E102" s="123"/>
      <c r="F102" s="123"/>
      <c r="G102" s="123"/>
      <c r="H102" s="123"/>
      <c r="I102" s="123"/>
      <c r="J102" s="123"/>
      <c r="K102" s="123"/>
      <c r="L102" s="123"/>
      <c r="M102" s="123"/>
      <c r="N102" s="124"/>
      <c r="O102" s="123">
        <f t="shared" si="82"/>
        <v>0</v>
      </c>
      <c r="P102" s="124">
        <f t="shared" si="82"/>
        <v>0</v>
      </c>
    </row>
    <row r="103" spans="2:16" s="131" customFormat="1">
      <c r="B103" s="137" t="s">
        <v>186</v>
      </c>
      <c r="C103" s="133"/>
      <c r="D103" s="125" t="s">
        <v>187</v>
      </c>
      <c r="E103" s="126"/>
      <c r="F103" s="127"/>
      <c r="G103" s="128"/>
      <c r="H103" s="129">
        <v>52096.84</v>
      </c>
      <c r="I103" s="130"/>
      <c r="J103" s="129">
        <f>SUBTOTAL(9,J104:J109)</f>
        <v>0</v>
      </c>
      <c r="K103" s="130"/>
      <c r="L103" s="129">
        <f>SUBTOTAL(9,L104:L109)</f>
        <v>0</v>
      </c>
      <c r="M103" s="129"/>
      <c r="N103" s="129">
        <f>SUBTOTAL(9,N104:N109)</f>
        <v>0</v>
      </c>
      <c r="O103" s="129">
        <f t="shared" si="82"/>
        <v>0</v>
      </c>
      <c r="P103" s="129">
        <f t="shared" si="82"/>
        <v>52096.84</v>
      </c>
    </row>
    <row r="104" spans="2:16" ht="51">
      <c r="B104" s="190" t="s">
        <v>188</v>
      </c>
      <c r="C104" s="191">
        <v>90102</v>
      </c>
      <c r="D104" s="575" t="s">
        <v>194</v>
      </c>
      <c r="E104" s="192" t="s">
        <v>57</v>
      </c>
      <c r="F104" s="193">
        <v>89.99</v>
      </c>
      <c r="G104" s="194">
        <v>208.03</v>
      </c>
      <c r="H104" s="193">
        <v>18720.62</v>
      </c>
      <c r="I104" s="194">
        <v>0</v>
      </c>
      <c r="J104" s="193">
        <f t="shared" ref="J104" si="95">TRUNC(I104*F104,2)</f>
        <v>0</v>
      </c>
      <c r="K104" s="194">
        <f>IFERROR(VLOOKUP(B104,'[35]1.1.1.1'!A:U,18,FALSE),)</f>
        <v>0</v>
      </c>
      <c r="L104" s="193">
        <f t="shared" ref="L104" si="96">N104-J104</f>
        <v>0</v>
      </c>
      <c r="M104" s="194">
        <f t="shared" ref="M104" si="97">K104+I104</f>
        <v>0</v>
      </c>
      <c r="N104" s="196">
        <f t="shared" ref="N104" si="98">TRUNC(M104*F104,2)</f>
        <v>0</v>
      </c>
      <c r="O104" s="194">
        <f t="shared" si="82"/>
        <v>208.03</v>
      </c>
      <c r="P104" s="196">
        <f t="shared" si="82"/>
        <v>18720.62</v>
      </c>
    </row>
    <row r="105" spans="2:16" ht="51">
      <c r="B105" s="190" t="s">
        <v>189</v>
      </c>
      <c r="C105" s="191">
        <v>90223</v>
      </c>
      <c r="D105" s="575" t="s">
        <v>195</v>
      </c>
      <c r="E105" s="192" t="s">
        <v>57</v>
      </c>
      <c r="F105" s="193">
        <v>124.46</v>
      </c>
      <c r="G105" s="194">
        <v>209.41</v>
      </c>
      <c r="H105" s="193">
        <v>26063.17</v>
      </c>
      <c r="I105" s="194">
        <v>0</v>
      </c>
      <c r="J105" s="193">
        <f>TRUNC(I105*F105,2)</f>
        <v>0</v>
      </c>
      <c r="K105" s="194">
        <f>IFERROR(VLOOKUP(B105,'[35]1.1.1.1'!A:U,18,FALSE),)</f>
        <v>0</v>
      </c>
      <c r="L105" s="193">
        <f>N105-J105</f>
        <v>0</v>
      </c>
      <c r="M105" s="194">
        <f>K105+I105</f>
        <v>0</v>
      </c>
      <c r="N105" s="196">
        <f>TRUNC(M105*F105,2)</f>
        <v>0</v>
      </c>
      <c r="O105" s="194">
        <f t="shared" si="82"/>
        <v>209.41</v>
      </c>
      <c r="P105" s="196">
        <f t="shared" si="82"/>
        <v>26063.17</v>
      </c>
    </row>
    <row r="106" spans="2:16" ht="51">
      <c r="B106" s="190" t="s">
        <v>190</v>
      </c>
      <c r="C106" s="191">
        <v>40339</v>
      </c>
      <c r="D106" s="575" t="s">
        <v>196</v>
      </c>
      <c r="E106" s="192" t="s">
        <v>57</v>
      </c>
      <c r="F106" s="193">
        <v>91.04</v>
      </c>
      <c r="G106" s="194">
        <v>23.5</v>
      </c>
      <c r="H106" s="193">
        <v>2139.44</v>
      </c>
      <c r="I106" s="194">
        <v>0</v>
      </c>
      <c r="J106" s="193">
        <f t="shared" ref="J106:J109" si="99">TRUNC(I106*F106,2)</f>
        <v>0</v>
      </c>
      <c r="K106" s="194">
        <f>IFERROR(VLOOKUP(B106,'[35]1.1.1.1'!A:U,18,FALSE),)</f>
        <v>0</v>
      </c>
      <c r="L106" s="193">
        <f t="shared" ref="L106:L109" si="100">N106-J106</f>
        <v>0</v>
      </c>
      <c r="M106" s="194">
        <f t="shared" ref="M106:M109" si="101">K106+I106</f>
        <v>0</v>
      </c>
      <c r="N106" s="196">
        <f t="shared" ref="N106:N109" si="102">TRUNC(M106*F106,2)</f>
        <v>0</v>
      </c>
      <c r="O106" s="194">
        <f t="shared" si="82"/>
        <v>23.5</v>
      </c>
      <c r="P106" s="196">
        <f t="shared" si="82"/>
        <v>2139.44</v>
      </c>
    </row>
    <row r="107" spans="2:16" ht="25.5">
      <c r="B107" s="190" t="s">
        <v>191</v>
      </c>
      <c r="C107" s="191">
        <v>40328</v>
      </c>
      <c r="D107" s="575" t="s">
        <v>197</v>
      </c>
      <c r="E107" s="192" t="s">
        <v>29</v>
      </c>
      <c r="F107" s="193">
        <v>7.98</v>
      </c>
      <c r="G107" s="194">
        <v>112</v>
      </c>
      <c r="H107" s="193">
        <v>893.76</v>
      </c>
      <c r="I107" s="194">
        <v>0</v>
      </c>
      <c r="J107" s="193">
        <f t="shared" si="99"/>
        <v>0</v>
      </c>
      <c r="K107" s="194">
        <f>IFERROR(VLOOKUP(B107,'[35]1.1.1.1'!A:U,18,FALSE),)</f>
        <v>0</v>
      </c>
      <c r="L107" s="193">
        <f t="shared" si="100"/>
        <v>0</v>
      </c>
      <c r="M107" s="194">
        <f t="shared" si="101"/>
        <v>0</v>
      </c>
      <c r="N107" s="196">
        <f t="shared" si="102"/>
        <v>0</v>
      </c>
      <c r="O107" s="194">
        <f t="shared" si="82"/>
        <v>112</v>
      </c>
      <c r="P107" s="196">
        <f t="shared" si="82"/>
        <v>893.76</v>
      </c>
    </row>
    <row r="108" spans="2:16" ht="38.25">
      <c r="B108" s="190" t="s">
        <v>192</v>
      </c>
      <c r="C108" s="191" t="s">
        <v>140</v>
      </c>
      <c r="D108" s="575" t="s">
        <v>198</v>
      </c>
      <c r="E108" s="192" t="s">
        <v>58</v>
      </c>
      <c r="F108" s="193">
        <v>486.08</v>
      </c>
      <c r="G108" s="194">
        <v>1.2</v>
      </c>
      <c r="H108" s="193">
        <v>583.29999999999995</v>
      </c>
      <c r="I108" s="194">
        <v>0</v>
      </c>
      <c r="J108" s="193">
        <f t="shared" si="99"/>
        <v>0</v>
      </c>
      <c r="K108" s="194">
        <f>IFERROR(VLOOKUP(B108,'[35]1.1.1.1'!A:U,18,FALSE),)</f>
        <v>0</v>
      </c>
      <c r="L108" s="193">
        <f t="shared" si="100"/>
        <v>0</v>
      </c>
      <c r="M108" s="194">
        <f t="shared" si="101"/>
        <v>0</v>
      </c>
      <c r="N108" s="196">
        <f t="shared" si="102"/>
        <v>0</v>
      </c>
      <c r="O108" s="194">
        <f t="shared" ref="O108:P123" si="103">G108-M108</f>
        <v>1.2</v>
      </c>
      <c r="P108" s="196">
        <f t="shared" si="103"/>
        <v>583.29999999999995</v>
      </c>
    </row>
    <row r="109" spans="2:16" ht="51">
      <c r="B109" s="190" t="s">
        <v>193</v>
      </c>
      <c r="C109" s="191">
        <v>50602</v>
      </c>
      <c r="D109" s="575" t="s">
        <v>199</v>
      </c>
      <c r="E109" s="192" t="s">
        <v>57</v>
      </c>
      <c r="F109" s="193">
        <v>62.2</v>
      </c>
      <c r="G109" s="194">
        <v>59.43</v>
      </c>
      <c r="H109" s="193">
        <v>3696.55</v>
      </c>
      <c r="I109" s="194">
        <v>0</v>
      </c>
      <c r="J109" s="193">
        <f t="shared" si="99"/>
        <v>0</v>
      </c>
      <c r="K109" s="194">
        <f>IFERROR(VLOOKUP(B109,'[35]1.1.1.1'!A:U,18,FALSE),)</f>
        <v>0</v>
      </c>
      <c r="L109" s="193">
        <f t="shared" si="100"/>
        <v>0</v>
      </c>
      <c r="M109" s="194">
        <f t="shared" si="101"/>
        <v>0</v>
      </c>
      <c r="N109" s="196">
        <f t="shared" si="102"/>
        <v>0</v>
      </c>
      <c r="O109" s="194">
        <f t="shared" si="103"/>
        <v>59.43</v>
      </c>
      <c r="P109" s="196">
        <f t="shared" si="103"/>
        <v>3696.55</v>
      </c>
    </row>
    <row r="110" spans="2:16">
      <c r="B110" s="138"/>
      <c r="C110" s="132"/>
      <c r="D110" s="123"/>
      <c r="E110" s="123"/>
      <c r="F110" s="123"/>
      <c r="G110" s="123"/>
      <c r="H110" s="123"/>
      <c r="I110" s="123"/>
      <c r="J110" s="123"/>
      <c r="K110" s="123"/>
      <c r="L110" s="123"/>
      <c r="M110" s="123"/>
      <c r="N110" s="124"/>
      <c r="O110" s="123">
        <f t="shared" si="103"/>
        <v>0</v>
      </c>
      <c r="P110" s="124">
        <f t="shared" si="103"/>
        <v>0</v>
      </c>
    </row>
    <row r="111" spans="2:16" s="131" customFormat="1">
      <c r="B111" s="137" t="s">
        <v>200</v>
      </c>
      <c r="C111" s="133"/>
      <c r="D111" s="125" t="s">
        <v>201</v>
      </c>
      <c r="E111" s="126"/>
      <c r="F111" s="127"/>
      <c r="G111" s="128"/>
      <c r="H111" s="129">
        <v>6351.67</v>
      </c>
      <c r="I111" s="130"/>
      <c r="J111" s="129">
        <f>SUBTOTAL(9,J112:J115)</f>
        <v>0</v>
      </c>
      <c r="K111" s="130"/>
      <c r="L111" s="129">
        <f>SUBTOTAL(9,L112:L115)</f>
        <v>0</v>
      </c>
      <c r="M111" s="129"/>
      <c r="N111" s="129">
        <f>SUBTOTAL(9,N112:N115)</f>
        <v>0</v>
      </c>
      <c r="O111" s="129">
        <f t="shared" si="103"/>
        <v>0</v>
      </c>
      <c r="P111" s="129">
        <f t="shared" si="103"/>
        <v>6351.67</v>
      </c>
    </row>
    <row r="112" spans="2:16" ht="25.5">
      <c r="B112" s="190" t="s">
        <v>202</v>
      </c>
      <c r="C112" s="191" t="s">
        <v>206</v>
      </c>
      <c r="D112" s="575" t="s">
        <v>207</v>
      </c>
      <c r="E112" s="192" t="s">
        <v>60</v>
      </c>
      <c r="F112" s="193">
        <v>72.83</v>
      </c>
      <c r="G112" s="194">
        <v>39.799999999999997</v>
      </c>
      <c r="H112" s="193">
        <v>2898.63</v>
      </c>
      <c r="I112" s="194">
        <v>0</v>
      </c>
      <c r="J112" s="193">
        <f t="shared" ref="J112" si="104">TRUNC(I112*F112,2)</f>
        <v>0</v>
      </c>
      <c r="K112" s="194">
        <f>IFERROR(VLOOKUP(B112,'[35]1.1.1.1'!A:U,18,FALSE),)</f>
        <v>0</v>
      </c>
      <c r="L112" s="193">
        <f t="shared" ref="L112" si="105">N112-J112</f>
        <v>0</v>
      </c>
      <c r="M112" s="194">
        <f t="shared" ref="M112" si="106">K112+I112</f>
        <v>0</v>
      </c>
      <c r="N112" s="196">
        <f t="shared" ref="N112" si="107">TRUNC(M112*F112,2)</f>
        <v>0</v>
      </c>
      <c r="O112" s="194">
        <f t="shared" si="103"/>
        <v>39.799999999999997</v>
      </c>
      <c r="P112" s="196">
        <f t="shared" si="103"/>
        <v>2898.63</v>
      </c>
    </row>
    <row r="113" spans="2:16">
      <c r="B113" s="190" t="s">
        <v>203</v>
      </c>
      <c r="C113" s="191">
        <v>90302</v>
      </c>
      <c r="D113" s="575" t="s">
        <v>208</v>
      </c>
      <c r="E113" s="192" t="s">
        <v>51</v>
      </c>
      <c r="F113" s="193">
        <v>31.38</v>
      </c>
      <c r="G113" s="194">
        <v>62.2</v>
      </c>
      <c r="H113" s="193">
        <v>1951.84</v>
      </c>
      <c r="I113" s="194">
        <v>0</v>
      </c>
      <c r="J113" s="193">
        <f>TRUNC(I113*F113,2)</f>
        <v>0</v>
      </c>
      <c r="K113" s="194">
        <f>IFERROR(VLOOKUP(B113,'[35]1.1.1.1'!A:U,18,FALSE),)</f>
        <v>0</v>
      </c>
      <c r="L113" s="193">
        <f>N113-J113</f>
        <v>0</v>
      </c>
      <c r="M113" s="194">
        <f>K113+I113</f>
        <v>0</v>
      </c>
      <c r="N113" s="196">
        <f>TRUNC(M113*F113,2)</f>
        <v>0</v>
      </c>
      <c r="O113" s="194">
        <f t="shared" si="103"/>
        <v>62.2</v>
      </c>
      <c r="P113" s="196">
        <f t="shared" si="103"/>
        <v>1951.84</v>
      </c>
    </row>
    <row r="114" spans="2:16" ht="25.5">
      <c r="B114" s="190" t="s">
        <v>204</v>
      </c>
      <c r="C114" s="191">
        <v>141909</v>
      </c>
      <c r="D114" s="575" t="s">
        <v>209</v>
      </c>
      <c r="E114" s="192" t="s">
        <v>51</v>
      </c>
      <c r="F114" s="193">
        <v>61.57</v>
      </c>
      <c r="G114" s="194">
        <v>10</v>
      </c>
      <c r="H114" s="193">
        <v>615.70000000000005</v>
      </c>
      <c r="I114" s="194">
        <v>0</v>
      </c>
      <c r="J114" s="193">
        <f t="shared" ref="J114:J115" si="108">TRUNC(I114*F114,2)</f>
        <v>0</v>
      </c>
      <c r="K114" s="194">
        <f>IFERROR(VLOOKUP(B114,'[35]1.1.1.1'!A:U,18,FALSE),)</f>
        <v>0</v>
      </c>
      <c r="L114" s="193">
        <f t="shared" ref="L114:L115" si="109">N114-J114</f>
        <v>0</v>
      </c>
      <c r="M114" s="194">
        <f t="shared" ref="M114:M115" si="110">K114+I114</f>
        <v>0</v>
      </c>
      <c r="N114" s="196">
        <f t="shared" ref="N114:N115" si="111">TRUNC(M114*F114,2)</f>
        <v>0</v>
      </c>
      <c r="O114" s="194">
        <f t="shared" si="103"/>
        <v>10</v>
      </c>
      <c r="P114" s="196">
        <f t="shared" si="103"/>
        <v>615.70000000000005</v>
      </c>
    </row>
    <row r="115" spans="2:16" ht="25.5">
      <c r="B115" s="190" t="s">
        <v>205</v>
      </c>
      <c r="C115" s="191">
        <v>140904</v>
      </c>
      <c r="D115" s="575" t="s">
        <v>210</v>
      </c>
      <c r="E115" s="192" t="s">
        <v>51</v>
      </c>
      <c r="F115" s="193">
        <v>80.5</v>
      </c>
      <c r="G115" s="194">
        <v>11</v>
      </c>
      <c r="H115" s="193">
        <v>885.5</v>
      </c>
      <c r="I115" s="194">
        <v>0</v>
      </c>
      <c r="J115" s="193">
        <f t="shared" si="108"/>
        <v>0</v>
      </c>
      <c r="K115" s="194">
        <f>IFERROR(VLOOKUP(B115,'[35]1.1.1.1'!A:U,18,FALSE),)</f>
        <v>0</v>
      </c>
      <c r="L115" s="193">
        <f t="shared" si="109"/>
        <v>0</v>
      </c>
      <c r="M115" s="194">
        <f t="shared" si="110"/>
        <v>0</v>
      </c>
      <c r="N115" s="196">
        <f t="shared" si="111"/>
        <v>0</v>
      </c>
      <c r="O115" s="194">
        <f t="shared" si="103"/>
        <v>11</v>
      </c>
      <c r="P115" s="196">
        <f t="shared" si="103"/>
        <v>885.5</v>
      </c>
    </row>
    <row r="116" spans="2:16">
      <c r="B116" s="138"/>
      <c r="C116" s="132"/>
      <c r="D116" s="123"/>
      <c r="E116" s="123"/>
      <c r="F116" s="123"/>
      <c r="G116" s="123"/>
      <c r="H116" s="123"/>
      <c r="I116" s="123"/>
      <c r="J116" s="123"/>
      <c r="K116" s="123"/>
      <c r="L116" s="123"/>
      <c r="M116" s="123"/>
      <c r="N116" s="124"/>
      <c r="O116" s="123">
        <f t="shared" si="103"/>
        <v>0</v>
      </c>
      <c r="P116" s="124">
        <f t="shared" si="103"/>
        <v>0</v>
      </c>
    </row>
    <row r="117" spans="2:16" s="131" customFormat="1">
      <c r="B117" s="137" t="s">
        <v>211</v>
      </c>
      <c r="C117" s="133"/>
      <c r="D117" s="125" t="s">
        <v>212</v>
      </c>
      <c r="E117" s="126"/>
      <c r="F117" s="127"/>
      <c r="G117" s="128"/>
      <c r="H117" s="129">
        <v>115012.47</v>
      </c>
      <c r="I117" s="130"/>
      <c r="J117" s="129">
        <f>SUBTOTAL(9,J118:J128)</f>
        <v>0</v>
      </c>
      <c r="K117" s="130"/>
      <c r="L117" s="129">
        <f>SUBTOTAL(9,L118:L128)</f>
        <v>0</v>
      </c>
      <c r="M117" s="129"/>
      <c r="N117" s="129">
        <f>SUBTOTAL(9,N118:N128)</f>
        <v>0</v>
      </c>
      <c r="O117" s="129">
        <f t="shared" si="103"/>
        <v>0</v>
      </c>
      <c r="P117" s="129">
        <f t="shared" si="103"/>
        <v>115012.47</v>
      </c>
    </row>
    <row r="118" spans="2:16">
      <c r="B118" s="190" t="s">
        <v>213</v>
      </c>
      <c r="C118" s="191" t="s">
        <v>224</v>
      </c>
      <c r="D118" s="575" t="s">
        <v>229</v>
      </c>
      <c r="E118" s="192" t="s">
        <v>50</v>
      </c>
      <c r="F118" s="193">
        <v>280.31</v>
      </c>
      <c r="G118" s="194">
        <v>118.46</v>
      </c>
      <c r="H118" s="193">
        <v>33205.519999999997</v>
      </c>
      <c r="I118" s="194">
        <v>0</v>
      </c>
      <c r="J118" s="193">
        <f t="shared" ref="J118" si="112">TRUNC(I118*F118,2)</f>
        <v>0</v>
      </c>
      <c r="K118" s="194">
        <f>IFERROR(VLOOKUP(B118,'[35]1.1.1.1'!A:U,18,FALSE),)</f>
        <v>0</v>
      </c>
      <c r="L118" s="193">
        <f t="shared" ref="L118" si="113">N118-J118</f>
        <v>0</v>
      </c>
      <c r="M118" s="194">
        <f t="shared" ref="M118" si="114">K118+I118</f>
        <v>0</v>
      </c>
      <c r="N118" s="196">
        <f t="shared" ref="N118" si="115">TRUNC(M118*F118,2)</f>
        <v>0</v>
      </c>
      <c r="O118" s="194">
        <f t="shared" si="103"/>
        <v>118.46</v>
      </c>
      <c r="P118" s="196">
        <f t="shared" si="103"/>
        <v>33205.519999999997</v>
      </c>
    </row>
    <row r="119" spans="2:16">
      <c r="B119" s="190" t="s">
        <v>214</v>
      </c>
      <c r="C119" s="191" t="s">
        <v>225</v>
      </c>
      <c r="D119" s="575" t="s">
        <v>230</v>
      </c>
      <c r="E119" s="192" t="s">
        <v>50</v>
      </c>
      <c r="F119" s="193">
        <v>645.84</v>
      </c>
      <c r="G119" s="194">
        <v>11.14</v>
      </c>
      <c r="H119" s="193">
        <v>7194.66</v>
      </c>
      <c r="I119" s="194">
        <v>0</v>
      </c>
      <c r="J119" s="193">
        <f>TRUNC(I119*F119,2)</f>
        <v>0</v>
      </c>
      <c r="K119" s="194">
        <f>IFERROR(VLOOKUP(B119,'[35]1.1.1.1'!A:U,18,FALSE),)</f>
        <v>0</v>
      </c>
      <c r="L119" s="193">
        <f>N119-J119</f>
        <v>0</v>
      </c>
      <c r="M119" s="194">
        <f>K119+I119</f>
        <v>0</v>
      </c>
      <c r="N119" s="196">
        <f>TRUNC(M119*F119,2)</f>
        <v>0</v>
      </c>
      <c r="O119" s="194">
        <f t="shared" si="103"/>
        <v>11.14</v>
      </c>
      <c r="P119" s="196">
        <f t="shared" si="103"/>
        <v>7194.66</v>
      </c>
    </row>
    <row r="120" spans="2:16">
      <c r="B120" s="190" t="s">
        <v>215</v>
      </c>
      <c r="C120" s="191" t="s">
        <v>226</v>
      </c>
      <c r="D120" s="575" t="s">
        <v>231</v>
      </c>
      <c r="E120" s="192" t="s">
        <v>50</v>
      </c>
      <c r="F120" s="193">
        <v>651.87</v>
      </c>
      <c r="G120" s="194">
        <v>11.25</v>
      </c>
      <c r="H120" s="193">
        <v>7333.54</v>
      </c>
      <c r="I120" s="194">
        <v>0</v>
      </c>
      <c r="J120" s="193">
        <f t="shared" ref="J120:J128" si="116">TRUNC(I120*F120,2)</f>
        <v>0</v>
      </c>
      <c r="K120" s="194">
        <f>IFERROR(VLOOKUP(B120,'[35]1.1.1.1'!A:U,18,FALSE),)</f>
        <v>0</v>
      </c>
      <c r="L120" s="193">
        <f t="shared" ref="L120:L128" si="117">N120-J120</f>
        <v>0</v>
      </c>
      <c r="M120" s="194">
        <f t="shared" ref="M120:M128" si="118">K120+I120</f>
        <v>0</v>
      </c>
      <c r="N120" s="196">
        <f t="shared" ref="N120:N128" si="119">TRUNC(M120*F120,2)</f>
        <v>0</v>
      </c>
      <c r="O120" s="194">
        <f t="shared" si="103"/>
        <v>11.25</v>
      </c>
      <c r="P120" s="196">
        <f t="shared" si="103"/>
        <v>7333.54</v>
      </c>
    </row>
    <row r="121" spans="2:16">
      <c r="B121" s="190" t="s">
        <v>216</v>
      </c>
      <c r="C121" s="191">
        <v>210322</v>
      </c>
      <c r="D121" s="575" t="s">
        <v>232</v>
      </c>
      <c r="E121" s="192" t="s">
        <v>51</v>
      </c>
      <c r="F121" s="193">
        <v>91.5</v>
      </c>
      <c r="G121" s="194">
        <v>17.55</v>
      </c>
      <c r="H121" s="193">
        <v>1605.83</v>
      </c>
      <c r="I121" s="194">
        <v>0</v>
      </c>
      <c r="J121" s="193">
        <f t="shared" si="116"/>
        <v>0</v>
      </c>
      <c r="K121" s="194">
        <f>IFERROR(VLOOKUP(B121,'[35]1.1.1.1'!A:U,18,FALSE),)</f>
        <v>0</v>
      </c>
      <c r="L121" s="193">
        <f t="shared" si="117"/>
        <v>0</v>
      </c>
      <c r="M121" s="194">
        <f t="shared" si="118"/>
        <v>0</v>
      </c>
      <c r="N121" s="196">
        <f t="shared" si="119"/>
        <v>0</v>
      </c>
      <c r="O121" s="194">
        <f t="shared" si="103"/>
        <v>17.55</v>
      </c>
      <c r="P121" s="196">
        <f t="shared" si="103"/>
        <v>1605.83</v>
      </c>
    </row>
    <row r="122" spans="2:16" ht="25.5">
      <c r="B122" s="190" t="s">
        <v>217</v>
      </c>
      <c r="C122" s="191" t="s">
        <v>227</v>
      </c>
      <c r="D122" s="575" t="s">
        <v>233</v>
      </c>
      <c r="E122" s="192" t="s">
        <v>51</v>
      </c>
      <c r="F122" s="193">
        <v>366.23</v>
      </c>
      <c r="G122" s="194">
        <v>4.1500000000000004</v>
      </c>
      <c r="H122" s="193">
        <v>1519.85</v>
      </c>
      <c r="I122" s="194">
        <v>0</v>
      </c>
      <c r="J122" s="193">
        <f t="shared" si="116"/>
        <v>0</v>
      </c>
      <c r="K122" s="194">
        <f>IFERROR(VLOOKUP(B122,'[35]1.1.1.1'!A:U,18,FALSE),)</f>
        <v>0</v>
      </c>
      <c r="L122" s="193">
        <f t="shared" si="117"/>
        <v>0</v>
      </c>
      <c r="M122" s="194">
        <f t="shared" si="118"/>
        <v>0</v>
      </c>
      <c r="N122" s="196">
        <f t="shared" si="119"/>
        <v>0</v>
      </c>
      <c r="O122" s="194">
        <f t="shared" si="103"/>
        <v>4.1500000000000004</v>
      </c>
      <c r="P122" s="196">
        <f t="shared" si="103"/>
        <v>1519.85</v>
      </c>
    </row>
    <row r="123" spans="2:16" ht="51">
      <c r="B123" s="190" t="s">
        <v>218</v>
      </c>
      <c r="C123" s="191">
        <v>50608</v>
      </c>
      <c r="D123" s="575" t="s">
        <v>234</v>
      </c>
      <c r="E123" s="192" t="s">
        <v>57</v>
      </c>
      <c r="F123" s="193">
        <v>88.68</v>
      </c>
      <c r="G123" s="194">
        <v>6.97</v>
      </c>
      <c r="H123" s="193">
        <v>618.1</v>
      </c>
      <c r="I123" s="194">
        <v>0</v>
      </c>
      <c r="J123" s="193">
        <f t="shared" si="116"/>
        <v>0</v>
      </c>
      <c r="K123" s="194">
        <f>IFERROR(VLOOKUP(B123,'[35]1.1.1.1'!A:U,18,FALSE),)</f>
        <v>0</v>
      </c>
      <c r="L123" s="193">
        <f t="shared" si="117"/>
        <v>0</v>
      </c>
      <c r="M123" s="194">
        <f t="shared" si="118"/>
        <v>0</v>
      </c>
      <c r="N123" s="196">
        <f t="shared" si="119"/>
        <v>0</v>
      </c>
      <c r="O123" s="194">
        <f t="shared" si="103"/>
        <v>6.97</v>
      </c>
      <c r="P123" s="196">
        <f t="shared" si="103"/>
        <v>618.1</v>
      </c>
    </row>
    <row r="124" spans="2:16" ht="25.5">
      <c r="B124" s="190" t="s">
        <v>219</v>
      </c>
      <c r="C124" s="191">
        <v>120101</v>
      </c>
      <c r="D124" s="575" t="s">
        <v>235</v>
      </c>
      <c r="E124" s="192" t="s">
        <v>57</v>
      </c>
      <c r="F124" s="193">
        <v>5.64</v>
      </c>
      <c r="G124" s="194">
        <v>540.16999999999996</v>
      </c>
      <c r="H124" s="193">
        <v>3046.56</v>
      </c>
      <c r="I124" s="194">
        <v>0</v>
      </c>
      <c r="J124" s="193">
        <f t="shared" si="116"/>
        <v>0</v>
      </c>
      <c r="K124" s="194">
        <f>IFERROR(VLOOKUP(B124,'[35]1.1.1.1'!A:U,18,FALSE),)</f>
        <v>0</v>
      </c>
      <c r="L124" s="193">
        <f t="shared" si="117"/>
        <v>0</v>
      </c>
      <c r="M124" s="194">
        <f t="shared" si="118"/>
        <v>0</v>
      </c>
      <c r="N124" s="196">
        <f t="shared" si="119"/>
        <v>0</v>
      </c>
      <c r="O124" s="194">
        <f t="shared" ref="O124:P139" si="120">G124-M124</f>
        <v>540.16999999999996</v>
      </c>
      <c r="P124" s="196">
        <f t="shared" si="120"/>
        <v>3046.56</v>
      </c>
    </row>
    <row r="125" spans="2:16" ht="25.5">
      <c r="B125" s="190" t="s">
        <v>220</v>
      </c>
      <c r="C125" s="191">
        <v>120303</v>
      </c>
      <c r="D125" s="575" t="s">
        <v>236</v>
      </c>
      <c r="E125" s="192" t="s">
        <v>57</v>
      </c>
      <c r="F125" s="193">
        <v>49.24</v>
      </c>
      <c r="G125" s="194">
        <v>540.16999999999996</v>
      </c>
      <c r="H125" s="193">
        <v>26597.97</v>
      </c>
      <c r="I125" s="194">
        <v>0</v>
      </c>
      <c r="J125" s="193">
        <f t="shared" si="116"/>
        <v>0</v>
      </c>
      <c r="K125" s="194">
        <f>IFERROR(VLOOKUP(B125,'[35]1.1.1.1'!A:U,18,FALSE),)</f>
        <v>0</v>
      </c>
      <c r="L125" s="193">
        <f t="shared" si="117"/>
        <v>0</v>
      </c>
      <c r="M125" s="194">
        <f t="shared" si="118"/>
        <v>0</v>
      </c>
      <c r="N125" s="196">
        <f t="shared" si="119"/>
        <v>0</v>
      </c>
      <c r="O125" s="194">
        <f t="shared" si="120"/>
        <v>540.16999999999996</v>
      </c>
      <c r="P125" s="196">
        <f t="shared" si="120"/>
        <v>26597.97</v>
      </c>
    </row>
    <row r="126" spans="2:16" ht="25.5">
      <c r="B126" s="190" t="s">
        <v>221</v>
      </c>
      <c r="C126" s="191">
        <v>190117</v>
      </c>
      <c r="D126" s="575" t="s">
        <v>237</v>
      </c>
      <c r="E126" s="192" t="s">
        <v>57</v>
      </c>
      <c r="F126" s="193">
        <v>18.27</v>
      </c>
      <c r="G126" s="194">
        <v>540.16999999999996</v>
      </c>
      <c r="H126" s="193">
        <v>9868.91</v>
      </c>
      <c r="I126" s="194">
        <v>0</v>
      </c>
      <c r="J126" s="193">
        <f t="shared" si="116"/>
        <v>0</v>
      </c>
      <c r="K126" s="194">
        <f>IFERROR(VLOOKUP(B126,'[35]1.1.1.1'!A:U,18,FALSE),)</f>
        <v>0</v>
      </c>
      <c r="L126" s="193">
        <f t="shared" si="117"/>
        <v>0</v>
      </c>
      <c r="M126" s="194">
        <f t="shared" si="118"/>
        <v>0</v>
      </c>
      <c r="N126" s="196">
        <f t="shared" si="119"/>
        <v>0</v>
      </c>
      <c r="O126" s="194">
        <f t="shared" si="120"/>
        <v>540.16999999999996</v>
      </c>
      <c r="P126" s="196">
        <f t="shared" si="120"/>
        <v>9868.91</v>
      </c>
    </row>
    <row r="127" spans="2:16" ht="38.25">
      <c r="B127" s="190" t="s">
        <v>222</v>
      </c>
      <c r="C127" s="191">
        <v>130230</v>
      </c>
      <c r="D127" s="575" t="s">
        <v>238</v>
      </c>
      <c r="E127" s="192" t="s">
        <v>57</v>
      </c>
      <c r="F127" s="193">
        <v>106.19</v>
      </c>
      <c r="G127" s="194">
        <v>157.13</v>
      </c>
      <c r="H127" s="193">
        <v>16685.63</v>
      </c>
      <c r="I127" s="194">
        <v>0</v>
      </c>
      <c r="J127" s="193">
        <f t="shared" si="116"/>
        <v>0</v>
      </c>
      <c r="K127" s="194">
        <f>IFERROR(VLOOKUP(B127,'[35]1.1.1.1'!A:U,18,FALSE),)</f>
        <v>0</v>
      </c>
      <c r="L127" s="193">
        <f t="shared" si="117"/>
        <v>0</v>
      </c>
      <c r="M127" s="194">
        <f t="shared" si="118"/>
        <v>0</v>
      </c>
      <c r="N127" s="196">
        <f t="shared" si="119"/>
        <v>0</v>
      </c>
      <c r="O127" s="194">
        <f t="shared" si="120"/>
        <v>157.13</v>
      </c>
      <c r="P127" s="196">
        <f t="shared" si="120"/>
        <v>16685.63</v>
      </c>
    </row>
    <row r="128" spans="2:16" ht="25.5">
      <c r="B128" s="190" t="s">
        <v>223</v>
      </c>
      <c r="C128" s="191" t="s">
        <v>228</v>
      </c>
      <c r="D128" s="575" t="s">
        <v>239</v>
      </c>
      <c r="E128" s="192" t="s">
        <v>72</v>
      </c>
      <c r="F128" s="193">
        <v>333.45</v>
      </c>
      <c r="G128" s="194">
        <v>22</v>
      </c>
      <c r="H128" s="193">
        <v>7335.9</v>
      </c>
      <c r="I128" s="194">
        <v>0</v>
      </c>
      <c r="J128" s="193">
        <f t="shared" si="116"/>
        <v>0</v>
      </c>
      <c r="K128" s="194">
        <f>IFERROR(VLOOKUP(B128,'[35]1.1.1.1'!A:U,18,FALSE),)</f>
        <v>0</v>
      </c>
      <c r="L128" s="193">
        <f t="shared" si="117"/>
        <v>0</v>
      </c>
      <c r="M128" s="194">
        <f t="shared" si="118"/>
        <v>0</v>
      </c>
      <c r="N128" s="196">
        <f t="shared" si="119"/>
        <v>0</v>
      </c>
      <c r="O128" s="194">
        <f t="shared" si="120"/>
        <v>22</v>
      </c>
      <c r="P128" s="196">
        <f t="shared" si="120"/>
        <v>7335.9</v>
      </c>
    </row>
    <row r="129" spans="2:16">
      <c r="B129" s="138"/>
      <c r="C129" s="132"/>
      <c r="D129" s="123"/>
      <c r="E129" s="123"/>
      <c r="F129" s="123"/>
      <c r="G129" s="123"/>
      <c r="H129" s="123"/>
      <c r="I129" s="123"/>
      <c r="J129" s="123"/>
      <c r="K129" s="123"/>
      <c r="L129" s="123"/>
      <c r="M129" s="123"/>
      <c r="N129" s="124"/>
      <c r="O129" s="123">
        <f t="shared" si="120"/>
        <v>0</v>
      </c>
      <c r="P129" s="124">
        <f t="shared" si="120"/>
        <v>0</v>
      </c>
    </row>
    <row r="130" spans="2:16" s="213" customFormat="1">
      <c r="B130" s="210" t="s">
        <v>24</v>
      </c>
      <c r="C130" s="211"/>
      <c r="D130" s="212" t="s">
        <v>240</v>
      </c>
      <c r="E130" s="197"/>
      <c r="F130" s="198"/>
      <c r="G130" s="199"/>
      <c r="H130" s="200">
        <v>597316.01</v>
      </c>
      <c r="I130" s="201"/>
      <c r="J130" s="200">
        <f>SUBTOTAL(9,J131:J163)</f>
        <v>99242.22</v>
      </c>
      <c r="K130" s="201"/>
      <c r="L130" s="200">
        <f>SUBTOTAL(9,L131:L163)</f>
        <v>34093.42</v>
      </c>
      <c r="M130" s="200"/>
      <c r="N130" s="200">
        <f>SUBTOTAL(9,N131:N163)</f>
        <v>133335.64000000001</v>
      </c>
      <c r="O130" s="200">
        <f t="shared" si="120"/>
        <v>0</v>
      </c>
      <c r="P130" s="200">
        <f t="shared" si="120"/>
        <v>463980.37</v>
      </c>
    </row>
    <row r="131" spans="2:16" s="131" customFormat="1">
      <c r="B131" s="137" t="s">
        <v>241</v>
      </c>
      <c r="C131" s="133"/>
      <c r="D131" s="125" t="s">
        <v>242</v>
      </c>
      <c r="E131" s="126"/>
      <c r="F131" s="127"/>
      <c r="G131" s="128"/>
      <c r="H131" s="129">
        <v>296584.23</v>
      </c>
      <c r="I131" s="130"/>
      <c r="J131" s="129">
        <f>SUBTOTAL(9,J132:J143)</f>
        <v>62885.960000000006</v>
      </c>
      <c r="K131" s="130"/>
      <c r="L131" s="129">
        <f>SUBTOTAL(9,L132:L143)</f>
        <v>34093.42</v>
      </c>
      <c r="M131" s="129"/>
      <c r="N131" s="129">
        <f>SUBTOTAL(9,N132:N143)</f>
        <v>96979.38</v>
      </c>
      <c r="O131" s="129">
        <f t="shared" si="120"/>
        <v>0</v>
      </c>
      <c r="P131" s="129">
        <f t="shared" si="120"/>
        <v>199604.84999999998</v>
      </c>
    </row>
    <row r="132" spans="2:16" s="244" customFormat="1">
      <c r="B132" s="576" t="s">
        <v>243</v>
      </c>
      <c r="C132" s="238">
        <v>40405</v>
      </c>
      <c r="D132" s="239" t="s">
        <v>264</v>
      </c>
      <c r="E132" s="240" t="s">
        <v>57</v>
      </c>
      <c r="F132" s="241">
        <v>86.33</v>
      </c>
      <c r="G132" s="242">
        <v>341</v>
      </c>
      <c r="H132" s="241">
        <v>29438.53</v>
      </c>
      <c r="I132" s="242">
        <f>'[35]2.4.1.1'!R24</f>
        <v>170.5</v>
      </c>
      <c r="J132" s="241">
        <f t="shared" ref="J132:J143" si="121">TRUNC(I132*F132,2)</f>
        <v>14719.26</v>
      </c>
      <c r="K132" s="259">
        <f>'[35]2.4.1.1'!R25</f>
        <v>170.5</v>
      </c>
      <c r="L132" s="260">
        <f t="shared" ref="L132:L143" si="122">N132-J132</f>
        <v>14719.269999999999</v>
      </c>
      <c r="M132" s="242">
        <f t="shared" ref="M132:M143" si="123">K132+I132</f>
        <v>341</v>
      </c>
      <c r="N132" s="243">
        <f t="shared" ref="N132:N143" si="124">TRUNC(M132*F132,2)</f>
        <v>29438.53</v>
      </c>
      <c r="O132" s="242">
        <f t="shared" si="120"/>
        <v>0</v>
      </c>
      <c r="P132" s="243">
        <f t="shared" si="120"/>
        <v>0</v>
      </c>
    </row>
    <row r="133" spans="2:16" s="244" customFormat="1">
      <c r="B133" s="576" t="s">
        <v>244</v>
      </c>
      <c r="C133" s="238" t="s">
        <v>255</v>
      </c>
      <c r="D133" s="239" t="s">
        <v>265</v>
      </c>
      <c r="E133" s="240" t="s">
        <v>29</v>
      </c>
      <c r="F133" s="241">
        <v>7.33</v>
      </c>
      <c r="G133" s="242">
        <v>3966.02</v>
      </c>
      <c r="H133" s="241">
        <v>29070.93</v>
      </c>
      <c r="I133" s="242">
        <f>'[35]2.4.1.2 '!R25</f>
        <v>3569.4180000000001</v>
      </c>
      <c r="J133" s="241">
        <f t="shared" si="121"/>
        <v>26163.83</v>
      </c>
      <c r="K133" s="259">
        <f>'[35]2.4.1.2 '!R26</f>
        <v>78.30199999999968</v>
      </c>
      <c r="L133" s="260">
        <f t="shared" si="122"/>
        <v>573.94999999999709</v>
      </c>
      <c r="M133" s="242">
        <f t="shared" si="123"/>
        <v>3647.72</v>
      </c>
      <c r="N133" s="243">
        <f t="shared" si="124"/>
        <v>26737.78</v>
      </c>
      <c r="O133" s="242">
        <f t="shared" si="120"/>
        <v>318.30000000000018</v>
      </c>
      <c r="P133" s="243">
        <f t="shared" si="120"/>
        <v>2333.1500000000015</v>
      </c>
    </row>
    <row r="134" spans="2:16" ht="25.5">
      <c r="B134" s="190" t="s">
        <v>245</v>
      </c>
      <c r="C134" s="191">
        <v>40328</v>
      </c>
      <c r="D134" s="575" t="s">
        <v>147</v>
      </c>
      <c r="E134" s="192" t="s">
        <v>29</v>
      </c>
      <c r="F134" s="193">
        <v>7.98</v>
      </c>
      <c r="G134" s="194">
        <v>1880</v>
      </c>
      <c r="H134" s="193">
        <v>15002.4</v>
      </c>
      <c r="I134" s="194">
        <f>'[35]2.4.1.3 '!R25</f>
        <v>1880</v>
      </c>
      <c r="J134" s="193">
        <f t="shared" si="121"/>
        <v>15002.4</v>
      </c>
      <c r="K134" s="264">
        <f>'[35]2.4.1.3 '!R26</f>
        <v>0</v>
      </c>
      <c r="L134" s="263">
        <f t="shared" si="122"/>
        <v>0</v>
      </c>
      <c r="M134" s="194">
        <f t="shared" si="123"/>
        <v>1880</v>
      </c>
      <c r="N134" s="196">
        <f t="shared" si="124"/>
        <v>15002.4</v>
      </c>
      <c r="O134" s="194">
        <f t="shared" si="120"/>
        <v>0</v>
      </c>
      <c r="P134" s="196">
        <f t="shared" si="120"/>
        <v>0</v>
      </c>
    </row>
    <row r="135" spans="2:16" s="244" customFormat="1">
      <c r="B135" s="576" t="s">
        <v>246</v>
      </c>
      <c r="C135" s="238" t="s">
        <v>256</v>
      </c>
      <c r="D135" s="239" t="s">
        <v>266</v>
      </c>
      <c r="E135" s="240" t="s">
        <v>29</v>
      </c>
      <c r="F135" s="241">
        <v>11.02</v>
      </c>
      <c r="G135" s="242">
        <v>73</v>
      </c>
      <c r="H135" s="241">
        <v>804.46</v>
      </c>
      <c r="I135" s="242">
        <v>0</v>
      </c>
      <c r="J135" s="241">
        <f t="shared" si="121"/>
        <v>0</v>
      </c>
      <c r="K135" s="259">
        <f>'[35]2.4.1.4'!R26</f>
        <v>73</v>
      </c>
      <c r="L135" s="260">
        <f t="shared" si="122"/>
        <v>804.46</v>
      </c>
      <c r="M135" s="242">
        <f t="shared" si="123"/>
        <v>73</v>
      </c>
      <c r="N135" s="243">
        <f t="shared" si="124"/>
        <v>804.46</v>
      </c>
      <c r="O135" s="242">
        <f t="shared" si="120"/>
        <v>0</v>
      </c>
      <c r="P135" s="243">
        <f t="shared" si="120"/>
        <v>0</v>
      </c>
    </row>
    <row r="136" spans="2:16" s="244" customFormat="1" ht="51">
      <c r="B136" s="576" t="s">
        <v>247</v>
      </c>
      <c r="C136" s="238" t="s">
        <v>257</v>
      </c>
      <c r="D136" s="239" t="s">
        <v>267</v>
      </c>
      <c r="E136" s="240" t="s">
        <v>58</v>
      </c>
      <c r="F136" s="241">
        <v>777.83</v>
      </c>
      <c r="G136" s="242">
        <v>28.05</v>
      </c>
      <c r="H136" s="241">
        <v>21818.13</v>
      </c>
      <c r="I136" s="242">
        <f>'[35]2.4.1.5'!R25</f>
        <v>9</v>
      </c>
      <c r="J136" s="241">
        <f t="shared" si="121"/>
        <v>7000.47</v>
      </c>
      <c r="K136" s="259">
        <f>'[35]2.4.1.5'!R26</f>
        <v>9.0500000000000007</v>
      </c>
      <c r="L136" s="260">
        <f t="shared" si="122"/>
        <v>7039.36</v>
      </c>
      <c r="M136" s="242">
        <f t="shared" si="123"/>
        <v>18.05</v>
      </c>
      <c r="N136" s="243">
        <f t="shared" si="124"/>
        <v>14039.83</v>
      </c>
      <c r="O136" s="242">
        <f t="shared" si="120"/>
        <v>10</v>
      </c>
      <c r="P136" s="243">
        <f t="shared" si="120"/>
        <v>7778.3000000000011</v>
      </c>
    </row>
    <row r="137" spans="2:16">
      <c r="B137" s="190" t="s">
        <v>248</v>
      </c>
      <c r="C137" s="191" t="s">
        <v>258</v>
      </c>
      <c r="D137" s="575" t="s">
        <v>268</v>
      </c>
      <c r="E137" s="192" t="s">
        <v>49</v>
      </c>
      <c r="F137" s="193">
        <v>641.15</v>
      </c>
      <c r="G137" s="194">
        <v>113.84</v>
      </c>
      <c r="H137" s="193">
        <v>72988.52</v>
      </c>
      <c r="I137" s="194">
        <v>0</v>
      </c>
      <c r="J137" s="193">
        <f t="shared" si="121"/>
        <v>0</v>
      </c>
      <c r="K137" s="194">
        <f>IFERROR(VLOOKUP(B137,#REF!,18,FALSE),)</f>
        <v>0</v>
      </c>
      <c r="L137" s="193">
        <f t="shared" si="122"/>
        <v>0</v>
      </c>
      <c r="M137" s="194">
        <f t="shared" si="123"/>
        <v>0</v>
      </c>
      <c r="N137" s="196">
        <f t="shared" si="124"/>
        <v>0</v>
      </c>
      <c r="O137" s="194">
        <f t="shared" si="120"/>
        <v>113.84</v>
      </c>
      <c r="P137" s="196">
        <f t="shared" si="120"/>
        <v>72988.52</v>
      </c>
    </row>
    <row r="138" spans="2:16">
      <c r="B138" s="190" t="s">
        <v>249</v>
      </c>
      <c r="C138" s="191" t="s">
        <v>259</v>
      </c>
      <c r="D138" s="575" t="s">
        <v>269</v>
      </c>
      <c r="E138" s="192" t="s">
        <v>72</v>
      </c>
      <c r="F138" s="193">
        <v>14345.61</v>
      </c>
      <c r="G138" s="194">
        <v>4</v>
      </c>
      <c r="H138" s="193">
        <v>57382.44</v>
      </c>
      <c r="I138" s="194">
        <v>0</v>
      </c>
      <c r="J138" s="193">
        <f t="shared" si="121"/>
        <v>0</v>
      </c>
      <c r="K138" s="194">
        <f>IFERROR(VLOOKUP(B138,#REF!,18,FALSE),)</f>
        <v>0</v>
      </c>
      <c r="L138" s="193">
        <f t="shared" si="122"/>
        <v>0</v>
      </c>
      <c r="M138" s="194">
        <f t="shared" si="123"/>
        <v>0</v>
      </c>
      <c r="N138" s="196">
        <f t="shared" si="124"/>
        <v>0</v>
      </c>
      <c r="O138" s="194">
        <f t="shared" si="120"/>
        <v>4</v>
      </c>
      <c r="P138" s="196">
        <f t="shared" si="120"/>
        <v>57382.44</v>
      </c>
    </row>
    <row r="139" spans="2:16" s="244" customFormat="1">
      <c r="B139" s="576" t="s">
        <v>250</v>
      </c>
      <c r="C139" s="238" t="s">
        <v>260</v>
      </c>
      <c r="D139" s="239" t="s">
        <v>270</v>
      </c>
      <c r="E139" s="240" t="s">
        <v>72</v>
      </c>
      <c r="F139" s="241">
        <v>5478.19</v>
      </c>
      <c r="G139" s="242">
        <v>2</v>
      </c>
      <c r="H139" s="241">
        <v>10956.38</v>
      </c>
      <c r="I139" s="242">
        <v>0</v>
      </c>
      <c r="J139" s="241">
        <f t="shared" si="121"/>
        <v>0</v>
      </c>
      <c r="K139" s="259">
        <f>G139</f>
        <v>2</v>
      </c>
      <c r="L139" s="260">
        <f t="shared" si="122"/>
        <v>10956.38</v>
      </c>
      <c r="M139" s="242">
        <f t="shared" si="123"/>
        <v>2</v>
      </c>
      <c r="N139" s="243">
        <f t="shared" si="124"/>
        <v>10956.38</v>
      </c>
      <c r="O139" s="242">
        <f t="shared" si="120"/>
        <v>0</v>
      </c>
      <c r="P139" s="243">
        <f t="shared" si="120"/>
        <v>0</v>
      </c>
    </row>
    <row r="140" spans="2:16" ht="25.5">
      <c r="B140" s="190" t="s">
        <v>251</v>
      </c>
      <c r="C140" s="191">
        <v>40817</v>
      </c>
      <c r="D140" s="575" t="s">
        <v>271</v>
      </c>
      <c r="E140" s="192" t="s">
        <v>58</v>
      </c>
      <c r="F140" s="193">
        <v>3001.6</v>
      </c>
      <c r="G140" s="194">
        <v>0.03</v>
      </c>
      <c r="H140" s="193">
        <v>90.05</v>
      </c>
      <c r="I140" s="194">
        <v>0</v>
      </c>
      <c r="J140" s="193">
        <f t="shared" si="121"/>
        <v>0</v>
      </c>
      <c r="K140" s="194">
        <f>IFERROR(VLOOKUP(B140,#REF!,18,FALSE),)</f>
        <v>0</v>
      </c>
      <c r="L140" s="193">
        <f t="shared" si="122"/>
        <v>0</v>
      </c>
      <c r="M140" s="194">
        <f t="shared" si="123"/>
        <v>0</v>
      </c>
      <c r="N140" s="196">
        <f t="shared" si="124"/>
        <v>0</v>
      </c>
      <c r="O140" s="194">
        <f t="shared" ref="O140:P155" si="125">G140-M140</f>
        <v>0.03</v>
      </c>
      <c r="P140" s="196">
        <f t="shared" si="125"/>
        <v>90.05</v>
      </c>
    </row>
    <row r="141" spans="2:16">
      <c r="B141" s="190" t="s">
        <v>252</v>
      </c>
      <c r="C141" s="191" t="s">
        <v>261</v>
      </c>
      <c r="D141" s="575" t="s">
        <v>272</v>
      </c>
      <c r="E141" s="192" t="s">
        <v>72</v>
      </c>
      <c r="F141" s="193">
        <v>2011.04</v>
      </c>
      <c r="G141" s="194">
        <v>15</v>
      </c>
      <c r="H141" s="193">
        <v>30165.599999999999</v>
      </c>
      <c r="I141" s="194">
        <v>0</v>
      </c>
      <c r="J141" s="193">
        <f t="shared" si="121"/>
        <v>0</v>
      </c>
      <c r="K141" s="194">
        <f>IFERROR(VLOOKUP(B141,#REF!,18,FALSE),)</f>
        <v>0</v>
      </c>
      <c r="L141" s="193">
        <f t="shared" si="122"/>
        <v>0</v>
      </c>
      <c r="M141" s="194">
        <f t="shared" si="123"/>
        <v>0</v>
      </c>
      <c r="N141" s="196">
        <f t="shared" si="124"/>
        <v>0</v>
      </c>
      <c r="O141" s="194">
        <f t="shared" si="125"/>
        <v>15</v>
      </c>
      <c r="P141" s="196">
        <f t="shared" si="125"/>
        <v>30165.599999999999</v>
      </c>
    </row>
    <row r="142" spans="2:16" ht="25.5">
      <c r="B142" s="190" t="s">
        <v>253</v>
      </c>
      <c r="C142" s="191" t="s">
        <v>262</v>
      </c>
      <c r="D142" s="575" t="s">
        <v>273</v>
      </c>
      <c r="E142" s="192" t="s">
        <v>72</v>
      </c>
      <c r="F142" s="193">
        <v>28185.33</v>
      </c>
      <c r="G142" s="194">
        <v>1</v>
      </c>
      <c r="H142" s="193">
        <v>28185.33</v>
      </c>
      <c r="I142" s="194">
        <v>0</v>
      </c>
      <c r="J142" s="193">
        <f t="shared" si="121"/>
        <v>0</v>
      </c>
      <c r="K142" s="194">
        <f>IFERROR(VLOOKUP(B142,#REF!,18,FALSE),)</f>
        <v>0</v>
      </c>
      <c r="L142" s="193">
        <f t="shared" si="122"/>
        <v>0</v>
      </c>
      <c r="M142" s="194">
        <f t="shared" si="123"/>
        <v>0</v>
      </c>
      <c r="N142" s="196">
        <f t="shared" si="124"/>
        <v>0</v>
      </c>
      <c r="O142" s="194">
        <f t="shared" si="125"/>
        <v>1</v>
      </c>
      <c r="P142" s="196">
        <f t="shared" si="125"/>
        <v>28185.33</v>
      </c>
    </row>
    <row r="143" spans="2:16">
      <c r="B143" s="190" t="s">
        <v>254</v>
      </c>
      <c r="C143" s="191" t="s">
        <v>263</v>
      </c>
      <c r="D143" s="575" t="s">
        <v>274</v>
      </c>
      <c r="E143" s="192" t="s">
        <v>72</v>
      </c>
      <c r="F143" s="193">
        <v>340.73</v>
      </c>
      <c r="G143" s="194">
        <v>2</v>
      </c>
      <c r="H143" s="193">
        <v>681.46</v>
      </c>
      <c r="I143" s="194">
        <v>0</v>
      </c>
      <c r="J143" s="193">
        <f t="shared" si="121"/>
        <v>0</v>
      </c>
      <c r="K143" s="194">
        <f>IFERROR(VLOOKUP(B143,#REF!,18,FALSE),)</f>
        <v>0</v>
      </c>
      <c r="L143" s="193">
        <f t="shared" si="122"/>
        <v>0</v>
      </c>
      <c r="M143" s="194">
        <f t="shared" si="123"/>
        <v>0</v>
      </c>
      <c r="N143" s="196">
        <f t="shared" si="124"/>
        <v>0</v>
      </c>
      <c r="O143" s="194">
        <f t="shared" si="125"/>
        <v>2</v>
      </c>
      <c r="P143" s="196">
        <f t="shared" si="125"/>
        <v>681.46</v>
      </c>
    </row>
    <row r="144" spans="2:16">
      <c r="B144" s="138"/>
      <c r="C144" s="132"/>
      <c r="D144" s="123"/>
      <c r="E144" s="123"/>
      <c r="F144" s="123"/>
      <c r="G144" s="123"/>
      <c r="H144" s="123"/>
      <c r="I144" s="123"/>
      <c r="J144" s="123"/>
      <c r="K144" s="123"/>
      <c r="L144" s="123"/>
      <c r="M144" s="123"/>
      <c r="N144" s="124"/>
      <c r="O144" s="123">
        <f t="shared" si="125"/>
        <v>0</v>
      </c>
      <c r="P144" s="124">
        <f t="shared" si="125"/>
        <v>0</v>
      </c>
    </row>
    <row r="145" spans="2:16" s="131" customFormat="1">
      <c r="B145" s="137" t="s">
        <v>275</v>
      </c>
      <c r="C145" s="133"/>
      <c r="D145" s="125" t="s">
        <v>276</v>
      </c>
      <c r="E145" s="126"/>
      <c r="F145" s="127"/>
      <c r="G145" s="128"/>
      <c r="H145" s="129">
        <v>1246.9100000000001</v>
      </c>
      <c r="I145" s="130"/>
      <c r="J145" s="129">
        <f>SUBTOTAL(9,J146:J146)</f>
        <v>0</v>
      </c>
      <c r="K145" s="130"/>
      <c r="L145" s="129">
        <f>SUBTOTAL(9,L146:L146)</f>
        <v>0</v>
      </c>
      <c r="M145" s="129"/>
      <c r="N145" s="129">
        <f>SUBTOTAL(9,N146:N146)</f>
        <v>0</v>
      </c>
      <c r="O145" s="129">
        <f t="shared" si="125"/>
        <v>0</v>
      </c>
      <c r="P145" s="129">
        <f t="shared" si="125"/>
        <v>1246.9100000000001</v>
      </c>
    </row>
    <row r="146" spans="2:16" ht="25.5">
      <c r="B146" s="190" t="s">
        <v>277</v>
      </c>
      <c r="C146" s="191" t="s">
        <v>278</v>
      </c>
      <c r="D146" s="575" t="s">
        <v>279</v>
      </c>
      <c r="E146" s="192" t="s">
        <v>72</v>
      </c>
      <c r="F146" s="193">
        <v>1246.9100000000001</v>
      </c>
      <c r="G146" s="194">
        <v>1</v>
      </c>
      <c r="H146" s="193">
        <v>1246.9100000000001</v>
      </c>
      <c r="I146" s="194">
        <v>0</v>
      </c>
      <c r="J146" s="193">
        <f t="shared" ref="J146" si="126">TRUNC(I146*F146,2)</f>
        <v>0</v>
      </c>
      <c r="K146" s="194">
        <f>IFERROR(VLOOKUP(B146,#REF!,18,FALSE),)</f>
        <v>0</v>
      </c>
      <c r="L146" s="193">
        <f t="shared" ref="L146" si="127">N146-J146</f>
        <v>0</v>
      </c>
      <c r="M146" s="194">
        <f t="shared" ref="M146" si="128">K146+I146</f>
        <v>0</v>
      </c>
      <c r="N146" s="196">
        <f t="shared" ref="N146" si="129">TRUNC(M146*F146,2)</f>
        <v>0</v>
      </c>
      <c r="O146" s="194">
        <f t="shared" si="125"/>
        <v>1</v>
      </c>
      <c r="P146" s="196">
        <f t="shared" si="125"/>
        <v>1246.9100000000001</v>
      </c>
    </row>
    <row r="147" spans="2:16">
      <c r="B147" s="138"/>
      <c r="C147" s="132"/>
      <c r="D147" s="123"/>
      <c r="E147" s="123"/>
      <c r="F147" s="123"/>
      <c r="G147" s="123"/>
      <c r="H147" s="123"/>
      <c r="I147" s="123"/>
      <c r="J147" s="123"/>
      <c r="K147" s="123"/>
      <c r="L147" s="123"/>
      <c r="M147" s="123"/>
      <c r="N147" s="124"/>
      <c r="O147" s="123">
        <f t="shared" si="125"/>
        <v>0</v>
      </c>
      <c r="P147" s="124">
        <f t="shared" si="125"/>
        <v>0</v>
      </c>
    </row>
    <row r="148" spans="2:16" s="131" customFormat="1">
      <c r="B148" s="137" t="s">
        <v>280</v>
      </c>
      <c r="C148" s="133"/>
      <c r="D148" s="125" t="s">
        <v>281</v>
      </c>
      <c r="E148" s="126"/>
      <c r="F148" s="127"/>
      <c r="G148" s="128"/>
      <c r="H148" s="129">
        <v>290746.62</v>
      </c>
      <c r="I148" s="130"/>
      <c r="J148" s="129">
        <f>SUBTOTAL(9,J149:J160)</f>
        <v>36356.26</v>
      </c>
      <c r="K148" s="130"/>
      <c r="L148" s="129">
        <f>SUBTOTAL(9,L149:L160)</f>
        <v>0</v>
      </c>
      <c r="M148" s="129"/>
      <c r="N148" s="129">
        <f>SUBTOTAL(9,N149:N160)</f>
        <v>36356.26</v>
      </c>
      <c r="O148" s="129">
        <f t="shared" si="125"/>
        <v>0</v>
      </c>
      <c r="P148" s="129">
        <f t="shared" si="125"/>
        <v>254390.36</v>
      </c>
    </row>
    <row r="149" spans="2:16" ht="25.5">
      <c r="B149" s="190" t="s">
        <v>282</v>
      </c>
      <c r="C149" s="191" t="s">
        <v>294</v>
      </c>
      <c r="D149" s="575" t="s">
        <v>895</v>
      </c>
      <c r="E149" s="192" t="s">
        <v>315</v>
      </c>
      <c r="F149" s="193">
        <v>18178.13</v>
      </c>
      <c r="G149" s="194">
        <v>2</v>
      </c>
      <c r="H149" s="193">
        <v>36356.26</v>
      </c>
      <c r="I149" s="194">
        <f>'[35]2.4.3.1 '!R20</f>
        <v>2</v>
      </c>
      <c r="J149" s="193">
        <f t="shared" ref="J149:J160" si="130">TRUNC(I149*F149,2)</f>
        <v>36356.26</v>
      </c>
      <c r="K149" s="264">
        <f>'[35]2.4.3.1 '!R21</f>
        <v>0</v>
      </c>
      <c r="L149" s="263">
        <f t="shared" ref="L149:L160" si="131">N149-J149</f>
        <v>0</v>
      </c>
      <c r="M149" s="194">
        <f t="shared" ref="M149:M160" si="132">K149+I149</f>
        <v>2</v>
      </c>
      <c r="N149" s="196">
        <f t="shared" ref="N149:N160" si="133">TRUNC(M149*F149,2)</f>
        <v>36356.26</v>
      </c>
      <c r="O149" s="194">
        <f t="shared" si="125"/>
        <v>0</v>
      </c>
      <c r="P149" s="196">
        <f t="shared" si="125"/>
        <v>0</v>
      </c>
    </row>
    <row r="150" spans="2:16" ht="25.5">
      <c r="B150" s="190" t="s">
        <v>283</v>
      </c>
      <c r="C150" s="191" t="s">
        <v>295</v>
      </c>
      <c r="D150" s="575" t="s">
        <v>305</v>
      </c>
      <c r="E150" s="192" t="s">
        <v>51</v>
      </c>
      <c r="F150" s="193">
        <v>1268.83</v>
      </c>
      <c r="G150" s="194">
        <v>86.8</v>
      </c>
      <c r="H150" s="193">
        <v>110134.44</v>
      </c>
      <c r="I150" s="194">
        <v>0</v>
      </c>
      <c r="J150" s="193">
        <f t="shared" si="130"/>
        <v>0</v>
      </c>
      <c r="K150" s="194">
        <f>IFERROR(VLOOKUP(B150,#REF!,18,FALSE),)</f>
        <v>0</v>
      </c>
      <c r="L150" s="193">
        <f t="shared" si="131"/>
        <v>0</v>
      </c>
      <c r="M150" s="194">
        <f t="shared" si="132"/>
        <v>0</v>
      </c>
      <c r="N150" s="196">
        <f t="shared" si="133"/>
        <v>0</v>
      </c>
      <c r="O150" s="194">
        <f t="shared" si="125"/>
        <v>86.8</v>
      </c>
      <c r="P150" s="196">
        <f t="shared" si="125"/>
        <v>110134.44</v>
      </c>
    </row>
    <row r="151" spans="2:16">
      <c r="B151" s="190" t="s">
        <v>284</v>
      </c>
      <c r="C151" s="191" t="s">
        <v>296</v>
      </c>
      <c r="D151" s="575" t="s">
        <v>306</v>
      </c>
      <c r="E151" s="192" t="s">
        <v>51</v>
      </c>
      <c r="F151" s="193">
        <v>294.97000000000003</v>
      </c>
      <c r="G151" s="194">
        <v>86.8</v>
      </c>
      <c r="H151" s="193">
        <v>25603.4</v>
      </c>
      <c r="I151" s="194">
        <v>0</v>
      </c>
      <c r="J151" s="193">
        <f t="shared" si="130"/>
        <v>0</v>
      </c>
      <c r="K151" s="194">
        <f>IFERROR(VLOOKUP(B151,#REF!,18,FALSE),)</f>
        <v>0</v>
      </c>
      <c r="L151" s="193">
        <f t="shared" si="131"/>
        <v>0</v>
      </c>
      <c r="M151" s="194">
        <f t="shared" si="132"/>
        <v>0</v>
      </c>
      <c r="N151" s="196">
        <f t="shared" si="133"/>
        <v>0</v>
      </c>
      <c r="O151" s="194">
        <f t="shared" si="125"/>
        <v>86.8</v>
      </c>
      <c r="P151" s="196">
        <f t="shared" si="125"/>
        <v>25603.4</v>
      </c>
    </row>
    <row r="152" spans="2:16">
      <c r="B152" s="190" t="s">
        <v>285</v>
      </c>
      <c r="C152" s="191" t="s">
        <v>297</v>
      </c>
      <c r="D152" s="575" t="s">
        <v>307</v>
      </c>
      <c r="E152" s="192" t="s">
        <v>51</v>
      </c>
      <c r="F152" s="193">
        <v>309.62</v>
      </c>
      <c r="G152" s="194">
        <v>64</v>
      </c>
      <c r="H152" s="193">
        <v>19815.68</v>
      </c>
      <c r="I152" s="194">
        <v>0</v>
      </c>
      <c r="J152" s="193">
        <f t="shared" si="130"/>
        <v>0</v>
      </c>
      <c r="K152" s="194">
        <f>IFERROR(VLOOKUP(B152,#REF!,18,FALSE),)</f>
        <v>0</v>
      </c>
      <c r="L152" s="193">
        <f t="shared" si="131"/>
        <v>0</v>
      </c>
      <c r="M152" s="194">
        <f t="shared" si="132"/>
        <v>0</v>
      </c>
      <c r="N152" s="196">
        <f t="shared" si="133"/>
        <v>0</v>
      </c>
      <c r="O152" s="194">
        <f t="shared" si="125"/>
        <v>64</v>
      </c>
      <c r="P152" s="196">
        <f t="shared" si="125"/>
        <v>19815.68</v>
      </c>
    </row>
    <row r="153" spans="2:16" ht="25.5">
      <c r="B153" s="190" t="s">
        <v>286</v>
      </c>
      <c r="C153" s="191" t="s">
        <v>298</v>
      </c>
      <c r="D153" s="575" t="s">
        <v>308</v>
      </c>
      <c r="E153" s="192" t="s">
        <v>51</v>
      </c>
      <c r="F153" s="193">
        <v>358.26</v>
      </c>
      <c r="G153" s="194">
        <v>64</v>
      </c>
      <c r="H153" s="193">
        <v>22928.639999999999</v>
      </c>
      <c r="I153" s="194">
        <v>0</v>
      </c>
      <c r="J153" s="193">
        <f t="shared" si="130"/>
        <v>0</v>
      </c>
      <c r="K153" s="194">
        <f>IFERROR(VLOOKUP(B153,#REF!,18,FALSE),)</f>
        <v>0</v>
      </c>
      <c r="L153" s="193">
        <f t="shared" si="131"/>
        <v>0</v>
      </c>
      <c r="M153" s="194">
        <f t="shared" si="132"/>
        <v>0</v>
      </c>
      <c r="N153" s="196">
        <f t="shared" si="133"/>
        <v>0</v>
      </c>
      <c r="O153" s="194">
        <f t="shared" si="125"/>
        <v>64</v>
      </c>
      <c r="P153" s="196">
        <f t="shared" si="125"/>
        <v>22928.639999999999</v>
      </c>
    </row>
    <row r="154" spans="2:16" ht="25.5">
      <c r="B154" s="190" t="s">
        <v>287</v>
      </c>
      <c r="C154" s="191" t="s">
        <v>299</v>
      </c>
      <c r="D154" s="575" t="s">
        <v>309</v>
      </c>
      <c r="E154" s="192" t="s">
        <v>29</v>
      </c>
      <c r="F154" s="193">
        <v>8.1199999999999992</v>
      </c>
      <c r="G154" s="194">
        <v>5048</v>
      </c>
      <c r="H154" s="193">
        <v>40989.760000000002</v>
      </c>
      <c r="I154" s="194">
        <v>0</v>
      </c>
      <c r="J154" s="193">
        <f t="shared" si="130"/>
        <v>0</v>
      </c>
      <c r="K154" s="194">
        <f>IFERROR(VLOOKUP(B154,#REF!,18,FALSE),)</f>
        <v>0</v>
      </c>
      <c r="L154" s="193">
        <f t="shared" si="131"/>
        <v>0</v>
      </c>
      <c r="M154" s="194">
        <f t="shared" si="132"/>
        <v>0</v>
      </c>
      <c r="N154" s="196">
        <f t="shared" si="133"/>
        <v>0</v>
      </c>
      <c r="O154" s="194">
        <f t="shared" si="125"/>
        <v>5048</v>
      </c>
      <c r="P154" s="196">
        <f t="shared" si="125"/>
        <v>40989.760000000002</v>
      </c>
    </row>
    <row r="155" spans="2:16">
      <c r="B155" s="190" t="s">
        <v>288</v>
      </c>
      <c r="C155" s="191" t="s">
        <v>300</v>
      </c>
      <c r="D155" s="575" t="s">
        <v>310</v>
      </c>
      <c r="E155" s="192" t="s">
        <v>29</v>
      </c>
      <c r="F155" s="193">
        <v>0.64</v>
      </c>
      <c r="G155" s="194">
        <v>5048</v>
      </c>
      <c r="H155" s="193">
        <v>3230.72</v>
      </c>
      <c r="I155" s="194">
        <v>0</v>
      </c>
      <c r="J155" s="193">
        <f t="shared" si="130"/>
        <v>0</v>
      </c>
      <c r="K155" s="194">
        <f>IFERROR(VLOOKUP(B155,#REF!,18,FALSE),)</f>
        <v>0</v>
      </c>
      <c r="L155" s="193">
        <f t="shared" si="131"/>
        <v>0</v>
      </c>
      <c r="M155" s="194">
        <f t="shared" si="132"/>
        <v>0</v>
      </c>
      <c r="N155" s="196">
        <f t="shared" si="133"/>
        <v>0</v>
      </c>
      <c r="O155" s="194">
        <f t="shared" si="125"/>
        <v>5048</v>
      </c>
      <c r="P155" s="196">
        <f t="shared" si="125"/>
        <v>3230.72</v>
      </c>
    </row>
    <row r="156" spans="2:16" ht="51">
      <c r="B156" s="190" t="s">
        <v>289</v>
      </c>
      <c r="C156" s="191" t="s">
        <v>140</v>
      </c>
      <c r="D156" s="575" t="s">
        <v>177</v>
      </c>
      <c r="E156" s="192" t="s">
        <v>58</v>
      </c>
      <c r="F156" s="193">
        <v>486.08</v>
      </c>
      <c r="G156" s="194">
        <v>31.89</v>
      </c>
      <c r="H156" s="193">
        <v>15501.09</v>
      </c>
      <c r="I156" s="194">
        <v>0</v>
      </c>
      <c r="J156" s="193">
        <f t="shared" si="130"/>
        <v>0</v>
      </c>
      <c r="K156" s="194">
        <f>IFERROR(VLOOKUP(B156,#REF!,18,FALSE),)</f>
        <v>0</v>
      </c>
      <c r="L156" s="193">
        <f t="shared" si="131"/>
        <v>0</v>
      </c>
      <c r="M156" s="194">
        <f t="shared" si="132"/>
        <v>0</v>
      </c>
      <c r="N156" s="196">
        <f t="shared" si="133"/>
        <v>0</v>
      </c>
      <c r="O156" s="194">
        <f t="shared" ref="O156:P171" si="134">G156-M156</f>
        <v>31.89</v>
      </c>
      <c r="P156" s="196">
        <f t="shared" si="134"/>
        <v>15501.09</v>
      </c>
    </row>
    <row r="157" spans="2:16">
      <c r="B157" s="190" t="s">
        <v>290</v>
      </c>
      <c r="C157" s="191" t="s">
        <v>301</v>
      </c>
      <c r="D157" s="575" t="s">
        <v>311</v>
      </c>
      <c r="E157" s="192" t="s">
        <v>49</v>
      </c>
      <c r="F157" s="193">
        <v>105.97</v>
      </c>
      <c r="G157" s="194">
        <v>31.89</v>
      </c>
      <c r="H157" s="193">
        <v>3379.38</v>
      </c>
      <c r="I157" s="194">
        <v>0</v>
      </c>
      <c r="J157" s="193">
        <f t="shared" si="130"/>
        <v>0</v>
      </c>
      <c r="K157" s="194">
        <f>IFERROR(VLOOKUP(B157,#REF!,18,FALSE),)</f>
        <v>0</v>
      </c>
      <c r="L157" s="193">
        <f t="shared" si="131"/>
        <v>0</v>
      </c>
      <c r="M157" s="194">
        <f t="shared" si="132"/>
        <v>0</v>
      </c>
      <c r="N157" s="196">
        <f t="shared" si="133"/>
        <v>0</v>
      </c>
      <c r="O157" s="194">
        <f t="shared" si="134"/>
        <v>31.89</v>
      </c>
      <c r="P157" s="196">
        <f t="shared" si="134"/>
        <v>3379.38</v>
      </c>
    </row>
    <row r="158" spans="2:16">
      <c r="B158" s="190" t="s">
        <v>291</v>
      </c>
      <c r="C158" s="191" t="s">
        <v>302</v>
      </c>
      <c r="D158" s="575" t="s">
        <v>312</v>
      </c>
      <c r="E158" s="192" t="s">
        <v>72</v>
      </c>
      <c r="F158" s="193">
        <v>1.62</v>
      </c>
      <c r="G158" s="194">
        <v>4</v>
      </c>
      <c r="H158" s="193">
        <v>6.48</v>
      </c>
      <c r="I158" s="194">
        <v>0</v>
      </c>
      <c r="J158" s="193">
        <f t="shared" si="130"/>
        <v>0</v>
      </c>
      <c r="K158" s="194">
        <f>IFERROR(VLOOKUP(B158,#REF!,18,FALSE),)</f>
        <v>0</v>
      </c>
      <c r="L158" s="193">
        <f t="shared" si="131"/>
        <v>0</v>
      </c>
      <c r="M158" s="194">
        <f t="shared" si="132"/>
        <v>0</v>
      </c>
      <c r="N158" s="196">
        <f t="shared" si="133"/>
        <v>0</v>
      </c>
      <c r="O158" s="194">
        <f t="shared" si="134"/>
        <v>4</v>
      </c>
      <c r="P158" s="196">
        <f t="shared" si="134"/>
        <v>6.48</v>
      </c>
    </row>
    <row r="159" spans="2:16">
      <c r="B159" s="190" t="s">
        <v>292</v>
      </c>
      <c r="C159" s="191" t="s">
        <v>303</v>
      </c>
      <c r="D159" s="575" t="s">
        <v>313</v>
      </c>
      <c r="E159" s="192" t="s">
        <v>72</v>
      </c>
      <c r="F159" s="193">
        <v>5793.75</v>
      </c>
      <c r="G159" s="194">
        <v>2</v>
      </c>
      <c r="H159" s="193">
        <v>11587.5</v>
      </c>
      <c r="I159" s="194">
        <v>0</v>
      </c>
      <c r="J159" s="193">
        <f t="shared" si="130"/>
        <v>0</v>
      </c>
      <c r="K159" s="194">
        <f>IFERROR(VLOOKUP(B159,#REF!,18,FALSE),)</f>
        <v>0</v>
      </c>
      <c r="L159" s="193">
        <f t="shared" si="131"/>
        <v>0</v>
      </c>
      <c r="M159" s="194">
        <f t="shared" si="132"/>
        <v>0</v>
      </c>
      <c r="N159" s="196">
        <f t="shared" si="133"/>
        <v>0</v>
      </c>
      <c r="O159" s="194">
        <f t="shared" si="134"/>
        <v>2</v>
      </c>
      <c r="P159" s="196">
        <f t="shared" si="134"/>
        <v>11587.5</v>
      </c>
    </row>
    <row r="160" spans="2:16" ht="25.5">
      <c r="B160" s="190" t="s">
        <v>293</v>
      </c>
      <c r="C160" s="191">
        <v>190418</v>
      </c>
      <c r="D160" s="575" t="s">
        <v>314</v>
      </c>
      <c r="E160" s="192" t="s">
        <v>57</v>
      </c>
      <c r="F160" s="193">
        <v>33.049999999999997</v>
      </c>
      <c r="G160" s="194">
        <v>36.71</v>
      </c>
      <c r="H160" s="193">
        <v>1213.27</v>
      </c>
      <c r="I160" s="194">
        <v>0</v>
      </c>
      <c r="J160" s="193">
        <f t="shared" si="130"/>
        <v>0</v>
      </c>
      <c r="K160" s="194">
        <f>IFERROR(VLOOKUP(B160,#REF!,18,FALSE),)</f>
        <v>0</v>
      </c>
      <c r="L160" s="193">
        <f t="shared" si="131"/>
        <v>0</v>
      </c>
      <c r="M160" s="194">
        <f t="shared" si="132"/>
        <v>0</v>
      </c>
      <c r="N160" s="196">
        <f t="shared" si="133"/>
        <v>0</v>
      </c>
      <c r="O160" s="194">
        <f t="shared" si="134"/>
        <v>36.71</v>
      </c>
      <c r="P160" s="196">
        <f t="shared" si="134"/>
        <v>1213.27</v>
      </c>
    </row>
    <row r="161" spans="2:16">
      <c r="B161" s="138"/>
      <c r="C161" s="132"/>
      <c r="D161" s="123"/>
      <c r="E161" s="123"/>
      <c r="F161" s="123"/>
      <c r="G161" s="123"/>
      <c r="H161" s="123"/>
      <c r="I161" s="123"/>
      <c r="J161" s="123"/>
      <c r="K161" s="123"/>
      <c r="L161" s="123"/>
      <c r="M161" s="123"/>
      <c r="N161" s="124"/>
      <c r="O161" s="123">
        <f t="shared" si="134"/>
        <v>0</v>
      </c>
      <c r="P161" s="124">
        <f t="shared" si="134"/>
        <v>0</v>
      </c>
    </row>
    <row r="162" spans="2:16" s="131" customFormat="1">
      <c r="B162" s="137" t="s">
        <v>316</v>
      </c>
      <c r="C162" s="133"/>
      <c r="D162" s="125" t="s">
        <v>212</v>
      </c>
      <c r="E162" s="126"/>
      <c r="F162" s="127"/>
      <c r="G162" s="128"/>
      <c r="H162" s="129">
        <v>8738.25</v>
      </c>
      <c r="I162" s="130"/>
      <c r="J162" s="129">
        <f>SUBTOTAL(9,J163:J163)</f>
        <v>0</v>
      </c>
      <c r="K162" s="130"/>
      <c r="L162" s="129">
        <f>SUBTOTAL(9,L163:L163)</f>
        <v>0</v>
      </c>
      <c r="M162" s="129"/>
      <c r="N162" s="129">
        <f>SUBTOTAL(9,N163:N163)</f>
        <v>0</v>
      </c>
      <c r="O162" s="129">
        <f t="shared" si="134"/>
        <v>0</v>
      </c>
      <c r="P162" s="129">
        <f t="shared" si="134"/>
        <v>8738.25</v>
      </c>
    </row>
    <row r="163" spans="2:16" ht="25.5">
      <c r="B163" s="190" t="s">
        <v>317</v>
      </c>
      <c r="C163" s="191" t="s">
        <v>227</v>
      </c>
      <c r="D163" s="575" t="s">
        <v>233</v>
      </c>
      <c r="E163" s="192" t="s">
        <v>51</v>
      </c>
      <c r="F163" s="193">
        <v>366.23</v>
      </c>
      <c r="G163" s="194">
        <v>23.86</v>
      </c>
      <c r="H163" s="193">
        <v>8738.25</v>
      </c>
      <c r="I163" s="194">
        <v>0</v>
      </c>
      <c r="J163" s="193">
        <f t="shared" ref="J163" si="135">TRUNC(I163*F163,2)</f>
        <v>0</v>
      </c>
      <c r="K163" s="194">
        <f>IFERROR(VLOOKUP(B163,#REF!,18,FALSE),)</f>
        <v>0</v>
      </c>
      <c r="L163" s="193">
        <f t="shared" ref="L163" si="136">N163-J163</f>
        <v>0</v>
      </c>
      <c r="M163" s="194">
        <f t="shared" ref="M163" si="137">K163+I163</f>
        <v>0</v>
      </c>
      <c r="N163" s="196">
        <f t="shared" ref="N163" si="138">TRUNC(M163*F163,2)</f>
        <v>0</v>
      </c>
      <c r="O163" s="194">
        <f t="shared" si="134"/>
        <v>23.86</v>
      </c>
      <c r="P163" s="196">
        <f t="shared" si="134"/>
        <v>8738.25</v>
      </c>
    </row>
    <row r="164" spans="2:16">
      <c r="B164" s="138"/>
      <c r="C164" s="132"/>
      <c r="D164" s="123"/>
      <c r="E164" s="123"/>
      <c r="F164" s="123"/>
      <c r="G164" s="123"/>
      <c r="H164" s="123"/>
      <c r="I164" s="123"/>
      <c r="J164" s="123"/>
      <c r="K164" s="123"/>
      <c r="L164" s="123"/>
      <c r="M164" s="123"/>
      <c r="N164" s="124"/>
      <c r="O164" s="123">
        <f t="shared" si="134"/>
        <v>0</v>
      </c>
      <c r="P164" s="124">
        <f t="shared" si="134"/>
        <v>0</v>
      </c>
    </row>
    <row r="165" spans="2:16" s="213" customFormat="1">
      <c r="B165" s="210" t="s">
        <v>25</v>
      </c>
      <c r="C165" s="211"/>
      <c r="D165" s="212" t="s">
        <v>318</v>
      </c>
      <c r="E165" s="197"/>
      <c r="F165" s="198"/>
      <c r="G165" s="199"/>
      <c r="H165" s="200">
        <v>427244.3</v>
      </c>
      <c r="I165" s="201"/>
      <c r="J165" s="200">
        <f>SUBTOTAL(9,J166:J169)</f>
        <v>0</v>
      </c>
      <c r="K165" s="201"/>
      <c r="L165" s="200">
        <f>SUBTOTAL(9,L166:L169)</f>
        <v>0</v>
      </c>
      <c r="M165" s="200"/>
      <c r="N165" s="200">
        <f>SUBTOTAL(9,N166:N169)</f>
        <v>0</v>
      </c>
      <c r="O165" s="200">
        <f t="shared" si="134"/>
        <v>0</v>
      </c>
      <c r="P165" s="200">
        <f t="shared" si="134"/>
        <v>427244.3</v>
      </c>
    </row>
    <row r="166" spans="2:16" s="131" customFormat="1">
      <c r="B166" s="137" t="s">
        <v>319</v>
      </c>
      <c r="C166" s="133"/>
      <c r="D166" s="125" t="s">
        <v>318</v>
      </c>
      <c r="E166" s="126"/>
      <c r="F166" s="127"/>
      <c r="G166" s="128"/>
      <c r="H166" s="129">
        <v>427244.3</v>
      </c>
      <c r="I166" s="130"/>
      <c r="J166" s="129">
        <f>SUBTOTAL(9,J167:J169)</f>
        <v>0</v>
      </c>
      <c r="K166" s="130"/>
      <c r="L166" s="129">
        <f>SUBTOTAL(9,L167:L169)</f>
        <v>0</v>
      </c>
      <c r="M166" s="129"/>
      <c r="N166" s="129">
        <f>SUBTOTAL(9,N167:N169)</f>
        <v>0</v>
      </c>
      <c r="O166" s="129">
        <f t="shared" si="134"/>
        <v>0</v>
      </c>
      <c r="P166" s="129">
        <f t="shared" si="134"/>
        <v>427244.3</v>
      </c>
    </row>
    <row r="167" spans="2:16">
      <c r="B167" s="190" t="s">
        <v>320</v>
      </c>
      <c r="C167" s="191" t="s">
        <v>323</v>
      </c>
      <c r="D167" s="575" t="s">
        <v>326</v>
      </c>
      <c r="E167" s="192" t="s">
        <v>59</v>
      </c>
      <c r="F167" s="193">
        <v>409453.83</v>
      </c>
      <c r="G167" s="194">
        <v>1</v>
      </c>
      <c r="H167" s="193">
        <v>409453.83</v>
      </c>
      <c r="I167" s="194">
        <v>0</v>
      </c>
      <c r="J167" s="193">
        <f t="shared" ref="J167" si="139">TRUNC(I167*F167,2)</f>
        <v>0</v>
      </c>
      <c r="K167" s="194">
        <f>IFERROR(VLOOKUP(B167,#REF!,18,FALSE),)</f>
        <v>0</v>
      </c>
      <c r="L167" s="193">
        <f t="shared" ref="L167" si="140">N167-J167</f>
        <v>0</v>
      </c>
      <c r="M167" s="194">
        <f t="shared" ref="M167" si="141">K167+I167</f>
        <v>0</v>
      </c>
      <c r="N167" s="196">
        <f t="shared" ref="N167" si="142">TRUNC(M167*F167,2)</f>
        <v>0</v>
      </c>
      <c r="O167" s="194">
        <f t="shared" si="134"/>
        <v>1</v>
      </c>
      <c r="P167" s="196">
        <f t="shared" si="134"/>
        <v>409453.83</v>
      </c>
    </row>
    <row r="168" spans="2:16">
      <c r="B168" s="190" t="s">
        <v>321</v>
      </c>
      <c r="C168" s="191" t="s">
        <v>324</v>
      </c>
      <c r="D168" s="575" t="s">
        <v>327</v>
      </c>
      <c r="E168" s="192" t="s">
        <v>59</v>
      </c>
      <c r="F168" s="193">
        <v>3812.11</v>
      </c>
      <c r="G168" s="194">
        <v>1</v>
      </c>
      <c r="H168" s="193">
        <v>3812.11</v>
      </c>
      <c r="I168" s="194">
        <v>0</v>
      </c>
      <c r="J168" s="193">
        <f>TRUNC(I168*F168,2)</f>
        <v>0</v>
      </c>
      <c r="K168" s="194">
        <f>IFERROR(VLOOKUP(B168,#REF!,18,FALSE),)</f>
        <v>0</v>
      </c>
      <c r="L168" s="193">
        <f>N168-J168</f>
        <v>0</v>
      </c>
      <c r="M168" s="194">
        <f>K168+I168</f>
        <v>0</v>
      </c>
      <c r="N168" s="196">
        <f>TRUNC(M168*F168,2)</f>
        <v>0</v>
      </c>
      <c r="O168" s="194">
        <f t="shared" si="134"/>
        <v>1</v>
      </c>
      <c r="P168" s="196">
        <f t="shared" si="134"/>
        <v>3812.11</v>
      </c>
    </row>
    <row r="169" spans="2:16">
      <c r="B169" s="190" t="s">
        <v>322</v>
      </c>
      <c r="C169" s="191" t="s">
        <v>325</v>
      </c>
      <c r="D169" s="575" t="s">
        <v>328</v>
      </c>
      <c r="E169" s="192" t="s">
        <v>50</v>
      </c>
      <c r="F169" s="193">
        <v>115.83</v>
      </c>
      <c r="G169" s="194">
        <v>120.68</v>
      </c>
      <c r="H169" s="193">
        <v>13978.36</v>
      </c>
      <c r="I169" s="194">
        <v>0</v>
      </c>
      <c r="J169" s="193">
        <f t="shared" ref="J169" si="143">TRUNC(I169*F169,2)</f>
        <v>0</v>
      </c>
      <c r="K169" s="194">
        <f>IFERROR(VLOOKUP(B169,#REF!,18,FALSE),)</f>
        <v>0</v>
      </c>
      <c r="L169" s="193">
        <f t="shared" ref="L169" si="144">N169-J169</f>
        <v>0</v>
      </c>
      <c r="M169" s="194">
        <f t="shared" ref="M169" si="145">K169+I169</f>
        <v>0</v>
      </c>
      <c r="N169" s="196">
        <f t="shared" ref="N169" si="146">TRUNC(M169*F169,2)</f>
        <v>0</v>
      </c>
      <c r="O169" s="194">
        <f t="shared" si="134"/>
        <v>120.68</v>
      </c>
      <c r="P169" s="196">
        <f t="shared" si="134"/>
        <v>13978.36</v>
      </c>
    </row>
    <row r="170" spans="2:16">
      <c r="B170" s="138"/>
      <c r="C170" s="132"/>
      <c r="D170" s="123"/>
      <c r="E170" s="123"/>
      <c r="F170" s="123"/>
      <c r="G170" s="123"/>
      <c r="H170" s="123"/>
      <c r="I170" s="123"/>
      <c r="J170" s="123"/>
      <c r="K170" s="123"/>
      <c r="L170" s="123"/>
      <c r="M170" s="123"/>
      <c r="N170" s="124"/>
      <c r="O170" s="123">
        <f t="shared" si="134"/>
        <v>0</v>
      </c>
      <c r="P170" s="124">
        <f t="shared" si="134"/>
        <v>0</v>
      </c>
    </row>
    <row r="171" spans="2:16" s="213" customFormat="1">
      <c r="B171" s="210" t="s">
        <v>26</v>
      </c>
      <c r="C171" s="211"/>
      <c r="D171" s="212" t="s">
        <v>329</v>
      </c>
      <c r="E171" s="197"/>
      <c r="F171" s="198"/>
      <c r="G171" s="199"/>
      <c r="H171" s="200">
        <v>42442.57</v>
      </c>
      <c r="I171" s="201"/>
      <c r="J171" s="200">
        <f>SUBTOTAL(9,J172:J197)</f>
        <v>0</v>
      </c>
      <c r="K171" s="201"/>
      <c r="L171" s="200">
        <f>SUBTOTAL(9,L172:L197)</f>
        <v>0</v>
      </c>
      <c r="M171" s="200"/>
      <c r="N171" s="200">
        <f>SUBTOTAL(9,N172:N197)</f>
        <v>0</v>
      </c>
      <c r="O171" s="200">
        <f t="shared" si="134"/>
        <v>0</v>
      </c>
      <c r="P171" s="200">
        <f t="shared" si="134"/>
        <v>42442.57</v>
      </c>
    </row>
    <row r="172" spans="2:16" s="131" customFormat="1">
      <c r="B172" s="137" t="s">
        <v>330</v>
      </c>
      <c r="C172" s="133"/>
      <c r="D172" s="125" t="s">
        <v>329</v>
      </c>
      <c r="E172" s="126"/>
      <c r="F172" s="127"/>
      <c r="G172" s="128"/>
      <c r="H172" s="129">
        <v>39130.33</v>
      </c>
      <c r="I172" s="130"/>
      <c r="J172" s="129">
        <f>SUBTOTAL(9,J173:J191)</f>
        <v>0</v>
      </c>
      <c r="K172" s="130"/>
      <c r="L172" s="129">
        <f>SUBTOTAL(9,L173:L191)</f>
        <v>0</v>
      </c>
      <c r="M172" s="129"/>
      <c r="N172" s="129">
        <f>SUBTOTAL(9,N173:N191)</f>
        <v>0</v>
      </c>
      <c r="O172" s="129">
        <f t="shared" ref="O172:P206" si="147">G172-M172</f>
        <v>0</v>
      </c>
      <c r="P172" s="129">
        <f t="shared" si="147"/>
        <v>39130.33</v>
      </c>
    </row>
    <row r="173" spans="2:16" ht="25.5">
      <c r="B173" s="190" t="s">
        <v>331</v>
      </c>
      <c r="C173" s="191">
        <v>151701</v>
      </c>
      <c r="D173" s="575" t="s">
        <v>685</v>
      </c>
      <c r="E173" s="192" t="s">
        <v>59</v>
      </c>
      <c r="F173" s="193">
        <v>1510.64</v>
      </c>
      <c r="G173" s="194">
        <v>1</v>
      </c>
      <c r="H173" s="193">
        <v>1510.64</v>
      </c>
      <c r="I173" s="194">
        <v>0</v>
      </c>
      <c r="J173" s="193">
        <f t="shared" ref="J173:J191" si="148">TRUNC(I173*F173,2)</f>
        <v>0</v>
      </c>
      <c r="K173" s="194">
        <f>IFERROR(VLOOKUP(B173,#REF!,18,FALSE),)</f>
        <v>0</v>
      </c>
      <c r="L173" s="193">
        <f t="shared" ref="L173:L191" si="149">N173-J173</f>
        <v>0</v>
      </c>
      <c r="M173" s="194">
        <f t="shared" ref="M173:M191" si="150">K173+I173</f>
        <v>0</v>
      </c>
      <c r="N173" s="196">
        <f t="shared" ref="N173:N191" si="151">TRUNC(M173*F173,2)</f>
        <v>0</v>
      </c>
      <c r="O173" s="194">
        <f t="shared" si="147"/>
        <v>1</v>
      </c>
      <c r="P173" s="196">
        <f t="shared" si="147"/>
        <v>1510.64</v>
      </c>
    </row>
    <row r="174" spans="2:16" ht="25.5">
      <c r="B174" s="190" t="s">
        <v>332</v>
      </c>
      <c r="C174" s="191">
        <v>150312</v>
      </c>
      <c r="D174" s="575" t="s">
        <v>350</v>
      </c>
      <c r="E174" s="192" t="s">
        <v>59</v>
      </c>
      <c r="F174" s="193">
        <v>103.79</v>
      </c>
      <c r="G174" s="194">
        <v>1</v>
      </c>
      <c r="H174" s="193">
        <v>103.79</v>
      </c>
      <c r="I174" s="194">
        <v>0</v>
      </c>
      <c r="J174" s="193">
        <f t="shared" si="148"/>
        <v>0</v>
      </c>
      <c r="K174" s="194">
        <f>IFERROR(VLOOKUP(B174,#REF!,18,FALSE),)</f>
        <v>0</v>
      </c>
      <c r="L174" s="193">
        <f t="shared" si="149"/>
        <v>0</v>
      </c>
      <c r="M174" s="194">
        <f t="shared" si="150"/>
        <v>0</v>
      </c>
      <c r="N174" s="196">
        <f t="shared" si="151"/>
        <v>0</v>
      </c>
      <c r="O174" s="194">
        <f t="shared" si="147"/>
        <v>1</v>
      </c>
      <c r="P174" s="196">
        <f t="shared" si="147"/>
        <v>103.79</v>
      </c>
    </row>
    <row r="175" spans="2:16">
      <c r="B175" s="190" t="s">
        <v>333</v>
      </c>
      <c r="C175" s="191">
        <v>150628</v>
      </c>
      <c r="D175" s="575" t="s">
        <v>351</v>
      </c>
      <c r="E175" s="192" t="s">
        <v>59</v>
      </c>
      <c r="F175" s="193">
        <v>7.47</v>
      </c>
      <c r="G175" s="194">
        <v>19</v>
      </c>
      <c r="H175" s="193">
        <v>141.93</v>
      </c>
      <c r="I175" s="194">
        <v>0</v>
      </c>
      <c r="J175" s="193">
        <f t="shared" si="148"/>
        <v>0</v>
      </c>
      <c r="K175" s="194">
        <f>IFERROR(VLOOKUP(B175,#REF!,18,FALSE),)</f>
        <v>0</v>
      </c>
      <c r="L175" s="193">
        <f t="shared" si="149"/>
        <v>0</v>
      </c>
      <c r="M175" s="194">
        <f t="shared" si="150"/>
        <v>0</v>
      </c>
      <c r="N175" s="196">
        <f t="shared" si="151"/>
        <v>0</v>
      </c>
      <c r="O175" s="194">
        <f t="shared" si="147"/>
        <v>19</v>
      </c>
      <c r="P175" s="196">
        <f t="shared" si="147"/>
        <v>141.93</v>
      </c>
    </row>
    <row r="176" spans="2:16">
      <c r="B176" s="190" t="s">
        <v>334</v>
      </c>
      <c r="C176" s="191">
        <v>151417</v>
      </c>
      <c r="D176" s="575" t="s">
        <v>352</v>
      </c>
      <c r="E176" s="192" t="s">
        <v>51</v>
      </c>
      <c r="F176" s="193">
        <v>5.86</v>
      </c>
      <c r="G176" s="194">
        <v>147.4</v>
      </c>
      <c r="H176" s="193">
        <v>863.76</v>
      </c>
      <c r="I176" s="194">
        <v>0</v>
      </c>
      <c r="J176" s="193">
        <f t="shared" si="148"/>
        <v>0</v>
      </c>
      <c r="K176" s="194">
        <f>IFERROR(VLOOKUP(B176,#REF!,18,FALSE),)</f>
        <v>0</v>
      </c>
      <c r="L176" s="193">
        <f t="shared" si="149"/>
        <v>0</v>
      </c>
      <c r="M176" s="194">
        <f t="shared" si="150"/>
        <v>0</v>
      </c>
      <c r="N176" s="196">
        <f t="shared" si="151"/>
        <v>0</v>
      </c>
      <c r="O176" s="194">
        <f t="shared" si="147"/>
        <v>147.4</v>
      </c>
      <c r="P176" s="196">
        <f t="shared" si="147"/>
        <v>863.76</v>
      </c>
    </row>
    <row r="177" spans="2:16">
      <c r="B177" s="190" t="s">
        <v>335</v>
      </c>
      <c r="C177" s="191">
        <v>151418</v>
      </c>
      <c r="D177" s="575" t="s">
        <v>353</v>
      </c>
      <c r="E177" s="192" t="s">
        <v>51</v>
      </c>
      <c r="F177" s="193">
        <v>6.74</v>
      </c>
      <c r="G177" s="194">
        <v>315.39999999999998</v>
      </c>
      <c r="H177" s="193">
        <v>2125.8000000000002</v>
      </c>
      <c r="I177" s="194">
        <v>0</v>
      </c>
      <c r="J177" s="193">
        <f t="shared" si="148"/>
        <v>0</v>
      </c>
      <c r="K177" s="194">
        <f>IFERROR(VLOOKUP(B177,#REF!,18,FALSE),)</f>
        <v>0</v>
      </c>
      <c r="L177" s="193">
        <f t="shared" si="149"/>
        <v>0</v>
      </c>
      <c r="M177" s="194">
        <f t="shared" si="150"/>
        <v>0</v>
      </c>
      <c r="N177" s="196">
        <f t="shared" si="151"/>
        <v>0</v>
      </c>
      <c r="O177" s="194">
        <f t="shared" si="147"/>
        <v>315.39999999999998</v>
      </c>
      <c r="P177" s="196">
        <f t="shared" si="147"/>
        <v>2125.8000000000002</v>
      </c>
    </row>
    <row r="178" spans="2:16">
      <c r="B178" s="190" t="s">
        <v>336</v>
      </c>
      <c r="C178" s="191">
        <v>151420</v>
      </c>
      <c r="D178" s="575" t="s">
        <v>354</v>
      </c>
      <c r="E178" s="192" t="s">
        <v>51</v>
      </c>
      <c r="F178" s="193">
        <v>10.63</v>
      </c>
      <c r="G178" s="194">
        <v>60</v>
      </c>
      <c r="H178" s="193">
        <v>637.79999999999995</v>
      </c>
      <c r="I178" s="194">
        <v>0</v>
      </c>
      <c r="J178" s="193">
        <f t="shared" si="148"/>
        <v>0</v>
      </c>
      <c r="K178" s="194">
        <f>IFERROR(VLOOKUP(B178,#REF!,18,FALSE),)</f>
        <v>0</v>
      </c>
      <c r="L178" s="193">
        <f t="shared" si="149"/>
        <v>0</v>
      </c>
      <c r="M178" s="194">
        <f t="shared" si="150"/>
        <v>0</v>
      </c>
      <c r="N178" s="196">
        <f t="shared" si="151"/>
        <v>0</v>
      </c>
      <c r="O178" s="194">
        <f t="shared" si="147"/>
        <v>60</v>
      </c>
      <c r="P178" s="196">
        <f t="shared" si="147"/>
        <v>637.79999999999995</v>
      </c>
    </row>
    <row r="179" spans="2:16" ht="38.25">
      <c r="B179" s="190" t="s">
        <v>337</v>
      </c>
      <c r="C179" s="191">
        <v>151809</v>
      </c>
      <c r="D179" s="575" t="s">
        <v>355</v>
      </c>
      <c r="E179" s="192" t="s">
        <v>59</v>
      </c>
      <c r="F179" s="193">
        <v>150.13</v>
      </c>
      <c r="G179" s="194">
        <v>1</v>
      </c>
      <c r="H179" s="193">
        <v>150.13</v>
      </c>
      <c r="I179" s="194">
        <v>0</v>
      </c>
      <c r="J179" s="193">
        <f t="shared" si="148"/>
        <v>0</v>
      </c>
      <c r="K179" s="194">
        <f>IFERROR(VLOOKUP(B179,#REF!,18,FALSE),)</f>
        <v>0</v>
      </c>
      <c r="L179" s="193">
        <f t="shared" si="149"/>
        <v>0</v>
      </c>
      <c r="M179" s="194">
        <f t="shared" si="150"/>
        <v>0</v>
      </c>
      <c r="N179" s="196">
        <f t="shared" si="151"/>
        <v>0</v>
      </c>
      <c r="O179" s="194">
        <f t="shared" si="147"/>
        <v>1</v>
      </c>
      <c r="P179" s="196">
        <f t="shared" si="147"/>
        <v>150.13</v>
      </c>
    </row>
    <row r="180" spans="2:16" ht="38.25">
      <c r="B180" s="190" t="s">
        <v>338</v>
      </c>
      <c r="C180" s="191">
        <v>151803</v>
      </c>
      <c r="D180" s="575" t="s">
        <v>356</v>
      </c>
      <c r="E180" s="192" t="s">
        <v>59</v>
      </c>
      <c r="F180" s="193">
        <v>170.86</v>
      </c>
      <c r="G180" s="194">
        <v>10</v>
      </c>
      <c r="H180" s="193">
        <v>1708.6</v>
      </c>
      <c r="I180" s="194">
        <v>0</v>
      </c>
      <c r="J180" s="193">
        <f t="shared" si="148"/>
        <v>0</v>
      </c>
      <c r="K180" s="194">
        <f>IFERROR(VLOOKUP(B180,#REF!,18,FALSE),)</f>
        <v>0</v>
      </c>
      <c r="L180" s="193">
        <f t="shared" si="149"/>
        <v>0</v>
      </c>
      <c r="M180" s="194">
        <f t="shared" si="150"/>
        <v>0</v>
      </c>
      <c r="N180" s="196">
        <f t="shared" si="151"/>
        <v>0</v>
      </c>
      <c r="O180" s="194">
        <f t="shared" si="147"/>
        <v>10</v>
      </c>
      <c r="P180" s="196">
        <f t="shared" si="147"/>
        <v>1708.6</v>
      </c>
    </row>
    <row r="181" spans="2:16" ht="25.5">
      <c r="B181" s="190" t="s">
        <v>339</v>
      </c>
      <c r="C181" s="191">
        <v>151338</v>
      </c>
      <c r="D181" s="575" t="s">
        <v>357</v>
      </c>
      <c r="E181" s="192" t="s">
        <v>59</v>
      </c>
      <c r="F181" s="193">
        <v>18.14</v>
      </c>
      <c r="G181" s="194">
        <v>1</v>
      </c>
      <c r="H181" s="193">
        <v>18.14</v>
      </c>
      <c r="I181" s="194">
        <v>0</v>
      </c>
      <c r="J181" s="193">
        <f t="shared" si="148"/>
        <v>0</v>
      </c>
      <c r="K181" s="194">
        <f>IFERROR(VLOOKUP(B181,#REF!,18,FALSE),)</f>
        <v>0</v>
      </c>
      <c r="L181" s="193">
        <f t="shared" si="149"/>
        <v>0</v>
      </c>
      <c r="M181" s="194">
        <f t="shared" si="150"/>
        <v>0</v>
      </c>
      <c r="N181" s="196">
        <f t="shared" si="151"/>
        <v>0</v>
      </c>
      <c r="O181" s="194">
        <f t="shared" si="147"/>
        <v>1</v>
      </c>
      <c r="P181" s="196">
        <f t="shared" si="147"/>
        <v>18.14</v>
      </c>
    </row>
    <row r="182" spans="2:16" ht="25.5">
      <c r="B182" s="190" t="s">
        <v>340</v>
      </c>
      <c r="C182" s="191">
        <v>151301</v>
      </c>
      <c r="D182" s="575" t="s">
        <v>358</v>
      </c>
      <c r="E182" s="192" t="s">
        <v>59</v>
      </c>
      <c r="F182" s="193">
        <v>18.14</v>
      </c>
      <c r="G182" s="194">
        <v>1</v>
      </c>
      <c r="H182" s="193">
        <v>18.14</v>
      </c>
      <c r="I182" s="194">
        <v>0</v>
      </c>
      <c r="J182" s="193">
        <f t="shared" si="148"/>
        <v>0</v>
      </c>
      <c r="K182" s="194">
        <f>IFERROR(VLOOKUP(B182,#REF!,18,FALSE),)</f>
        <v>0</v>
      </c>
      <c r="L182" s="193">
        <f t="shared" si="149"/>
        <v>0</v>
      </c>
      <c r="M182" s="194">
        <f t="shared" si="150"/>
        <v>0</v>
      </c>
      <c r="N182" s="196">
        <f t="shared" si="151"/>
        <v>0</v>
      </c>
      <c r="O182" s="194">
        <f t="shared" si="147"/>
        <v>1</v>
      </c>
      <c r="P182" s="196">
        <f t="shared" si="147"/>
        <v>18.14</v>
      </c>
    </row>
    <row r="183" spans="2:16" ht="25.5">
      <c r="B183" s="190" t="s">
        <v>341</v>
      </c>
      <c r="C183" s="191">
        <v>151303</v>
      </c>
      <c r="D183" s="575" t="s">
        <v>359</v>
      </c>
      <c r="E183" s="192" t="s">
        <v>59</v>
      </c>
      <c r="F183" s="193">
        <v>18.14</v>
      </c>
      <c r="G183" s="194">
        <v>1</v>
      </c>
      <c r="H183" s="193">
        <v>18.14</v>
      </c>
      <c r="I183" s="194">
        <v>0</v>
      </c>
      <c r="J183" s="193">
        <f t="shared" si="148"/>
        <v>0</v>
      </c>
      <c r="K183" s="194">
        <f>IFERROR(VLOOKUP(B183,#REF!,18,FALSE),)</f>
        <v>0</v>
      </c>
      <c r="L183" s="193">
        <f t="shared" si="149"/>
        <v>0</v>
      </c>
      <c r="M183" s="194">
        <f t="shared" si="150"/>
        <v>0</v>
      </c>
      <c r="N183" s="196">
        <f t="shared" si="151"/>
        <v>0</v>
      </c>
      <c r="O183" s="194">
        <f t="shared" si="147"/>
        <v>1</v>
      </c>
      <c r="P183" s="196">
        <f t="shared" si="147"/>
        <v>18.14</v>
      </c>
    </row>
    <row r="184" spans="2:16" ht="25.5">
      <c r="B184" s="190" t="s">
        <v>342</v>
      </c>
      <c r="C184" s="191">
        <v>151318</v>
      </c>
      <c r="D184" s="575" t="s">
        <v>547</v>
      </c>
      <c r="E184" s="192" t="s">
        <v>59</v>
      </c>
      <c r="F184" s="193">
        <v>22.63</v>
      </c>
      <c r="G184" s="194">
        <v>1</v>
      </c>
      <c r="H184" s="193">
        <v>22.63</v>
      </c>
      <c r="I184" s="194">
        <v>0</v>
      </c>
      <c r="J184" s="193">
        <f t="shared" si="148"/>
        <v>0</v>
      </c>
      <c r="K184" s="194">
        <f>IFERROR(VLOOKUP(B184,#REF!,18,FALSE),)</f>
        <v>0</v>
      </c>
      <c r="L184" s="193">
        <f t="shared" si="149"/>
        <v>0</v>
      </c>
      <c r="M184" s="194">
        <f t="shared" si="150"/>
        <v>0</v>
      </c>
      <c r="N184" s="196">
        <f t="shared" si="151"/>
        <v>0</v>
      </c>
      <c r="O184" s="194">
        <f t="shared" si="147"/>
        <v>1</v>
      </c>
      <c r="P184" s="196">
        <f t="shared" si="147"/>
        <v>22.63</v>
      </c>
    </row>
    <row r="185" spans="2:16">
      <c r="B185" s="190" t="s">
        <v>343</v>
      </c>
      <c r="C185" s="191">
        <v>151350</v>
      </c>
      <c r="D185" s="575" t="s">
        <v>360</v>
      </c>
      <c r="E185" s="192" t="s">
        <v>59</v>
      </c>
      <c r="F185" s="193">
        <v>133.04</v>
      </c>
      <c r="G185" s="194">
        <v>1</v>
      </c>
      <c r="H185" s="193">
        <v>133.04</v>
      </c>
      <c r="I185" s="194">
        <v>0</v>
      </c>
      <c r="J185" s="193">
        <f t="shared" si="148"/>
        <v>0</v>
      </c>
      <c r="K185" s="194">
        <f>IFERROR(VLOOKUP(B185,#REF!,18,FALSE),)</f>
        <v>0</v>
      </c>
      <c r="L185" s="193">
        <f t="shared" si="149"/>
        <v>0</v>
      </c>
      <c r="M185" s="194">
        <f t="shared" si="150"/>
        <v>0</v>
      </c>
      <c r="N185" s="196">
        <f t="shared" si="151"/>
        <v>0</v>
      </c>
      <c r="O185" s="194">
        <f t="shared" si="147"/>
        <v>1</v>
      </c>
      <c r="P185" s="196">
        <f t="shared" si="147"/>
        <v>133.04</v>
      </c>
    </row>
    <row r="186" spans="2:16">
      <c r="B186" s="190" t="s">
        <v>344</v>
      </c>
      <c r="C186" s="191">
        <v>151132</v>
      </c>
      <c r="D186" s="575" t="s">
        <v>361</v>
      </c>
      <c r="E186" s="192" t="s">
        <v>51</v>
      </c>
      <c r="F186" s="193">
        <v>7.5</v>
      </c>
      <c r="G186" s="194">
        <v>75.7</v>
      </c>
      <c r="H186" s="193">
        <v>567.75</v>
      </c>
      <c r="I186" s="194">
        <v>0</v>
      </c>
      <c r="J186" s="193">
        <f t="shared" si="148"/>
        <v>0</v>
      </c>
      <c r="K186" s="194">
        <f>IFERROR(VLOOKUP(B186,#REF!,18,FALSE),)</f>
        <v>0</v>
      </c>
      <c r="L186" s="193">
        <f t="shared" si="149"/>
        <v>0</v>
      </c>
      <c r="M186" s="194">
        <f t="shared" si="150"/>
        <v>0</v>
      </c>
      <c r="N186" s="196">
        <f t="shared" si="151"/>
        <v>0</v>
      </c>
      <c r="O186" s="194">
        <f t="shared" si="147"/>
        <v>75.7</v>
      </c>
      <c r="P186" s="196">
        <f t="shared" si="147"/>
        <v>567.75</v>
      </c>
    </row>
    <row r="187" spans="2:16" ht="25.5">
      <c r="B187" s="190" t="s">
        <v>345</v>
      </c>
      <c r="C187" s="191">
        <v>150801</v>
      </c>
      <c r="D187" s="575" t="s">
        <v>362</v>
      </c>
      <c r="E187" s="192" t="s">
        <v>51</v>
      </c>
      <c r="F187" s="193">
        <v>12.67</v>
      </c>
      <c r="G187" s="194">
        <v>66</v>
      </c>
      <c r="H187" s="193">
        <v>836.22</v>
      </c>
      <c r="I187" s="194">
        <v>0</v>
      </c>
      <c r="J187" s="193">
        <f t="shared" si="148"/>
        <v>0</v>
      </c>
      <c r="K187" s="194">
        <f>IFERROR(VLOOKUP(B187,#REF!,18,FALSE),)</f>
        <v>0</v>
      </c>
      <c r="L187" s="193">
        <f t="shared" si="149"/>
        <v>0</v>
      </c>
      <c r="M187" s="194">
        <f t="shared" si="150"/>
        <v>0</v>
      </c>
      <c r="N187" s="196">
        <f t="shared" si="151"/>
        <v>0</v>
      </c>
      <c r="O187" s="194">
        <f t="shared" si="147"/>
        <v>66</v>
      </c>
      <c r="P187" s="196">
        <f t="shared" si="147"/>
        <v>836.22</v>
      </c>
    </row>
    <row r="188" spans="2:16">
      <c r="B188" s="190" t="s">
        <v>346</v>
      </c>
      <c r="C188" s="191">
        <v>180110</v>
      </c>
      <c r="D188" s="575" t="s">
        <v>363</v>
      </c>
      <c r="E188" s="192" t="s">
        <v>59</v>
      </c>
      <c r="F188" s="193">
        <v>106.15</v>
      </c>
      <c r="G188" s="194">
        <v>5</v>
      </c>
      <c r="H188" s="193">
        <v>530.75</v>
      </c>
      <c r="I188" s="194">
        <v>0</v>
      </c>
      <c r="J188" s="193">
        <f t="shared" si="148"/>
        <v>0</v>
      </c>
      <c r="K188" s="194">
        <f>IFERROR(VLOOKUP(B188,#REF!,18,FALSE),)</f>
        <v>0</v>
      </c>
      <c r="L188" s="193">
        <f t="shared" si="149"/>
        <v>0</v>
      </c>
      <c r="M188" s="194">
        <f t="shared" si="150"/>
        <v>0</v>
      </c>
      <c r="N188" s="196">
        <f t="shared" si="151"/>
        <v>0</v>
      </c>
      <c r="O188" s="194">
        <f t="shared" si="147"/>
        <v>5</v>
      </c>
      <c r="P188" s="196">
        <f t="shared" si="147"/>
        <v>530.75</v>
      </c>
    </row>
    <row r="189" spans="2:16">
      <c r="B189" s="190" t="s">
        <v>347</v>
      </c>
      <c r="C189" s="191" t="s">
        <v>367</v>
      </c>
      <c r="D189" s="575" t="s">
        <v>364</v>
      </c>
      <c r="E189" s="192" t="s">
        <v>72</v>
      </c>
      <c r="F189" s="193">
        <v>362.44</v>
      </c>
      <c r="G189" s="194">
        <v>19</v>
      </c>
      <c r="H189" s="193">
        <v>6886.36</v>
      </c>
      <c r="I189" s="194">
        <v>0</v>
      </c>
      <c r="J189" s="193">
        <f t="shared" si="148"/>
        <v>0</v>
      </c>
      <c r="K189" s="194">
        <f>IFERROR(VLOOKUP(B189,#REF!,18,FALSE),)</f>
        <v>0</v>
      </c>
      <c r="L189" s="193">
        <f t="shared" si="149"/>
        <v>0</v>
      </c>
      <c r="M189" s="194">
        <f t="shared" si="150"/>
        <v>0</v>
      </c>
      <c r="N189" s="196">
        <f t="shared" si="151"/>
        <v>0</v>
      </c>
      <c r="O189" s="194">
        <f t="shared" si="147"/>
        <v>19</v>
      </c>
      <c r="P189" s="196">
        <f t="shared" si="147"/>
        <v>6886.36</v>
      </c>
    </row>
    <row r="190" spans="2:16" ht="25.5">
      <c r="B190" s="190" t="s">
        <v>348</v>
      </c>
      <c r="C190" s="191" t="s">
        <v>368</v>
      </c>
      <c r="D190" s="575" t="s">
        <v>365</v>
      </c>
      <c r="E190" s="192" t="s">
        <v>72</v>
      </c>
      <c r="F190" s="193">
        <v>4976.67</v>
      </c>
      <c r="G190" s="194">
        <v>2</v>
      </c>
      <c r="H190" s="193">
        <v>9953.34</v>
      </c>
      <c r="I190" s="194">
        <v>0</v>
      </c>
      <c r="J190" s="193">
        <f t="shared" si="148"/>
        <v>0</v>
      </c>
      <c r="K190" s="194">
        <f>IFERROR(VLOOKUP(B190,#REF!,18,FALSE),)</f>
        <v>0</v>
      </c>
      <c r="L190" s="193">
        <f t="shared" si="149"/>
        <v>0</v>
      </c>
      <c r="M190" s="194">
        <f t="shared" si="150"/>
        <v>0</v>
      </c>
      <c r="N190" s="196">
        <f t="shared" si="151"/>
        <v>0</v>
      </c>
      <c r="O190" s="194">
        <f t="shared" si="147"/>
        <v>2</v>
      </c>
      <c r="P190" s="196">
        <f t="shared" si="147"/>
        <v>9953.34</v>
      </c>
    </row>
    <row r="191" spans="2:16" ht="25.5">
      <c r="B191" s="190" t="s">
        <v>349</v>
      </c>
      <c r="C191" s="191" t="s">
        <v>369</v>
      </c>
      <c r="D191" s="575" t="s">
        <v>366</v>
      </c>
      <c r="E191" s="192" t="s">
        <v>10</v>
      </c>
      <c r="F191" s="193">
        <v>12903.37</v>
      </c>
      <c r="G191" s="194">
        <v>1</v>
      </c>
      <c r="H191" s="193">
        <v>12903.37</v>
      </c>
      <c r="I191" s="194">
        <v>0</v>
      </c>
      <c r="J191" s="193">
        <f t="shared" si="148"/>
        <v>0</v>
      </c>
      <c r="K191" s="194">
        <f>IFERROR(VLOOKUP(B191,#REF!,18,FALSE),)</f>
        <v>0</v>
      </c>
      <c r="L191" s="193">
        <f t="shared" si="149"/>
        <v>0</v>
      </c>
      <c r="M191" s="194">
        <f t="shared" si="150"/>
        <v>0</v>
      </c>
      <c r="N191" s="196">
        <f t="shared" si="151"/>
        <v>0</v>
      </c>
      <c r="O191" s="194">
        <f t="shared" si="147"/>
        <v>1</v>
      </c>
      <c r="P191" s="196">
        <f t="shared" si="147"/>
        <v>12903.37</v>
      </c>
    </row>
    <row r="192" spans="2:16">
      <c r="B192" s="138"/>
      <c r="C192" s="132"/>
      <c r="D192" s="123"/>
      <c r="E192" s="123"/>
      <c r="F192" s="123"/>
      <c r="G192" s="123"/>
      <c r="H192" s="123"/>
      <c r="I192" s="123"/>
      <c r="J192" s="123"/>
      <c r="K192" s="123"/>
      <c r="L192" s="123"/>
      <c r="M192" s="123"/>
      <c r="N192" s="124"/>
      <c r="O192" s="123">
        <f t="shared" si="147"/>
        <v>0</v>
      </c>
      <c r="P192" s="124">
        <f t="shared" si="147"/>
        <v>0</v>
      </c>
    </row>
    <row r="193" spans="2:16" s="131" customFormat="1">
      <c r="B193" s="137" t="s">
        <v>370</v>
      </c>
      <c r="C193" s="133"/>
      <c r="D193" s="125" t="s">
        <v>371</v>
      </c>
      <c r="E193" s="126"/>
      <c r="F193" s="127"/>
      <c r="G193" s="128"/>
      <c r="H193" s="129">
        <v>3312.24</v>
      </c>
      <c r="I193" s="130"/>
      <c r="J193" s="129">
        <f>SUBTOTAL(9,J194:J197)</f>
        <v>0</v>
      </c>
      <c r="K193" s="130"/>
      <c r="L193" s="129">
        <f>SUBTOTAL(9,L194:L197)</f>
        <v>0</v>
      </c>
      <c r="M193" s="129"/>
      <c r="N193" s="129">
        <f>SUBTOTAL(9,N194:N197)</f>
        <v>0</v>
      </c>
      <c r="O193" s="129">
        <f t="shared" si="147"/>
        <v>0</v>
      </c>
      <c r="P193" s="129">
        <f t="shared" si="147"/>
        <v>3312.24</v>
      </c>
    </row>
    <row r="194" spans="2:16" ht="38.25">
      <c r="B194" s="190" t="s">
        <v>372</v>
      </c>
      <c r="C194" s="191">
        <v>150610</v>
      </c>
      <c r="D194" s="575" t="s">
        <v>376</v>
      </c>
      <c r="E194" s="192" t="s">
        <v>59</v>
      </c>
      <c r="F194" s="193">
        <v>188.46</v>
      </c>
      <c r="G194" s="194">
        <v>4</v>
      </c>
      <c r="H194" s="193">
        <v>753.84</v>
      </c>
      <c r="I194" s="194">
        <v>0</v>
      </c>
      <c r="J194" s="193">
        <f t="shared" ref="J194" si="152">TRUNC(I194*F194,2)</f>
        <v>0</v>
      </c>
      <c r="K194" s="194">
        <f>IFERROR(VLOOKUP(B194,#REF!,18,FALSE),)</f>
        <v>0</v>
      </c>
      <c r="L194" s="193">
        <f t="shared" ref="L194" si="153">N194-J194</f>
        <v>0</v>
      </c>
      <c r="M194" s="194">
        <f t="shared" ref="M194" si="154">K194+I194</f>
        <v>0</v>
      </c>
      <c r="N194" s="196">
        <f t="shared" ref="N194" si="155">TRUNC(M194*F194,2)</f>
        <v>0</v>
      </c>
      <c r="O194" s="194">
        <f t="shared" si="147"/>
        <v>4</v>
      </c>
      <c r="P194" s="196">
        <f t="shared" si="147"/>
        <v>753.84</v>
      </c>
    </row>
    <row r="195" spans="2:16" ht="38.25">
      <c r="B195" s="190" t="s">
        <v>373</v>
      </c>
      <c r="C195" s="191">
        <v>160324</v>
      </c>
      <c r="D195" s="575" t="s">
        <v>546</v>
      </c>
      <c r="E195" s="192" t="s">
        <v>59</v>
      </c>
      <c r="F195" s="193">
        <v>199.91</v>
      </c>
      <c r="G195" s="194">
        <v>1</v>
      </c>
      <c r="H195" s="193">
        <v>199.91</v>
      </c>
      <c r="I195" s="194">
        <v>0</v>
      </c>
      <c r="J195" s="193">
        <f>TRUNC(I195*F195,2)</f>
        <v>0</v>
      </c>
      <c r="K195" s="194">
        <f>IFERROR(VLOOKUP(B195,#REF!,18,FALSE),)</f>
        <v>0</v>
      </c>
      <c r="L195" s="193">
        <f>N195-J195</f>
        <v>0</v>
      </c>
      <c r="M195" s="194">
        <f>K195+I195</f>
        <v>0</v>
      </c>
      <c r="N195" s="196">
        <f>TRUNC(M195*F195,2)</f>
        <v>0</v>
      </c>
      <c r="O195" s="194">
        <f t="shared" si="147"/>
        <v>1</v>
      </c>
      <c r="P195" s="196">
        <f t="shared" si="147"/>
        <v>199.91</v>
      </c>
    </row>
    <row r="196" spans="2:16" ht="25.5">
      <c r="B196" s="190" t="s">
        <v>374</v>
      </c>
      <c r="C196" s="191">
        <v>160317</v>
      </c>
      <c r="D196" s="575" t="s">
        <v>377</v>
      </c>
      <c r="E196" s="192" t="s">
        <v>51</v>
      </c>
      <c r="F196" s="193">
        <v>33.369999999999997</v>
      </c>
      <c r="G196" s="194">
        <v>68.900000000000006</v>
      </c>
      <c r="H196" s="193">
        <v>2299.19</v>
      </c>
      <c r="I196" s="194">
        <v>0</v>
      </c>
      <c r="J196" s="193">
        <f t="shared" ref="J196:J197" si="156">TRUNC(I196*F196,2)</f>
        <v>0</v>
      </c>
      <c r="K196" s="194">
        <f>IFERROR(VLOOKUP(B196,#REF!,18,FALSE),)</f>
        <v>0</v>
      </c>
      <c r="L196" s="193">
        <f t="shared" ref="L196:L197" si="157">N196-J196</f>
        <v>0</v>
      </c>
      <c r="M196" s="194">
        <f t="shared" ref="M196:M197" si="158">K196+I196</f>
        <v>0</v>
      </c>
      <c r="N196" s="196">
        <f t="shared" ref="N196:N197" si="159">TRUNC(M196*F196,2)</f>
        <v>0</v>
      </c>
      <c r="O196" s="194">
        <f t="shared" si="147"/>
        <v>68.900000000000006</v>
      </c>
      <c r="P196" s="196">
        <f t="shared" si="147"/>
        <v>2299.19</v>
      </c>
    </row>
    <row r="197" spans="2:16" ht="25.5">
      <c r="B197" s="190" t="s">
        <v>375</v>
      </c>
      <c r="C197" s="191">
        <v>160334</v>
      </c>
      <c r="D197" s="575" t="s">
        <v>378</v>
      </c>
      <c r="E197" s="192" t="s">
        <v>59</v>
      </c>
      <c r="F197" s="193">
        <v>29.65</v>
      </c>
      <c r="G197" s="194">
        <v>2</v>
      </c>
      <c r="H197" s="193">
        <v>59.3</v>
      </c>
      <c r="I197" s="194">
        <v>0</v>
      </c>
      <c r="J197" s="193">
        <f t="shared" si="156"/>
        <v>0</v>
      </c>
      <c r="K197" s="194">
        <f>IFERROR(VLOOKUP(B197,#REF!,18,FALSE),)</f>
        <v>0</v>
      </c>
      <c r="L197" s="193">
        <f t="shared" si="157"/>
        <v>0</v>
      </c>
      <c r="M197" s="194">
        <f t="shared" si="158"/>
        <v>0</v>
      </c>
      <c r="N197" s="196">
        <f t="shared" si="159"/>
        <v>0</v>
      </c>
      <c r="O197" s="194">
        <f t="shared" si="147"/>
        <v>2</v>
      </c>
      <c r="P197" s="196">
        <f t="shared" si="147"/>
        <v>59.3</v>
      </c>
    </row>
    <row r="198" spans="2:16">
      <c r="B198" s="138"/>
      <c r="C198" s="132"/>
      <c r="D198" s="123"/>
      <c r="E198" s="123"/>
      <c r="F198" s="123"/>
      <c r="G198" s="123"/>
      <c r="H198" s="123"/>
      <c r="I198" s="123"/>
      <c r="J198" s="123"/>
      <c r="K198" s="123"/>
      <c r="L198" s="123"/>
      <c r="M198" s="123"/>
      <c r="N198" s="124"/>
      <c r="O198" s="123">
        <f t="shared" si="147"/>
        <v>0</v>
      </c>
      <c r="P198" s="124">
        <f t="shared" si="147"/>
        <v>0</v>
      </c>
    </row>
    <row r="199" spans="2:16" s="213" customFormat="1">
      <c r="B199" s="210" t="s">
        <v>379</v>
      </c>
      <c r="C199" s="211"/>
      <c r="D199" s="212" t="s">
        <v>380</v>
      </c>
      <c r="E199" s="197"/>
      <c r="F199" s="198"/>
      <c r="G199" s="199"/>
      <c r="H199" s="200">
        <v>2061.35</v>
      </c>
      <c r="I199" s="201"/>
      <c r="J199" s="200">
        <f>SUBTOTAL(9,J200:J205)</f>
        <v>0</v>
      </c>
      <c r="K199" s="201"/>
      <c r="L199" s="200">
        <f>SUBTOTAL(9,L200:L205)</f>
        <v>0</v>
      </c>
      <c r="M199" s="200"/>
      <c r="N199" s="200">
        <f>SUBTOTAL(9,N200:N205)</f>
        <v>0</v>
      </c>
      <c r="O199" s="200">
        <f t="shared" si="147"/>
        <v>0</v>
      </c>
      <c r="P199" s="200">
        <f t="shared" si="147"/>
        <v>2061.35</v>
      </c>
    </row>
    <row r="200" spans="2:16" s="131" customFormat="1">
      <c r="B200" s="137" t="s">
        <v>381</v>
      </c>
      <c r="C200" s="133"/>
      <c r="D200" s="125" t="s">
        <v>380</v>
      </c>
      <c r="E200" s="126"/>
      <c r="F200" s="127"/>
      <c r="G200" s="128"/>
      <c r="H200" s="129">
        <v>2061.35</v>
      </c>
      <c r="I200" s="130"/>
      <c r="J200" s="129">
        <f>SUBTOTAL(9,J201:J205)</f>
        <v>0</v>
      </c>
      <c r="K200" s="130"/>
      <c r="L200" s="129">
        <f>SUBTOTAL(9,L201:L205)</f>
        <v>0</v>
      </c>
      <c r="M200" s="129"/>
      <c r="N200" s="129">
        <f>SUBTOTAL(9,N201:N205)</f>
        <v>0</v>
      </c>
      <c r="O200" s="129">
        <f t="shared" si="147"/>
        <v>0</v>
      </c>
      <c r="P200" s="129">
        <f t="shared" si="147"/>
        <v>2061.35</v>
      </c>
    </row>
    <row r="201" spans="2:16" ht="25.5">
      <c r="B201" s="190" t="s">
        <v>382</v>
      </c>
      <c r="C201" s="191">
        <v>160612</v>
      </c>
      <c r="D201" s="575" t="s">
        <v>387</v>
      </c>
      <c r="E201" s="192" t="s">
        <v>59</v>
      </c>
      <c r="F201" s="193">
        <v>29.96</v>
      </c>
      <c r="G201" s="194">
        <v>2</v>
      </c>
      <c r="H201" s="193">
        <v>59.92</v>
      </c>
      <c r="I201" s="194">
        <v>0</v>
      </c>
      <c r="J201" s="193">
        <f t="shared" ref="J201" si="160">TRUNC(I201*F201,2)</f>
        <v>0</v>
      </c>
      <c r="K201" s="194">
        <f>IFERROR(VLOOKUP(B201,#REF!,18,FALSE),)</f>
        <v>0</v>
      </c>
      <c r="L201" s="193">
        <f t="shared" ref="L201" si="161">N201-J201</f>
        <v>0</v>
      </c>
      <c r="M201" s="194">
        <f t="shared" ref="M201" si="162">K201+I201</f>
        <v>0</v>
      </c>
      <c r="N201" s="196">
        <f t="shared" ref="N201" si="163">TRUNC(M201*F201,2)</f>
        <v>0</v>
      </c>
      <c r="O201" s="194">
        <f t="shared" si="147"/>
        <v>2</v>
      </c>
      <c r="P201" s="196">
        <f t="shared" si="147"/>
        <v>59.92</v>
      </c>
    </row>
    <row r="202" spans="2:16" ht="51">
      <c r="B202" s="190" t="s">
        <v>383</v>
      </c>
      <c r="C202" s="191">
        <v>160608</v>
      </c>
      <c r="D202" s="575" t="s">
        <v>388</v>
      </c>
      <c r="E202" s="192" t="s">
        <v>59</v>
      </c>
      <c r="F202" s="193">
        <v>320.60000000000002</v>
      </c>
      <c r="G202" s="194">
        <v>3</v>
      </c>
      <c r="H202" s="193">
        <v>961.8</v>
      </c>
      <c r="I202" s="194">
        <v>0</v>
      </c>
      <c r="J202" s="193">
        <f>TRUNC(I202*F202,2)</f>
        <v>0</v>
      </c>
      <c r="K202" s="194">
        <f>IFERROR(VLOOKUP(B202,#REF!,18,FALSE),)</f>
        <v>0</v>
      </c>
      <c r="L202" s="193">
        <f>N202-J202</f>
        <v>0</v>
      </c>
      <c r="M202" s="194">
        <f>K202+I202</f>
        <v>0</v>
      </c>
      <c r="N202" s="196">
        <f>TRUNC(M202*F202,2)</f>
        <v>0</v>
      </c>
      <c r="O202" s="194">
        <f t="shared" si="147"/>
        <v>3</v>
      </c>
      <c r="P202" s="196">
        <f t="shared" si="147"/>
        <v>961.8</v>
      </c>
    </row>
    <row r="203" spans="2:16" ht="25.5">
      <c r="B203" s="190" t="s">
        <v>384</v>
      </c>
      <c r="C203" s="191">
        <v>160613</v>
      </c>
      <c r="D203" s="575" t="s">
        <v>389</v>
      </c>
      <c r="E203" s="192" t="s">
        <v>59</v>
      </c>
      <c r="F203" s="193">
        <v>197.45</v>
      </c>
      <c r="G203" s="194">
        <v>3</v>
      </c>
      <c r="H203" s="193">
        <v>592.35</v>
      </c>
      <c r="I203" s="194">
        <v>0</v>
      </c>
      <c r="J203" s="193">
        <f t="shared" ref="J203:J205" si="164">TRUNC(I203*F203,2)</f>
        <v>0</v>
      </c>
      <c r="K203" s="194">
        <f>IFERROR(VLOOKUP(B203,#REF!,18,FALSE),)</f>
        <v>0</v>
      </c>
      <c r="L203" s="193">
        <f t="shared" ref="L203:L205" si="165">N203-J203</f>
        <v>0</v>
      </c>
      <c r="M203" s="194">
        <f t="shared" ref="M203:M205" si="166">K203+I203</f>
        <v>0</v>
      </c>
      <c r="N203" s="196">
        <f t="shared" ref="N203:N205" si="167">TRUNC(M203*F203,2)</f>
        <v>0</v>
      </c>
      <c r="O203" s="194">
        <f t="shared" si="147"/>
        <v>3</v>
      </c>
      <c r="P203" s="196">
        <f t="shared" si="147"/>
        <v>592.35</v>
      </c>
    </row>
    <row r="204" spans="2:16" ht="38.25">
      <c r="B204" s="190" t="s">
        <v>385</v>
      </c>
      <c r="C204" s="191">
        <v>160607</v>
      </c>
      <c r="D204" s="575" t="s">
        <v>390</v>
      </c>
      <c r="E204" s="192" t="s">
        <v>59</v>
      </c>
      <c r="F204" s="193">
        <v>178.48</v>
      </c>
      <c r="G204" s="194">
        <v>2</v>
      </c>
      <c r="H204" s="193">
        <v>356.96</v>
      </c>
      <c r="I204" s="194">
        <v>0</v>
      </c>
      <c r="J204" s="193">
        <f t="shared" si="164"/>
        <v>0</v>
      </c>
      <c r="K204" s="194">
        <f>IFERROR(VLOOKUP(B204,#REF!,18,FALSE),)</f>
        <v>0</v>
      </c>
      <c r="L204" s="193">
        <f t="shared" si="165"/>
        <v>0</v>
      </c>
      <c r="M204" s="194">
        <f t="shared" si="166"/>
        <v>0</v>
      </c>
      <c r="N204" s="196">
        <f t="shared" si="167"/>
        <v>0</v>
      </c>
      <c r="O204" s="194">
        <f t="shared" si="147"/>
        <v>2</v>
      </c>
      <c r="P204" s="196">
        <f t="shared" si="147"/>
        <v>356.96</v>
      </c>
    </row>
    <row r="205" spans="2:16" ht="38.25">
      <c r="B205" s="190" t="s">
        <v>386</v>
      </c>
      <c r="C205" s="191">
        <v>190605</v>
      </c>
      <c r="D205" s="575" t="s">
        <v>544</v>
      </c>
      <c r="E205" s="192" t="s">
        <v>57</v>
      </c>
      <c r="F205" s="193">
        <v>50.18</v>
      </c>
      <c r="G205" s="194">
        <v>1.8</v>
      </c>
      <c r="H205" s="193">
        <v>90.32</v>
      </c>
      <c r="I205" s="194">
        <v>0</v>
      </c>
      <c r="J205" s="193">
        <f t="shared" si="164"/>
        <v>0</v>
      </c>
      <c r="K205" s="194">
        <f>IFERROR(VLOOKUP(B205,#REF!,18,FALSE),)</f>
        <v>0</v>
      </c>
      <c r="L205" s="193">
        <f t="shared" si="165"/>
        <v>0</v>
      </c>
      <c r="M205" s="194">
        <f t="shared" si="166"/>
        <v>0</v>
      </c>
      <c r="N205" s="196">
        <f t="shared" si="167"/>
        <v>0</v>
      </c>
      <c r="O205" s="194">
        <f t="shared" si="147"/>
        <v>1.8</v>
      </c>
      <c r="P205" s="196">
        <f t="shared" si="147"/>
        <v>90.32</v>
      </c>
    </row>
    <row r="206" spans="2:16">
      <c r="B206" s="138"/>
      <c r="C206" s="132"/>
      <c r="D206" s="123"/>
      <c r="E206" s="123"/>
      <c r="F206" s="123"/>
      <c r="G206" s="123"/>
      <c r="H206" s="123"/>
      <c r="I206" s="123"/>
      <c r="J206" s="123"/>
      <c r="K206" s="123"/>
      <c r="L206" s="123"/>
      <c r="M206" s="123"/>
      <c r="N206" s="124"/>
      <c r="O206" s="123">
        <f t="shared" si="147"/>
        <v>0</v>
      </c>
      <c r="P206" s="124">
        <f t="shared" si="147"/>
        <v>0</v>
      </c>
    </row>
    <row r="207" spans="2:16" s="209" customFormat="1">
      <c r="B207" s="202">
        <v>3</v>
      </c>
      <c r="C207" s="203" t="s">
        <v>863</v>
      </c>
      <c r="D207" s="209" t="s">
        <v>992</v>
      </c>
      <c r="E207" s="204"/>
      <c r="F207" s="205"/>
      <c r="G207" s="206"/>
      <c r="H207" s="207">
        <v>1365196.33</v>
      </c>
      <c r="I207" s="208"/>
      <c r="J207" s="207">
        <f>SUBTOTAL(9,J208:J370)</f>
        <v>367316.69999999995</v>
      </c>
      <c r="K207" s="208"/>
      <c r="L207" s="207">
        <f>SUBTOTAL(9,L208:L370)</f>
        <v>142893.27000000002</v>
      </c>
      <c r="M207" s="207"/>
      <c r="N207" s="207">
        <f>SUBTOTAL(9,N208:N370)</f>
        <v>510209.97000000003</v>
      </c>
      <c r="O207" s="207">
        <f>G207-M207</f>
        <v>0</v>
      </c>
      <c r="P207" s="207">
        <f>H207-N207</f>
        <v>854986.3600000001</v>
      </c>
    </row>
    <row r="208" spans="2:16" s="213" customFormat="1">
      <c r="B208" s="210" t="s">
        <v>0</v>
      </c>
      <c r="C208" s="211"/>
      <c r="D208" s="212" t="s">
        <v>65</v>
      </c>
      <c r="E208" s="197"/>
      <c r="F208" s="198"/>
      <c r="G208" s="199"/>
      <c r="H208" s="200">
        <v>9979.07</v>
      </c>
      <c r="I208" s="201"/>
      <c r="J208" s="200">
        <f>SUBTOTAL(9,J209:J214)</f>
        <v>9979.0600000000013</v>
      </c>
      <c r="K208" s="201"/>
      <c r="L208" s="200">
        <f>SUBTOTAL(9,L209:L214)</f>
        <v>0</v>
      </c>
      <c r="M208" s="200"/>
      <c r="N208" s="200">
        <f>SUBTOTAL(9,N209:N214)</f>
        <v>9979.0600000000013</v>
      </c>
      <c r="O208" s="200">
        <f t="shared" ref="O208:P269" si="168">G208-M208</f>
        <v>0</v>
      </c>
      <c r="P208" s="200">
        <f t="shared" si="168"/>
        <v>9.9999999983992893E-3</v>
      </c>
    </row>
    <row r="209" spans="2:16" s="131" customFormat="1">
      <c r="B209" s="137" t="s">
        <v>392</v>
      </c>
      <c r="C209" s="133"/>
      <c r="D209" s="125" t="s">
        <v>101</v>
      </c>
      <c r="E209" s="126"/>
      <c r="F209" s="127"/>
      <c r="G209" s="128"/>
      <c r="H209" s="129">
        <v>1783.68</v>
      </c>
      <c r="I209" s="130"/>
      <c r="J209" s="129">
        <f>SUBTOTAL(9,J210:J210)</f>
        <v>1783.68</v>
      </c>
      <c r="K209" s="130"/>
      <c r="L209" s="129">
        <f>SUBTOTAL(9,L210:L210)</f>
        <v>0</v>
      </c>
      <c r="M209" s="129"/>
      <c r="N209" s="129">
        <f>SUBTOTAL(9,N210:N210)</f>
        <v>1783.68</v>
      </c>
      <c r="O209" s="129">
        <f t="shared" si="168"/>
        <v>0</v>
      </c>
      <c r="P209" s="129">
        <f t="shared" si="168"/>
        <v>0</v>
      </c>
    </row>
    <row r="210" spans="2:16">
      <c r="B210" s="190" t="s">
        <v>393</v>
      </c>
      <c r="C210" s="191">
        <v>20305</v>
      </c>
      <c r="D210" s="575" t="s">
        <v>103</v>
      </c>
      <c r="E210" s="192" t="s">
        <v>57</v>
      </c>
      <c r="F210" s="193">
        <v>222.96</v>
      </c>
      <c r="G210" s="194">
        <v>8</v>
      </c>
      <c r="H210" s="193">
        <v>1783.68</v>
      </c>
      <c r="I210" s="195">
        <v>8</v>
      </c>
      <c r="J210" s="193">
        <f>TRUNC(I210*F210,2)</f>
        <v>1783.68</v>
      </c>
      <c r="K210" s="194">
        <f>IFERROR(VLOOKUP(B210,'[35]3.1.1.1'!A:U,18,FALSE),)</f>
        <v>0</v>
      </c>
      <c r="L210" s="193">
        <f t="shared" ref="L210" si="169">N210-J210</f>
        <v>0</v>
      </c>
      <c r="M210" s="194">
        <f>K210+I210</f>
        <v>8</v>
      </c>
      <c r="N210" s="196">
        <f>TRUNC(M210*F210,2)</f>
        <v>1783.68</v>
      </c>
      <c r="O210" s="194">
        <f t="shared" si="168"/>
        <v>0</v>
      </c>
      <c r="P210" s="196">
        <f t="shared" si="168"/>
        <v>0</v>
      </c>
    </row>
    <row r="211" spans="2:16">
      <c r="B211" s="138"/>
      <c r="C211" s="132"/>
      <c r="D211" s="123"/>
      <c r="E211" s="123"/>
      <c r="F211" s="123"/>
      <c r="G211" s="123"/>
      <c r="H211" s="123"/>
      <c r="I211" s="123"/>
      <c r="J211" s="123"/>
      <c r="K211" s="123"/>
      <c r="L211" s="123"/>
      <c r="M211" s="123"/>
      <c r="N211" s="124"/>
      <c r="O211" s="123">
        <f t="shared" si="168"/>
        <v>0</v>
      </c>
      <c r="P211" s="124">
        <f t="shared" si="168"/>
        <v>0</v>
      </c>
    </row>
    <row r="212" spans="2:16" s="131" customFormat="1">
      <c r="B212" s="137" t="s">
        <v>394</v>
      </c>
      <c r="C212" s="133"/>
      <c r="D212" s="125" t="s">
        <v>105</v>
      </c>
      <c r="E212" s="126"/>
      <c r="F212" s="127"/>
      <c r="G212" s="128"/>
      <c r="H212" s="129">
        <v>8195.39</v>
      </c>
      <c r="I212" s="130"/>
      <c r="J212" s="129">
        <f>SUBTOTAL(9,J213:J214)</f>
        <v>8195.380000000001</v>
      </c>
      <c r="K212" s="130"/>
      <c r="L212" s="129">
        <f>SUBTOTAL(9,L213:L214)</f>
        <v>0</v>
      </c>
      <c r="M212" s="129"/>
      <c r="N212" s="129">
        <f>SUBTOTAL(9,N213:N214)</f>
        <v>8195.380000000001</v>
      </c>
      <c r="O212" s="129">
        <f t="shared" si="168"/>
        <v>0</v>
      </c>
      <c r="P212" s="129">
        <f t="shared" si="168"/>
        <v>9.9999999983992893E-3</v>
      </c>
    </row>
    <row r="213" spans="2:16">
      <c r="B213" s="190" t="s">
        <v>395</v>
      </c>
      <c r="C213" s="191">
        <v>10201</v>
      </c>
      <c r="D213" s="575" t="s">
        <v>397</v>
      </c>
      <c r="E213" s="192" t="s">
        <v>57</v>
      </c>
      <c r="F213" s="193">
        <v>22.08</v>
      </c>
      <c r="G213" s="194">
        <v>268.29000000000002</v>
      </c>
      <c r="H213" s="193">
        <v>5923.84</v>
      </c>
      <c r="I213" s="194">
        <v>268.29000000000002</v>
      </c>
      <c r="J213" s="193">
        <f>TRUNC(I213*F213,2)</f>
        <v>5923.84</v>
      </c>
      <c r="K213" s="194">
        <v>0</v>
      </c>
      <c r="L213" s="193">
        <f t="shared" ref="L213:L214" si="170">N213-J213</f>
        <v>0</v>
      </c>
      <c r="M213" s="194">
        <f>K213+I213</f>
        <v>268.29000000000002</v>
      </c>
      <c r="N213" s="196">
        <f>TRUNC(M213*F213,2)</f>
        <v>5923.84</v>
      </c>
      <c r="O213" s="194">
        <f t="shared" si="168"/>
        <v>0</v>
      </c>
      <c r="P213" s="196">
        <f t="shared" si="168"/>
        <v>0</v>
      </c>
    </row>
    <row r="214" spans="2:16" ht="38.25">
      <c r="B214" s="190" t="s">
        <v>396</v>
      </c>
      <c r="C214" s="191">
        <v>30304</v>
      </c>
      <c r="D214" s="575" t="s">
        <v>109</v>
      </c>
      <c r="E214" s="192" t="s">
        <v>58</v>
      </c>
      <c r="F214" s="193">
        <v>56.45</v>
      </c>
      <c r="G214" s="194">
        <v>40.24</v>
      </c>
      <c r="H214" s="193">
        <v>2271.5500000000002</v>
      </c>
      <c r="I214" s="194">
        <v>40.24</v>
      </c>
      <c r="J214" s="193">
        <f t="shared" ref="J214" si="171">TRUNC(I214*F214,2)</f>
        <v>2271.54</v>
      </c>
      <c r="K214" s="194">
        <v>0</v>
      </c>
      <c r="L214" s="193">
        <f t="shared" si="170"/>
        <v>0</v>
      </c>
      <c r="M214" s="194">
        <f t="shared" ref="M214" si="172">K214+I214</f>
        <v>40.24</v>
      </c>
      <c r="N214" s="196">
        <f t="shared" ref="N214" si="173">TRUNC(M214*F214,2)</f>
        <v>2271.54</v>
      </c>
      <c r="O214" s="194">
        <f t="shared" si="168"/>
        <v>0</v>
      </c>
      <c r="P214" s="196">
        <f t="shared" si="168"/>
        <v>1.0000000000218279E-2</v>
      </c>
    </row>
    <row r="215" spans="2:16">
      <c r="B215" s="138"/>
      <c r="C215" s="132"/>
      <c r="D215" s="123"/>
      <c r="E215" s="123"/>
      <c r="F215" s="123"/>
      <c r="G215" s="123"/>
      <c r="H215" s="123"/>
      <c r="I215" s="123"/>
      <c r="J215" s="123"/>
      <c r="K215" s="123"/>
      <c r="L215" s="123"/>
      <c r="M215" s="123"/>
      <c r="N215" s="124"/>
      <c r="O215" s="123">
        <f t="shared" si="168"/>
        <v>0</v>
      </c>
      <c r="P215" s="124">
        <f t="shared" si="168"/>
        <v>0</v>
      </c>
    </row>
    <row r="216" spans="2:16" s="213" customFormat="1">
      <c r="B216" s="210" t="s">
        <v>398</v>
      </c>
      <c r="C216" s="211"/>
      <c r="D216" s="212" t="s">
        <v>56</v>
      </c>
      <c r="E216" s="197"/>
      <c r="F216" s="198"/>
      <c r="G216" s="199"/>
      <c r="H216" s="200">
        <v>23153.9</v>
      </c>
      <c r="I216" s="201"/>
      <c r="J216" s="200">
        <f>SUBTOTAL(9,J217:J219)</f>
        <v>23153.88</v>
      </c>
      <c r="K216" s="201"/>
      <c r="L216" s="200">
        <f>SUBTOTAL(9,L217:L219)</f>
        <v>0</v>
      </c>
      <c r="M216" s="200"/>
      <c r="N216" s="200">
        <f>SUBTOTAL(9,N217:N219)</f>
        <v>23153.88</v>
      </c>
      <c r="O216" s="200">
        <f t="shared" si="168"/>
        <v>0</v>
      </c>
      <c r="P216" s="200">
        <f t="shared" si="168"/>
        <v>2.0000000000436557E-2</v>
      </c>
    </row>
    <row r="217" spans="2:16" s="131" customFormat="1">
      <c r="B217" s="137" t="s">
        <v>399</v>
      </c>
      <c r="C217" s="133"/>
      <c r="D217" s="125" t="s">
        <v>111</v>
      </c>
      <c r="E217" s="126"/>
      <c r="F217" s="127"/>
      <c r="G217" s="128"/>
      <c r="H217" s="129">
        <v>23153.9</v>
      </c>
      <c r="I217" s="130"/>
      <c r="J217" s="129">
        <f>SUBTOTAL(9,J218:J219)</f>
        <v>23153.88</v>
      </c>
      <c r="K217" s="130"/>
      <c r="L217" s="129">
        <f>SUBTOTAL(9,L218:L219)</f>
        <v>0</v>
      </c>
      <c r="M217" s="129"/>
      <c r="N217" s="129">
        <f>SUBTOTAL(9,N218:N219)</f>
        <v>23153.88</v>
      </c>
      <c r="O217" s="129">
        <f t="shared" si="168"/>
        <v>0</v>
      </c>
      <c r="P217" s="129">
        <f t="shared" si="168"/>
        <v>2.0000000000436557E-2</v>
      </c>
    </row>
    <row r="218" spans="2:16">
      <c r="B218" s="190" t="s">
        <v>400</v>
      </c>
      <c r="C218" s="191">
        <v>30103</v>
      </c>
      <c r="D218" s="575" t="s">
        <v>116</v>
      </c>
      <c r="E218" s="192" t="s">
        <v>58</v>
      </c>
      <c r="F218" s="193">
        <v>9.81</v>
      </c>
      <c r="G218" s="194">
        <v>349.44</v>
      </c>
      <c r="H218" s="193">
        <v>3428.01</v>
      </c>
      <c r="I218" s="194">
        <f>144+205.44</f>
        <v>349.44</v>
      </c>
      <c r="J218" s="193">
        <f t="shared" ref="J218" si="174">TRUNC(I218*F218,2)</f>
        <v>3428</v>
      </c>
      <c r="K218" s="194">
        <v>0</v>
      </c>
      <c r="L218" s="193">
        <f t="shared" ref="L218" si="175">N218-J218</f>
        <v>0</v>
      </c>
      <c r="M218" s="194">
        <f t="shared" ref="M218" si="176">K218+I218</f>
        <v>349.44</v>
      </c>
      <c r="N218" s="196">
        <f t="shared" ref="N218" si="177">TRUNC(M218*F218,2)</f>
        <v>3428</v>
      </c>
      <c r="O218" s="194">
        <f t="shared" si="168"/>
        <v>0</v>
      </c>
      <c r="P218" s="196">
        <f t="shared" si="168"/>
        <v>1.0000000000218279E-2</v>
      </c>
    </row>
    <row r="219" spans="2:16" ht="38.25">
      <c r="B219" s="190" t="s">
        <v>401</v>
      </c>
      <c r="C219" s="191">
        <v>30304</v>
      </c>
      <c r="D219" s="575" t="s">
        <v>109</v>
      </c>
      <c r="E219" s="192" t="s">
        <v>58</v>
      </c>
      <c r="F219" s="193">
        <v>56.45</v>
      </c>
      <c r="G219" s="194">
        <v>349.44</v>
      </c>
      <c r="H219" s="193">
        <v>19725.89</v>
      </c>
      <c r="I219" s="194">
        <f>144+205.44</f>
        <v>349.44</v>
      </c>
      <c r="J219" s="193">
        <f>TRUNC(I219*F219,2)</f>
        <v>19725.88</v>
      </c>
      <c r="K219" s="194">
        <v>0</v>
      </c>
      <c r="L219" s="193">
        <f>N219-J219</f>
        <v>0</v>
      </c>
      <c r="M219" s="194">
        <f>K219+I219</f>
        <v>349.44</v>
      </c>
      <c r="N219" s="196">
        <f>TRUNC(M219*F219,2)</f>
        <v>19725.88</v>
      </c>
      <c r="O219" s="194">
        <f t="shared" si="168"/>
        <v>0</v>
      </c>
      <c r="P219" s="196">
        <f>H219-N219</f>
        <v>9.9999999983992893E-3</v>
      </c>
    </row>
    <row r="220" spans="2:16" s="213" customFormat="1">
      <c r="B220" s="210" t="s">
        <v>403</v>
      </c>
      <c r="C220" s="211"/>
      <c r="D220" s="212" t="s">
        <v>119</v>
      </c>
      <c r="E220" s="197"/>
      <c r="F220" s="198"/>
      <c r="G220" s="199"/>
      <c r="H220" s="200">
        <v>369381.33</v>
      </c>
      <c r="I220" s="201"/>
      <c r="J220" s="200">
        <f>SUBTOTAL(9,J221:J290)</f>
        <v>113902.04000000002</v>
      </c>
      <c r="K220" s="201"/>
      <c r="L220" s="200">
        <f>SUBTOTAL(9,L221:L290)</f>
        <v>124844.43000000001</v>
      </c>
      <c r="M220" s="200"/>
      <c r="N220" s="200">
        <f>SUBTOTAL(9,N221:N290)</f>
        <v>238746.47</v>
      </c>
      <c r="O220" s="200">
        <f t="shared" si="168"/>
        <v>0</v>
      </c>
      <c r="P220" s="200">
        <f t="shared" si="168"/>
        <v>130634.86000000002</v>
      </c>
    </row>
    <row r="221" spans="2:16" s="131" customFormat="1">
      <c r="B221" s="137" t="s">
        <v>404</v>
      </c>
      <c r="C221" s="133"/>
      <c r="D221" s="125" t="s">
        <v>98</v>
      </c>
      <c r="E221" s="126"/>
      <c r="F221" s="127"/>
      <c r="G221" s="128"/>
      <c r="H221" s="129">
        <v>1544.92</v>
      </c>
      <c r="I221" s="130"/>
      <c r="J221" s="129">
        <f>SUBTOTAL(9,J222)</f>
        <v>1544.92</v>
      </c>
      <c r="K221" s="130"/>
      <c r="L221" s="129">
        <f>SUBTOTAL(9,L222)</f>
        <v>0</v>
      </c>
      <c r="M221" s="129"/>
      <c r="N221" s="129">
        <f>SUBTOTAL(9,N222)</f>
        <v>1544.92</v>
      </c>
      <c r="O221" s="129">
        <f t="shared" si="168"/>
        <v>0</v>
      </c>
      <c r="P221" s="129">
        <f t="shared" si="168"/>
        <v>0</v>
      </c>
    </row>
    <row r="222" spans="2:16">
      <c r="B222" s="190" t="s">
        <v>402</v>
      </c>
      <c r="C222" s="191">
        <v>10501</v>
      </c>
      <c r="D222" s="575" t="s">
        <v>122</v>
      </c>
      <c r="E222" s="192" t="s">
        <v>57</v>
      </c>
      <c r="F222" s="193">
        <v>7.69</v>
      </c>
      <c r="G222" s="194">
        <v>200.9</v>
      </c>
      <c r="H222" s="193">
        <v>1544.92</v>
      </c>
      <c r="I222" s="194">
        <v>200.9</v>
      </c>
      <c r="J222" s="193">
        <f t="shared" ref="J222" si="178">TRUNC(I222*F222,2)</f>
        <v>1544.92</v>
      </c>
      <c r="K222" s="194">
        <v>0</v>
      </c>
      <c r="L222" s="193">
        <f t="shared" ref="L222" si="179">N222-J222</f>
        <v>0</v>
      </c>
      <c r="M222" s="194">
        <f t="shared" ref="M222" si="180">K222+I222</f>
        <v>200.9</v>
      </c>
      <c r="N222" s="196">
        <f t="shared" ref="N222" si="181">TRUNC(M222*F222,2)</f>
        <v>1544.92</v>
      </c>
      <c r="O222" s="194">
        <f t="shared" si="168"/>
        <v>0</v>
      </c>
      <c r="P222" s="196">
        <f t="shared" si="168"/>
        <v>0</v>
      </c>
    </row>
    <row r="223" spans="2:16">
      <c r="B223" s="138"/>
      <c r="C223" s="132"/>
      <c r="D223" s="123"/>
      <c r="E223" s="123"/>
      <c r="F223" s="123"/>
      <c r="G223" s="123"/>
      <c r="H223" s="123"/>
      <c r="I223" s="123"/>
      <c r="J223" s="123"/>
      <c r="K223" s="123"/>
      <c r="L223" s="123"/>
      <c r="M223" s="123"/>
      <c r="N223" s="124"/>
      <c r="O223" s="123">
        <f t="shared" si="168"/>
        <v>0</v>
      </c>
      <c r="P223" s="124">
        <f t="shared" si="168"/>
        <v>0</v>
      </c>
    </row>
    <row r="224" spans="2:16" s="131" customFormat="1">
      <c r="B224" s="137" t="s">
        <v>405</v>
      </c>
      <c r="C224" s="133"/>
      <c r="D224" s="125" t="s">
        <v>124</v>
      </c>
      <c r="E224" s="126"/>
      <c r="F224" s="127"/>
      <c r="G224" s="128"/>
      <c r="H224" s="129">
        <v>121328.59</v>
      </c>
      <c r="I224" s="130"/>
      <c r="J224" s="129">
        <f>SUBTOTAL(9,J225:J235)</f>
        <v>55523.5</v>
      </c>
      <c r="K224" s="130"/>
      <c r="L224" s="129">
        <f>SUBTOTAL(9,L225:L235)</f>
        <v>0</v>
      </c>
      <c r="M224" s="129"/>
      <c r="N224" s="129">
        <f>SUBTOTAL(9,N225:N235)</f>
        <v>55523.5</v>
      </c>
      <c r="O224" s="129">
        <f t="shared" si="168"/>
        <v>0</v>
      </c>
      <c r="P224" s="129">
        <f t="shared" si="168"/>
        <v>65805.09</v>
      </c>
    </row>
    <row r="225" spans="2:16" ht="25.5">
      <c r="B225" s="190" t="s">
        <v>406</v>
      </c>
      <c r="C225" s="191" t="s">
        <v>136</v>
      </c>
      <c r="D225" s="575" t="s">
        <v>141</v>
      </c>
      <c r="E225" s="192" t="s">
        <v>60</v>
      </c>
      <c r="F225" s="193">
        <v>462.96</v>
      </c>
      <c r="G225" s="194">
        <v>85</v>
      </c>
      <c r="H225" s="193">
        <v>39351.599999999999</v>
      </c>
      <c r="I225" s="194">
        <f>47.84+11.81</f>
        <v>59.650000000000006</v>
      </c>
      <c r="J225" s="193">
        <f t="shared" ref="J225" si="182">TRUNC(I225*F225,2)</f>
        <v>27615.56</v>
      </c>
      <c r="K225" s="194">
        <f>IFERROR(VLOOKUP(B225,'[35]3.3.2.1'!A:U,18,FALSE),)</f>
        <v>0</v>
      </c>
      <c r="L225" s="193">
        <f t="shared" ref="L225" si="183">N225-J225</f>
        <v>0</v>
      </c>
      <c r="M225" s="194">
        <f t="shared" ref="M225" si="184">K225+I225</f>
        <v>59.650000000000006</v>
      </c>
      <c r="N225" s="196">
        <f t="shared" ref="N225" si="185">TRUNC(M225*F225,2)</f>
        <v>27615.56</v>
      </c>
      <c r="O225" s="194">
        <f t="shared" si="168"/>
        <v>25.349999999999994</v>
      </c>
      <c r="P225" s="196">
        <f t="shared" si="168"/>
        <v>11736.039999999997</v>
      </c>
    </row>
    <row r="226" spans="2:16">
      <c r="B226" s="190" t="s">
        <v>407</v>
      </c>
      <c r="C226" s="191" t="s">
        <v>137</v>
      </c>
      <c r="D226" s="575" t="s">
        <v>142</v>
      </c>
      <c r="E226" s="192" t="s">
        <v>49</v>
      </c>
      <c r="F226" s="193">
        <v>596.34</v>
      </c>
      <c r="G226" s="194">
        <v>35.71</v>
      </c>
      <c r="H226" s="193">
        <v>21295.3</v>
      </c>
      <c r="I226" s="194">
        <v>0</v>
      </c>
      <c r="J226" s="193">
        <f>TRUNC(I226*F226,2)</f>
        <v>0</v>
      </c>
      <c r="K226" s="194">
        <f>IFERROR(VLOOKUP(B226,#REF!,18,FALSE),)</f>
        <v>0</v>
      </c>
      <c r="L226" s="193">
        <f>N226-J226</f>
        <v>0</v>
      </c>
      <c r="M226" s="194">
        <f>K226+I226</f>
        <v>0</v>
      </c>
      <c r="N226" s="196">
        <f>TRUNC(M226*F226,2)</f>
        <v>0</v>
      </c>
      <c r="O226" s="194">
        <f t="shared" si="168"/>
        <v>35.71</v>
      </c>
      <c r="P226" s="196">
        <f t="shared" si="168"/>
        <v>21295.3</v>
      </c>
    </row>
    <row r="227" spans="2:16" ht="25.5">
      <c r="B227" s="190" t="s">
        <v>408</v>
      </c>
      <c r="C227" s="191" t="s">
        <v>138</v>
      </c>
      <c r="D227" s="575" t="s">
        <v>143</v>
      </c>
      <c r="E227" s="192" t="s">
        <v>29</v>
      </c>
      <c r="F227" s="193">
        <v>4.82</v>
      </c>
      <c r="G227" s="194">
        <v>512</v>
      </c>
      <c r="H227" s="193">
        <v>2467.84</v>
      </c>
      <c r="I227" s="194">
        <v>0</v>
      </c>
      <c r="J227" s="193">
        <f t="shared" ref="J227:J233" si="186">TRUNC(I227*F227,2)</f>
        <v>0</v>
      </c>
      <c r="K227" s="194">
        <f>IFERROR(VLOOKUP(B227,#REF!,18,FALSE),)</f>
        <v>0</v>
      </c>
      <c r="L227" s="193">
        <f t="shared" ref="L227:L233" si="187">N227-J227</f>
        <v>0</v>
      </c>
      <c r="M227" s="194">
        <f t="shared" ref="M227:M233" si="188">K227+I227</f>
        <v>0</v>
      </c>
      <c r="N227" s="196">
        <f t="shared" ref="N227:N233" si="189">TRUNC(M227*F227,2)</f>
        <v>0</v>
      </c>
      <c r="O227" s="194">
        <f t="shared" si="168"/>
        <v>512</v>
      </c>
      <c r="P227" s="196">
        <f t="shared" si="168"/>
        <v>2467.84</v>
      </c>
    </row>
    <row r="228" spans="2:16" ht="25.5">
      <c r="B228" s="190" t="s">
        <v>409</v>
      </c>
      <c r="C228" s="191" t="s">
        <v>139</v>
      </c>
      <c r="D228" s="575" t="s">
        <v>144</v>
      </c>
      <c r="E228" s="192" t="s">
        <v>29</v>
      </c>
      <c r="F228" s="193">
        <v>6.12</v>
      </c>
      <c r="G228" s="194">
        <v>4419.01</v>
      </c>
      <c r="H228" s="193">
        <v>27044.34</v>
      </c>
      <c r="I228" s="194">
        <v>0</v>
      </c>
      <c r="J228" s="193">
        <f t="shared" si="186"/>
        <v>0</v>
      </c>
      <c r="K228" s="194">
        <f>IFERROR(VLOOKUP(B228,#REF!,18,FALSE),)</f>
        <v>0</v>
      </c>
      <c r="L228" s="193">
        <f t="shared" si="187"/>
        <v>0</v>
      </c>
      <c r="M228" s="194">
        <f t="shared" si="188"/>
        <v>0</v>
      </c>
      <c r="N228" s="196">
        <f t="shared" si="189"/>
        <v>0</v>
      </c>
      <c r="O228" s="194">
        <f t="shared" si="168"/>
        <v>4419.01</v>
      </c>
      <c r="P228" s="196">
        <f t="shared" si="168"/>
        <v>27044.34</v>
      </c>
    </row>
    <row r="229" spans="2:16">
      <c r="B229" s="190" t="s">
        <v>410</v>
      </c>
      <c r="C229" s="191">
        <v>30101</v>
      </c>
      <c r="D229" s="575" t="s">
        <v>145</v>
      </c>
      <c r="E229" s="192" t="s">
        <v>58</v>
      </c>
      <c r="F229" s="193">
        <v>48.58</v>
      </c>
      <c r="G229" s="194">
        <v>6.3</v>
      </c>
      <c r="H229" s="193">
        <v>306.05</v>
      </c>
      <c r="I229" s="194">
        <v>6.3</v>
      </c>
      <c r="J229" s="193">
        <f t="shared" si="186"/>
        <v>306.05</v>
      </c>
      <c r="K229" s="194">
        <v>0</v>
      </c>
      <c r="L229" s="193">
        <f t="shared" si="187"/>
        <v>0</v>
      </c>
      <c r="M229" s="194">
        <f t="shared" si="188"/>
        <v>6.3</v>
      </c>
      <c r="N229" s="196">
        <f t="shared" si="189"/>
        <v>306.05</v>
      </c>
      <c r="O229" s="194">
        <f t="shared" si="168"/>
        <v>0</v>
      </c>
      <c r="P229" s="196">
        <f t="shared" si="168"/>
        <v>0</v>
      </c>
    </row>
    <row r="230" spans="2:16" ht="51">
      <c r="B230" s="190" t="s">
        <v>411</v>
      </c>
      <c r="C230" s="191">
        <v>40339</v>
      </c>
      <c r="D230" s="575" t="s">
        <v>146</v>
      </c>
      <c r="E230" s="192" t="s">
        <v>57</v>
      </c>
      <c r="F230" s="193">
        <v>91.04</v>
      </c>
      <c r="G230" s="194">
        <v>108</v>
      </c>
      <c r="H230" s="193">
        <v>9832.32</v>
      </c>
      <c r="I230" s="194">
        <v>108</v>
      </c>
      <c r="J230" s="193">
        <f t="shared" si="186"/>
        <v>9832.32</v>
      </c>
      <c r="K230" s="194">
        <v>0</v>
      </c>
      <c r="L230" s="193">
        <f t="shared" si="187"/>
        <v>0</v>
      </c>
      <c r="M230" s="194">
        <f t="shared" si="188"/>
        <v>108</v>
      </c>
      <c r="N230" s="196">
        <f t="shared" si="189"/>
        <v>9832.32</v>
      </c>
      <c r="O230" s="194">
        <f t="shared" si="168"/>
        <v>0</v>
      </c>
      <c r="P230" s="196">
        <f t="shared" si="168"/>
        <v>0</v>
      </c>
    </row>
    <row r="231" spans="2:16" ht="25.5">
      <c r="B231" s="190" t="s">
        <v>412</v>
      </c>
      <c r="C231" s="191">
        <v>40328</v>
      </c>
      <c r="D231" s="575" t="s">
        <v>147</v>
      </c>
      <c r="E231" s="192" t="s">
        <v>29</v>
      </c>
      <c r="F231" s="193">
        <v>7.98</v>
      </c>
      <c r="G231" s="194">
        <v>594</v>
      </c>
      <c r="H231" s="193">
        <v>4740.12</v>
      </c>
      <c r="I231" s="194">
        <v>594</v>
      </c>
      <c r="J231" s="193">
        <f t="shared" si="186"/>
        <v>4740.12</v>
      </c>
      <c r="K231" s="194">
        <v>0</v>
      </c>
      <c r="L231" s="193">
        <f t="shared" si="187"/>
        <v>0</v>
      </c>
      <c r="M231" s="194">
        <f t="shared" si="188"/>
        <v>594</v>
      </c>
      <c r="N231" s="196">
        <f t="shared" si="189"/>
        <v>4740.12</v>
      </c>
      <c r="O231" s="194">
        <f t="shared" si="168"/>
        <v>0</v>
      </c>
      <c r="P231" s="196">
        <f t="shared" si="168"/>
        <v>0</v>
      </c>
    </row>
    <row r="232" spans="2:16" ht="25.5">
      <c r="B232" s="190" t="s">
        <v>413</v>
      </c>
      <c r="C232" s="191">
        <v>40245</v>
      </c>
      <c r="D232" s="575" t="s">
        <v>148</v>
      </c>
      <c r="E232" s="192" t="s">
        <v>29</v>
      </c>
      <c r="F232" s="193">
        <v>8.41</v>
      </c>
      <c r="G232" s="194">
        <v>40</v>
      </c>
      <c r="H232" s="193">
        <v>336.4</v>
      </c>
      <c r="I232" s="194">
        <v>40</v>
      </c>
      <c r="J232" s="193">
        <f t="shared" si="186"/>
        <v>336.4</v>
      </c>
      <c r="K232" s="194">
        <v>0</v>
      </c>
      <c r="L232" s="193">
        <f t="shared" si="187"/>
        <v>0</v>
      </c>
      <c r="M232" s="194">
        <f t="shared" si="188"/>
        <v>40</v>
      </c>
      <c r="N232" s="196">
        <f t="shared" si="189"/>
        <v>336.4</v>
      </c>
      <c r="O232" s="194">
        <f t="shared" si="168"/>
        <v>0</v>
      </c>
      <c r="P232" s="196">
        <f t="shared" si="168"/>
        <v>0</v>
      </c>
    </row>
    <row r="233" spans="2:16" ht="12" customHeight="1">
      <c r="B233" s="190" t="s">
        <v>414</v>
      </c>
      <c r="C233" s="191">
        <v>40246</v>
      </c>
      <c r="D233" s="575" t="s">
        <v>149</v>
      </c>
      <c r="E233" s="192" t="s">
        <v>29</v>
      </c>
      <c r="F233" s="193">
        <v>8.08</v>
      </c>
      <c r="G233" s="194">
        <v>29</v>
      </c>
      <c r="H233" s="193">
        <v>234.32</v>
      </c>
      <c r="I233" s="194">
        <v>0</v>
      </c>
      <c r="J233" s="193">
        <f t="shared" si="186"/>
        <v>0</v>
      </c>
      <c r="K233" s="194">
        <f>IFERROR(VLOOKUP(B233,#REF!,18,FALSE),)</f>
        <v>0</v>
      </c>
      <c r="L233" s="193">
        <f t="shared" si="187"/>
        <v>0</v>
      </c>
      <c r="M233" s="194">
        <f t="shared" si="188"/>
        <v>0</v>
      </c>
      <c r="N233" s="196">
        <f t="shared" si="189"/>
        <v>0</v>
      </c>
      <c r="O233" s="194">
        <f t="shared" si="168"/>
        <v>29</v>
      </c>
      <c r="P233" s="196">
        <f t="shared" si="168"/>
        <v>234.32</v>
      </c>
    </row>
    <row r="234" spans="2:16" ht="38.25">
      <c r="B234" s="190" t="s">
        <v>415</v>
      </c>
      <c r="C234" s="191" t="s">
        <v>140</v>
      </c>
      <c r="D234" s="575" t="s">
        <v>150</v>
      </c>
      <c r="E234" s="192" t="s">
        <v>58</v>
      </c>
      <c r="F234" s="193">
        <v>486.08</v>
      </c>
      <c r="G234" s="194">
        <v>14.5</v>
      </c>
      <c r="H234" s="193">
        <v>7048.16</v>
      </c>
      <c r="I234" s="194">
        <v>14.5</v>
      </c>
      <c r="J234" s="193">
        <f>TRUNC(I234*F234,2)</f>
        <v>7048.16</v>
      </c>
      <c r="K234" s="194">
        <v>0</v>
      </c>
      <c r="L234" s="193">
        <f>N234-J234</f>
        <v>0</v>
      </c>
      <c r="M234" s="194">
        <f>K234+I234</f>
        <v>14.5</v>
      </c>
      <c r="N234" s="196">
        <f>TRUNC(M234*F234,2)</f>
        <v>7048.16</v>
      </c>
      <c r="O234" s="194">
        <f t="shared" si="168"/>
        <v>0</v>
      </c>
      <c r="P234" s="196">
        <f t="shared" si="168"/>
        <v>0</v>
      </c>
    </row>
    <row r="235" spans="2:16">
      <c r="B235" s="190" t="s">
        <v>416</v>
      </c>
      <c r="C235" s="191">
        <v>40813</v>
      </c>
      <c r="D235" s="575" t="s">
        <v>151</v>
      </c>
      <c r="E235" s="192" t="s">
        <v>57</v>
      </c>
      <c r="F235" s="193">
        <v>64.3</v>
      </c>
      <c r="G235" s="194">
        <v>134.87</v>
      </c>
      <c r="H235" s="193">
        <v>8672.14</v>
      </c>
      <c r="I235" s="194">
        <v>87.79</v>
      </c>
      <c r="J235" s="193">
        <f>TRUNC(I235*F235,2)</f>
        <v>5644.89</v>
      </c>
      <c r="K235" s="194">
        <v>0</v>
      </c>
      <c r="L235" s="265">
        <f>N235-J235</f>
        <v>0</v>
      </c>
      <c r="M235" s="194">
        <f>K235+I235</f>
        <v>87.79</v>
      </c>
      <c r="N235" s="196">
        <f>TRUNC(M235*F235,2)</f>
        <v>5644.89</v>
      </c>
      <c r="O235" s="194">
        <f t="shared" si="168"/>
        <v>47.08</v>
      </c>
      <c r="P235" s="196">
        <f t="shared" si="168"/>
        <v>3027.2499999999991</v>
      </c>
    </row>
    <row r="236" spans="2:16">
      <c r="B236" s="138"/>
      <c r="C236" s="132"/>
      <c r="D236" s="123"/>
      <c r="E236" s="123"/>
      <c r="F236" s="123"/>
      <c r="G236" s="123"/>
      <c r="H236" s="123"/>
      <c r="I236" s="123"/>
      <c r="J236" s="123"/>
      <c r="K236" s="123"/>
      <c r="L236" s="123"/>
      <c r="M236" s="123"/>
      <c r="N236" s="124"/>
      <c r="O236" s="123"/>
      <c r="P236" s="124"/>
    </row>
    <row r="237" spans="2:16" s="131" customFormat="1">
      <c r="B237" s="137" t="s">
        <v>417</v>
      </c>
      <c r="C237" s="133"/>
      <c r="D237" s="125" t="s">
        <v>153</v>
      </c>
      <c r="E237" s="126"/>
      <c r="F237" s="127"/>
      <c r="G237" s="128"/>
      <c r="H237" s="129">
        <v>15164.92</v>
      </c>
      <c r="I237" s="130"/>
      <c r="J237" s="129">
        <f>SUBTOTAL(9,J238)</f>
        <v>0</v>
      </c>
      <c r="K237" s="130"/>
      <c r="L237" s="129">
        <f>SUBTOTAL(9,L238)</f>
        <v>15164.91</v>
      </c>
      <c r="M237" s="129"/>
      <c r="N237" s="129">
        <f>SUBTOTAL(9,N238)</f>
        <v>15164.91</v>
      </c>
      <c r="O237" s="129">
        <f t="shared" si="168"/>
        <v>0</v>
      </c>
      <c r="P237" s="129">
        <f t="shared" si="168"/>
        <v>1.0000000000218279E-2</v>
      </c>
    </row>
    <row r="238" spans="2:16" s="244" customFormat="1" ht="25.5">
      <c r="B238" s="576" t="s">
        <v>418</v>
      </c>
      <c r="C238" s="238" t="s">
        <v>155</v>
      </c>
      <c r="D238" s="239" t="s">
        <v>156</v>
      </c>
      <c r="E238" s="240" t="s">
        <v>50</v>
      </c>
      <c r="F238" s="241">
        <v>91.41</v>
      </c>
      <c r="G238" s="242">
        <v>165.9</v>
      </c>
      <c r="H238" s="241">
        <v>15164.92</v>
      </c>
      <c r="I238" s="242">
        <v>0</v>
      </c>
      <c r="J238" s="241">
        <f t="shared" ref="J238" si="190">TRUNC(I238*F238,2)</f>
        <v>0</v>
      </c>
      <c r="K238" s="259">
        <f>'[35]3.3.3.1'!R25</f>
        <v>165.89999999999998</v>
      </c>
      <c r="L238" s="260">
        <f t="shared" ref="L238" si="191">N238-J238</f>
        <v>15164.91</v>
      </c>
      <c r="M238" s="242">
        <f t="shared" ref="M238" si="192">K238+I238</f>
        <v>165.89999999999998</v>
      </c>
      <c r="N238" s="243">
        <f t="shared" ref="N238" si="193">TRUNC(M238*F238,2)</f>
        <v>15164.91</v>
      </c>
      <c r="O238" s="242">
        <f t="shared" si="168"/>
        <v>0</v>
      </c>
      <c r="P238" s="243">
        <f t="shared" si="168"/>
        <v>1.0000000000218279E-2</v>
      </c>
    </row>
    <row r="239" spans="2:16">
      <c r="B239" s="138"/>
      <c r="C239" s="132"/>
      <c r="D239" s="123"/>
      <c r="E239" s="123"/>
      <c r="F239" s="123"/>
      <c r="G239" s="123"/>
      <c r="H239" s="123"/>
      <c r="I239" s="123"/>
      <c r="J239" s="123"/>
      <c r="K239" s="123"/>
      <c r="L239" s="123"/>
      <c r="M239" s="123"/>
      <c r="N239" s="124"/>
      <c r="O239" s="123">
        <f t="shared" si="168"/>
        <v>0</v>
      </c>
      <c r="P239" s="124">
        <f t="shared" si="168"/>
        <v>0</v>
      </c>
    </row>
    <row r="240" spans="2:16" s="131" customFormat="1">
      <c r="B240" s="137" t="s">
        <v>419</v>
      </c>
      <c r="C240" s="133"/>
      <c r="D240" s="125" t="s">
        <v>158</v>
      </c>
      <c r="E240" s="126"/>
      <c r="F240" s="127"/>
      <c r="G240" s="128"/>
      <c r="H240" s="129">
        <v>3771.01</v>
      </c>
      <c r="I240" s="130"/>
      <c r="J240" s="129">
        <f>SUBTOTAL(9,J241:J243)</f>
        <v>0</v>
      </c>
      <c r="K240" s="130"/>
      <c r="L240" s="129">
        <f>SUBTOTAL(9,L241:L243)</f>
        <v>0</v>
      </c>
      <c r="M240" s="129"/>
      <c r="N240" s="129">
        <f>SUBTOTAL(9,N241:N243)</f>
        <v>0</v>
      </c>
      <c r="O240" s="129">
        <f t="shared" si="168"/>
        <v>0</v>
      </c>
      <c r="P240" s="129">
        <f t="shared" si="168"/>
        <v>3771.01</v>
      </c>
    </row>
    <row r="241" spans="2:16" ht="25.5">
      <c r="B241" s="190" t="s">
        <v>420</v>
      </c>
      <c r="C241" s="191" t="s">
        <v>155</v>
      </c>
      <c r="D241" s="575" t="s">
        <v>156</v>
      </c>
      <c r="E241" s="192" t="s">
        <v>50</v>
      </c>
      <c r="F241" s="193">
        <v>91.41</v>
      </c>
      <c r="G241" s="194">
        <v>29.33</v>
      </c>
      <c r="H241" s="193">
        <v>2681.06</v>
      </c>
      <c r="I241" s="194">
        <v>0</v>
      </c>
      <c r="J241" s="193">
        <f t="shared" ref="J241" si="194">TRUNC(I241*F241,2)</f>
        <v>0</v>
      </c>
      <c r="K241" s="194">
        <f>IFERROR(VLOOKUP(B241,#REF!,18,FALSE),)</f>
        <v>0</v>
      </c>
      <c r="L241" s="193">
        <f t="shared" ref="L241" si="195">N241-J241</f>
        <v>0</v>
      </c>
      <c r="M241" s="194">
        <f t="shared" ref="M241" si="196">K241+I241</f>
        <v>0</v>
      </c>
      <c r="N241" s="196">
        <f t="shared" ref="N241" si="197">TRUNC(M241*F241,2)</f>
        <v>0</v>
      </c>
      <c r="O241" s="194">
        <f t="shared" si="168"/>
        <v>29.33</v>
      </c>
      <c r="P241" s="196">
        <f t="shared" si="168"/>
        <v>2681.06</v>
      </c>
    </row>
    <row r="242" spans="2:16">
      <c r="B242" s="190" t="s">
        <v>421</v>
      </c>
      <c r="C242" s="191">
        <v>200323</v>
      </c>
      <c r="D242" s="575" t="s">
        <v>162</v>
      </c>
      <c r="E242" s="192" t="s">
        <v>58</v>
      </c>
      <c r="F242" s="193">
        <v>125.94</v>
      </c>
      <c r="G242" s="194">
        <v>6.62</v>
      </c>
      <c r="H242" s="193">
        <v>833.72</v>
      </c>
      <c r="I242" s="194">
        <v>0</v>
      </c>
      <c r="J242" s="193">
        <f>TRUNC(I242*F242,2)</f>
        <v>0</v>
      </c>
      <c r="K242" s="194">
        <f>IFERROR(VLOOKUP(B242,#REF!,18,FALSE),)</f>
        <v>0</v>
      </c>
      <c r="L242" s="193">
        <f>N242-J242</f>
        <v>0</v>
      </c>
      <c r="M242" s="194">
        <f>K242+I242</f>
        <v>0</v>
      </c>
      <c r="N242" s="196">
        <f>TRUNC(M242*F242,2)</f>
        <v>0</v>
      </c>
      <c r="O242" s="194">
        <f t="shared" si="168"/>
        <v>6.62</v>
      </c>
      <c r="P242" s="196">
        <f t="shared" si="168"/>
        <v>833.72</v>
      </c>
    </row>
    <row r="243" spans="2:16" ht="38.25">
      <c r="B243" s="190" t="s">
        <v>422</v>
      </c>
      <c r="C243" s="191">
        <v>50501</v>
      </c>
      <c r="D243" s="575" t="s">
        <v>916</v>
      </c>
      <c r="E243" s="192" t="s">
        <v>57</v>
      </c>
      <c r="F243" s="193">
        <v>94.9</v>
      </c>
      <c r="G243" s="194">
        <v>2.7</v>
      </c>
      <c r="H243" s="193">
        <v>256.23</v>
      </c>
      <c r="I243" s="194">
        <v>0</v>
      </c>
      <c r="J243" s="193">
        <f t="shared" ref="J243" si="198">TRUNC(I243*F243,2)</f>
        <v>0</v>
      </c>
      <c r="K243" s="194">
        <f>IFERROR(VLOOKUP(B243,#REF!,18,FALSE),)</f>
        <v>0</v>
      </c>
      <c r="L243" s="193">
        <f t="shared" ref="L243" si="199">N243-J243</f>
        <v>0</v>
      </c>
      <c r="M243" s="194">
        <f t="shared" ref="M243" si="200">K243+I243</f>
        <v>0</v>
      </c>
      <c r="N243" s="196">
        <f t="shared" ref="N243" si="201">TRUNC(M243*F243,2)</f>
        <v>0</v>
      </c>
      <c r="O243" s="194">
        <f t="shared" si="168"/>
        <v>2.7</v>
      </c>
      <c r="P243" s="196">
        <f t="shared" si="168"/>
        <v>256.23</v>
      </c>
    </row>
    <row r="244" spans="2:16">
      <c r="B244" s="138"/>
      <c r="C244" s="132"/>
      <c r="D244" s="123"/>
      <c r="E244" s="123"/>
      <c r="F244" s="123"/>
      <c r="G244" s="123"/>
      <c r="H244" s="123"/>
      <c r="I244" s="123"/>
      <c r="J244" s="123"/>
      <c r="K244" s="123"/>
      <c r="L244" s="123"/>
      <c r="M244" s="123"/>
      <c r="N244" s="124"/>
      <c r="O244" s="123">
        <f t="shared" si="168"/>
        <v>0</v>
      </c>
      <c r="P244" s="124">
        <f t="shared" si="168"/>
        <v>0</v>
      </c>
    </row>
    <row r="245" spans="2:16" s="131" customFormat="1">
      <c r="B245" s="137" t="s">
        <v>423</v>
      </c>
      <c r="C245" s="133"/>
      <c r="D245" s="125" t="s">
        <v>164</v>
      </c>
      <c r="E245" s="126"/>
      <c r="F245" s="127"/>
      <c r="G245" s="128"/>
      <c r="H245" s="129">
        <v>9601.49</v>
      </c>
      <c r="I245" s="130"/>
      <c r="J245" s="129">
        <f>SUBTOTAL(9,J246:J250)</f>
        <v>9601.49</v>
      </c>
      <c r="K245" s="130"/>
      <c r="L245" s="129">
        <f>SUBTOTAL(9,L246:L250)</f>
        <v>0</v>
      </c>
      <c r="M245" s="129"/>
      <c r="N245" s="129">
        <f>SUBTOTAL(9,N246:N250)</f>
        <v>9601.49</v>
      </c>
      <c r="O245" s="129">
        <f t="shared" si="168"/>
        <v>0</v>
      </c>
      <c r="P245" s="129">
        <f t="shared" si="168"/>
        <v>0</v>
      </c>
    </row>
    <row r="246" spans="2:16" ht="38.25">
      <c r="B246" s="190" t="s">
        <v>424</v>
      </c>
      <c r="C246" s="191">
        <v>40339</v>
      </c>
      <c r="D246" s="575" t="s">
        <v>184</v>
      </c>
      <c r="E246" s="192" t="s">
        <v>57</v>
      </c>
      <c r="F246" s="193">
        <v>91.04</v>
      </c>
      <c r="G246" s="194">
        <v>51</v>
      </c>
      <c r="H246" s="193">
        <v>4643.04</v>
      </c>
      <c r="I246" s="194">
        <v>51</v>
      </c>
      <c r="J246" s="193">
        <f t="shared" ref="J246" si="202">TRUNC(I246*F246,2)</f>
        <v>4643.04</v>
      </c>
      <c r="K246" s="264">
        <v>0</v>
      </c>
      <c r="L246" s="263">
        <f t="shared" ref="L246" si="203">N246-J246</f>
        <v>0</v>
      </c>
      <c r="M246" s="194">
        <f t="shared" ref="M246" si="204">K246+I246</f>
        <v>51</v>
      </c>
      <c r="N246" s="196">
        <f t="shared" ref="N246" si="205">TRUNC(M246*F246,2)</f>
        <v>4643.04</v>
      </c>
      <c r="O246" s="194">
        <f t="shared" si="168"/>
        <v>0</v>
      </c>
      <c r="P246" s="196">
        <f t="shared" si="168"/>
        <v>0</v>
      </c>
    </row>
    <row r="247" spans="2:16" ht="25.5">
      <c r="B247" s="190" t="s">
        <v>425</v>
      </c>
      <c r="C247" s="191">
        <v>40328</v>
      </c>
      <c r="D247" s="575" t="s">
        <v>147</v>
      </c>
      <c r="E247" s="192" t="s">
        <v>29</v>
      </c>
      <c r="F247" s="193">
        <v>7.98</v>
      </c>
      <c r="G247" s="194">
        <v>160</v>
      </c>
      <c r="H247" s="193">
        <v>1276.8</v>
      </c>
      <c r="I247" s="194">
        <v>160</v>
      </c>
      <c r="J247" s="193">
        <f>TRUNC(I247*F247,2)</f>
        <v>1276.8</v>
      </c>
      <c r="K247" s="264">
        <v>0</v>
      </c>
      <c r="L247" s="263">
        <f>N247-J247</f>
        <v>0</v>
      </c>
      <c r="M247" s="194">
        <f>K247+I247</f>
        <v>160</v>
      </c>
      <c r="N247" s="196">
        <f>TRUNC(M247*F247,2)</f>
        <v>1276.8</v>
      </c>
      <c r="O247" s="194">
        <f t="shared" si="168"/>
        <v>0</v>
      </c>
      <c r="P247" s="196">
        <f t="shared" si="168"/>
        <v>0</v>
      </c>
    </row>
    <row r="248" spans="2:16" ht="25.5">
      <c r="B248" s="190" t="s">
        <v>426</v>
      </c>
      <c r="C248" s="191">
        <v>40245</v>
      </c>
      <c r="D248" s="575" t="s">
        <v>148</v>
      </c>
      <c r="E248" s="192" t="s">
        <v>29</v>
      </c>
      <c r="F248" s="193">
        <v>8.41</v>
      </c>
      <c r="G248" s="194">
        <v>199</v>
      </c>
      <c r="H248" s="193">
        <v>1673.59</v>
      </c>
      <c r="I248" s="194">
        <v>199</v>
      </c>
      <c r="J248" s="193">
        <f t="shared" ref="J248:J250" si="206">TRUNC(I248*F248,2)</f>
        <v>1673.59</v>
      </c>
      <c r="K248" s="264">
        <v>0</v>
      </c>
      <c r="L248" s="263">
        <f t="shared" ref="L248:L250" si="207">N248-J248</f>
        <v>0</v>
      </c>
      <c r="M248" s="194">
        <f t="shared" ref="M248:M250" si="208">K248+I248</f>
        <v>199</v>
      </c>
      <c r="N248" s="196">
        <f t="shared" ref="N248:N250" si="209">TRUNC(M248*F248,2)</f>
        <v>1673.59</v>
      </c>
      <c r="O248" s="194">
        <f t="shared" si="168"/>
        <v>0</v>
      </c>
      <c r="P248" s="196">
        <f t="shared" si="168"/>
        <v>0</v>
      </c>
    </row>
    <row r="249" spans="2:16" ht="25.5">
      <c r="B249" s="190" t="s">
        <v>427</v>
      </c>
      <c r="C249" s="191">
        <v>40246</v>
      </c>
      <c r="D249" s="575" t="s">
        <v>149</v>
      </c>
      <c r="E249" s="192" t="s">
        <v>29</v>
      </c>
      <c r="F249" s="193">
        <v>8.08</v>
      </c>
      <c r="G249" s="194">
        <v>50</v>
      </c>
      <c r="H249" s="193">
        <v>404</v>
      </c>
      <c r="I249" s="194">
        <v>50</v>
      </c>
      <c r="J249" s="193">
        <f t="shared" si="206"/>
        <v>404</v>
      </c>
      <c r="K249" s="264">
        <v>0</v>
      </c>
      <c r="L249" s="263">
        <f t="shared" si="207"/>
        <v>0</v>
      </c>
      <c r="M249" s="194">
        <f t="shared" si="208"/>
        <v>50</v>
      </c>
      <c r="N249" s="196">
        <f t="shared" si="209"/>
        <v>404</v>
      </c>
      <c r="O249" s="194">
        <f t="shared" si="168"/>
        <v>0</v>
      </c>
      <c r="P249" s="196">
        <f t="shared" si="168"/>
        <v>0</v>
      </c>
    </row>
    <row r="250" spans="2:16" ht="38.25">
      <c r="B250" s="190" t="s">
        <v>428</v>
      </c>
      <c r="C250" s="191" t="s">
        <v>140</v>
      </c>
      <c r="D250" s="575" t="s">
        <v>150</v>
      </c>
      <c r="E250" s="192" t="s">
        <v>58</v>
      </c>
      <c r="F250" s="193">
        <v>486.08</v>
      </c>
      <c r="G250" s="194">
        <v>3.3</v>
      </c>
      <c r="H250" s="193">
        <v>1604.06</v>
      </c>
      <c r="I250" s="194">
        <v>3.3</v>
      </c>
      <c r="J250" s="193">
        <f t="shared" si="206"/>
        <v>1604.06</v>
      </c>
      <c r="K250" s="264">
        <v>0</v>
      </c>
      <c r="L250" s="263">
        <f t="shared" si="207"/>
        <v>0</v>
      </c>
      <c r="M250" s="194">
        <f t="shared" si="208"/>
        <v>3.3</v>
      </c>
      <c r="N250" s="196">
        <f t="shared" si="209"/>
        <v>1604.06</v>
      </c>
      <c r="O250" s="194">
        <f t="shared" si="168"/>
        <v>0</v>
      </c>
      <c r="P250" s="196">
        <f t="shared" si="168"/>
        <v>0</v>
      </c>
    </row>
    <row r="251" spans="2:16">
      <c r="B251" s="138"/>
      <c r="C251" s="132"/>
      <c r="D251" s="123"/>
      <c r="E251" s="123"/>
      <c r="F251" s="123"/>
      <c r="G251" s="123"/>
      <c r="H251" s="123"/>
      <c r="I251" s="123"/>
      <c r="J251" s="123"/>
      <c r="K251" s="123"/>
      <c r="L251" s="123"/>
      <c r="M251" s="123"/>
      <c r="N251" s="124"/>
      <c r="O251" s="123">
        <f t="shared" si="168"/>
        <v>0</v>
      </c>
      <c r="P251" s="124">
        <f t="shared" si="168"/>
        <v>0</v>
      </c>
    </row>
    <row r="252" spans="2:16" s="131" customFormat="1">
      <c r="B252" s="137" t="s">
        <v>429</v>
      </c>
      <c r="C252" s="133"/>
      <c r="D252" s="125" t="s">
        <v>171</v>
      </c>
      <c r="E252" s="126"/>
      <c r="F252" s="127"/>
      <c r="G252" s="128"/>
      <c r="H252" s="129">
        <v>20580.71</v>
      </c>
      <c r="I252" s="130"/>
      <c r="J252" s="129">
        <f>SUBTOTAL(9,J253:J257)</f>
        <v>20580.7</v>
      </c>
      <c r="K252" s="130"/>
      <c r="L252" s="129">
        <f>SUBTOTAL(9,L253:L257)</f>
        <v>0</v>
      </c>
      <c r="M252" s="129"/>
      <c r="N252" s="129">
        <f>SUBTOTAL(9,N253:N257)</f>
        <v>20580.7</v>
      </c>
      <c r="O252" s="129">
        <f t="shared" si="168"/>
        <v>0</v>
      </c>
      <c r="P252" s="129">
        <f t="shared" si="168"/>
        <v>9.9999999983992893E-3</v>
      </c>
    </row>
    <row r="253" spans="2:16" ht="38.25">
      <c r="B253" s="190" t="s">
        <v>430</v>
      </c>
      <c r="C253" s="191">
        <v>40339</v>
      </c>
      <c r="D253" s="575" t="s">
        <v>184</v>
      </c>
      <c r="E253" s="192" t="s">
        <v>57</v>
      </c>
      <c r="F253" s="193">
        <v>91.04</v>
      </c>
      <c r="G253" s="194">
        <v>100</v>
      </c>
      <c r="H253" s="193">
        <v>9104</v>
      </c>
      <c r="I253" s="194">
        <v>100</v>
      </c>
      <c r="J253" s="193">
        <f t="shared" ref="J253" si="210">TRUNC(I253*F253,2)</f>
        <v>9104</v>
      </c>
      <c r="K253" s="264">
        <v>0</v>
      </c>
      <c r="L253" s="263">
        <f t="shared" ref="L253" si="211">N253-J253</f>
        <v>0</v>
      </c>
      <c r="M253" s="194">
        <f t="shared" ref="M253" si="212">K253+I253</f>
        <v>100</v>
      </c>
      <c r="N253" s="196">
        <f t="shared" ref="N253" si="213">TRUNC(M253*F253,2)</f>
        <v>9104</v>
      </c>
      <c r="O253" s="194">
        <f t="shared" si="168"/>
        <v>0</v>
      </c>
      <c r="P253" s="196">
        <f t="shared" si="168"/>
        <v>0</v>
      </c>
    </row>
    <row r="254" spans="2:16" ht="25.5">
      <c r="B254" s="190" t="s">
        <v>431</v>
      </c>
      <c r="C254" s="191">
        <v>40328</v>
      </c>
      <c r="D254" s="575" t="s">
        <v>147</v>
      </c>
      <c r="E254" s="192" t="s">
        <v>29</v>
      </c>
      <c r="F254" s="193">
        <v>7.98</v>
      </c>
      <c r="G254" s="194">
        <v>481</v>
      </c>
      <c r="H254" s="193">
        <v>3838.38</v>
      </c>
      <c r="I254" s="194">
        <v>481</v>
      </c>
      <c r="J254" s="193">
        <f>TRUNC(I254*F254,2)</f>
        <v>3838.38</v>
      </c>
      <c r="K254" s="264">
        <v>0</v>
      </c>
      <c r="L254" s="263">
        <f>N254-J254</f>
        <v>0</v>
      </c>
      <c r="M254" s="194">
        <f>K254+I254</f>
        <v>481</v>
      </c>
      <c r="N254" s="196">
        <f>TRUNC(M254*F254,2)</f>
        <v>3838.38</v>
      </c>
      <c r="O254" s="194">
        <f t="shared" si="168"/>
        <v>0</v>
      </c>
      <c r="P254" s="196">
        <f t="shared" si="168"/>
        <v>0</v>
      </c>
    </row>
    <row r="255" spans="2:16" ht="25.5">
      <c r="B255" s="190" t="s">
        <v>432</v>
      </c>
      <c r="C255" s="191">
        <v>40245</v>
      </c>
      <c r="D255" s="575" t="s">
        <v>148</v>
      </c>
      <c r="E255" s="192" t="s">
        <v>29</v>
      </c>
      <c r="F255" s="193">
        <v>8.41</v>
      </c>
      <c r="G255" s="194">
        <v>287</v>
      </c>
      <c r="H255" s="193">
        <v>2413.67</v>
      </c>
      <c r="I255" s="194">
        <v>287</v>
      </c>
      <c r="J255" s="193">
        <f t="shared" ref="J255:J257" si="214">TRUNC(I255*F255,2)</f>
        <v>2413.67</v>
      </c>
      <c r="K255" s="264">
        <v>0</v>
      </c>
      <c r="L255" s="263">
        <f t="shared" ref="L255:L257" si="215">N255-J255</f>
        <v>0</v>
      </c>
      <c r="M255" s="194">
        <f t="shared" ref="M255:M257" si="216">K255+I255</f>
        <v>287</v>
      </c>
      <c r="N255" s="196">
        <f t="shared" ref="N255:N257" si="217">TRUNC(M255*F255,2)</f>
        <v>2413.67</v>
      </c>
      <c r="O255" s="194">
        <f t="shared" si="168"/>
        <v>0</v>
      </c>
      <c r="P255" s="196">
        <f t="shared" si="168"/>
        <v>0</v>
      </c>
    </row>
    <row r="256" spans="2:16" ht="25.5">
      <c r="B256" s="190" t="s">
        <v>433</v>
      </c>
      <c r="C256" s="191">
        <v>40246</v>
      </c>
      <c r="D256" s="575" t="s">
        <v>149</v>
      </c>
      <c r="E256" s="192" t="s">
        <v>29</v>
      </c>
      <c r="F256" s="193">
        <v>8.08</v>
      </c>
      <c r="G256" s="194">
        <v>33</v>
      </c>
      <c r="H256" s="193">
        <v>266.64</v>
      </c>
      <c r="I256" s="194">
        <v>33</v>
      </c>
      <c r="J256" s="193">
        <f t="shared" si="214"/>
        <v>266.64</v>
      </c>
      <c r="K256" s="264">
        <v>0</v>
      </c>
      <c r="L256" s="263">
        <f t="shared" si="215"/>
        <v>0</v>
      </c>
      <c r="M256" s="194">
        <f t="shared" si="216"/>
        <v>33</v>
      </c>
      <c r="N256" s="196">
        <f t="shared" si="217"/>
        <v>266.64</v>
      </c>
      <c r="O256" s="194">
        <f t="shared" si="168"/>
        <v>0</v>
      </c>
      <c r="P256" s="196">
        <f t="shared" si="168"/>
        <v>0</v>
      </c>
    </row>
    <row r="257" spans="2:16" ht="51">
      <c r="B257" s="190" t="s">
        <v>434</v>
      </c>
      <c r="C257" s="191" t="s">
        <v>140</v>
      </c>
      <c r="D257" s="575" t="s">
        <v>177</v>
      </c>
      <c r="E257" s="192" t="s">
        <v>58</v>
      </c>
      <c r="F257" s="193">
        <v>486.08</v>
      </c>
      <c r="G257" s="194">
        <v>10.199999999999999</v>
      </c>
      <c r="H257" s="193">
        <v>4958.0200000000004</v>
      </c>
      <c r="I257" s="194">
        <f>'[35]3,3.6.5'!R27</f>
        <v>10.199999999999999</v>
      </c>
      <c r="J257" s="193">
        <f t="shared" si="214"/>
        <v>4958.01</v>
      </c>
      <c r="K257" s="264">
        <f>'[35]3,3.6.5'!R28</f>
        <v>0</v>
      </c>
      <c r="L257" s="263">
        <f t="shared" si="215"/>
        <v>0</v>
      </c>
      <c r="M257" s="194">
        <f t="shared" si="216"/>
        <v>10.199999999999999</v>
      </c>
      <c r="N257" s="196">
        <f t="shared" si="217"/>
        <v>4958.01</v>
      </c>
      <c r="O257" s="194">
        <f t="shared" si="168"/>
        <v>0</v>
      </c>
      <c r="P257" s="196">
        <v>0</v>
      </c>
    </row>
    <row r="258" spans="2:16">
      <c r="B258" s="138"/>
      <c r="C258" s="132"/>
      <c r="D258" s="123"/>
      <c r="E258" s="123"/>
      <c r="F258" s="123"/>
      <c r="G258" s="123"/>
      <c r="H258" s="123"/>
      <c r="I258" s="123"/>
      <c r="J258" s="123"/>
      <c r="K258" s="123"/>
      <c r="L258" s="123"/>
      <c r="M258" s="123"/>
      <c r="N258" s="124"/>
      <c r="O258" s="123">
        <f t="shared" si="168"/>
        <v>0</v>
      </c>
      <c r="P258" s="124">
        <f t="shared" si="168"/>
        <v>0</v>
      </c>
    </row>
    <row r="259" spans="2:16" s="131" customFormat="1">
      <c r="B259" s="137" t="s">
        <v>435</v>
      </c>
      <c r="C259" s="133"/>
      <c r="D259" s="125" t="s">
        <v>179</v>
      </c>
      <c r="E259" s="126"/>
      <c r="F259" s="127"/>
      <c r="G259" s="128"/>
      <c r="H259" s="129">
        <v>23928.71</v>
      </c>
      <c r="I259" s="130"/>
      <c r="J259" s="129">
        <f>SUBTOTAL(9,J260:J263)</f>
        <v>23928.7</v>
      </c>
      <c r="K259" s="130"/>
      <c r="L259" s="129">
        <f>SUBTOTAL(9,L260:L263)</f>
        <v>0</v>
      </c>
      <c r="M259" s="129"/>
      <c r="N259" s="129">
        <f>SUBTOTAL(9,N260:N263)</f>
        <v>23928.7</v>
      </c>
      <c r="O259" s="129">
        <f t="shared" si="168"/>
        <v>0</v>
      </c>
      <c r="P259" s="129">
        <f t="shared" si="168"/>
        <v>9.9999999983992893E-3</v>
      </c>
    </row>
    <row r="260" spans="2:16" ht="38.25">
      <c r="B260" s="190" t="s">
        <v>436</v>
      </c>
      <c r="C260" s="191">
        <v>40339</v>
      </c>
      <c r="D260" s="575" t="s">
        <v>184</v>
      </c>
      <c r="E260" s="192" t="s">
        <v>57</v>
      </c>
      <c r="F260" s="193">
        <v>91.04</v>
      </c>
      <c r="G260" s="194">
        <v>33</v>
      </c>
      <c r="H260" s="193">
        <v>3004.32</v>
      </c>
      <c r="I260" s="194">
        <f>'[35]3.3.7.1'!R26</f>
        <v>33</v>
      </c>
      <c r="J260" s="193">
        <f t="shared" ref="J260" si="218">TRUNC(I260*F260,2)</f>
        <v>3004.32</v>
      </c>
      <c r="K260" s="264">
        <f>'[35]3.3.7.1'!R27</f>
        <v>0</v>
      </c>
      <c r="L260" s="263">
        <f t="shared" ref="L260" si="219">N260-J260</f>
        <v>0</v>
      </c>
      <c r="M260" s="194">
        <f t="shared" ref="M260" si="220">K260+I260</f>
        <v>33</v>
      </c>
      <c r="N260" s="196">
        <f t="shared" ref="N260" si="221">TRUNC(M260*F260,2)</f>
        <v>3004.32</v>
      </c>
      <c r="O260" s="194">
        <f t="shared" si="168"/>
        <v>0</v>
      </c>
      <c r="P260" s="196">
        <f t="shared" si="168"/>
        <v>0</v>
      </c>
    </row>
    <row r="261" spans="2:16" ht="25.5">
      <c r="B261" s="190" t="s">
        <v>437</v>
      </c>
      <c r="C261" s="191">
        <v>40328</v>
      </c>
      <c r="D261" s="575" t="s">
        <v>147</v>
      </c>
      <c r="E261" s="192" t="s">
        <v>29</v>
      </c>
      <c r="F261" s="193">
        <v>7.98</v>
      </c>
      <c r="G261" s="194">
        <v>344</v>
      </c>
      <c r="H261" s="193">
        <v>2745.12</v>
      </c>
      <c r="I261" s="194">
        <v>344</v>
      </c>
      <c r="J261" s="193">
        <f>TRUNC(I261*F261,2)</f>
        <v>2745.12</v>
      </c>
      <c r="K261" s="264">
        <v>0</v>
      </c>
      <c r="L261" s="263">
        <f>N261-J261</f>
        <v>0</v>
      </c>
      <c r="M261" s="194">
        <f>K261+I261</f>
        <v>344</v>
      </c>
      <c r="N261" s="196">
        <f>TRUNC(M261*F261,2)</f>
        <v>2745.12</v>
      </c>
      <c r="O261" s="194">
        <f t="shared" si="168"/>
        <v>0</v>
      </c>
      <c r="P261" s="196">
        <f t="shared" si="168"/>
        <v>0</v>
      </c>
    </row>
    <row r="262" spans="2:16" ht="52.5" customHeight="1">
      <c r="B262" s="190" t="s">
        <v>438</v>
      </c>
      <c r="C262" s="191" t="s">
        <v>140</v>
      </c>
      <c r="D262" s="575" t="s">
        <v>177</v>
      </c>
      <c r="E262" s="192" t="s">
        <v>58</v>
      </c>
      <c r="F262" s="193">
        <v>486.08</v>
      </c>
      <c r="G262" s="194">
        <v>7.34</v>
      </c>
      <c r="H262" s="193">
        <v>3567.83</v>
      </c>
      <c r="I262" s="194">
        <f>'[35]3.3.7.3'!R26</f>
        <v>7.34</v>
      </c>
      <c r="J262" s="193">
        <f t="shared" ref="J262:J263" si="222">TRUNC(I262*F262,2)</f>
        <v>3567.82</v>
      </c>
      <c r="K262" s="264">
        <f>'[35]3.3.7.3'!R27</f>
        <v>0</v>
      </c>
      <c r="L262" s="263">
        <f t="shared" ref="L262:L263" si="223">N262-J262</f>
        <v>0</v>
      </c>
      <c r="M262" s="194">
        <f t="shared" ref="M262:M263" si="224">K262+I262</f>
        <v>7.34</v>
      </c>
      <c r="N262" s="196">
        <f t="shared" ref="N262:N263" si="225">TRUNC(M262*F262,2)</f>
        <v>3567.82</v>
      </c>
      <c r="O262" s="194">
        <f t="shared" si="168"/>
        <v>0</v>
      </c>
      <c r="P262" s="196">
        <f t="shared" si="168"/>
        <v>9.9999999997635314E-3</v>
      </c>
    </row>
    <row r="263" spans="2:16" ht="25.5">
      <c r="B263" s="190" t="s">
        <v>439</v>
      </c>
      <c r="C263" s="191">
        <v>40602</v>
      </c>
      <c r="D263" s="575" t="s">
        <v>185</v>
      </c>
      <c r="E263" s="192" t="s">
        <v>57</v>
      </c>
      <c r="F263" s="193">
        <v>79.41</v>
      </c>
      <c r="G263" s="194">
        <v>184</v>
      </c>
      <c r="H263" s="193">
        <v>14611.44</v>
      </c>
      <c r="I263" s="194">
        <f>'[35]3.3.7.4'!R26</f>
        <v>184</v>
      </c>
      <c r="J263" s="193">
        <f t="shared" si="222"/>
        <v>14611.44</v>
      </c>
      <c r="K263" s="264">
        <f>'[35]3.3.7.4'!R27</f>
        <v>0</v>
      </c>
      <c r="L263" s="263">
        <f t="shared" si="223"/>
        <v>0</v>
      </c>
      <c r="M263" s="194">
        <f t="shared" si="224"/>
        <v>184</v>
      </c>
      <c r="N263" s="196">
        <f t="shared" si="225"/>
        <v>14611.44</v>
      </c>
      <c r="O263" s="194">
        <f t="shared" si="168"/>
        <v>0</v>
      </c>
      <c r="P263" s="196">
        <f t="shared" si="168"/>
        <v>0</v>
      </c>
    </row>
    <row r="264" spans="2:16">
      <c r="B264" s="138"/>
      <c r="C264" s="132"/>
      <c r="D264" s="123"/>
      <c r="E264" s="123"/>
      <c r="F264" s="123"/>
      <c r="G264" s="123"/>
      <c r="H264" s="123"/>
      <c r="I264" s="123"/>
      <c r="J264" s="123"/>
      <c r="K264" s="123"/>
      <c r="L264" s="123"/>
      <c r="M264" s="123"/>
      <c r="N264" s="124"/>
      <c r="O264" s="123">
        <f t="shared" si="168"/>
        <v>0</v>
      </c>
      <c r="P264" s="124">
        <f t="shared" si="168"/>
        <v>0</v>
      </c>
    </row>
    <row r="265" spans="2:16" s="131" customFormat="1">
      <c r="B265" s="137" t="s">
        <v>440</v>
      </c>
      <c r="C265" s="133"/>
      <c r="D265" s="125" t="s">
        <v>187</v>
      </c>
      <c r="E265" s="126"/>
      <c r="F265" s="127"/>
      <c r="G265" s="128"/>
      <c r="H265" s="129">
        <v>52096.84</v>
      </c>
      <c r="I265" s="130"/>
      <c r="J265" s="129">
        <f>SUBTOTAL(9,J266:J271)</f>
        <v>2722.73</v>
      </c>
      <c r="K265" s="130"/>
      <c r="L265" s="129">
        <f>SUBTOTAL(9,L266:L271)</f>
        <v>36342.49</v>
      </c>
      <c r="M265" s="129"/>
      <c r="N265" s="129">
        <f>SUBTOTAL(9,N266:N271)</f>
        <v>39065.220000000008</v>
      </c>
      <c r="O265" s="129">
        <f t="shared" si="168"/>
        <v>0</v>
      </c>
      <c r="P265" s="129">
        <f t="shared" si="168"/>
        <v>13031.619999999988</v>
      </c>
    </row>
    <row r="266" spans="2:16" s="244" customFormat="1" ht="51">
      <c r="B266" s="576" t="s">
        <v>441</v>
      </c>
      <c r="C266" s="238">
        <v>90102</v>
      </c>
      <c r="D266" s="239" t="s">
        <v>194</v>
      </c>
      <c r="E266" s="240" t="s">
        <v>57</v>
      </c>
      <c r="F266" s="241">
        <v>89.99</v>
      </c>
      <c r="G266" s="242">
        <v>208.03</v>
      </c>
      <c r="H266" s="241">
        <v>18720.62</v>
      </c>
      <c r="I266" s="242">
        <v>0</v>
      </c>
      <c r="J266" s="241">
        <f t="shared" ref="J266" si="226">TRUNC(I266*F266,2)</f>
        <v>0</v>
      </c>
      <c r="K266" s="259">
        <f>G266</f>
        <v>208.03</v>
      </c>
      <c r="L266" s="260">
        <f t="shared" ref="L266" si="227">N266-J266</f>
        <v>18720.61</v>
      </c>
      <c r="M266" s="242">
        <f t="shared" ref="M266" si="228">K266+I266</f>
        <v>208.03</v>
      </c>
      <c r="N266" s="243">
        <f t="shared" ref="N266" si="229">TRUNC(M266*F266,2)</f>
        <v>18720.61</v>
      </c>
      <c r="O266" s="242">
        <f t="shared" si="168"/>
        <v>0</v>
      </c>
      <c r="P266" s="243">
        <f t="shared" si="168"/>
        <v>9.9999999983992893E-3</v>
      </c>
    </row>
    <row r="267" spans="2:16" s="244" customFormat="1" ht="51">
      <c r="B267" s="576" t="s">
        <v>442</v>
      </c>
      <c r="C267" s="238">
        <v>90223</v>
      </c>
      <c r="D267" s="239" t="s">
        <v>195</v>
      </c>
      <c r="E267" s="240" t="s">
        <v>57</v>
      </c>
      <c r="F267" s="241">
        <v>124.46</v>
      </c>
      <c r="G267" s="242">
        <v>209.41</v>
      </c>
      <c r="H267" s="241">
        <v>26063.17</v>
      </c>
      <c r="I267" s="242">
        <v>0</v>
      </c>
      <c r="J267" s="241">
        <f>TRUNC(I267*F267,2)</f>
        <v>0</v>
      </c>
      <c r="K267" s="259">
        <f>'[35]3.3.8.2'!R25</f>
        <v>104.705</v>
      </c>
      <c r="L267" s="260">
        <f>N267-J267</f>
        <v>13031.58</v>
      </c>
      <c r="M267" s="242">
        <f>K267+I267</f>
        <v>104.705</v>
      </c>
      <c r="N267" s="243">
        <f>TRUNC(M267*F267,2)</f>
        <v>13031.58</v>
      </c>
      <c r="O267" s="242">
        <f t="shared" si="168"/>
        <v>104.705</v>
      </c>
      <c r="P267" s="243">
        <f t="shared" si="168"/>
        <v>13031.589999999998</v>
      </c>
    </row>
    <row r="268" spans="2:16" ht="51">
      <c r="B268" s="190" t="s">
        <v>443</v>
      </c>
      <c r="C268" s="191">
        <v>40339</v>
      </c>
      <c r="D268" s="575" t="s">
        <v>196</v>
      </c>
      <c r="E268" s="192" t="s">
        <v>57</v>
      </c>
      <c r="F268" s="193">
        <v>91.04</v>
      </c>
      <c r="G268" s="194">
        <v>23.5</v>
      </c>
      <c r="H268" s="193">
        <v>2139.44</v>
      </c>
      <c r="I268" s="194">
        <f>'[35]3.3.8.3'!R24</f>
        <v>23.5</v>
      </c>
      <c r="J268" s="193">
        <f t="shared" ref="J268:J271" si="230">TRUNC(I268*F268,2)</f>
        <v>2139.44</v>
      </c>
      <c r="K268" s="264">
        <f>'[35]3.3.8.3'!R25</f>
        <v>0</v>
      </c>
      <c r="L268" s="263">
        <f t="shared" ref="L268:L271" si="231">N268-J268</f>
        <v>0</v>
      </c>
      <c r="M268" s="194">
        <f t="shared" ref="M268:M271" si="232">K268+I268</f>
        <v>23.5</v>
      </c>
      <c r="N268" s="196">
        <f t="shared" ref="N268:N271" si="233">TRUNC(M268*F268,2)</f>
        <v>2139.44</v>
      </c>
      <c r="O268" s="194">
        <f t="shared" si="168"/>
        <v>0</v>
      </c>
      <c r="P268" s="196">
        <f t="shared" si="168"/>
        <v>0</v>
      </c>
    </row>
    <row r="269" spans="2:16" s="244" customFormat="1" ht="25.5">
      <c r="B269" s="576" t="s">
        <v>444</v>
      </c>
      <c r="C269" s="238">
        <v>40328</v>
      </c>
      <c r="D269" s="239" t="s">
        <v>197</v>
      </c>
      <c r="E269" s="240" t="s">
        <v>29</v>
      </c>
      <c r="F269" s="241">
        <v>7.98</v>
      </c>
      <c r="G269" s="242">
        <v>112</v>
      </c>
      <c r="H269" s="241">
        <v>893.76</v>
      </c>
      <c r="I269" s="242">
        <v>0</v>
      </c>
      <c r="J269" s="241">
        <f t="shared" si="230"/>
        <v>0</v>
      </c>
      <c r="K269" s="259">
        <f>'[35]3.3.8.4'!R25</f>
        <v>112</v>
      </c>
      <c r="L269" s="260">
        <f t="shared" si="231"/>
        <v>893.76</v>
      </c>
      <c r="M269" s="242">
        <f t="shared" si="232"/>
        <v>112</v>
      </c>
      <c r="N269" s="243">
        <f t="shared" si="233"/>
        <v>893.76</v>
      </c>
      <c r="O269" s="242">
        <f t="shared" si="168"/>
        <v>0</v>
      </c>
      <c r="P269" s="243">
        <f t="shared" si="168"/>
        <v>0</v>
      </c>
    </row>
    <row r="270" spans="2:16" ht="38.25">
      <c r="B270" s="190" t="s">
        <v>445</v>
      </c>
      <c r="C270" s="191" t="s">
        <v>140</v>
      </c>
      <c r="D270" s="575" t="s">
        <v>198</v>
      </c>
      <c r="E270" s="192" t="s">
        <v>58</v>
      </c>
      <c r="F270" s="193">
        <v>486.08</v>
      </c>
      <c r="G270" s="194">
        <v>1.2</v>
      </c>
      <c r="H270" s="193">
        <v>583.29999999999995</v>
      </c>
      <c r="I270" s="194">
        <f>'[35]3.3.8.5'!R24</f>
        <v>1.2</v>
      </c>
      <c r="J270" s="193">
        <f t="shared" si="230"/>
        <v>583.29</v>
      </c>
      <c r="K270" s="264">
        <f>'[35]3.3.8.5'!R25</f>
        <v>0</v>
      </c>
      <c r="L270" s="263">
        <f t="shared" si="231"/>
        <v>0</v>
      </c>
      <c r="M270" s="194">
        <f t="shared" si="232"/>
        <v>1.2</v>
      </c>
      <c r="N270" s="196">
        <f t="shared" si="233"/>
        <v>583.29</v>
      </c>
      <c r="O270" s="194">
        <f t="shared" ref="O270:P336" si="234">G270-M270</f>
        <v>0</v>
      </c>
      <c r="P270" s="196">
        <f t="shared" si="234"/>
        <v>9.9999999999909051E-3</v>
      </c>
    </row>
    <row r="271" spans="2:16" s="244" customFormat="1" ht="51">
      <c r="B271" s="576" t="s">
        <v>446</v>
      </c>
      <c r="C271" s="238">
        <v>50602</v>
      </c>
      <c r="D271" s="239" t="s">
        <v>199</v>
      </c>
      <c r="E271" s="240" t="s">
        <v>57</v>
      </c>
      <c r="F271" s="241">
        <v>62.2</v>
      </c>
      <c r="G271" s="242">
        <v>59.43</v>
      </c>
      <c r="H271" s="241">
        <v>3696.55</v>
      </c>
      <c r="I271" s="242">
        <v>0</v>
      </c>
      <c r="J271" s="241">
        <f t="shared" si="230"/>
        <v>0</v>
      </c>
      <c r="K271" s="259">
        <f>'[35]3.3.8.6'!R25</f>
        <v>59.43</v>
      </c>
      <c r="L271" s="260">
        <f t="shared" si="231"/>
        <v>3696.54</v>
      </c>
      <c r="M271" s="242">
        <f t="shared" si="232"/>
        <v>59.43</v>
      </c>
      <c r="N271" s="243">
        <f t="shared" si="233"/>
        <v>3696.54</v>
      </c>
      <c r="O271" s="242">
        <f t="shared" si="234"/>
        <v>0</v>
      </c>
      <c r="P271" s="243">
        <f t="shared" si="234"/>
        <v>1.0000000000218279E-2</v>
      </c>
    </row>
    <row r="272" spans="2:16">
      <c r="B272" s="138"/>
      <c r="C272" s="132"/>
      <c r="D272" s="123"/>
      <c r="E272" s="123"/>
      <c r="F272" s="123"/>
      <c r="G272" s="123"/>
      <c r="H272" s="123"/>
      <c r="I272" s="123"/>
      <c r="J272" s="123"/>
      <c r="K272" s="123"/>
      <c r="L272" s="123"/>
      <c r="M272" s="123"/>
      <c r="N272" s="124"/>
      <c r="O272" s="123">
        <f t="shared" si="234"/>
        <v>0</v>
      </c>
      <c r="P272" s="124">
        <f t="shared" si="234"/>
        <v>0</v>
      </c>
    </row>
    <row r="273" spans="2:16" s="131" customFormat="1">
      <c r="B273" s="137" t="s">
        <v>447</v>
      </c>
      <c r="C273" s="133"/>
      <c r="D273" s="125" t="s">
        <v>201</v>
      </c>
      <c r="E273" s="126"/>
      <c r="F273" s="127"/>
      <c r="G273" s="128"/>
      <c r="H273" s="129">
        <v>6351.67</v>
      </c>
      <c r="I273" s="130"/>
      <c r="J273" s="129">
        <f>SUBTOTAL(9,J274:J277)</f>
        <v>0</v>
      </c>
      <c r="K273" s="130"/>
      <c r="L273" s="129">
        <f>SUBTOTAL(9,L274:L277)</f>
        <v>0</v>
      </c>
      <c r="M273" s="129"/>
      <c r="N273" s="129">
        <f>SUBTOTAL(9,N274:N277)</f>
        <v>0</v>
      </c>
      <c r="O273" s="129">
        <f t="shared" si="234"/>
        <v>0</v>
      </c>
      <c r="P273" s="129">
        <f t="shared" si="234"/>
        <v>6351.67</v>
      </c>
    </row>
    <row r="274" spans="2:16" ht="25.5">
      <c r="B274" s="190" t="s">
        <v>448</v>
      </c>
      <c r="C274" s="191" t="s">
        <v>206</v>
      </c>
      <c r="D274" s="575" t="s">
        <v>207</v>
      </c>
      <c r="E274" s="192" t="s">
        <v>60</v>
      </c>
      <c r="F274" s="193">
        <v>72.83</v>
      </c>
      <c r="G274" s="194">
        <v>39.799999999999997</v>
      </c>
      <c r="H274" s="193">
        <v>2898.63</v>
      </c>
      <c r="I274" s="194">
        <v>0</v>
      </c>
      <c r="J274" s="193">
        <f t="shared" ref="J274" si="235">TRUNC(I274*F274,2)</f>
        <v>0</v>
      </c>
      <c r="K274" s="194">
        <f>IFERROR(VLOOKUP(B274,#REF!,18,FALSE),)</f>
        <v>0</v>
      </c>
      <c r="L274" s="193">
        <f t="shared" ref="L274" si="236">N274-J274</f>
        <v>0</v>
      </c>
      <c r="M274" s="194">
        <f t="shared" ref="M274" si="237">K274+I274</f>
        <v>0</v>
      </c>
      <c r="N274" s="196">
        <f t="shared" ref="N274" si="238">TRUNC(M274*F274,2)</f>
        <v>0</v>
      </c>
      <c r="O274" s="194">
        <f t="shared" si="234"/>
        <v>39.799999999999997</v>
      </c>
      <c r="P274" s="196">
        <f t="shared" si="234"/>
        <v>2898.63</v>
      </c>
    </row>
    <row r="275" spans="2:16">
      <c r="B275" s="190" t="s">
        <v>449</v>
      </c>
      <c r="C275" s="191">
        <v>90302</v>
      </c>
      <c r="D275" s="575" t="s">
        <v>208</v>
      </c>
      <c r="E275" s="192" t="s">
        <v>51</v>
      </c>
      <c r="F275" s="193">
        <v>31.38</v>
      </c>
      <c r="G275" s="194">
        <v>62.2</v>
      </c>
      <c r="H275" s="193">
        <v>1951.84</v>
      </c>
      <c r="I275" s="194">
        <v>0</v>
      </c>
      <c r="J275" s="193">
        <f>TRUNC(I275*F275,2)</f>
        <v>0</v>
      </c>
      <c r="K275" s="194">
        <f>IFERROR(VLOOKUP(B275,#REF!,18,FALSE),)</f>
        <v>0</v>
      </c>
      <c r="L275" s="193">
        <f>N275-J275</f>
        <v>0</v>
      </c>
      <c r="M275" s="194">
        <f>K275+I275</f>
        <v>0</v>
      </c>
      <c r="N275" s="196">
        <f>TRUNC(M275*F275,2)</f>
        <v>0</v>
      </c>
      <c r="O275" s="194">
        <f t="shared" si="234"/>
        <v>62.2</v>
      </c>
      <c r="P275" s="196">
        <f t="shared" si="234"/>
        <v>1951.84</v>
      </c>
    </row>
    <row r="276" spans="2:16" ht="25.5">
      <c r="B276" s="190" t="s">
        <v>450</v>
      </c>
      <c r="C276" s="191">
        <v>141909</v>
      </c>
      <c r="D276" s="575" t="s">
        <v>209</v>
      </c>
      <c r="E276" s="192" t="s">
        <v>51</v>
      </c>
      <c r="F276" s="193">
        <v>61.57</v>
      </c>
      <c r="G276" s="194">
        <v>10</v>
      </c>
      <c r="H276" s="193">
        <v>615.70000000000005</v>
      </c>
      <c r="I276" s="194">
        <v>0</v>
      </c>
      <c r="J276" s="193">
        <f t="shared" ref="J276:J277" si="239">TRUNC(I276*F276,2)</f>
        <v>0</v>
      </c>
      <c r="K276" s="194">
        <f>IFERROR(VLOOKUP(B276,#REF!,18,FALSE),)</f>
        <v>0</v>
      </c>
      <c r="L276" s="193">
        <f t="shared" ref="L276:L277" si="240">N276-J276</f>
        <v>0</v>
      </c>
      <c r="M276" s="194">
        <f t="shared" ref="M276:M277" si="241">K276+I276</f>
        <v>0</v>
      </c>
      <c r="N276" s="196">
        <f t="shared" ref="N276:N277" si="242">TRUNC(M276*F276,2)</f>
        <v>0</v>
      </c>
      <c r="O276" s="194">
        <f t="shared" si="234"/>
        <v>10</v>
      </c>
      <c r="P276" s="196">
        <f t="shared" si="234"/>
        <v>615.70000000000005</v>
      </c>
    </row>
    <row r="277" spans="2:16" ht="25.5">
      <c r="B277" s="190" t="s">
        <v>451</v>
      </c>
      <c r="C277" s="191">
        <v>140904</v>
      </c>
      <c r="D277" s="575" t="s">
        <v>210</v>
      </c>
      <c r="E277" s="192" t="s">
        <v>51</v>
      </c>
      <c r="F277" s="193">
        <v>80.5</v>
      </c>
      <c r="G277" s="194">
        <v>11</v>
      </c>
      <c r="H277" s="193">
        <v>885.5</v>
      </c>
      <c r="I277" s="194">
        <v>0</v>
      </c>
      <c r="J277" s="193">
        <f t="shared" si="239"/>
        <v>0</v>
      </c>
      <c r="K277" s="194">
        <f>IFERROR(VLOOKUP(B277,#REF!,18,FALSE),)</f>
        <v>0</v>
      </c>
      <c r="L277" s="193">
        <f t="shared" si="240"/>
        <v>0</v>
      </c>
      <c r="M277" s="194">
        <f t="shared" si="241"/>
        <v>0</v>
      </c>
      <c r="N277" s="196">
        <f t="shared" si="242"/>
        <v>0</v>
      </c>
      <c r="O277" s="194">
        <f t="shared" si="234"/>
        <v>11</v>
      </c>
      <c r="P277" s="196">
        <f t="shared" si="234"/>
        <v>885.5</v>
      </c>
    </row>
    <row r="278" spans="2:16">
      <c r="B278" s="138"/>
      <c r="C278" s="132"/>
      <c r="D278" s="123"/>
      <c r="E278" s="123"/>
      <c r="F278" s="123"/>
      <c r="G278" s="123"/>
      <c r="H278" s="123"/>
      <c r="I278" s="123"/>
      <c r="J278" s="123"/>
      <c r="K278" s="123"/>
      <c r="L278" s="123"/>
      <c r="M278" s="123"/>
      <c r="N278" s="124"/>
      <c r="O278" s="123">
        <f t="shared" si="234"/>
        <v>0</v>
      </c>
      <c r="P278" s="124">
        <f t="shared" si="234"/>
        <v>0</v>
      </c>
    </row>
    <row r="279" spans="2:16" s="131" customFormat="1">
      <c r="B279" s="137" t="s">
        <v>894</v>
      </c>
      <c r="C279" s="133"/>
      <c r="D279" s="125" t="s">
        <v>212</v>
      </c>
      <c r="E279" s="126"/>
      <c r="F279" s="127"/>
      <c r="G279" s="128"/>
      <c r="H279" s="129">
        <v>115012.47</v>
      </c>
      <c r="I279" s="130"/>
      <c r="J279" s="129">
        <f>SUBTOTAL(9,J280:J290)</f>
        <v>0</v>
      </c>
      <c r="K279" s="130"/>
      <c r="L279" s="129">
        <f>SUBTOTAL(9,L280:L290)</f>
        <v>73337.03</v>
      </c>
      <c r="M279" s="129"/>
      <c r="N279" s="129">
        <f>SUBTOTAL(9,N280:N290)</f>
        <v>73337.03</v>
      </c>
      <c r="O279" s="129">
        <f t="shared" si="234"/>
        <v>0</v>
      </c>
      <c r="P279" s="129">
        <f t="shared" si="234"/>
        <v>41675.440000000002</v>
      </c>
    </row>
    <row r="280" spans="2:16" s="244" customFormat="1">
      <c r="B280" s="576" t="s">
        <v>452</v>
      </c>
      <c r="C280" s="238" t="s">
        <v>224</v>
      </c>
      <c r="D280" s="239" t="s">
        <v>229</v>
      </c>
      <c r="E280" s="240" t="s">
        <v>50</v>
      </c>
      <c r="F280" s="241">
        <v>280.31</v>
      </c>
      <c r="G280" s="242">
        <v>118.46</v>
      </c>
      <c r="H280" s="241">
        <v>33205.519999999997</v>
      </c>
      <c r="I280" s="242">
        <v>0</v>
      </c>
      <c r="J280" s="241">
        <f t="shared" ref="J280" si="243">TRUNC(I280*F280,2)</f>
        <v>0</v>
      </c>
      <c r="K280" s="259">
        <f>'[35]3.3.10.1'!R25</f>
        <v>118.46</v>
      </c>
      <c r="L280" s="260">
        <f t="shared" ref="L280" si="244">N280-J280</f>
        <v>33205.519999999997</v>
      </c>
      <c r="M280" s="242">
        <f t="shared" ref="M280" si="245">K280+I280</f>
        <v>118.46</v>
      </c>
      <c r="N280" s="243">
        <f t="shared" ref="N280" si="246">TRUNC(M280*F280,2)</f>
        <v>33205.519999999997</v>
      </c>
      <c r="O280" s="242">
        <f t="shared" si="234"/>
        <v>0</v>
      </c>
      <c r="P280" s="243">
        <f t="shared" si="234"/>
        <v>0</v>
      </c>
    </row>
    <row r="281" spans="2:16">
      <c r="B281" s="190" t="s">
        <v>453</v>
      </c>
      <c r="C281" s="191" t="s">
        <v>225</v>
      </c>
      <c r="D281" s="575" t="s">
        <v>230</v>
      </c>
      <c r="E281" s="192" t="s">
        <v>50</v>
      </c>
      <c r="F281" s="193">
        <v>645.84</v>
      </c>
      <c r="G281" s="194">
        <v>11.14</v>
      </c>
      <c r="H281" s="193">
        <v>7194.66</v>
      </c>
      <c r="I281" s="194">
        <v>0</v>
      </c>
      <c r="J281" s="193">
        <f>TRUNC(I281*F281,2)</f>
        <v>0</v>
      </c>
      <c r="K281" s="194">
        <f>IFERROR(VLOOKUP(B281,#REF!,18,FALSE),)</f>
        <v>0</v>
      </c>
      <c r="L281" s="193">
        <f>N281-J281</f>
        <v>0</v>
      </c>
      <c r="M281" s="194">
        <f>K281+I281</f>
        <v>0</v>
      </c>
      <c r="N281" s="196">
        <f>TRUNC(M281*F281,2)</f>
        <v>0</v>
      </c>
      <c r="O281" s="194">
        <f t="shared" si="234"/>
        <v>11.14</v>
      </c>
      <c r="P281" s="196">
        <f t="shared" si="234"/>
        <v>7194.66</v>
      </c>
    </row>
    <row r="282" spans="2:16">
      <c r="B282" s="190" t="s">
        <v>454</v>
      </c>
      <c r="C282" s="191" t="s">
        <v>226</v>
      </c>
      <c r="D282" s="575" t="s">
        <v>231</v>
      </c>
      <c r="E282" s="192" t="s">
        <v>50</v>
      </c>
      <c r="F282" s="193">
        <v>651.87</v>
      </c>
      <c r="G282" s="194">
        <v>11.25</v>
      </c>
      <c r="H282" s="193">
        <v>7333.54</v>
      </c>
      <c r="I282" s="194">
        <v>0</v>
      </c>
      <c r="J282" s="193">
        <f t="shared" ref="J282:J290" si="247">TRUNC(I282*F282,2)</f>
        <v>0</v>
      </c>
      <c r="K282" s="194">
        <f>IFERROR(VLOOKUP(B282,#REF!,18,FALSE),)</f>
        <v>0</v>
      </c>
      <c r="L282" s="193">
        <f t="shared" ref="L282:L290" si="248">N282-J282</f>
        <v>0</v>
      </c>
      <c r="M282" s="194">
        <f t="shared" ref="M282:M290" si="249">K282+I282</f>
        <v>0</v>
      </c>
      <c r="N282" s="196">
        <f t="shared" ref="N282:N290" si="250">TRUNC(M282*F282,2)</f>
        <v>0</v>
      </c>
      <c r="O282" s="194">
        <f t="shared" si="234"/>
        <v>11.25</v>
      </c>
      <c r="P282" s="196">
        <f t="shared" si="234"/>
        <v>7333.54</v>
      </c>
    </row>
    <row r="283" spans="2:16">
      <c r="B283" s="190" t="s">
        <v>455</v>
      </c>
      <c r="C283" s="191">
        <v>210322</v>
      </c>
      <c r="D283" s="575" t="s">
        <v>232</v>
      </c>
      <c r="E283" s="192" t="s">
        <v>51</v>
      </c>
      <c r="F283" s="193">
        <v>91.5</v>
      </c>
      <c r="G283" s="194">
        <v>17.55</v>
      </c>
      <c r="H283" s="193">
        <v>1605.83</v>
      </c>
      <c r="I283" s="194">
        <v>0</v>
      </c>
      <c r="J283" s="193">
        <f t="shared" si="247"/>
        <v>0</v>
      </c>
      <c r="K283" s="194">
        <f>IFERROR(VLOOKUP(B283,#REF!,18,FALSE),)</f>
        <v>0</v>
      </c>
      <c r="L283" s="193">
        <f t="shared" si="248"/>
        <v>0</v>
      </c>
      <c r="M283" s="194">
        <f t="shared" si="249"/>
        <v>0</v>
      </c>
      <c r="N283" s="196">
        <f t="shared" si="250"/>
        <v>0</v>
      </c>
      <c r="O283" s="194">
        <f t="shared" si="234"/>
        <v>17.55</v>
      </c>
      <c r="P283" s="196">
        <f t="shared" si="234"/>
        <v>1605.83</v>
      </c>
    </row>
    <row r="284" spans="2:16" ht="25.5">
      <c r="B284" s="190" t="s">
        <v>456</v>
      </c>
      <c r="C284" s="191" t="s">
        <v>227</v>
      </c>
      <c r="D284" s="575" t="s">
        <v>233</v>
      </c>
      <c r="E284" s="192" t="s">
        <v>51</v>
      </c>
      <c r="F284" s="193">
        <v>366.23</v>
      </c>
      <c r="G284" s="194">
        <v>4.1500000000000004</v>
      </c>
      <c r="H284" s="193">
        <v>1519.85</v>
      </c>
      <c r="I284" s="194">
        <v>0</v>
      </c>
      <c r="J284" s="193">
        <f t="shared" si="247"/>
        <v>0</v>
      </c>
      <c r="K284" s="194">
        <f>IFERROR(VLOOKUP(B284,#REF!,18,FALSE),)</f>
        <v>0</v>
      </c>
      <c r="L284" s="193">
        <f t="shared" si="248"/>
        <v>0</v>
      </c>
      <c r="M284" s="194">
        <f t="shared" si="249"/>
        <v>0</v>
      </c>
      <c r="N284" s="196">
        <f t="shared" si="250"/>
        <v>0</v>
      </c>
      <c r="O284" s="194">
        <f t="shared" si="234"/>
        <v>4.1500000000000004</v>
      </c>
      <c r="P284" s="196">
        <f t="shared" si="234"/>
        <v>1519.85</v>
      </c>
    </row>
    <row r="285" spans="2:16" s="244" customFormat="1" ht="51">
      <c r="B285" s="576" t="s">
        <v>457</v>
      </c>
      <c r="C285" s="238">
        <v>50608</v>
      </c>
      <c r="D285" s="239" t="s">
        <v>234</v>
      </c>
      <c r="E285" s="240" t="s">
        <v>57</v>
      </c>
      <c r="F285" s="241">
        <v>88.68</v>
      </c>
      <c r="G285" s="242">
        <v>6.97</v>
      </c>
      <c r="H285" s="241">
        <v>618.1</v>
      </c>
      <c r="I285" s="242">
        <v>0</v>
      </c>
      <c r="J285" s="241">
        <f t="shared" si="247"/>
        <v>0</v>
      </c>
      <c r="K285" s="259">
        <f>'[35]3.3.10.6'!R25</f>
        <v>6.97</v>
      </c>
      <c r="L285" s="260">
        <f t="shared" si="248"/>
        <v>618.09</v>
      </c>
      <c r="M285" s="242">
        <f t="shared" si="249"/>
        <v>6.97</v>
      </c>
      <c r="N285" s="243">
        <f t="shared" si="250"/>
        <v>618.09</v>
      </c>
      <c r="O285" s="242">
        <f t="shared" si="234"/>
        <v>0</v>
      </c>
      <c r="P285" s="243">
        <f t="shared" si="234"/>
        <v>9.9999999999909051E-3</v>
      </c>
    </row>
    <row r="286" spans="2:16" s="244" customFormat="1" ht="25.5">
      <c r="B286" s="576" t="s">
        <v>458</v>
      </c>
      <c r="C286" s="238">
        <v>120101</v>
      </c>
      <c r="D286" s="239" t="s">
        <v>235</v>
      </c>
      <c r="E286" s="240" t="s">
        <v>57</v>
      </c>
      <c r="F286" s="241">
        <v>5.64</v>
      </c>
      <c r="G286" s="242">
        <v>540.16999999999996</v>
      </c>
      <c r="H286" s="241">
        <v>3046.56</v>
      </c>
      <c r="I286" s="242">
        <v>0</v>
      </c>
      <c r="J286" s="241">
        <f t="shared" si="247"/>
        <v>0</v>
      </c>
      <c r="K286" s="259">
        <f>'[35]3.3.10.7'!R25</f>
        <v>540.16999999999996</v>
      </c>
      <c r="L286" s="260">
        <f t="shared" si="248"/>
        <v>3046.55</v>
      </c>
      <c r="M286" s="242">
        <f t="shared" si="249"/>
        <v>540.16999999999996</v>
      </c>
      <c r="N286" s="243">
        <f t="shared" si="250"/>
        <v>3046.55</v>
      </c>
      <c r="O286" s="242">
        <f t="shared" si="234"/>
        <v>0</v>
      </c>
      <c r="P286" s="243">
        <f t="shared" si="234"/>
        <v>9.9999999997635314E-3</v>
      </c>
    </row>
    <row r="287" spans="2:16" s="244" customFormat="1" ht="25.5">
      <c r="B287" s="576" t="s">
        <v>459</v>
      </c>
      <c r="C287" s="238">
        <v>120303</v>
      </c>
      <c r="D287" s="239" t="s">
        <v>236</v>
      </c>
      <c r="E287" s="240" t="s">
        <v>57</v>
      </c>
      <c r="F287" s="241">
        <v>49.24</v>
      </c>
      <c r="G287" s="242">
        <v>540.16999999999996</v>
      </c>
      <c r="H287" s="241">
        <v>26597.97</v>
      </c>
      <c r="I287" s="242">
        <v>0</v>
      </c>
      <c r="J287" s="241">
        <f t="shared" si="247"/>
        <v>0</v>
      </c>
      <c r="K287" s="259">
        <f>'[35]3.3.10.8'!R25</f>
        <v>540.16999999999996</v>
      </c>
      <c r="L287" s="260">
        <f t="shared" si="248"/>
        <v>26597.97</v>
      </c>
      <c r="M287" s="242">
        <f t="shared" si="249"/>
        <v>540.16999999999996</v>
      </c>
      <c r="N287" s="243">
        <f t="shared" si="250"/>
        <v>26597.97</v>
      </c>
      <c r="O287" s="242">
        <f t="shared" si="234"/>
        <v>0</v>
      </c>
      <c r="P287" s="243">
        <f t="shared" si="234"/>
        <v>0</v>
      </c>
    </row>
    <row r="288" spans="2:16" s="244" customFormat="1" ht="25.5">
      <c r="B288" s="576" t="s">
        <v>460</v>
      </c>
      <c r="C288" s="238">
        <v>190117</v>
      </c>
      <c r="D288" s="239" t="s">
        <v>237</v>
      </c>
      <c r="E288" s="240" t="s">
        <v>57</v>
      </c>
      <c r="F288" s="241">
        <v>18.27</v>
      </c>
      <c r="G288" s="242">
        <v>540.16999999999996</v>
      </c>
      <c r="H288" s="241">
        <v>9868.91</v>
      </c>
      <c r="I288" s="242">
        <v>0</v>
      </c>
      <c r="J288" s="241">
        <f t="shared" si="247"/>
        <v>0</v>
      </c>
      <c r="K288" s="259">
        <f>'[35]3.3.10.9'!R25</f>
        <v>540.16999999999996</v>
      </c>
      <c r="L288" s="260">
        <f t="shared" si="248"/>
        <v>9868.9</v>
      </c>
      <c r="M288" s="242">
        <f t="shared" si="249"/>
        <v>540.16999999999996</v>
      </c>
      <c r="N288" s="243">
        <f t="shared" si="250"/>
        <v>9868.9</v>
      </c>
      <c r="O288" s="242">
        <f t="shared" si="234"/>
        <v>0</v>
      </c>
      <c r="P288" s="243">
        <f t="shared" si="234"/>
        <v>1.0000000000218279E-2</v>
      </c>
    </row>
    <row r="289" spans="2:16" ht="38.25">
      <c r="B289" s="190" t="s">
        <v>461</v>
      </c>
      <c r="C289" s="191">
        <v>130230</v>
      </c>
      <c r="D289" s="575" t="s">
        <v>238</v>
      </c>
      <c r="E289" s="192" t="s">
        <v>57</v>
      </c>
      <c r="F289" s="193">
        <v>106.19</v>
      </c>
      <c r="G289" s="194">
        <v>157.13</v>
      </c>
      <c r="H289" s="193">
        <v>16685.63</v>
      </c>
      <c r="I289" s="194">
        <v>0</v>
      </c>
      <c r="J289" s="193">
        <f t="shared" si="247"/>
        <v>0</v>
      </c>
      <c r="K289" s="194">
        <f>IFERROR(VLOOKUP(B289,#REF!,18,FALSE),)</f>
        <v>0</v>
      </c>
      <c r="L289" s="193">
        <f t="shared" si="248"/>
        <v>0</v>
      </c>
      <c r="M289" s="194">
        <f t="shared" si="249"/>
        <v>0</v>
      </c>
      <c r="N289" s="196">
        <f t="shared" si="250"/>
        <v>0</v>
      </c>
      <c r="O289" s="194">
        <f t="shared" si="234"/>
        <v>157.13</v>
      </c>
      <c r="P289" s="196">
        <f t="shared" si="234"/>
        <v>16685.63</v>
      </c>
    </row>
    <row r="290" spans="2:16" ht="25.5">
      <c r="B290" s="190" t="s">
        <v>462</v>
      </c>
      <c r="C290" s="191" t="s">
        <v>228</v>
      </c>
      <c r="D290" s="575" t="s">
        <v>239</v>
      </c>
      <c r="E290" s="192" t="s">
        <v>72</v>
      </c>
      <c r="F290" s="193">
        <v>333.45</v>
      </c>
      <c r="G290" s="194">
        <v>22</v>
      </c>
      <c r="H290" s="193">
        <v>7335.9</v>
      </c>
      <c r="I290" s="194">
        <v>0</v>
      </c>
      <c r="J290" s="193">
        <f t="shared" si="247"/>
        <v>0</v>
      </c>
      <c r="K290" s="194">
        <f>IFERROR(VLOOKUP(B290,#REF!,18,FALSE),)</f>
        <v>0</v>
      </c>
      <c r="L290" s="193">
        <f t="shared" si="248"/>
        <v>0</v>
      </c>
      <c r="M290" s="194">
        <f t="shared" si="249"/>
        <v>0</v>
      </c>
      <c r="N290" s="196">
        <f t="shared" si="250"/>
        <v>0</v>
      </c>
      <c r="O290" s="194">
        <f t="shared" si="234"/>
        <v>22</v>
      </c>
      <c r="P290" s="196">
        <f t="shared" si="234"/>
        <v>7335.9</v>
      </c>
    </row>
    <row r="291" spans="2:16">
      <c r="B291" s="138"/>
      <c r="C291" s="132"/>
      <c r="D291" s="123"/>
      <c r="E291" s="123"/>
      <c r="F291" s="123"/>
      <c r="G291" s="123"/>
      <c r="H291" s="123"/>
      <c r="I291" s="123"/>
      <c r="J291" s="123"/>
      <c r="K291" s="123"/>
      <c r="L291" s="123"/>
      <c r="M291" s="123"/>
      <c r="N291" s="124"/>
      <c r="O291" s="123">
        <f t="shared" si="234"/>
        <v>0</v>
      </c>
      <c r="P291" s="124">
        <f t="shared" si="234"/>
        <v>0</v>
      </c>
    </row>
    <row r="292" spans="2:16" s="213" customFormat="1">
      <c r="B292" s="210" t="s">
        <v>463</v>
      </c>
      <c r="C292" s="211"/>
      <c r="D292" s="212" t="s">
        <v>240</v>
      </c>
      <c r="E292" s="197"/>
      <c r="F292" s="198"/>
      <c r="G292" s="199"/>
      <c r="H292" s="200">
        <v>489198.52</v>
      </c>
      <c r="I292" s="201"/>
      <c r="J292" s="200">
        <f>SUBTOTAL(9,J293:J327)</f>
        <v>218744.71000000002</v>
      </c>
      <c r="K292" s="201"/>
      <c r="L292" s="200">
        <f>SUBTOTAL(9,L293:L327)</f>
        <v>0</v>
      </c>
      <c r="M292" s="200"/>
      <c r="N292" s="200">
        <f>SUBTOTAL(9,N293:N327)</f>
        <v>218744.71000000002</v>
      </c>
      <c r="O292" s="200">
        <f t="shared" si="234"/>
        <v>0</v>
      </c>
      <c r="P292" s="200">
        <f t="shared" si="234"/>
        <v>270453.81</v>
      </c>
    </row>
    <row r="293" spans="2:16" s="131" customFormat="1">
      <c r="B293" s="137" t="s">
        <v>464</v>
      </c>
      <c r="C293" s="133"/>
      <c r="D293" s="125" t="s">
        <v>242</v>
      </c>
      <c r="E293" s="126"/>
      <c r="F293" s="127"/>
      <c r="G293" s="128"/>
      <c r="H293" s="129">
        <v>296584.23</v>
      </c>
      <c r="I293" s="130"/>
      <c r="J293" s="129">
        <f>SUBTOTAL(9,J294:J305)</f>
        <v>194853.45</v>
      </c>
      <c r="K293" s="130"/>
      <c r="L293" s="129">
        <f>SUBTOTAL(9,L294:L305)</f>
        <v>0</v>
      </c>
      <c r="M293" s="129"/>
      <c r="N293" s="129">
        <f>SUBTOTAL(9,N294:N305)</f>
        <v>194853.45</v>
      </c>
      <c r="O293" s="129">
        <f t="shared" si="234"/>
        <v>0</v>
      </c>
      <c r="P293" s="129">
        <f t="shared" si="234"/>
        <v>101730.77999999997</v>
      </c>
    </row>
    <row r="294" spans="2:16">
      <c r="B294" s="190" t="s">
        <v>465</v>
      </c>
      <c r="C294" s="191">
        <v>40405</v>
      </c>
      <c r="D294" s="575" t="s">
        <v>264</v>
      </c>
      <c r="E294" s="192" t="s">
        <v>57</v>
      </c>
      <c r="F294" s="193">
        <v>86.33</v>
      </c>
      <c r="G294" s="194">
        <v>341</v>
      </c>
      <c r="H294" s="193">
        <v>29438.53</v>
      </c>
      <c r="I294" s="194">
        <v>341</v>
      </c>
      <c r="J294" s="193">
        <f t="shared" ref="J294:J305" si="251">TRUNC(I294*F294,2)</f>
        <v>29438.53</v>
      </c>
      <c r="K294" s="194"/>
      <c r="L294" s="193">
        <f t="shared" ref="L294:L305" si="252">N294-J294</f>
        <v>0</v>
      </c>
      <c r="M294" s="194">
        <f t="shared" ref="M294:M305" si="253">K294+I294</f>
        <v>341</v>
      </c>
      <c r="N294" s="196">
        <f t="shared" ref="N294:N305" si="254">TRUNC(M294*F294,2)</f>
        <v>29438.53</v>
      </c>
      <c r="O294" s="194">
        <f t="shared" si="234"/>
        <v>0</v>
      </c>
      <c r="P294" s="196">
        <f t="shared" si="234"/>
        <v>0</v>
      </c>
    </row>
    <row r="295" spans="2:16">
      <c r="B295" s="190" t="s">
        <v>466</v>
      </c>
      <c r="C295" s="191" t="s">
        <v>255</v>
      </c>
      <c r="D295" s="575" t="s">
        <v>265</v>
      </c>
      <c r="E295" s="192" t="s">
        <v>29</v>
      </c>
      <c r="F295" s="193">
        <v>7.33</v>
      </c>
      <c r="G295" s="194">
        <v>3966.02</v>
      </c>
      <c r="H295" s="193">
        <v>29070.93</v>
      </c>
      <c r="I295" s="194">
        <v>3966.02</v>
      </c>
      <c r="J295" s="193">
        <f t="shared" si="251"/>
        <v>29070.92</v>
      </c>
      <c r="K295" s="194">
        <f>IFERROR(VLOOKUP(B295,'[35]3.4.1.2'!A:U,18,FALSE),)</f>
        <v>0</v>
      </c>
      <c r="L295" s="193">
        <f t="shared" si="252"/>
        <v>0</v>
      </c>
      <c r="M295" s="194">
        <f t="shared" si="253"/>
        <v>3966.02</v>
      </c>
      <c r="N295" s="196">
        <f t="shared" si="254"/>
        <v>29070.92</v>
      </c>
      <c r="O295" s="194">
        <f t="shared" si="234"/>
        <v>0</v>
      </c>
      <c r="P295" s="266">
        <v>0</v>
      </c>
    </row>
    <row r="296" spans="2:16" ht="25.5">
      <c r="B296" s="190" t="s">
        <v>467</v>
      </c>
      <c r="C296" s="191">
        <v>40328</v>
      </c>
      <c r="D296" s="575" t="s">
        <v>147</v>
      </c>
      <c r="E296" s="192" t="s">
        <v>29</v>
      </c>
      <c r="F296" s="193">
        <v>7.98</v>
      </c>
      <c r="G296" s="194">
        <v>1880</v>
      </c>
      <c r="H296" s="193">
        <v>15002.4</v>
      </c>
      <c r="I296" s="194">
        <v>1880</v>
      </c>
      <c r="J296" s="193">
        <f t="shared" si="251"/>
        <v>15002.4</v>
      </c>
      <c r="K296" s="194">
        <f>IFERROR(VLOOKUP(B296,'[35]3.4.1.3'!A:U,18,FALSE),)</f>
        <v>0</v>
      </c>
      <c r="L296" s="193">
        <f t="shared" si="252"/>
        <v>0</v>
      </c>
      <c r="M296" s="194">
        <f t="shared" si="253"/>
        <v>1880</v>
      </c>
      <c r="N296" s="196">
        <f t="shared" si="254"/>
        <v>15002.4</v>
      </c>
      <c r="O296" s="194">
        <f t="shared" si="234"/>
        <v>0</v>
      </c>
      <c r="P296" s="196">
        <f t="shared" si="234"/>
        <v>0</v>
      </c>
    </row>
    <row r="297" spans="2:16">
      <c r="B297" s="190" t="s">
        <v>468</v>
      </c>
      <c r="C297" s="191" t="s">
        <v>256</v>
      </c>
      <c r="D297" s="575" t="s">
        <v>266</v>
      </c>
      <c r="E297" s="192" t="s">
        <v>29</v>
      </c>
      <c r="F297" s="193">
        <v>11.02</v>
      </c>
      <c r="G297" s="194">
        <v>73</v>
      </c>
      <c r="H297" s="193">
        <v>804.46</v>
      </c>
      <c r="I297" s="194">
        <v>73</v>
      </c>
      <c r="J297" s="193">
        <f t="shared" si="251"/>
        <v>804.46</v>
      </c>
      <c r="K297" s="194">
        <f>IFERROR(VLOOKUP(B297,'[35]3.4.1.4'!A:U,18,FALSE),)</f>
        <v>0</v>
      </c>
      <c r="L297" s="193">
        <f t="shared" si="252"/>
        <v>0</v>
      </c>
      <c r="M297" s="194">
        <f t="shared" si="253"/>
        <v>73</v>
      </c>
      <c r="N297" s="196">
        <f t="shared" si="254"/>
        <v>804.46</v>
      </c>
      <c r="O297" s="194">
        <f t="shared" si="234"/>
        <v>0</v>
      </c>
      <c r="P297" s="196">
        <f t="shared" si="234"/>
        <v>0</v>
      </c>
    </row>
    <row r="298" spans="2:16" ht="51">
      <c r="B298" s="190" t="s">
        <v>469</v>
      </c>
      <c r="C298" s="191" t="s">
        <v>257</v>
      </c>
      <c r="D298" s="575" t="s">
        <v>267</v>
      </c>
      <c r="E298" s="192" t="s">
        <v>58</v>
      </c>
      <c r="F298" s="193">
        <v>777.83</v>
      </c>
      <c r="G298" s="194">
        <v>28.05</v>
      </c>
      <c r="H298" s="193">
        <v>21818.13</v>
      </c>
      <c r="I298" s="194">
        <v>28.05</v>
      </c>
      <c r="J298" s="193">
        <f t="shared" si="251"/>
        <v>21818.13</v>
      </c>
      <c r="K298" s="264">
        <f>IFERROR(VLOOKUP(B298,'[35]3.4.1.5'!A:U,18,FALSE),)</f>
        <v>0</v>
      </c>
      <c r="L298" s="263">
        <f t="shared" si="252"/>
        <v>0</v>
      </c>
      <c r="M298" s="194">
        <f t="shared" si="253"/>
        <v>28.05</v>
      </c>
      <c r="N298" s="196">
        <f t="shared" si="254"/>
        <v>21818.13</v>
      </c>
      <c r="O298" s="194">
        <f t="shared" si="234"/>
        <v>0</v>
      </c>
      <c r="P298" s="196">
        <f t="shared" si="234"/>
        <v>0</v>
      </c>
    </row>
    <row r="299" spans="2:16">
      <c r="B299" s="190" t="s">
        <v>470</v>
      </c>
      <c r="C299" s="191" t="s">
        <v>258</v>
      </c>
      <c r="D299" s="575" t="s">
        <v>268</v>
      </c>
      <c r="E299" s="192" t="s">
        <v>49</v>
      </c>
      <c r="F299" s="193">
        <v>641.15</v>
      </c>
      <c r="G299" s="194">
        <v>113.84</v>
      </c>
      <c r="H299" s="193">
        <v>72988.52</v>
      </c>
      <c r="I299" s="194">
        <v>113.84</v>
      </c>
      <c r="J299" s="193">
        <f t="shared" si="251"/>
        <v>72988.509999999995</v>
      </c>
      <c r="K299" s="194">
        <f>IFERROR(VLOOKUP(B299,'[35]3.4.1.6'!A:U,18,FALSE),)</f>
        <v>0</v>
      </c>
      <c r="L299" s="193">
        <f t="shared" si="252"/>
        <v>0</v>
      </c>
      <c r="M299" s="194">
        <f t="shared" si="253"/>
        <v>113.84</v>
      </c>
      <c r="N299" s="196">
        <f t="shared" si="254"/>
        <v>72988.509999999995</v>
      </c>
      <c r="O299" s="194">
        <f t="shared" si="234"/>
        <v>0</v>
      </c>
      <c r="P299" s="196">
        <f t="shared" si="234"/>
        <v>1.0000000009313226E-2</v>
      </c>
    </row>
    <row r="300" spans="2:16">
      <c r="B300" s="190" t="s">
        <v>471</v>
      </c>
      <c r="C300" s="191" t="s">
        <v>259</v>
      </c>
      <c r="D300" s="575" t="s">
        <v>269</v>
      </c>
      <c r="E300" s="192" t="s">
        <v>72</v>
      </c>
      <c r="F300" s="193">
        <v>14345.61</v>
      </c>
      <c r="G300" s="194">
        <v>4</v>
      </c>
      <c r="H300" s="193">
        <v>57382.44</v>
      </c>
      <c r="I300" s="194">
        <v>0</v>
      </c>
      <c r="J300" s="193">
        <f t="shared" si="251"/>
        <v>0</v>
      </c>
      <c r="K300" s="194">
        <f>IFERROR(VLOOKUP(B300,#REF!,18,FALSE),)</f>
        <v>0</v>
      </c>
      <c r="L300" s="193">
        <f t="shared" si="252"/>
        <v>0</v>
      </c>
      <c r="M300" s="194">
        <f t="shared" si="253"/>
        <v>0</v>
      </c>
      <c r="N300" s="196">
        <f t="shared" si="254"/>
        <v>0</v>
      </c>
      <c r="O300" s="194">
        <f t="shared" si="234"/>
        <v>4</v>
      </c>
      <c r="P300" s="196">
        <f t="shared" si="234"/>
        <v>57382.44</v>
      </c>
    </row>
    <row r="301" spans="2:16">
      <c r="B301" s="190" t="s">
        <v>472</v>
      </c>
      <c r="C301" s="191" t="s">
        <v>260</v>
      </c>
      <c r="D301" s="575" t="s">
        <v>270</v>
      </c>
      <c r="E301" s="192" t="s">
        <v>72</v>
      </c>
      <c r="F301" s="193">
        <v>5478.19</v>
      </c>
      <c r="G301" s="194">
        <v>2</v>
      </c>
      <c r="H301" s="193">
        <v>10956.38</v>
      </c>
      <c r="I301" s="194">
        <v>2</v>
      </c>
      <c r="J301" s="193">
        <f t="shared" si="251"/>
        <v>10956.38</v>
      </c>
      <c r="K301" s="194">
        <f>IFERROR(VLOOKUP(B301,'[35]3.4.1.8'!A:U,18,FALSE),)</f>
        <v>0</v>
      </c>
      <c r="L301" s="193">
        <f t="shared" si="252"/>
        <v>0</v>
      </c>
      <c r="M301" s="194">
        <f t="shared" si="253"/>
        <v>2</v>
      </c>
      <c r="N301" s="196">
        <f t="shared" si="254"/>
        <v>10956.38</v>
      </c>
      <c r="O301" s="194">
        <f t="shared" si="234"/>
        <v>0</v>
      </c>
      <c r="P301" s="196">
        <f t="shared" si="234"/>
        <v>0</v>
      </c>
    </row>
    <row r="302" spans="2:16" ht="25.5">
      <c r="B302" s="190" t="s">
        <v>473</v>
      </c>
      <c r="C302" s="191">
        <v>40817</v>
      </c>
      <c r="D302" s="575" t="s">
        <v>271</v>
      </c>
      <c r="E302" s="192" t="s">
        <v>58</v>
      </c>
      <c r="F302" s="193">
        <v>3001.6</v>
      </c>
      <c r="G302" s="194">
        <v>0.03</v>
      </c>
      <c r="H302" s="193">
        <v>90.05</v>
      </c>
      <c r="I302" s="194">
        <v>0</v>
      </c>
      <c r="J302" s="193">
        <f t="shared" si="251"/>
        <v>0</v>
      </c>
      <c r="K302" s="194">
        <f>IFERROR(VLOOKUP(B302,#REF!,18,FALSE),)</f>
        <v>0</v>
      </c>
      <c r="L302" s="193">
        <f t="shared" si="252"/>
        <v>0</v>
      </c>
      <c r="M302" s="194">
        <f t="shared" si="253"/>
        <v>0</v>
      </c>
      <c r="N302" s="196">
        <f t="shared" si="254"/>
        <v>0</v>
      </c>
      <c r="O302" s="194">
        <f t="shared" si="234"/>
        <v>0.03</v>
      </c>
      <c r="P302" s="196">
        <f t="shared" si="234"/>
        <v>90.05</v>
      </c>
    </row>
    <row r="303" spans="2:16">
      <c r="B303" s="190" t="s">
        <v>474</v>
      </c>
      <c r="C303" s="191" t="s">
        <v>261</v>
      </c>
      <c r="D303" s="575" t="s">
        <v>272</v>
      </c>
      <c r="E303" s="192" t="s">
        <v>72</v>
      </c>
      <c r="F303" s="193">
        <v>2011.04</v>
      </c>
      <c r="G303" s="194">
        <v>15</v>
      </c>
      <c r="H303" s="193">
        <v>30165.599999999999</v>
      </c>
      <c r="I303" s="194">
        <v>0</v>
      </c>
      <c r="J303" s="193">
        <f t="shared" si="251"/>
        <v>0</v>
      </c>
      <c r="K303" s="194">
        <f>IFERROR(VLOOKUP(B303,#REF!,18,FALSE),)</f>
        <v>0</v>
      </c>
      <c r="L303" s="193">
        <f t="shared" si="252"/>
        <v>0</v>
      </c>
      <c r="M303" s="194">
        <f t="shared" si="253"/>
        <v>0</v>
      </c>
      <c r="N303" s="196">
        <f t="shared" si="254"/>
        <v>0</v>
      </c>
      <c r="O303" s="194">
        <f t="shared" si="234"/>
        <v>15</v>
      </c>
      <c r="P303" s="196">
        <f t="shared" si="234"/>
        <v>30165.599999999999</v>
      </c>
    </row>
    <row r="304" spans="2:16" ht="25.5">
      <c r="B304" s="190" t="s">
        <v>475</v>
      </c>
      <c r="C304" s="191" t="s">
        <v>262</v>
      </c>
      <c r="D304" s="575" t="s">
        <v>273</v>
      </c>
      <c r="E304" s="192" t="s">
        <v>72</v>
      </c>
      <c r="F304" s="193">
        <v>28185.33</v>
      </c>
      <c r="G304" s="194">
        <v>1</v>
      </c>
      <c r="H304" s="193">
        <v>28185.33</v>
      </c>
      <c r="I304" s="194">
        <v>0.5</v>
      </c>
      <c r="J304" s="193">
        <f t="shared" si="251"/>
        <v>14092.66</v>
      </c>
      <c r="K304" s="194">
        <v>0</v>
      </c>
      <c r="L304" s="193">
        <f t="shared" si="252"/>
        <v>0</v>
      </c>
      <c r="M304" s="194">
        <f t="shared" si="253"/>
        <v>0.5</v>
      </c>
      <c r="N304" s="196">
        <f t="shared" si="254"/>
        <v>14092.66</v>
      </c>
      <c r="O304" s="194">
        <f t="shared" si="234"/>
        <v>0.5</v>
      </c>
      <c r="P304" s="196">
        <f t="shared" si="234"/>
        <v>14092.670000000002</v>
      </c>
    </row>
    <row r="305" spans="2:16">
      <c r="B305" s="190" t="s">
        <v>476</v>
      </c>
      <c r="C305" s="191" t="s">
        <v>263</v>
      </c>
      <c r="D305" s="575" t="s">
        <v>274</v>
      </c>
      <c r="E305" s="192" t="s">
        <v>72</v>
      </c>
      <c r="F305" s="193">
        <v>340.73</v>
      </c>
      <c r="G305" s="194">
        <v>2</v>
      </c>
      <c r="H305" s="193">
        <v>681.46</v>
      </c>
      <c r="I305" s="194">
        <v>2</v>
      </c>
      <c r="J305" s="193">
        <f t="shared" si="251"/>
        <v>681.46</v>
      </c>
      <c r="K305" s="264">
        <v>0</v>
      </c>
      <c r="L305" s="263">
        <f t="shared" si="252"/>
        <v>0</v>
      </c>
      <c r="M305" s="194">
        <f t="shared" si="253"/>
        <v>2</v>
      </c>
      <c r="N305" s="196">
        <f t="shared" si="254"/>
        <v>681.46</v>
      </c>
      <c r="O305" s="194">
        <f t="shared" si="234"/>
        <v>0</v>
      </c>
      <c r="P305" s="196">
        <f t="shared" si="234"/>
        <v>0</v>
      </c>
    </row>
    <row r="306" spans="2:16">
      <c r="B306" s="138"/>
      <c r="C306" s="132"/>
      <c r="D306" s="123"/>
      <c r="E306" s="123"/>
      <c r="F306" s="123"/>
      <c r="G306" s="123"/>
      <c r="H306" s="123"/>
      <c r="I306" s="123"/>
      <c r="J306" s="123"/>
      <c r="K306" s="123"/>
      <c r="L306" s="123"/>
      <c r="M306" s="123"/>
      <c r="N306" s="124"/>
      <c r="O306" s="123">
        <f t="shared" si="234"/>
        <v>0</v>
      </c>
      <c r="P306" s="124">
        <f t="shared" si="234"/>
        <v>0</v>
      </c>
    </row>
    <row r="307" spans="2:16" s="131" customFormat="1">
      <c r="B307" s="137" t="s">
        <v>477</v>
      </c>
      <c r="C307" s="133"/>
      <c r="D307" s="125" t="s">
        <v>276</v>
      </c>
      <c r="E307" s="126"/>
      <c r="F307" s="127"/>
      <c r="G307" s="128"/>
      <c r="H307" s="129">
        <v>2219.4899999999998</v>
      </c>
      <c r="I307" s="130"/>
      <c r="J307" s="129">
        <f>SUBTOTAL(9,J308:J308)</f>
        <v>0</v>
      </c>
      <c r="K307" s="130"/>
      <c r="L307" s="129">
        <f>SUBTOTAL(9,L308:L308)</f>
        <v>0</v>
      </c>
      <c r="M307" s="129"/>
      <c r="N307" s="129">
        <f>SUBTOTAL(9,N308:N308)</f>
        <v>0</v>
      </c>
      <c r="O307" s="129">
        <f t="shared" si="234"/>
        <v>0</v>
      </c>
      <c r="P307" s="129">
        <f t="shared" si="234"/>
        <v>2219.4899999999998</v>
      </c>
    </row>
    <row r="308" spans="2:16" ht="25.5">
      <c r="B308" s="190" t="s">
        <v>478</v>
      </c>
      <c r="C308" s="191" t="s">
        <v>479</v>
      </c>
      <c r="D308" s="575" t="s">
        <v>480</v>
      </c>
      <c r="E308" s="192" t="s">
        <v>72</v>
      </c>
      <c r="F308" s="193">
        <v>2219.4899999999998</v>
      </c>
      <c r="G308" s="194">
        <v>1</v>
      </c>
      <c r="H308" s="193">
        <v>2219.4899999999998</v>
      </c>
      <c r="I308" s="194">
        <v>0</v>
      </c>
      <c r="J308" s="193">
        <f t="shared" ref="J308" si="255">TRUNC(I308*F308,2)</f>
        <v>0</v>
      </c>
      <c r="K308" s="194">
        <f>IFERROR(VLOOKUP(B308,#REF!,18,FALSE),)</f>
        <v>0</v>
      </c>
      <c r="L308" s="193">
        <f t="shared" ref="L308" si="256">N308-J308</f>
        <v>0</v>
      </c>
      <c r="M308" s="194">
        <f t="shared" ref="M308" si="257">K308+I308</f>
        <v>0</v>
      </c>
      <c r="N308" s="196">
        <f t="shared" ref="N308" si="258">TRUNC(M308*F308,2)</f>
        <v>0</v>
      </c>
      <c r="O308" s="194">
        <f t="shared" si="234"/>
        <v>1</v>
      </c>
      <c r="P308" s="196">
        <f t="shared" si="234"/>
        <v>2219.4899999999998</v>
      </c>
    </row>
    <row r="309" spans="2:16">
      <c r="B309" s="138"/>
      <c r="C309" s="132"/>
      <c r="D309" s="123"/>
      <c r="E309" s="123"/>
      <c r="F309" s="123"/>
      <c r="G309" s="123"/>
      <c r="H309" s="123"/>
      <c r="I309" s="123"/>
      <c r="J309" s="123"/>
      <c r="K309" s="123"/>
      <c r="L309" s="123"/>
      <c r="M309" s="123"/>
      <c r="N309" s="124"/>
      <c r="O309" s="123">
        <f t="shared" si="234"/>
        <v>0</v>
      </c>
      <c r="P309" s="124">
        <f t="shared" si="234"/>
        <v>0</v>
      </c>
    </row>
    <row r="310" spans="2:16" s="131" customFormat="1">
      <c r="B310" s="137" t="s">
        <v>481</v>
      </c>
      <c r="C310" s="133"/>
      <c r="D310" s="125" t="s">
        <v>281</v>
      </c>
      <c r="E310" s="126"/>
      <c r="F310" s="127"/>
      <c r="G310" s="128"/>
      <c r="H310" s="129">
        <v>181656.55</v>
      </c>
      <c r="I310" s="130"/>
      <c r="J310" s="129">
        <f>SUBTOTAL(9,J311:J324)</f>
        <v>23891.26</v>
      </c>
      <c r="K310" s="130"/>
      <c r="L310" s="129">
        <f>SUBTOTAL(9,L311:L324)</f>
        <v>0</v>
      </c>
      <c r="M310" s="129"/>
      <c r="N310" s="129">
        <f>SUBTOTAL(9,N311:N324)</f>
        <v>23891.26</v>
      </c>
      <c r="O310" s="129">
        <f t="shared" si="234"/>
        <v>0</v>
      </c>
      <c r="P310" s="129">
        <f t="shared" si="234"/>
        <v>157765.28999999998</v>
      </c>
    </row>
    <row r="311" spans="2:16" ht="25.5">
      <c r="B311" s="190" t="s">
        <v>482</v>
      </c>
      <c r="C311" s="191" t="s">
        <v>496</v>
      </c>
      <c r="D311" s="575" t="s">
        <v>499</v>
      </c>
      <c r="E311" s="192" t="s">
        <v>315</v>
      </c>
      <c r="F311" s="193">
        <v>11945.63</v>
      </c>
      <c r="G311" s="194">
        <v>2</v>
      </c>
      <c r="H311" s="193">
        <v>23891.26</v>
      </c>
      <c r="I311" s="194">
        <v>2</v>
      </c>
      <c r="J311" s="193">
        <f t="shared" ref="J311:J324" si="259">TRUNC(I311*F311,2)</f>
        <v>23891.26</v>
      </c>
      <c r="K311" s="194">
        <f>IFERROR(VLOOKUP(B311,'[35]3.4.3.1'!A:U,18,FALSE),)</f>
        <v>0</v>
      </c>
      <c r="L311" s="193">
        <f t="shared" ref="L311:L324" si="260">N311-J311</f>
        <v>0</v>
      </c>
      <c r="M311" s="194">
        <f t="shared" ref="M311:M324" si="261">K311+I311</f>
        <v>2</v>
      </c>
      <c r="N311" s="196">
        <f t="shared" ref="N311:N324" si="262">TRUNC(M311*F311,2)</f>
        <v>23891.26</v>
      </c>
      <c r="O311" s="194">
        <f t="shared" si="234"/>
        <v>0</v>
      </c>
      <c r="P311" s="196">
        <f t="shared" si="234"/>
        <v>0</v>
      </c>
    </row>
    <row r="312" spans="2:16" ht="25.5">
      <c r="B312" s="190" t="s">
        <v>483</v>
      </c>
      <c r="C312" s="191" t="s">
        <v>295</v>
      </c>
      <c r="D312" s="575" t="s">
        <v>305</v>
      </c>
      <c r="E312" s="192" t="s">
        <v>51</v>
      </c>
      <c r="F312" s="193">
        <v>1268.83</v>
      </c>
      <c r="G312" s="194">
        <v>35.799999999999997</v>
      </c>
      <c r="H312" s="193">
        <v>45424.11</v>
      </c>
      <c r="I312" s="194">
        <v>0</v>
      </c>
      <c r="J312" s="193">
        <f t="shared" si="259"/>
        <v>0</v>
      </c>
      <c r="K312" s="194">
        <f>IFERROR(VLOOKUP(B312,#REF!,18,FALSE),)</f>
        <v>0</v>
      </c>
      <c r="L312" s="193">
        <f t="shared" si="260"/>
        <v>0</v>
      </c>
      <c r="M312" s="194">
        <f t="shared" si="261"/>
        <v>0</v>
      </c>
      <c r="N312" s="196">
        <f t="shared" si="262"/>
        <v>0</v>
      </c>
      <c r="O312" s="194">
        <f t="shared" si="234"/>
        <v>35.799999999999997</v>
      </c>
      <c r="P312" s="196">
        <f t="shared" si="234"/>
        <v>45424.11</v>
      </c>
    </row>
    <row r="313" spans="2:16">
      <c r="B313" s="190" t="s">
        <v>484</v>
      </c>
      <c r="C313" s="191" t="s">
        <v>296</v>
      </c>
      <c r="D313" s="575" t="s">
        <v>306</v>
      </c>
      <c r="E313" s="192" t="s">
        <v>51</v>
      </c>
      <c r="F313" s="193">
        <v>294.97000000000003</v>
      </c>
      <c r="G313" s="194">
        <v>35.799999999999997</v>
      </c>
      <c r="H313" s="193">
        <v>10559.93</v>
      </c>
      <c r="I313" s="194">
        <v>0</v>
      </c>
      <c r="J313" s="193">
        <f t="shared" si="259"/>
        <v>0</v>
      </c>
      <c r="K313" s="194">
        <f>IFERROR(VLOOKUP(B313,#REF!,18,FALSE),)</f>
        <v>0</v>
      </c>
      <c r="L313" s="193">
        <f t="shared" si="260"/>
        <v>0</v>
      </c>
      <c r="M313" s="194">
        <f t="shared" si="261"/>
        <v>0</v>
      </c>
      <c r="N313" s="196">
        <f t="shared" si="262"/>
        <v>0</v>
      </c>
      <c r="O313" s="194">
        <f t="shared" si="234"/>
        <v>35.799999999999997</v>
      </c>
      <c r="P313" s="196">
        <f t="shared" si="234"/>
        <v>10559.93</v>
      </c>
    </row>
    <row r="314" spans="2:16">
      <c r="B314" s="190" t="s">
        <v>485</v>
      </c>
      <c r="C314" s="191" t="s">
        <v>297</v>
      </c>
      <c r="D314" s="575" t="s">
        <v>307</v>
      </c>
      <c r="E314" s="192" t="s">
        <v>51</v>
      </c>
      <c r="F314" s="193">
        <v>309.62</v>
      </c>
      <c r="G314" s="194">
        <v>2.8</v>
      </c>
      <c r="H314" s="193">
        <v>866.94</v>
      </c>
      <c r="I314" s="194">
        <v>0</v>
      </c>
      <c r="J314" s="193">
        <f t="shared" si="259"/>
        <v>0</v>
      </c>
      <c r="K314" s="194">
        <f>IFERROR(VLOOKUP(B314,#REF!,18,FALSE),)</f>
        <v>0</v>
      </c>
      <c r="L314" s="193">
        <f t="shared" si="260"/>
        <v>0</v>
      </c>
      <c r="M314" s="194">
        <f t="shared" si="261"/>
        <v>0</v>
      </c>
      <c r="N314" s="196">
        <f t="shared" si="262"/>
        <v>0</v>
      </c>
      <c r="O314" s="194">
        <f t="shared" si="234"/>
        <v>2.8</v>
      </c>
      <c r="P314" s="196">
        <f t="shared" si="234"/>
        <v>866.94</v>
      </c>
    </row>
    <row r="315" spans="2:16" ht="25.5">
      <c r="B315" s="190" t="s">
        <v>486</v>
      </c>
      <c r="C315" s="191" t="s">
        <v>298</v>
      </c>
      <c r="D315" s="575" t="s">
        <v>308</v>
      </c>
      <c r="E315" s="192" t="s">
        <v>51</v>
      </c>
      <c r="F315" s="193">
        <v>358.26</v>
      </c>
      <c r="G315" s="194">
        <v>2.8</v>
      </c>
      <c r="H315" s="193">
        <v>1003.13</v>
      </c>
      <c r="I315" s="194">
        <v>0</v>
      </c>
      <c r="J315" s="193">
        <f t="shared" si="259"/>
        <v>0</v>
      </c>
      <c r="K315" s="194">
        <f>IFERROR(VLOOKUP(B315,#REF!,18,FALSE),)</f>
        <v>0</v>
      </c>
      <c r="L315" s="193">
        <f t="shared" si="260"/>
        <v>0</v>
      </c>
      <c r="M315" s="194">
        <f t="shared" si="261"/>
        <v>0</v>
      </c>
      <c r="N315" s="196">
        <f t="shared" si="262"/>
        <v>0</v>
      </c>
      <c r="O315" s="194">
        <f t="shared" si="234"/>
        <v>2.8</v>
      </c>
      <c r="P315" s="196">
        <f t="shared" si="234"/>
        <v>1003.13</v>
      </c>
    </row>
    <row r="316" spans="2:16" ht="25.5">
      <c r="B316" s="190" t="s">
        <v>487</v>
      </c>
      <c r="C316" s="191" t="s">
        <v>497</v>
      </c>
      <c r="D316" s="575" t="s">
        <v>500</v>
      </c>
      <c r="E316" s="192" t="s">
        <v>51</v>
      </c>
      <c r="F316" s="193">
        <v>3440.35</v>
      </c>
      <c r="G316" s="194">
        <v>8</v>
      </c>
      <c r="H316" s="193">
        <v>27522.799999999999</v>
      </c>
      <c r="I316" s="194">
        <v>0</v>
      </c>
      <c r="J316" s="193">
        <f t="shared" si="259"/>
        <v>0</v>
      </c>
      <c r="K316" s="194">
        <f>IFERROR(VLOOKUP(B316,#REF!,18,FALSE),)</f>
        <v>0</v>
      </c>
      <c r="L316" s="193">
        <f t="shared" si="260"/>
        <v>0</v>
      </c>
      <c r="M316" s="194">
        <f t="shared" si="261"/>
        <v>0</v>
      </c>
      <c r="N316" s="196">
        <f t="shared" si="262"/>
        <v>0</v>
      </c>
      <c r="O316" s="194">
        <f t="shared" si="234"/>
        <v>8</v>
      </c>
      <c r="P316" s="196">
        <f t="shared" si="234"/>
        <v>27522.799999999999</v>
      </c>
    </row>
    <row r="317" spans="2:16" ht="25.5">
      <c r="B317" s="190" t="s">
        <v>488</v>
      </c>
      <c r="C317" s="191" t="s">
        <v>498</v>
      </c>
      <c r="D317" s="575" t="s">
        <v>501</v>
      </c>
      <c r="E317" s="192" t="s">
        <v>51</v>
      </c>
      <c r="F317" s="193">
        <v>2019.23</v>
      </c>
      <c r="G317" s="194">
        <v>8</v>
      </c>
      <c r="H317" s="193">
        <v>16153.84</v>
      </c>
      <c r="I317" s="194">
        <v>0</v>
      </c>
      <c r="J317" s="193">
        <f t="shared" si="259"/>
        <v>0</v>
      </c>
      <c r="K317" s="194">
        <f>IFERROR(VLOOKUP(B317,#REF!,18,FALSE),)</f>
        <v>0</v>
      </c>
      <c r="L317" s="193">
        <f t="shared" si="260"/>
        <v>0</v>
      </c>
      <c r="M317" s="194">
        <f t="shared" si="261"/>
        <v>0</v>
      </c>
      <c r="N317" s="196">
        <f t="shared" si="262"/>
        <v>0</v>
      </c>
      <c r="O317" s="194">
        <f t="shared" si="234"/>
        <v>8</v>
      </c>
      <c r="P317" s="196">
        <f t="shared" si="234"/>
        <v>16153.84</v>
      </c>
    </row>
    <row r="318" spans="2:16" ht="25.5">
      <c r="B318" s="190" t="s">
        <v>489</v>
      </c>
      <c r="C318" s="191" t="s">
        <v>299</v>
      </c>
      <c r="D318" s="575" t="s">
        <v>309</v>
      </c>
      <c r="E318" s="192" t="s">
        <v>29</v>
      </c>
      <c r="F318" s="193">
        <v>8.1199999999999992</v>
      </c>
      <c r="G318" s="194">
        <v>3870</v>
      </c>
      <c r="H318" s="193">
        <v>31424.400000000001</v>
      </c>
      <c r="I318" s="194">
        <v>0</v>
      </c>
      <c r="J318" s="193">
        <f t="shared" si="259"/>
        <v>0</v>
      </c>
      <c r="K318" s="194">
        <f>IFERROR(VLOOKUP(B318,#REF!,18,FALSE),)</f>
        <v>0</v>
      </c>
      <c r="L318" s="193">
        <f t="shared" si="260"/>
        <v>0</v>
      </c>
      <c r="M318" s="194">
        <f t="shared" si="261"/>
        <v>0</v>
      </c>
      <c r="N318" s="196">
        <f t="shared" si="262"/>
        <v>0</v>
      </c>
      <c r="O318" s="194">
        <f t="shared" si="234"/>
        <v>3870</v>
      </c>
      <c r="P318" s="196">
        <f t="shared" si="234"/>
        <v>31424.400000000001</v>
      </c>
    </row>
    <row r="319" spans="2:16">
      <c r="B319" s="190" t="s">
        <v>490</v>
      </c>
      <c r="C319" s="191" t="s">
        <v>300</v>
      </c>
      <c r="D319" s="575" t="s">
        <v>310</v>
      </c>
      <c r="E319" s="192" t="s">
        <v>29</v>
      </c>
      <c r="F319" s="193">
        <v>0.64</v>
      </c>
      <c r="G319" s="194">
        <v>3870</v>
      </c>
      <c r="H319" s="193">
        <v>2476.8000000000002</v>
      </c>
      <c r="I319" s="194">
        <v>0</v>
      </c>
      <c r="J319" s="193">
        <f t="shared" si="259"/>
        <v>0</v>
      </c>
      <c r="K319" s="194">
        <f>IFERROR(VLOOKUP(B319,#REF!,18,FALSE),)</f>
        <v>0</v>
      </c>
      <c r="L319" s="193">
        <f t="shared" si="260"/>
        <v>0</v>
      </c>
      <c r="M319" s="194">
        <f t="shared" si="261"/>
        <v>0</v>
      </c>
      <c r="N319" s="196">
        <f t="shared" si="262"/>
        <v>0</v>
      </c>
      <c r="O319" s="194">
        <f t="shared" si="234"/>
        <v>3870</v>
      </c>
      <c r="P319" s="196">
        <f t="shared" si="234"/>
        <v>2476.8000000000002</v>
      </c>
    </row>
    <row r="320" spans="2:16" ht="38.25">
      <c r="B320" s="190" t="s">
        <v>491</v>
      </c>
      <c r="C320" s="191" t="s">
        <v>140</v>
      </c>
      <c r="D320" s="575" t="s">
        <v>150</v>
      </c>
      <c r="E320" s="192" t="s">
        <v>58</v>
      </c>
      <c r="F320" s="193">
        <v>486.08</v>
      </c>
      <c r="G320" s="194">
        <v>16.09</v>
      </c>
      <c r="H320" s="193">
        <v>7821.03</v>
      </c>
      <c r="I320" s="194">
        <v>0</v>
      </c>
      <c r="J320" s="193">
        <f t="shared" si="259"/>
        <v>0</v>
      </c>
      <c r="K320" s="194">
        <f>IFERROR(VLOOKUP(B320,#REF!,18,FALSE),)</f>
        <v>0</v>
      </c>
      <c r="L320" s="193">
        <f t="shared" si="260"/>
        <v>0</v>
      </c>
      <c r="M320" s="194">
        <f t="shared" si="261"/>
        <v>0</v>
      </c>
      <c r="N320" s="196">
        <f t="shared" si="262"/>
        <v>0</v>
      </c>
      <c r="O320" s="194">
        <f t="shared" si="234"/>
        <v>16.09</v>
      </c>
      <c r="P320" s="196">
        <f t="shared" si="234"/>
        <v>7821.03</v>
      </c>
    </row>
    <row r="321" spans="2:16">
      <c r="B321" s="190" t="s">
        <v>492</v>
      </c>
      <c r="C321" s="191" t="s">
        <v>301</v>
      </c>
      <c r="D321" s="575" t="s">
        <v>311</v>
      </c>
      <c r="E321" s="192" t="s">
        <v>49</v>
      </c>
      <c r="F321" s="193">
        <v>105.97</v>
      </c>
      <c r="G321" s="194">
        <v>16.09</v>
      </c>
      <c r="H321" s="193">
        <v>1705.06</v>
      </c>
      <c r="I321" s="194">
        <v>0</v>
      </c>
      <c r="J321" s="193">
        <f t="shared" si="259"/>
        <v>0</v>
      </c>
      <c r="K321" s="194">
        <f>IFERROR(VLOOKUP(B321,#REF!,18,FALSE),)</f>
        <v>0</v>
      </c>
      <c r="L321" s="193">
        <f t="shared" si="260"/>
        <v>0</v>
      </c>
      <c r="M321" s="194">
        <f t="shared" si="261"/>
        <v>0</v>
      </c>
      <c r="N321" s="196">
        <f t="shared" si="262"/>
        <v>0</v>
      </c>
      <c r="O321" s="194">
        <f t="shared" si="234"/>
        <v>16.09</v>
      </c>
      <c r="P321" s="196">
        <f t="shared" si="234"/>
        <v>1705.06</v>
      </c>
    </row>
    <row r="322" spans="2:16">
      <c r="B322" s="190" t="s">
        <v>493</v>
      </c>
      <c r="C322" s="191" t="s">
        <v>302</v>
      </c>
      <c r="D322" s="575" t="s">
        <v>312</v>
      </c>
      <c r="E322" s="192" t="s">
        <v>72</v>
      </c>
      <c r="F322" s="193">
        <v>1.62</v>
      </c>
      <c r="G322" s="194">
        <v>4</v>
      </c>
      <c r="H322" s="193">
        <v>6.48</v>
      </c>
      <c r="I322" s="194">
        <v>0</v>
      </c>
      <c r="J322" s="193">
        <f t="shared" si="259"/>
        <v>0</v>
      </c>
      <c r="K322" s="194">
        <f>IFERROR(VLOOKUP(B322,#REF!,18,FALSE),)</f>
        <v>0</v>
      </c>
      <c r="L322" s="193">
        <f t="shared" si="260"/>
        <v>0</v>
      </c>
      <c r="M322" s="194">
        <f t="shared" si="261"/>
        <v>0</v>
      </c>
      <c r="N322" s="196">
        <f t="shared" si="262"/>
        <v>0</v>
      </c>
      <c r="O322" s="194">
        <f t="shared" si="234"/>
        <v>4</v>
      </c>
      <c r="P322" s="196">
        <f t="shared" si="234"/>
        <v>6.48</v>
      </c>
    </row>
    <row r="323" spans="2:16">
      <c r="B323" s="190" t="s">
        <v>494</v>
      </c>
      <c r="C323" s="191" t="s">
        <v>303</v>
      </c>
      <c r="D323" s="575" t="s">
        <v>313</v>
      </c>
      <c r="E323" s="192" t="s">
        <v>72</v>
      </c>
      <c r="F323" s="193">
        <v>5793.75</v>
      </c>
      <c r="G323" s="194">
        <v>2</v>
      </c>
      <c r="H323" s="193">
        <v>11587.5</v>
      </c>
      <c r="I323" s="194">
        <v>0</v>
      </c>
      <c r="J323" s="193">
        <f t="shared" si="259"/>
        <v>0</v>
      </c>
      <c r="K323" s="194">
        <f>IFERROR(VLOOKUP(B323,#REF!,18,FALSE),)</f>
        <v>0</v>
      </c>
      <c r="L323" s="193">
        <f t="shared" si="260"/>
        <v>0</v>
      </c>
      <c r="M323" s="194">
        <f t="shared" si="261"/>
        <v>0</v>
      </c>
      <c r="N323" s="196">
        <f t="shared" si="262"/>
        <v>0</v>
      </c>
      <c r="O323" s="194">
        <f t="shared" si="234"/>
        <v>2</v>
      </c>
      <c r="P323" s="196">
        <f t="shared" si="234"/>
        <v>11587.5</v>
      </c>
    </row>
    <row r="324" spans="2:16" ht="25.5">
      <c r="B324" s="190" t="s">
        <v>495</v>
      </c>
      <c r="C324" s="191">
        <v>190418</v>
      </c>
      <c r="D324" s="575" t="s">
        <v>314</v>
      </c>
      <c r="E324" s="192" t="s">
        <v>57</v>
      </c>
      <c r="F324" s="193">
        <v>33.049999999999997</v>
      </c>
      <c r="G324" s="194">
        <v>36.71</v>
      </c>
      <c r="H324" s="193">
        <v>1213.27</v>
      </c>
      <c r="I324" s="194">
        <v>0</v>
      </c>
      <c r="J324" s="193">
        <f t="shared" si="259"/>
        <v>0</v>
      </c>
      <c r="K324" s="194">
        <f>IFERROR(VLOOKUP(B324,#REF!,18,FALSE),)</f>
        <v>0</v>
      </c>
      <c r="L324" s="193">
        <f t="shared" si="260"/>
        <v>0</v>
      </c>
      <c r="M324" s="194">
        <f t="shared" si="261"/>
        <v>0</v>
      </c>
      <c r="N324" s="196">
        <f t="shared" si="262"/>
        <v>0</v>
      </c>
      <c r="O324" s="194">
        <f t="shared" si="234"/>
        <v>36.71</v>
      </c>
      <c r="P324" s="196">
        <f t="shared" si="234"/>
        <v>1213.27</v>
      </c>
    </row>
    <row r="325" spans="2:16">
      <c r="B325" s="138"/>
      <c r="C325" s="132"/>
      <c r="D325" s="123"/>
      <c r="E325" s="123"/>
      <c r="F325" s="123"/>
      <c r="G325" s="123"/>
      <c r="H325" s="123"/>
      <c r="I325" s="123"/>
      <c r="J325" s="123"/>
      <c r="K325" s="123"/>
      <c r="L325" s="123"/>
      <c r="M325" s="123"/>
      <c r="N325" s="124"/>
      <c r="O325" s="123">
        <f t="shared" si="234"/>
        <v>0</v>
      </c>
      <c r="P325" s="124">
        <f t="shared" si="234"/>
        <v>0</v>
      </c>
    </row>
    <row r="326" spans="2:16" s="131" customFormat="1">
      <c r="B326" s="137" t="s">
        <v>502</v>
      </c>
      <c r="C326" s="133"/>
      <c r="D326" s="125" t="s">
        <v>212</v>
      </c>
      <c r="E326" s="126"/>
      <c r="F326" s="127"/>
      <c r="G326" s="128"/>
      <c r="H326" s="129">
        <v>8738.25</v>
      </c>
      <c r="I326" s="130"/>
      <c r="J326" s="129">
        <f>SUBTOTAL(9,J327:J327)</f>
        <v>0</v>
      </c>
      <c r="K326" s="130"/>
      <c r="L326" s="129">
        <f>SUBTOTAL(9,L327:L327)</f>
        <v>0</v>
      </c>
      <c r="M326" s="129"/>
      <c r="N326" s="129">
        <f>SUBTOTAL(9,N327:N327)</f>
        <v>0</v>
      </c>
      <c r="O326" s="129">
        <f t="shared" si="234"/>
        <v>0</v>
      </c>
      <c r="P326" s="129">
        <f t="shared" si="234"/>
        <v>8738.25</v>
      </c>
    </row>
    <row r="327" spans="2:16" ht="25.5">
      <c r="B327" s="190" t="s">
        <v>503</v>
      </c>
      <c r="C327" s="191" t="s">
        <v>227</v>
      </c>
      <c r="D327" s="575" t="s">
        <v>233</v>
      </c>
      <c r="E327" s="192" t="s">
        <v>51</v>
      </c>
      <c r="F327" s="193">
        <v>366.23</v>
      </c>
      <c r="G327" s="194">
        <v>23.86</v>
      </c>
      <c r="H327" s="193">
        <v>8738.25</v>
      </c>
      <c r="I327" s="194">
        <v>0</v>
      </c>
      <c r="J327" s="193">
        <f t="shared" ref="J327" si="263">TRUNC(I327*F327,2)</f>
        <v>0</v>
      </c>
      <c r="K327" s="194">
        <f>IFERROR(VLOOKUP(B327,#REF!,18,FALSE),)</f>
        <v>0</v>
      </c>
      <c r="L327" s="193">
        <f t="shared" ref="L327" si="264">N327-J327</f>
        <v>0</v>
      </c>
      <c r="M327" s="194">
        <f t="shared" ref="M327" si="265">K327+I327</f>
        <v>0</v>
      </c>
      <c r="N327" s="196">
        <f t="shared" ref="N327" si="266">TRUNC(M327*F327,2)</f>
        <v>0</v>
      </c>
      <c r="O327" s="194">
        <f t="shared" si="234"/>
        <v>23.86</v>
      </c>
      <c r="P327" s="196">
        <f t="shared" si="234"/>
        <v>8738.25</v>
      </c>
    </row>
    <row r="328" spans="2:16">
      <c r="B328" s="138"/>
      <c r="C328" s="132"/>
      <c r="D328" s="123"/>
      <c r="E328" s="123"/>
      <c r="F328" s="123"/>
      <c r="G328" s="123"/>
      <c r="H328" s="123"/>
      <c r="I328" s="123"/>
      <c r="J328" s="123"/>
      <c r="K328" s="123"/>
      <c r="L328" s="123"/>
      <c r="M328" s="123"/>
      <c r="N328" s="124"/>
      <c r="O328" s="123">
        <f t="shared" si="234"/>
        <v>0</v>
      </c>
      <c r="P328" s="124">
        <f t="shared" si="234"/>
        <v>0</v>
      </c>
    </row>
    <row r="329" spans="2:16" s="213" customFormat="1">
      <c r="B329" s="210" t="s">
        <v>504</v>
      </c>
      <c r="C329" s="211"/>
      <c r="D329" s="212" t="s">
        <v>318</v>
      </c>
      <c r="E329" s="197"/>
      <c r="F329" s="198"/>
      <c r="G329" s="199"/>
      <c r="H329" s="200">
        <v>428979.59</v>
      </c>
      <c r="I329" s="201"/>
      <c r="J329" s="200">
        <f>SUBTOTAL(9,J330:J334)</f>
        <v>0</v>
      </c>
      <c r="K329" s="201"/>
      <c r="L329" s="200">
        <f>SUBTOTAL(9,L330:L334)</f>
        <v>0</v>
      </c>
      <c r="M329" s="200"/>
      <c r="N329" s="200">
        <f>SUBTOTAL(9,N330:N334)</f>
        <v>0</v>
      </c>
      <c r="O329" s="200">
        <f t="shared" si="234"/>
        <v>0</v>
      </c>
      <c r="P329" s="200">
        <f t="shared" si="234"/>
        <v>428979.59</v>
      </c>
    </row>
    <row r="330" spans="2:16" s="131" customFormat="1">
      <c r="B330" s="137" t="s">
        <v>505</v>
      </c>
      <c r="C330" s="133"/>
      <c r="D330" s="125" t="s">
        <v>318</v>
      </c>
      <c r="E330" s="126"/>
      <c r="F330" s="127"/>
      <c r="G330" s="128"/>
      <c r="H330" s="129">
        <v>428979.59</v>
      </c>
      <c r="I330" s="130"/>
      <c r="J330" s="129">
        <f>SUBTOTAL(9,J331:J334)</f>
        <v>0</v>
      </c>
      <c r="K330" s="130"/>
      <c r="L330" s="129">
        <f>SUBTOTAL(9,L331:L334)</f>
        <v>0</v>
      </c>
      <c r="M330" s="129"/>
      <c r="N330" s="129">
        <f>SUBTOTAL(9,N331:N334)</f>
        <v>0</v>
      </c>
      <c r="O330" s="129">
        <f t="shared" si="234"/>
        <v>0</v>
      </c>
      <c r="P330" s="129">
        <f t="shared" si="234"/>
        <v>428979.59</v>
      </c>
    </row>
    <row r="331" spans="2:16">
      <c r="B331" s="190" t="s">
        <v>506</v>
      </c>
      <c r="C331" s="191" t="s">
        <v>323</v>
      </c>
      <c r="D331" s="575" t="s">
        <v>326</v>
      </c>
      <c r="E331" s="192" t="s">
        <v>59</v>
      </c>
      <c r="F331" s="193">
        <v>409453.83</v>
      </c>
      <c r="G331" s="194">
        <v>1</v>
      </c>
      <c r="H331" s="193">
        <v>409453.83</v>
      </c>
      <c r="I331" s="194">
        <v>0</v>
      </c>
      <c r="J331" s="193">
        <f t="shared" ref="J331" si="267">TRUNC(I331*F331,2)</f>
        <v>0</v>
      </c>
      <c r="K331" s="194">
        <f>IFERROR(VLOOKUP(B331,'[35]3.5.1.1'!A:U,18,FALSE),)</f>
        <v>0</v>
      </c>
      <c r="L331" s="193">
        <f t="shared" ref="L331" si="268">N331-J331</f>
        <v>0</v>
      </c>
      <c r="M331" s="194">
        <f t="shared" ref="M331" si="269">K331+I331</f>
        <v>0</v>
      </c>
      <c r="N331" s="196">
        <f t="shared" ref="N331" si="270">TRUNC(M331*F331,2)</f>
        <v>0</v>
      </c>
      <c r="O331" s="194">
        <f t="shared" si="234"/>
        <v>1</v>
      </c>
      <c r="P331" s="196">
        <f t="shared" si="234"/>
        <v>409453.83</v>
      </c>
    </row>
    <row r="332" spans="2:16">
      <c r="B332" s="190" t="s">
        <v>507</v>
      </c>
      <c r="C332" s="191" t="s">
        <v>324</v>
      </c>
      <c r="D332" s="575" t="s">
        <v>327</v>
      </c>
      <c r="E332" s="192" t="s">
        <v>59</v>
      </c>
      <c r="F332" s="193">
        <v>3812.11</v>
      </c>
      <c r="G332" s="194">
        <v>1</v>
      </c>
      <c r="H332" s="193">
        <v>3812.11</v>
      </c>
      <c r="I332" s="194">
        <v>0</v>
      </c>
      <c r="J332" s="193">
        <f>TRUNC(I332*F332,2)</f>
        <v>0</v>
      </c>
      <c r="K332" s="194">
        <f>IFERROR(VLOOKUP(B332,#REF!,18,FALSE),)</f>
        <v>0</v>
      </c>
      <c r="L332" s="193">
        <f>N332-J332</f>
        <v>0</v>
      </c>
      <c r="M332" s="194">
        <f>K332+I332</f>
        <v>0</v>
      </c>
      <c r="N332" s="196">
        <f>TRUNC(M332*F332,2)</f>
        <v>0</v>
      </c>
      <c r="O332" s="194">
        <f t="shared" si="234"/>
        <v>1</v>
      </c>
      <c r="P332" s="196">
        <f t="shared" si="234"/>
        <v>3812.11</v>
      </c>
    </row>
    <row r="333" spans="2:16" ht="25.5">
      <c r="B333" s="190" t="s">
        <v>508</v>
      </c>
      <c r="C333" s="191" t="s">
        <v>510</v>
      </c>
      <c r="D333" s="575" t="s">
        <v>548</v>
      </c>
      <c r="E333" s="192" t="s">
        <v>72</v>
      </c>
      <c r="F333" s="193">
        <v>1735.29</v>
      </c>
      <c r="G333" s="194">
        <v>1</v>
      </c>
      <c r="H333" s="193">
        <v>1735.29</v>
      </c>
      <c r="I333" s="194">
        <v>0</v>
      </c>
      <c r="J333" s="193">
        <f>TRUNC(I333*F333,2)</f>
        <v>0</v>
      </c>
      <c r="K333" s="194">
        <f>IFERROR(VLOOKUP(B333,#REF!,18,FALSE),)</f>
        <v>0</v>
      </c>
      <c r="L333" s="193">
        <f>N333-J333</f>
        <v>0</v>
      </c>
      <c r="M333" s="194">
        <f>K333+I333</f>
        <v>0</v>
      </c>
      <c r="N333" s="196">
        <f>TRUNC(M333*F333,2)</f>
        <v>0</v>
      </c>
      <c r="O333" s="194">
        <f t="shared" si="234"/>
        <v>1</v>
      </c>
      <c r="P333" s="196">
        <f t="shared" si="234"/>
        <v>1735.29</v>
      </c>
    </row>
    <row r="334" spans="2:16">
      <c r="B334" s="190" t="s">
        <v>509</v>
      </c>
      <c r="C334" s="191" t="s">
        <v>325</v>
      </c>
      <c r="D334" s="575" t="s">
        <v>328</v>
      </c>
      <c r="E334" s="192" t="s">
        <v>50</v>
      </c>
      <c r="F334" s="193">
        <v>115.83</v>
      </c>
      <c r="G334" s="194">
        <v>120.68</v>
      </c>
      <c r="H334" s="193">
        <v>13978.36</v>
      </c>
      <c r="I334" s="194">
        <v>0</v>
      </c>
      <c r="J334" s="193">
        <f t="shared" ref="J334" si="271">TRUNC(I334*F334,2)</f>
        <v>0</v>
      </c>
      <c r="K334" s="194">
        <f>IFERROR(VLOOKUP(B334,#REF!,18,FALSE),)</f>
        <v>0</v>
      </c>
      <c r="L334" s="193">
        <f t="shared" ref="L334" si="272">N334-J334</f>
        <v>0</v>
      </c>
      <c r="M334" s="194">
        <f t="shared" ref="M334" si="273">K334+I334</f>
        <v>0</v>
      </c>
      <c r="N334" s="196">
        <f t="shared" ref="N334" si="274">TRUNC(M334*F334,2)</f>
        <v>0</v>
      </c>
      <c r="O334" s="194">
        <f t="shared" si="234"/>
        <v>120.68</v>
      </c>
      <c r="P334" s="196">
        <f t="shared" si="234"/>
        <v>13978.36</v>
      </c>
    </row>
    <row r="335" spans="2:16">
      <c r="B335" s="138"/>
      <c r="C335" s="132"/>
      <c r="D335" s="123"/>
      <c r="E335" s="123"/>
      <c r="F335" s="123"/>
      <c r="G335" s="123"/>
      <c r="H335" s="123"/>
      <c r="I335" s="123"/>
      <c r="J335" s="123"/>
      <c r="K335" s="123"/>
      <c r="L335" s="123"/>
      <c r="M335" s="123"/>
      <c r="N335" s="124"/>
      <c r="O335" s="123">
        <f t="shared" si="234"/>
        <v>0</v>
      </c>
      <c r="P335" s="124">
        <f t="shared" si="234"/>
        <v>0</v>
      </c>
    </row>
    <row r="336" spans="2:16" s="213" customFormat="1">
      <c r="B336" s="210" t="s">
        <v>511</v>
      </c>
      <c r="C336" s="211"/>
      <c r="D336" s="212" t="s">
        <v>329</v>
      </c>
      <c r="E336" s="197"/>
      <c r="F336" s="198"/>
      <c r="G336" s="199"/>
      <c r="H336" s="200">
        <v>42442.57</v>
      </c>
      <c r="I336" s="201"/>
      <c r="J336" s="200">
        <f>SUBTOTAL(9,J337:J362)</f>
        <v>1537.01</v>
      </c>
      <c r="K336" s="201"/>
      <c r="L336" s="200">
        <f>SUBTOTAL(9,L337:L362)</f>
        <v>18048.84</v>
      </c>
      <c r="M336" s="200"/>
      <c r="N336" s="200">
        <f>SUBTOTAL(9,N337:N362)</f>
        <v>19585.849999999999</v>
      </c>
      <c r="O336" s="200">
        <f t="shared" si="234"/>
        <v>0</v>
      </c>
      <c r="P336" s="200">
        <f t="shared" si="234"/>
        <v>22856.720000000001</v>
      </c>
    </row>
    <row r="337" spans="2:16" s="131" customFormat="1">
      <c r="B337" s="137" t="s">
        <v>512</v>
      </c>
      <c r="C337" s="133"/>
      <c r="D337" s="125" t="s">
        <v>329</v>
      </c>
      <c r="E337" s="126"/>
      <c r="F337" s="127"/>
      <c r="G337" s="128"/>
      <c r="H337" s="129">
        <v>39130.33</v>
      </c>
      <c r="I337" s="130"/>
      <c r="J337" s="129">
        <f>SUBTOTAL(9,J338:J356)</f>
        <v>1537.01</v>
      </c>
      <c r="K337" s="130"/>
      <c r="L337" s="129">
        <f>SUBTOTAL(9,L338:L356)</f>
        <v>14736.600000000002</v>
      </c>
      <c r="M337" s="129"/>
      <c r="N337" s="129">
        <f>SUBTOTAL(9,N338:N356)</f>
        <v>16273.61</v>
      </c>
      <c r="O337" s="129">
        <f t="shared" ref="O337:P371" si="275">G337-M337</f>
        <v>0</v>
      </c>
      <c r="P337" s="129">
        <f t="shared" si="275"/>
        <v>22856.720000000001</v>
      </c>
    </row>
    <row r="338" spans="2:16" s="244" customFormat="1" ht="25.5">
      <c r="B338" s="576" t="s">
        <v>513</v>
      </c>
      <c r="C338" s="238">
        <v>151701</v>
      </c>
      <c r="D338" s="239" t="s">
        <v>685</v>
      </c>
      <c r="E338" s="240" t="s">
        <v>59</v>
      </c>
      <c r="F338" s="241">
        <v>1510.64</v>
      </c>
      <c r="G338" s="242">
        <v>1</v>
      </c>
      <c r="H338" s="241">
        <v>1510.64</v>
      </c>
      <c r="I338" s="242">
        <v>0</v>
      </c>
      <c r="J338" s="241">
        <f t="shared" ref="J338:J356" si="276">TRUNC(I338*F338,2)</f>
        <v>0</v>
      </c>
      <c r="K338" s="259">
        <f>G338</f>
        <v>1</v>
      </c>
      <c r="L338" s="260">
        <f t="shared" ref="L338:L356" si="277">N338-J338</f>
        <v>1510.64</v>
      </c>
      <c r="M338" s="242">
        <f t="shared" ref="M338:M356" si="278">K338+I338</f>
        <v>1</v>
      </c>
      <c r="N338" s="243">
        <f t="shared" ref="N338:N356" si="279">TRUNC(M338*F338,2)</f>
        <v>1510.64</v>
      </c>
      <c r="O338" s="242">
        <f t="shared" si="275"/>
        <v>0</v>
      </c>
      <c r="P338" s="243">
        <f t="shared" si="275"/>
        <v>0</v>
      </c>
    </row>
    <row r="339" spans="2:16" s="244" customFormat="1" ht="25.5">
      <c r="B339" s="576" t="s">
        <v>514</v>
      </c>
      <c r="C339" s="238">
        <v>150312</v>
      </c>
      <c r="D339" s="239" t="s">
        <v>350</v>
      </c>
      <c r="E339" s="240" t="s">
        <v>59</v>
      </c>
      <c r="F339" s="241">
        <v>103.79</v>
      </c>
      <c r="G339" s="242">
        <v>1</v>
      </c>
      <c r="H339" s="241">
        <v>103.79</v>
      </c>
      <c r="I339" s="242">
        <v>0</v>
      </c>
      <c r="J339" s="241">
        <f t="shared" si="276"/>
        <v>0</v>
      </c>
      <c r="K339" s="259">
        <f t="shared" ref="K339:K349" si="280">G339</f>
        <v>1</v>
      </c>
      <c r="L339" s="260">
        <f t="shared" si="277"/>
        <v>103.79</v>
      </c>
      <c r="M339" s="242">
        <f t="shared" si="278"/>
        <v>1</v>
      </c>
      <c r="N339" s="243">
        <f t="shared" si="279"/>
        <v>103.79</v>
      </c>
      <c r="O339" s="242">
        <f t="shared" si="275"/>
        <v>0</v>
      </c>
      <c r="P339" s="243">
        <f t="shared" si="275"/>
        <v>0</v>
      </c>
    </row>
    <row r="340" spans="2:16" s="244" customFormat="1">
      <c r="B340" s="576" t="s">
        <v>515</v>
      </c>
      <c r="C340" s="238">
        <v>150628</v>
      </c>
      <c r="D340" s="239" t="s">
        <v>351</v>
      </c>
      <c r="E340" s="240" t="s">
        <v>59</v>
      </c>
      <c r="F340" s="241">
        <v>7.47</v>
      </c>
      <c r="G340" s="242">
        <v>19</v>
      </c>
      <c r="H340" s="241">
        <v>141.93</v>
      </c>
      <c r="I340" s="242">
        <v>0</v>
      </c>
      <c r="J340" s="241">
        <f t="shared" si="276"/>
        <v>0</v>
      </c>
      <c r="K340" s="259">
        <f t="shared" si="280"/>
        <v>19</v>
      </c>
      <c r="L340" s="260">
        <f t="shared" si="277"/>
        <v>141.93</v>
      </c>
      <c r="M340" s="242">
        <f t="shared" si="278"/>
        <v>19</v>
      </c>
      <c r="N340" s="243">
        <f t="shared" si="279"/>
        <v>141.93</v>
      </c>
      <c r="O340" s="242">
        <f t="shared" si="275"/>
        <v>0</v>
      </c>
      <c r="P340" s="243">
        <f t="shared" si="275"/>
        <v>0</v>
      </c>
    </row>
    <row r="341" spans="2:16" s="244" customFormat="1">
      <c r="B341" s="576" t="s">
        <v>516</v>
      </c>
      <c r="C341" s="238">
        <v>151417</v>
      </c>
      <c r="D341" s="239" t="s">
        <v>352</v>
      </c>
      <c r="E341" s="240" t="s">
        <v>51</v>
      </c>
      <c r="F341" s="241">
        <v>5.86</v>
      </c>
      <c r="G341" s="242">
        <v>147.4</v>
      </c>
      <c r="H341" s="241">
        <v>863.76</v>
      </c>
      <c r="I341" s="242">
        <v>0</v>
      </c>
      <c r="J341" s="241">
        <f t="shared" si="276"/>
        <v>0</v>
      </c>
      <c r="K341" s="259">
        <f t="shared" si="280"/>
        <v>147.4</v>
      </c>
      <c r="L341" s="260">
        <f t="shared" si="277"/>
        <v>863.76</v>
      </c>
      <c r="M341" s="242">
        <f t="shared" si="278"/>
        <v>147.4</v>
      </c>
      <c r="N341" s="243">
        <f t="shared" si="279"/>
        <v>863.76</v>
      </c>
      <c r="O341" s="242">
        <f t="shared" si="275"/>
        <v>0</v>
      </c>
      <c r="P341" s="243">
        <f t="shared" si="275"/>
        <v>0</v>
      </c>
    </row>
    <row r="342" spans="2:16" s="244" customFormat="1">
      <c r="B342" s="576" t="s">
        <v>517</v>
      </c>
      <c r="C342" s="238">
        <v>151418</v>
      </c>
      <c r="D342" s="239" t="s">
        <v>353</v>
      </c>
      <c r="E342" s="240" t="s">
        <v>51</v>
      </c>
      <c r="F342" s="241">
        <v>6.74</v>
      </c>
      <c r="G342" s="242">
        <v>315.39999999999998</v>
      </c>
      <c r="H342" s="241">
        <v>2125.8000000000002</v>
      </c>
      <c r="I342" s="242">
        <v>0</v>
      </c>
      <c r="J342" s="241">
        <f t="shared" si="276"/>
        <v>0</v>
      </c>
      <c r="K342" s="259">
        <f t="shared" si="280"/>
        <v>315.39999999999998</v>
      </c>
      <c r="L342" s="260">
        <f t="shared" si="277"/>
        <v>2125.79</v>
      </c>
      <c r="M342" s="242">
        <f t="shared" si="278"/>
        <v>315.39999999999998</v>
      </c>
      <c r="N342" s="243">
        <f t="shared" si="279"/>
        <v>2125.79</v>
      </c>
      <c r="O342" s="242">
        <f t="shared" si="275"/>
        <v>0</v>
      </c>
      <c r="P342" s="243">
        <f t="shared" si="275"/>
        <v>1.0000000000218279E-2</v>
      </c>
    </row>
    <row r="343" spans="2:16" s="244" customFormat="1">
      <c r="B343" s="576" t="s">
        <v>518</v>
      </c>
      <c r="C343" s="238">
        <v>151420</v>
      </c>
      <c r="D343" s="239" t="s">
        <v>354</v>
      </c>
      <c r="E343" s="240" t="s">
        <v>51</v>
      </c>
      <c r="F343" s="241">
        <v>10.63</v>
      </c>
      <c r="G343" s="242">
        <v>60</v>
      </c>
      <c r="H343" s="241">
        <v>637.79999999999995</v>
      </c>
      <c r="I343" s="242">
        <v>0</v>
      </c>
      <c r="J343" s="241">
        <f t="shared" si="276"/>
        <v>0</v>
      </c>
      <c r="K343" s="259">
        <f t="shared" si="280"/>
        <v>60</v>
      </c>
      <c r="L343" s="260">
        <f t="shared" si="277"/>
        <v>637.79999999999995</v>
      </c>
      <c r="M343" s="242">
        <f t="shared" si="278"/>
        <v>60</v>
      </c>
      <c r="N343" s="243">
        <f t="shared" si="279"/>
        <v>637.79999999999995</v>
      </c>
      <c r="O343" s="242">
        <f t="shared" si="275"/>
        <v>0</v>
      </c>
      <c r="P343" s="243">
        <f t="shared" si="275"/>
        <v>0</v>
      </c>
    </row>
    <row r="344" spans="2:16" s="244" customFormat="1" ht="38.25">
      <c r="B344" s="576" t="s">
        <v>519</v>
      </c>
      <c r="C344" s="238">
        <v>151809</v>
      </c>
      <c r="D344" s="239" t="s">
        <v>355</v>
      </c>
      <c r="E344" s="240" t="s">
        <v>59</v>
      </c>
      <c r="F344" s="241">
        <v>150.13</v>
      </c>
      <c r="G344" s="242">
        <v>1</v>
      </c>
      <c r="H344" s="241">
        <v>150.13</v>
      </c>
      <c r="I344" s="242">
        <v>0</v>
      </c>
      <c r="J344" s="241">
        <f t="shared" si="276"/>
        <v>0</v>
      </c>
      <c r="K344" s="259">
        <f t="shared" si="280"/>
        <v>1</v>
      </c>
      <c r="L344" s="260">
        <f t="shared" si="277"/>
        <v>150.13</v>
      </c>
      <c r="M344" s="242">
        <f t="shared" si="278"/>
        <v>1</v>
      </c>
      <c r="N344" s="243">
        <f t="shared" si="279"/>
        <v>150.13</v>
      </c>
      <c r="O344" s="242">
        <f t="shared" si="275"/>
        <v>0</v>
      </c>
      <c r="P344" s="243">
        <f t="shared" si="275"/>
        <v>0</v>
      </c>
    </row>
    <row r="345" spans="2:16" s="244" customFormat="1" ht="38.25">
      <c r="B345" s="576" t="s">
        <v>520</v>
      </c>
      <c r="C345" s="238">
        <v>151803</v>
      </c>
      <c r="D345" s="239" t="s">
        <v>356</v>
      </c>
      <c r="E345" s="240" t="s">
        <v>59</v>
      </c>
      <c r="F345" s="241">
        <v>170.86</v>
      </c>
      <c r="G345" s="242">
        <v>10</v>
      </c>
      <c r="H345" s="241">
        <v>1708.6</v>
      </c>
      <c r="I345" s="242">
        <v>0</v>
      </c>
      <c r="J345" s="241">
        <f t="shared" si="276"/>
        <v>0</v>
      </c>
      <c r="K345" s="259">
        <f t="shared" si="280"/>
        <v>10</v>
      </c>
      <c r="L345" s="260">
        <f t="shared" si="277"/>
        <v>1708.6</v>
      </c>
      <c r="M345" s="242">
        <f t="shared" si="278"/>
        <v>10</v>
      </c>
      <c r="N345" s="243">
        <f t="shared" si="279"/>
        <v>1708.6</v>
      </c>
      <c r="O345" s="242">
        <f t="shared" si="275"/>
        <v>0</v>
      </c>
      <c r="P345" s="243">
        <f t="shared" si="275"/>
        <v>0</v>
      </c>
    </row>
    <row r="346" spans="2:16" s="244" customFormat="1" ht="25.5">
      <c r="B346" s="576" t="s">
        <v>521</v>
      </c>
      <c r="C346" s="238">
        <v>151338</v>
      </c>
      <c r="D346" s="239" t="s">
        <v>357</v>
      </c>
      <c r="E346" s="240" t="s">
        <v>59</v>
      </c>
      <c r="F346" s="241">
        <v>18.14</v>
      </c>
      <c r="G346" s="242">
        <v>1</v>
      </c>
      <c r="H346" s="241">
        <v>18.14</v>
      </c>
      <c r="I346" s="242">
        <v>0</v>
      </c>
      <c r="J346" s="241">
        <f t="shared" si="276"/>
        <v>0</v>
      </c>
      <c r="K346" s="259">
        <f t="shared" si="280"/>
        <v>1</v>
      </c>
      <c r="L346" s="260">
        <f t="shared" si="277"/>
        <v>18.14</v>
      </c>
      <c r="M346" s="242">
        <f t="shared" si="278"/>
        <v>1</v>
      </c>
      <c r="N346" s="243">
        <f t="shared" si="279"/>
        <v>18.14</v>
      </c>
      <c r="O346" s="242">
        <f t="shared" si="275"/>
        <v>0</v>
      </c>
      <c r="P346" s="243">
        <f t="shared" si="275"/>
        <v>0</v>
      </c>
    </row>
    <row r="347" spans="2:16" s="244" customFormat="1" ht="25.5">
      <c r="B347" s="576" t="s">
        <v>522</v>
      </c>
      <c r="C347" s="238">
        <v>151301</v>
      </c>
      <c r="D347" s="239" t="s">
        <v>358</v>
      </c>
      <c r="E347" s="240" t="s">
        <v>59</v>
      </c>
      <c r="F347" s="241">
        <v>18.14</v>
      </c>
      <c r="G347" s="242">
        <v>1</v>
      </c>
      <c r="H347" s="241">
        <v>18.14</v>
      </c>
      <c r="I347" s="242">
        <v>0</v>
      </c>
      <c r="J347" s="241">
        <f t="shared" si="276"/>
        <v>0</v>
      </c>
      <c r="K347" s="259">
        <f t="shared" si="280"/>
        <v>1</v>
      </c>
      <c r="L347" s="260">
        <f t="shared" si="277"/>
        <v>18.14</v>
      </c>
      <c r="M347" s="242">
        <f t="shared" si="278"/>
        <v>1</v>
      </c>
      <c r="N347" s="243">
        <f t="shared" si="279"/>
        <v>18.14</v>
      </c>
      <c r="O347" s="242">
        <f t="shared" si="275"/>
        <v>0</v>
      </c>
      <c r="P347" s="243">
        <f t="shared" si="275"/>
        <v>0</v>
      </c>
    </row>
    <row r="348" spans="2:16" s="244" customFormat="1" ht="25.5">
      <c r="B348" s="576" t="s">
        <v>523</v>
      </c>
      <c r="C348" s="238">
        <v>151303</v>
      </c>
      <c r="D348" s="239" t="s">
        <v>359</v>
      </c>
      <c r="E348" s="240" t="s">
        <v>59</v>
      </c>
      <c r="F348" s="241">
        <v>18.14</v>
      </c>
      <c r="G348" s="242">
        <v>1</v>
      </c>
      <c r="H348" s="241">
        <v>18.14</v>
      </c>
      <c r="I348" s="242">
        <v>0</v>
      </c>
      <c r="J348" s="241">
        <f t="shared" si="276"/>
        <v>0</v>
      </c>
      <c r="K348" s="259">
        <f t="shared" si="280"/>
        <v>1</v>
      </c>
      <c r="L348" s="260">
        <f t="shared" si="277"/>
        <v>18.14</v>
      </c>
      <c r="M348" s="242">
        <f t="shared" si="278"/>
        <v>1</v>
      </c>
      <c r="N348" s="243">
        <f t="shared" si="279"/>
        <v>18.14</v>
      </c>
      <c r="O348" s="242">
        <f t="shared" si="275"/>
        <v>0</v>
      </c>
      <c r="P348" s="243">
        <f t="shared" si="275"/>
        <v>0</v>
      </c>
    </row>
    <row r="349" spans="2:16" s="244" customFormat="1" ht="25.5">
      <c r="B349" s="576" t="s">
        <v>524</v>
      </c>
      <c r="C349" s="238">
        <v>151318</v>
      </c>
      <c r="D349" s="239" t="s">
        <v>547</v>
      </c>
      <c r="E349" s="240" t="s">
        <v>59</v>
      </c>
      <c r="F349" s="241">
        <v>22.63</v>
      </c>
      <c r="G349" s="242">
        <v>1</v>
      </c>
      <c r="H349" s="241">
        <v>22.63</v>
      </c>
      <c r="I349" s="242">
        <v>0</v>
      </c>
      <c r="J349" s="241">
        <f t="shared" si="276"/>
        <v>0</v>
      </c>
      <c r="K349" s="259">
        <f t="shared" si="280"/>
        <v>1</v>
      </c>
      <c r="L349" s="260">
        <f t="shared" si="277"/>
        <v>22.63</v>
      </c>
      <c r="M349" s="242">
        <f t="shared" si="278"/>
        <v>1</v>
      </c>
      <c r="N349" s="243">
        <f t="shared" si="279"/>
        <v>22.63</v>
      </c>
      <c r="O349" s="242">
        <f t="shared" si="275"/>
        <v>0</v>
      </c>
      <c r="P349" s="243">
        <f t="shared" si="275"/>
        <v>0</v>
      </c>
    </row>
    <row r="350" spans="2:16">
      <c r="B350" s="190" t="s">
        <v>525</v>
      </c>
      <c r="C350" s="191">
        <v>151350</v>
      </c>
      <c r="D350" s="575" t="s">
        <v>360</v>
      </c>
      <c r="E350" s="192" t="s">
        <v>59</v>
      </c>
      <c r="F350" s="193">
        <v>133.04</v>
      </c>
      <c r="G350" s="194">
        <v>1</v>
      </c>
      <c r="H350" s="193">
        <v>133.04</v>
      </c>
      <c r="I350" s="194">
        <v>1</v>
      </c>
      <c r="J350" s="193">
        <f t="shared" si="276"/>
        <v>133.04</v>
      </c>
      <c r="K350" s="264">
        <f>IFERROR(VLOOKUP(B350,#REF!,18,FALSE),)</f>
        <v>0</v>
      </c>
      <c r="L350" s="263">
        <f t="shared" si="277"/>
        <v>0</v>
      </c>
      <c r="M350" s="194">
        <f t="shared" si="278"/>
        <v>1</v>
      </c>
      <c r="N350" s="196">
        <f t="shared" si="279"/>
        <v>133.04</v>
      </c>
      <c r="O350" s="194">
        <f t="shared" si="275"/>
        <v>0</v>
      </c>
      <c r="P350" s="196">
        <f t="shared" si="275"/>
        <v>0</v>
      </c>
    </row>
    <row r="351" spans="2:16">
      <c r="B351" s="190" t="s">
        <v>526</v>
      </c>
      <c r="C351" s="191">
        <v>151132</v>
      </c>
      <c r="D351" s="575" t="s">
        <v>361</v>
      </c>
      <c r="E351" s="192" t="s">
        <v>51</v>
      </c>
      <c r="F351" s="193">
        <v>7.5</v>
      </c>
      <c r="G351" s="194">
        <v>75.7</v>
      </c>
      <c r="H351" s="193">
        <v>567.75</v>
      </c>
      <c r="I351" s="194">
        <v>75.7</v>
      </c>
      <c r="J351" s="193">
        <f t="shared" si="276"/>
        <v>567.75</v>
      </c>
      <c r="K351" s="264">
        <f>IFERROR(VLOOKUP(B351,#REF!,18,FALSE),)</f>
        <v>0</v>
      </c>
      <c r="L351" s="263">
        <f t="shared" si="277"/>
        <v>0</v>
      </c>
      <c r="M351" s="194">
        <f t="shared" si="278"/>
        <v>75.7</v>
      </c>
      <c r="N351" s="196">
        <f t="shared" si="279"/>
        <v>567.75</v>
      </c>
      <c r="O351" s="194">
        <f t="shared" si="275"/>
        <v>0</v>
      </c>
      <c r="P351" s="196">
        <f t="shared" si="275"/>
        <v>0</v>
      </c>
    </row>
    <row r="352" spans="2:16" ht="25.5">
      <c r="B352" s="190" t="s">
        <v>527</v>
      </c>
      <c r="C352" s="191">
        <v>150801</v>
      </c>
      <c r="D352" s="575" t="s">
        <v>362</v>
      </c>
      <c r="E352" s="192" t="s">
        <v>51</v>
      </c>
      <c r="F352" s="193">
        <v>12.67</v>
      </c>
      <c r="G352" s="194">
        <v>66</v>
      </c>
      <c r="H352" s="193">
        <v>836.22</v>
      </c>
      <c r="I352" s="194">
        <v>66</v>
      </c>
      <c r="J352" s="193">
        <f t="shared" si="276"/>
        <v>836.22</v>
      </c>
      <c r="K352" s="264">
        <f>IFERROR(VLOOKUP(B352,#REF!,18,FALSE),)</f>
        <v>0</v>
      </c>
      <c r="L352" s="263">
        <f t="shared" si="277"/>
        <v>0</v>
      </c>
      <c r="M352" s="194">
        <f t="shared" si="278"/>
        <v>66</v>
      </c>
      <c r="N352" s="196">
        <f t="shared" si="279"/>
        <v>836.22</v>
      </c>
      <c r="O352" s="194">
        <f t="shared" si="275"/>
        <v>0</v>
      </c>
      <c r="P352" s="196">
        <f t="shared" si="275"/>
        <v>0</v>
      </c>
    </row>
    <row r="353" spans="2:16" s="244" customFormat="1">
      <c r="B353" s="576" t="s">
        <v>528</v>
      </c>
      <c r="C353" s="238">
        <v>180110</v>
      </c>
      <c r="D353" s="239" t="s">
        <v>363</v>
      </c>
      <c r="E353" s="240" t="s">
        <v>59</v>
      </c>
      <c r="F353" s="241">
        <v>106.15</v>
      </c>
      <c r="G353" s="242">
        <v>5</v>
      </c>
      <c r="H353" s="241">
        <v>530.75</v>
      </c>
      <c r="I353" s="242">
        <v>0</v>
      </c>
      <c r="J353" s="241">
        <f t="shared" si="276"/>
        <v>0</v>
      </c>
      <c r="K353" s="259">
        <f>G353</f>
        <v>5</v>
      </c>
      <c r="L353" s="260">
        <f t="shared" si="277"/>
        <v>530.75</v>
      </c>
      <c r="M353" s="242">
        <f t="shared" si="278"/>
        <v>5</v>
      </c>
      <c r="N353" s="243">
        <f t="shared" si="279"/>
        <v>530.75</v>
      </c>
      <c r="O353" s="242">
        <f t="shared" si="275"/>
        <v>0</v>
      </c>
      <c r="P353" s="243">
        <f t="shared" si="275"/>
        <v>0</v>
      </c>
    </row>
    <row r="354" spans="2:16" s="244" customFormat="1">
      <c r="B354" s="576" t="s">
        <v>529</v>
      </c>
      <c r="C354" s="238" t="s">
        <v>367</v>
      </c>
      <c r="D354" s="239" t="s">
        <v>364</v>
      </c>
      <c r="E354" s="240" t="s">
        <v>72</v>
      </c>
      <c r="F354" s="241">
        <v>362.44</v>
      </c>
      <c r="G354" s="242">
        <v>19</v>
      </c>
      <c r="H354" s="241">
        <v>6886.36</v>
      </c>
      <c r="I354" s="242">
        <v>0</v>
      </c>
      <c r="J354" s="241">
        <f t="shared" si="276"/>
        <v>0</v>
      </c>
      <c r="K354" s="259">
        <f>G354</f>
        <v>19</v>
      </c>
      <c r="L354" s="260">
        <f t="shared" si="277"/>
        <v>6886.36</v>
      </c>
      <c r="M354" s="242">
        <f t="shared" si="278"/>
        <v>19</v>
      </c>
      <c r="N354" s="243">
        <f t="shared" si="279"/>
        <v>6886.36</v>
      </c>
      <c r="O354" s="242">
        <f t="shared" si="275"/>
        <v>0</v>
      </c>
      <c r="P354" s="243">
        <f t="shared" si="275"/>
        <v>0</v>
      </c>
    </row>
    <row r="355" spans="2:16" ht="25.5">
      <c r="B355" s="190" t="s">
        <v>530</v>
      </c>
      <c r="C355" s="191" t="s">
        <v>368</v>
      </c>
      <c r="D355" s="575" t="s">
        <v>365</v>
      </c>
      <c r="E355" s="192" t="s">
        <v>72</v>
      </c>
      <c r="F355" s="193">
        <v>4976.67</v>
      </c>
      <c r="G355" s="194">
        <v>2</v>
      </c>
      <c r="H355" s="193">
        <v>9953.34</v>
      </c>
      <c r="I355" s="194">
        <v>0</v>
      </c>
      <c r="J355" s="193">
        <f t="shared" si="276"/>
        <v>0</v>
      </c>
      <c r="K355" s="194">
        <f>IFERROR(VLOOKUP(B355,#REF!,18,FALSE),)</f>
        <v>0</v>
      </c>
      <c r="L355" s="193">
        <f t="shared" si="277"/>
        <v>0</v>
      </c>
      <c r="M355" s="194">
        <f t="shared" si="278"/>
        <v>0</v>
      </c>
      <c r="N355" s="196">
        <f t="shared" si="279"/>
        <v>0</v>
      </c>
      <c r="O355" s="194">
        <f t="shared" si="275"/>
        <v>2</v>
      </c>
      <c r="P355" s="196">
        <f t="shared" si="275"/>
        <v>9953.34</v>
      </c>
    </row>
    <row r="356" spans="2:16" ht="25.5">
      <c r="B356" s="190" t="s">
        <v>531</v>
      </c>
      <c r="C356" s="191" t="s">
        <v>369</v>
      </c>
      <c r="D356" s="575" t="s">
        <v>366</v>
      </c>
      <c r="E356" s="192" t="s">
        <v>10</v>
      </c>
      <c r="F356" s="193">
        <v>12903.37</v>
      </c>
      <c r="G356" s="194">
        <v>1</v>
      </c>
      <c r="H356" s="193">
        <v>12903.37</v>
      </c>
      <c r="I356" s="194">
        <v>0</v>
      </c>
      <c r="J356" s="193">
        <f t="shared" si="276"/>
        <v>0</v>
      </c>
      <c r="K356" s="194">
        <f>IFERROR(VLOOKUP(B356,#REF!,18,FALSE),)</f>
        <v>0</v>
      </c>
      <c r="L356" s="193">
        <f t="shared" si="277"/>
        <v>0</v>
      </c>
      <c r="M356" s="194">
        <f t="shared" si="278"/>
        <v>0</v>
      </c>
      <c r="N356" s="196">
        <f t="shared" si="279"/>
        <v>0</v>
      </c>
      <c r="O356" s="194">
        <f t="shared" si="275"/>
        <v>1</v>
      </c>
      <c r="P356" s="196">
        <f t="shared" si="275"/>
        <v>12903.37</v>
      </c>
    </row>
    <row r="357" spans="2:16">
      <c r="B357" s="138"/>
      <c r="C357" s="132"/>
      <c r="D357" s="123"/>
      <c r="E357" s="123"/>
      <c r="F357" s="123"/>
      <c r="G357" s="123"/>
      <c r="H357" s="123"/>
      <c r="I357" s="123"/>
      <c r="J357" s="123"/>
      <c r="K357" s="123"/>
      <c r="L357" s="123"/>
      <c r="M357" s="123"/>
      <c r="N357" s="124"/>
      <c r="O357" s="123">
        <f t="shared" si="275"/>
        <v>0</v>
      </c>
      <c r="P357" s="124">
        <f t="shared" si="275"/>
        <v>0</v>
      </c>
    </row>
    <row r="358" spans="2:16" s="131" customFormat="1">
      <c r="B358" s="137" t="s">
        <v>532</v>
      </c>
      <c r="C358" s="133"/>
      <c r="D358" s="125" t="s">
        <v>371</v>
      </c>
      <c r="E358" s="126"/>
      <c r="F358" s="127"/>
      <c r="G358" s="128"/>
      <c r="H358" s="129">
        <v>3312.24</v>
      </c>
      <c r="I358" s="130"/>
      <c r="J358" s="129">
        <f>SUBTOTAL(9,J359:J362)</f>
        <v>0</v>
      </c>
      <c r="K358" s="130"/>
      <c r="L358" s="129">
        <f>SUBTOTAL(9,L359:L362)</f>
        <v>3312.2400000000002</v>
      </c>
      <c r="M358" s="129"/>
      <c r="N358" s="129">
        <f>SUBTOTAL(9,N359:N362)</f>
        <v>3312.2400000000002</v>
      </c>
      <c r="O358" s="129">
        <f t="shared" si="275"/>
        <v>0</v>
      </c>
      <c r="P358" s="129">
        <f t="shared" si="275"/>
        <v>0</v>
      </c>
    </row>
    <row r="359" spans="2:16" s="244" customFormat="1" ht="38.25">
      <c r="B359" s="576" t="s">
        <v>533</v>
      </c>
      <c r="C359" s="238">
        <v>150610</v>
      </c>
      <c r="D359" s="239" t="s">
        <v>376</v>
      </c>
      <c r="E359" s="240" t="s">
        <v>59</v>
      </c>
      <c r="F359" s="241">
        <v>188.46</v>
      </c>
      <c r="G359" s="242">
        <v>4</v>
      </c>
      <c r="H359" s="241">
        <v>753.84</v>
      </c>
      <c r="I359" s="242">
        <v>0</v>
      </c>
      <c r="J359" s="241">
        <f t="shared" ref="J359" si="281">TRUNC(I359*F359,2)</f>
        <v>0</v>
      </c>
      <c r="K359" s="259">
        <f>G359</f>
        <v>4</v>
      </c>
      <c r="L359" s="260">
        <f t="shared" ref="L359" si="282">N359-J359</f>
        <v>753.84</v>
      </c>
      <c r="M359" s="242">
        <f t="shared" ref="M359" si="283">K359+I359</f>
        <v>4</v>
      </c>
      <c r="N359" s="243">
        <f t="shared" ref="N359" si="284">TRUNC(M359*F359,2)</f>
        <v>753.84</v>
      </c>
      <c r="O359" s="242">
        <f t="shared" si="275"/>
        <v>0</v>
      </c>
      <c r="P359" s="243">
        <f t="shared" si="275"/>
        <v>0</v>
      </c>
    </row>
    <row r="360" spans="2:16" s="244" customFormat="1" ht="38.25">
      <c r="B360" s="576" t="s">
        <v>534</v>
      </c>
      <c r="C360" s="238">
        <v>160324</v>
      </c>
      <c r="D360" s="239" t="s">
        <v>546</v>
      </c>
      <c r="E360" s="240" t="s">
        <v>59</v>
      </c>
      <c r="F360" s="241">
        <v>199.91</v>
      </c>
      <c r="G360" s="242">
        <v>1</v>
      </c>
      <c r="H360" s="241">
        <v>199.91</v>
      </c>
      <c r="I360" s="242">
        <v>0</v>
      </c>
      <c r="J360" s="241">
        <f>TRUNC(I360*F360,2)</f>
        <v>0</v>
      </c>
      <c r="K360" s="259">
        <f t="shared" ref="K360:K362" si="285">G360</f>
        <v>1</v>
      </c>
      <c r="L360" s="260">
        <f>N360-J360</f>
        <v>199.91</v>
      </c>
      <c r="M360" s="242">
        <f>K360+I360</f>
        <v>1</v>
      </c>
      <c r="N360" s="243">
        <f>TRUNC(M360*F360,2)</f>
        <v>199.91</v>
      </c>
      <c r="O360" s="242">
        <f t="shared" si="275"/>
        <v>0</v>
      </c>
      <c r="P360" s="243">
        <f t="shared" si="275"/>
        <v>0</v>
      </c>
    </row>
    <row r="361" spans="2:16" s="244" customFormat="1" ht="25.5">
      <c r="B361" s="576" t="s">
        <v>535</v>
      </c>
      <c r="C361" s="238">
        <v>160317</v>
      </c>
      <c r="D361" s="239" t="s">
        <v>377</v>
      </c>
      <c r="E361" s="240" t="s">
        <v>51</v>
      </c>
      <c r="F361" s="241">
        <v>33.369999999999997</v>
      </c>
      <c r="G361" s="242">
        <v>68.900000000000006</v>
      </c>
      <c r="H361" s="241">
        <v>2299.19</v>
      </c>
      <c r="I361" s="242">
        <v>0</v>
      </c>
      <c r="J361" s="241">
        <f t="shared" ref="J361:J362" si="286">TRUNC(I361*F361,2)</f>
        <v>0</v>
      </c>
      <c r="K361" s="259">
        <f t="shared" si="285"/>
        <v>68.900000000000006</v>
      </c>
      <c r="L361" s="260">
        <f t="shared" ref="L361:L362" si="287">N361-J361</f>
        <v>2299.19</v>
      </c>
      <c r="M361" s="242">
        <f t="shared" ref="M361:M362" si="288">K361+I361</f>
        <v>68.900000000000006</v>
      </c>
      <c r="N361" s="243">
        <f t="shared" ref="N361:N362" si="289">TRUNC(M361*F361,2)</f>
        <v>2299.19</v>
      </c>
      <c r="O361" s="242">
        <f t="shared" si="275"/>
        <v>0</v>
      </c>
      <c r="P361" s="243">
        <f t="shared" si="275"/>
        <v>0</v>
      </c>
    </row>
    <row r="362" spans="2:16" s="244" customFormat="1" ht="25.5">
      <c r="B362" s="576" t="s">
        <v>536</v>
      </c>
      <c r="C362" s="238">
        <v>160334</v>
      </c>
      <c r="D362" s="239" t="s">
        <v>378</v>
      </c>
      <c r="E362" s="240" t="s">
        <v>59</v>
      </c>
      <c r="F362" s="241">
        <v>29.65</v>
      </c>
      <c r="G362" s="242">
        <v>2</v>
      </c>
      <c r="H362" s="241">
        <v>59.3</v>
      </c>
      <c r="I362" s="242">
        <v>0</v>
      </c>
      <c r="J362" s="241">
        <f t="shared" si="286"/>
        <v>0</v>
      </c>
      <c r="K362" s="259">
        <f t="shared" si="285"/>
        <v>2</v>
      </c>
      <c r="L362" s="260">
        <f t="shared" si="287"/>
        <v>59.3</v>
      </c>
      <c r="M362" s="242">
        <f t="shared" si="288"/>
        <v>2</v>
      </c>
      <c r="N362" s="243">
        <f t="shared" si="289"/>
        <v>59.3</v>
      </c>
      <c r="O362" s="242">
        <f t="shared" si="275"/>
        <v>0</v>
      </c>
      <c r="P362" s="243">
        <f t="shared" si="275"/>
        <v>0</v>
      </c>
    </row>
    <row r="363" spans="2:16">
      <c r="B363" s="138"/>
      <c r="C363" s="132"/>
      <c r="D363" s="123"/>
      <c r="E363" s="123"/>
      <c r="F363" s="123"/>
      <c r="G363" s="123"/>
      <c r="H363" s="123"/>
      <c r="I363" s="123"/>
      <c r="J363" s="123"/>
      <c r="K363" s="123"/>
      <c r="L363" s="123"/>
      <c r="M363" s="123"/>
      <c r="N363" s="124"/>
      <c r="O363" s="123">
        <f t="shared" si="275"/>
        <v>0</v>
      </c>
      <c r="P363" s="124">
        <f t="shared" si="275"/>
        <v>0</v>
      </c>
    </row>
    <row r="364" spans="2:16" s="213" customFormat="1">
      <c r="B364" s="210" t="s">
        <v>537</v>
      </c>
      <c r="C364" s="211"/>
      <c r="D364" s="212" t="s">
        <v>380</v>
      </c>
      <c r="E364" s="197"/>
      <c r="F364" s="198"/>
      <c r="G364" s="199"/>
      <c r="H364" s="200">
        <v>2061.35</v>
      </c>
      <c r="I364" s="201"/>
      <c r="J364" s="200">
        <f>SUBTOTAL(9,J365:J370)</f>
        <v>0</v>
      </c>
      <c r="K364" s="201"/>
      <c r="L364" s="200">
        <f>SUBTOTAL(9,L365:L370)</f>
        <v>0</v>
      </c>
      <c r="M364" s="200"/>
      <c r="N364" s="200">
        <f>SUBTOTAL(9,N365:N370)</f>
        <v>0</v>
      </c>
      <c r="O364" s="200">
        <f t="shared" si="275"/>
        <v>0</v>
      </c>
      <c r="P364" s="200">
        <f t="shared" si="275"/>
        <v>2061.35</v>
      </c>
    </row>
    <row r="365" spans="2:16" s="131" customFormat="1">
      <c r="B365" s="137" t="s">
        <v>538</v>
      </c>
      <c r="C365" s="133"/>
      <c r="D365" s="125" t="s">
        <v>380</v>
      </c>
      <c r="E365" s="126"/>
      <c r="F365" s="127"/>
      <c r="G365" s="128"/>
      <c r="H365" s="129">
        <v>2061.35</v>
      </c>
      <c r="I365" s="130"/>
      <c r="J365" s="129">
        <f>SUBTOTAL(9,J366:J370)</f>
        <v>0</v>
      </c>
      <c r="K365" s="130"/>
      <c r="L365" s="129">
        <f>SUBTOTAL(9,L366:L370)</f>
        <v>0</v>
      </c>
      <c r="M365" s="129"/>
      <c r="N365" s="129">
        <f>SUBTOTAL(9,N366:N370)</f>
        <v>0</v>
      </c>
      <c r="O365" s="129">
        <f t="shared" si="275"/>
        <v>0</v>
      </c>
      <c r="P365" s="129">
        <f t="shared" si="275"/>
        <v>2061.35</v>
      </c>
    </row>
    <row r="366" spans="2:16" ht="25.5">
      <c r="B366" s="190" t="s">
        <v>539</v>
      </c>
      <c r="C366" s="191">
        <v>160612</v>
      </c>
      <c r="D366" s="575" t="s">
        <v>387</v>
      </c>
      <c r="E366" s="192" t="s">
        <v>59</v>
      </c>
      <c r="F366" s="193">
        <v>29.96</v>
      </c>
      <c r="G366" s="194">
        <v>2</v>
      </c>
      <c r="H366" s="193">
        <v>59.92</v>
      </c>
      <c r="I366" s="194">
        <v>0</v>
      </c>
      <c r="J366" s="193">
        <f t="shared" ref="J366" si="290">TRUNC(I366*F366,2)</f>
        <v>0</v>
      </c>
      <c r="K366" s="194">
        <f>IFERROR(VLOOKUP(B366,#REF!,18,FALSE),)</f>
        <v>0</v>
      </c>
      <c r="L366" s="193">
        <f t="shared" ref="L366" si="291">N366-J366</f>
        <v>0</v>
      </c>
      <c r="M366" s="194">
        <f t="shared" ref="M366" si="292">K366+I366</f>
        <v>0</v>
      </c>
      <c r="N366" s="196">
        <f t="shared" ref="N366" si="293">TRUNC(M366*F366,2)</f>
        <v>0</v>
      </c>
      <c r="O366" s="194">
        <f t="shared" si="275"/>
        <v>2</v>
      </c>
      <c r="P366" s="196">
        <f t="shared" si="275"/>
        <v>59.92</v>
      </c>
    </row>
    <row r="367" spans="2:16" ht="38.25">
      <c r="B367" s="190" t="s">
        <v>540</v>
      </c>
      <c r="C367" s="191">
        <v>160608</v>
      </c>
      <c r="D367" s="575" t="s">
        <v>545</v>
      </c>
      <c r="E367" s="192" t="s">
        <v>59</v>
      </c>
      <c r="F367" s="193">
        <v>320.60000000000002</v>
      </c>
      <c r="G367" s="194">
        <v>3</v>
      </c>
      <c r="H367" s="193">
        <v>961.8</v>
      </c>
      <c r="I367" s="194">
        <v>0</v>
      </c>
      <c r="J367" s="193">
        <f>TRUNC(I367*F367,2)</f>
        <v>0</v>
      </c>
      <c r="K367" s="194">
        <f>IFERROR(VLOOKUP(B367,#REF!,18,FALSE),)</f>
        <v>0</v>
      </c>
      <c r="L367" s="193">
        <f>N367-J367</f>
        <v>0</v>
      </c>
      <c r="M367" s="194">
        <f>K367+I367</f>
        <v>0</v>
      </c>
      <c r="N367" s="196">
        <f>TRUNC(M367*F367,2)</f>
        <v>0</v>
      </c>
      <c r="O367" s="194">
        <f t="shared" si="275"/>
        <v>3</v>
      </c>
      <c r="P367" s="196">
        <f t="shared" si="275"/>
        <v>961.8</v>
      </c>
    </row>
    <row r="368" spans="2:16" ht="25.5">
      <c r="B368" s="190" t="s">
        <v>541</v>
      </c>
      <c r="C368" s="191">
        <v>160613</v>
      </c>
      <c r="D368" s="575" t="s">
        <v>389</v>
      </c>
      <c r="E368" s="192" t="s">
        <v>59</v>
      </c>
      <c r="F368" s="193">
        <v>197.45</v>
      </c>
      <c r="G368" s="194">
        <v>3</v>
      </c>
      <c r="H368" s="193">
        <v>592.35</v>
      </c>
      <c r="I368" s="194">
        <v>0</v>
      </c>
      <c r="J368" s="193">
        <f t="shared" ref="J368:J370" si="294">TRUNC(I368*F368,2)</f>
        <v>0</v>
      </c>
      <c r="K368" s="194">
        <f>IFERROR(VLOOKUP(B368,#REF!,18,FALSE),)</f>
        <v>0</v>
      </c>
      <c r="L368" s="193">
        <f t="shared" ref="L368:L370" si="295">N368-J368</f>
        <v>0</v>
      </c>
      <c r="M368" s="194">
        <f t="shared" ref="M368:M370" si="296">K368+I368</f>
        <v>0</v>
      </c>
      <c r="N368" s="196">
        <f t="shared" ref="N368:N370" si="297">TRUNC(M368*F368,2)</f>
        <v>0</v>
      </c>
      <c r="O368" s="194">
        <f t="shared" si="275"/>
        <v>3</v>
      </c>
      <c r="P368" s="196">
        <f t="shared" si="275"/>
        <v>592.35</v>
      </c>
    </row>
    <row r="369" spans="2:16" ht="38.25">
      <c r="B369" s="190" t="s">
        <v>542</v>
      </c>
      <c r="C369" s="191">
        <v>160607</v>
      </c>
      <c r="D369" s="575" t="s">
        <v>390</v>
      </c>
      <c r="E369" s="192" t="s">
        <v>59</v>
      </c>
      <c r="F369" s="193">
        <v>178.48</v>
      </c>
      <c r="G369" s="194">
        <v>2</v>
      </c>
      <c r="H369" s="193">
        <v>356.96</v>
      </c>
      <c r="I369" s="194">
        <v>0</v>
      </c>
      <c r="J369" s="193">
        <f t="shared" si="294"/>
        <v>0</v>
      </c>
      <c r="K369" s="194">
        <f>IFERROR(VLOOKUP(B369,#REF!,18,FALSE),)</f>
        <v>0</v>
      </c>
      <c r="L369" s="193">
        <f t="shared" si="295"/>
        <v>0</v>
      </c>
      <c r="M369" s="194">
        <f t="shared" si="296"/>
        <v>0</v>
      </c>
      <c r="N369" s="196">
        <f t="shared" si="297"/>
        <v>0</v>
      </c>
      <c r="O369" s="194">
        <f t="shared" si="275"/>
        <v>2</v>
      </c>
      <c r="P369" s="196">
        <f t="shared" si="275"/>
        <v>356.96</v>
      </c>
    </row>
    <row r="370" spans="2:16" ht="38.25">
      <c r="B370" s="190" t="s">
        <v>543</v>
      </c>
      <c r="C370" s="191">
        <v>190605</v>
      </c>
      <c r="D370" s="575" t="s">
        <v>544</v>
      </c>
      <c r="E370" s="192" t="s">
        <v>57</v>
      </c>
      <c r="F370" s="193">
        <v>50.18</v>
      </c>
      <c r="G370" s="194">
        <v>1.8</v>
      </c>
      <c r="H370" s="193">
        <v>90.32</v>
      </c>
      <c r="I370" s="194">
        <v>0</v>
      </c>
      <c r="J370" s="193">
        <f t="shared" si="294"/>
        <v>0</v>
      </c>
      <c r="K370" s="194">
        <f>IFERROR(VLOOKUP(B370,#REF!,18,FALSE),)</f>
        <v>0</v>
      </c>
      <c r="L370" s="193">
        <f t="shared" si="295"/>
        <v>0</v>
      </c>
      <c r="M370" s="194">
        <f t="shared" si="296"/>
        <v>0</v>
      </c>
      <c r="N370" s="196">
        <f t="shared" si="297"/>
        <v>0</v>
      </c>
      <c r="O370" s="194">
        <f t="shared" si="275"/>
        <v>1.8</v>
      </c>
      <c r="P370" s="196">
        <f t="shared" si="275"/>
        <v>90.32</v>
      </c>
    </row>
    <row r="371" spans="2:16">
      <c r="B371" s="138"/>
      <c r="C371" s="132"/>
      <c r="D371" s="123"/>
      <c r="E371" s="123"/>
      <c r="F371" s="123"/>
      <c r="G371" s="123"/>
      <c r="H371" s="123"/>
      <c r="I371" s="123"/>
      <c r="J371" s="123"/>
      <c r="K371" s="123"/>
      <c r="L371" s="123"/>
      <c r="M371" s="123"/>
      <c r="N371" s="124"/>
      <c r="O371" s="123">
        <f t="shared" si="275"/>
        <v>0</v>
      </c>
      <c r="P371" s="124">
        <f t="shared" si="275"/>
        <v>0</v>
      </c>
    </row>
    <row r="372" spans="2:16" s="209" customFormat="1">
      <c r="B372" s="202">
        <v>4</v>
      </c>
      <c r="C372" s="203" t="s">
        <v>549</v>
      </c>
      <c r="D372" s="209" t="s">
        <v>549</v>
      </c>
      <c r="E372" s="204"/>
      <c r="F372" s="205"/>
      <c r="G372" s="206"/>
      <c r="H372" s="207">
        <v>1468117</v>
      </c>
      <c r="I372" s="208"/>
      <c r="J372" s="207">
        <f>SUBTOTAL(9,J373:J536)</f>
        <v>121527.54999999999</v>
      </c>
      <c r="K372" s="208"/>
      <c r="L372" s="207">
        <f>SUBTOTAL(9,L373:L536)</f>
        <v>29243.249999999996</v>
      </c>
      <c r="M372" s="207"/>
      <c r="N372" s="207">
        <f>SUBTOTAL(9,N373:N536)</f>
        <v>150770.79999999999</v>
      </c>
      <c r="O372" s="207">
        <f>G372-M372</f>
        <v>0</v>
      </c>
      <c r="P372" s="207">
        <f>H372-N372</f>
        <v>1317346.2</v>
      </c>
    </row>
    <row r="373" spans="2:16" s="213" customFormat="1">
      <c r="B373" s="210" t="s">
        <v>1</v>
      </c>
      <c r="C373" s="211"/>
      <c r="D373" s="212" t="s">
        <v>65</v>
      </c>
      <c r="E373" s="197"/>
      <c r="F373" s="198"/>
      <c r="G373" s="199"/>
      <c r="H373" s="200">
        <v>7682.75</v>
      </c>
      <c r="I373" s="201"/>
      <c r="J373" s="200">
        <f>SUBTOTAL(9,J374:J380)</f>
        <v>0</v>
      </c>
      <c r="K373" s="201"/>
      <c r="L373" s="200">
        <f>SUBTOTAL(9,L374:L380)</f>
        <v>0</v>
      </c>
      <c r="M373" s="200"/>
      <c r="N373" s="200">
        <f>SUBTOTAL(9,N374:N380)</f>
        <v>0</v>
      </c>
      <c r="O373" s="200">
        <f t="shared" ref="O373:P437" si="298">G373-M373</f>
        <v>0</v>
      </c>
      <c r="P373" s="200">
        <f t="shared" si="298"/>
        <v>7682.75</v>
      </c>
    </row>
    <row r="374" spans="2:16" s="131" customFormat="1">
      <c r="B374" s="137" t="s">
        <v>37</v>
      </c>
      <c r="C374" s="133"/>
      <c r="D374" s="125" t="s">
        <v>101</v>
      </c>
      <c r="E374" s="126"/>
      <c r="F374" s="127"/>
      <c r="G374" s="128"/>
      <c r="H374" s="129">
        <v>1783.68</v>
      </c>
      <c r="I374" s="130"/>
      <c r="J374" s="129">
        <f>SUBTOTAL(9,J375:J375)</f>
        <v>0</v>
      </c>
      <c r="K374" s="130"/>
      <c r="L374" s="129">
        <f>SUBTOTAL(9,L375:L375)</f>
        <v>0</v>
      </c>
      <c r="M374" s="129"/>
      <c r="N374" s="129">
        <f>SUBTOTAL(9,N375:N375)</f>
        <v>0</v>
      </c>
      <c r="O374" s="129">
        <f t="shared" si="298"/>
        <v>0</v>
      </c>
      <c r="P374" s="129">
        <f t="shared" si="298"/>
        <v>1783.68</v>
      </c>
    </row>
    <row r="375" spans="2:16">
      <c r="B375" s="190" t="s">
        <v>550</v>
      </c>
      <c r="C375" s="191">
        <v>20305</v>
      </c>
      <c r="D375" s="575" t="s">
        <v>103</v>
      </c>
      <c r="E375" s="192" t="s">
        <v>57</v>
      </c>
      <c r="F375" s="193">
        <v>222.96</v>
      </c>
      <c r="G375" s="194">
        <v>8</v>
      </c>
      <c r="H375" s="193">
        <v>1783.68</v>
      </c>
      <c r="I375" s="194">
        <v>0</v>
      </c>
      <c r="J375" s="193">
        <f>TRUNC(I375*F375,2)</f>
        <v>0</v>
      </c>
      <c r="K375" s="194">
        <v>0</v>
      </c>
      <c r="L375" s="193">
        <f t="shared" ref="L375" si="299">N375-J375</f>
        <v>0</v>
      </c>
      <c r="M375" s="194">
        <f>K375+I375</f>
        <v>0</v>
      </c>
      <c r="N375" s="196">
        <f>TRUNC(M375*F375,2)</f>
        <v>0</v>
      </c>
      <c r="O375" s="194">
        <f t="shared" si="298"/>
        <v>8</v>
      </c>
      <c r="P375" s="196">
        <f t="shared" si="298"/>
        <v>1783.68</v>
      </c>
    </row>
    <row r="376" spans="2:16">
      <c r="B376" s="138"/>
      <c r="C376" s="132"/>
      <c r="D376" s="123"/>
      <c r="E376" s="123"/>
      <c r="F376" s="123"/>
      <c r="G376" s="123"/>
      <c r="H376" s="123"/>
      <c r="I376" s="123"/>
      <c r="J376" s="123"/>
      <c r="K376" s="123"/>
      <c r="L376" s="123"/>
      <c r="M376" s="123"/>
      <c r="N376" s="124"/>
      <c r="O376" s="123">
        <f t="shared" si="298"/>
        <v>0</v>
      </c>
      <c r="P376" s="124">
        <f t="shared" si="298"/>
        <v>0</v>
      </c>
    </row>
    <row r="377" spans="2:16" s="131" customFormat="1">
      <c r="B377" s="137" t="s">
        <v>38</v>
      </c>
      <c r="C377" s="133"/>
      <c r="D377" s="125" t="s">
        <v>105</v>
      </c>
      <c r="E377" s="126"/>
      <c r="F377" s="127"/>
      <c r="G377" s="128"/>
      <c r="H377" s="129">
        <v>5899.07</v>
      </c>
      <c r="I377" s="130"/>
      <c r="J377" s="129">
        <f>SUBTOTAL(9,J378:J380)</f>
        <v>0</v>
      </c>
      <c r="K377" s="130"/>
      <c r="L377" s="129">
        <f>SUBTOTAL(9,L378:L380)</f>
        <v>0</v>
      </c>
      <c r="M377" s="129"/>
      <c r="N377" s="129">
        <f>SUBTOTAL(9,N378:N380)</f>
        <v>0</v>
      </c>
      <c r="O377" s="129">
        <f t="shared" si="298"/>
        <v>0</v>
      </c>
      <c r="P377" s="129">
        <f t="shared" si="298"/>
        <v>5899.07</v>
      </c>
    </row>
    <row r="378" spans="2:16">
      <c r="B378" s="190" t="s">
        <v>551</v>
      </c>
      <c r="C378" s="191">
        <v>10201</v>
      </c>
      <c r="D378" s="575" t="s">
        <v>397</v>
      </c>
      <c r="E378" s="192" t="s">
        <v>57</v>
      </c>
      <c r="F378" s="193">
        <v>22.08</v>
      </c>
      <c r="G378" s="194">
        <v>175.68</v>
      </c>
      <c r="H378" s="193">
        <v>3879.01</v>
      </c>
      <c r="I378" s="195">
        <v>0</v>
      </c>
      <c r="J378" s="193">
        <f>TRUNC(I378*F378,2)</f>
        <v>0</v>
      </c>
      <c r="K378" s="194">
        <f>IFERROR(VLOOKUP(B378,'[35]1.1.1.1'!A:U,18,FALSE),)</f>
        <v>0</v>
      </c>
      <c r="L378" s="193">
        <f t="shared" ref="L378:L380" si="300">N378-J378</f>
        <v>0</v>
      </c>
      <c r="M378" s="194">
        <f>K378+I378</f>
        <v>0</v>
      </c>
      <c r="N378" s="196">
        <f>TRUNC(M378*F378,2)</f>
        <v>0</v>
      </c>
      <c r="O378" s="194">
        <f t="shared" si="298"/>
        <v>175.68</v>
      </c>
      <c r="P378" s="196">
        <f t="shared" si="298"/>
        <v>3879.01</v>
      </c>
    </row>
    <row r="379" spans="2:16">
      <c r="B379" s="190" t="s">
        <v>552</v>
      </c>
      <c r="C379" s="191">
        <v>10209</v>
      </c>
      <c r="D379" s="575" t="s">
        <v>554</v>
      </c>
      <c r="E379" s="192" t="s">
        <v>58</v>
      </c>
      <c r="F379" s="193">
        <v>50.93</v>
      </c>
      <c r="G379" s="194">
        <v>4.96</v>
      </c>
      <c r="H379" s="193">
        <v>252.61</v>
      </c>
      <c r="I379" s="195">
        <v>0</v>
      </c>
      <c r="J379" s="193">
        <f t="shared" ref="J379:J380" si="301">TRUNC(I379*F379,2)</f>
        <v>0</v>
      </c>
      <c r="K379" s="194">
        <f>IFERROR(VLOOKUP(B379,#REF!,18,FALSE),)</f>
        <v>0</v>
      </c>
      <c r="L379" s="193">
        <f t="shared" si="300"/>
        <v>0</v>
      </c>
      <c r="M379" s="194">
        <f t="shared" ref="M379:M380" si="302">K379+I379</f>
        <v>0</v>
      </c>
      <c r="N379" s="196">
        <f t="shared" ref="N379:N380" si="303">TRUNC(M379*F379,2)</f>
        <v>0</v>
      </c>
      <c r="O379" s="194">
        <f t="shared" si="298"/>
        <v>4.96</v>
      </c>
      <c r="P379" s="196">
        <f t="shared" si="298"/>
        <v>252.61</v>
      </c>
    </row>
    <row r="380" spans="2:16" ht="38.25">
      <c r="B380" s="190" t="s">
        <v>553</v>
      </c>
      <c r="C380" s="191">
        <v>30304</v>
      </c>
      <c r="D380" s="575" t="s">
        <v>109</v>
      </c>
      <c r="E380" s="192" t="s">
        <v>58</v>
      </c>
      <c r="F380" s="193">
        <v>56.45</v>
      </c>
      <c r="G380" s="194">
        <v>31.31</v>
      </c>
      <c r="H380" s="193">
        <v>1767.45</v>
      </c>
      <c r="I380" s="195">
        <v>0</v>
      </c>
      <c r="J380" s="193">
        <f t="shared" si="301"/>
        <v>0</v>
      </c>
      <c r="K380" s="194">
        <f>IFERROR(VLOOKUP(B380,#REF!,18,FALSE),)</f>
        <v>0</v>
      </c>
      <c r="L380" s="193">
        <f t="shared" si="300"/>
        <v>0</v>
      </c>
      <c r="M380" s="194">
        <f t="shared" si="302"/>
        <v>0</v>
      </c>
      <c r="N380" s="196">
        <f t="shared" si="303"/>
        <v>0</v>
      </c>
      <c r="O380" s="194">
        <f t="shared" si="298"/>
        <v>31.31</v>
      </c>
      <c r="P380" s="196">
        <f t="shared" si="298"/>
        <v>1767.45</v>
      </c>
    </row>
    <row r="381" spans="2:16">
      <c r="B381" s="138"/>
      <c r="C381" s="132"/>
      <c r="D381" s="123"/>
      <c r="E381" s="123"/>
      <c r="F381" s="123"/>
      <c r="G381" s="123"/>
      <c r="H381" s="123"/>
      <c r="I381" s="123"/>
      <c r="J381" s="123"/>
      <c r="K381" s="123"/>
      <c r="L381" s="123"/>
      <c r="M381" s="123"/>
      <c r="N381" s="124"/>
      <c r="O381" s="123">
        <f t="shared" si="298"/>
        <v>0</v>
      </c>
      <c r="P381" s="124">
        <f t="shared" si="298"/>
        <v>0</v>
      </c>
    </row>
    <row r="382" spans="2:16" s="213" customFormat="1">
      <c r="B382" s="210" t="s">
        <v>27</v>
      </c>
      <c r="C382" s="211"/>
      <c r="D382" s="212" t="s">
        <v>56</v>
      </c>
      <c r="E382" s="197"/>
      <c r="F382" s="198"/>
      <c r="G382" s="199"/>
      <c r="H382" s="200">
        <v>4745.54</v>
      </c>
      <c r="I382" s="201"/>
      <c r="J382" s="200">
        <f>SUBTOTAL(9,J383:J385)</f>
        <v>0</v>
      </c>
      <c r="K382" s="201"/>
      <c r="L382" s="200">
        <f>SUBTOTAL(9,L383:L385)</f>
        <v>0</v>
      </c>
      <c r="M382" s="200"/>
      <c r="N382" s="200">
        <f>SUBTOTAL(9,N383:N385)</f>
        <v>0</v>
      </c>
      <c r="O382" s="200">
        <f t="shared" si="298"/>
        <v>0</v>
      </c>
      <c r="P382" s="200">
        <f t="shared" si="298"/>
        <v>4745.54</v>
      </c>
    </row>
    <row r="383" spans="2:16" s="131" customFormat="1">
      <c r="B383" s="137" t="s">
        <v>39</v>
      </c>
      <c r="C383" s="133"/>
      <c r="D383" s="125" t="s">
        <v>111</v>
      </c>
      <c r="E383" s="126"/>
      <c r="F383" s="127"/>
      <c r="G383" s="128"/>
      <c r="H383" s="129">
        <v>4745.54</v>
      </c>
      <c r="I383" s="130"/>
      <c r="J383" s="129">
        <f>SUBTOTAL(9,J384:J385)</f>
        <v>0</v>
      </c>
      <c r="K383" s="130"/>
      <c r="L383" s="129">
        <f>SUBTOTAL(9,L384:L385)</f>
        <v>0</v>
      </c>
      <c r="M383" s="129"/>
      <c r="N383" s="129">
        <f>SUBTOTAL(9,N384:N385)</f>
        <v>0</v>
      </c>
      <c r="O383" s="129">
        <f t="shared" si="298"/>
        <v>0</v>
      </c>
      <c r="P383" s="129">
        <f t="shared" si="298"/>
        <v>4745.54</v>
      </c>
    </row>
    <row r="384" spans="2:16">
      <c r="B384" s="190" t="s">
        <v>555</v>
      </c>
      <c r="C384" s="191">
        <v>30103</v>
      </c>
      <c r="D384" s="575" t="s">
        <v>116</v>
      </c>
      <c r="E384" s="192" t="s">
        <v>58</v>
      </c>
      <c r="F384" s="193">
        <v>9.81</v>
      </c>
      <c r="G384" s="194">
        <v>71.62</v>
      </c>
      <c r="H384" s="193">
        <v>702.59</v>
      </c>
      <c r="I384" s="194">
        <v>0</v>
      </c>
      <c r="J384" s="193">
        <f t="shared" ref="J384" si="304">TRUNC(I384*F384,2)</f>
        <v>0</v>
      </c>
      <c r="K384" s="194">
        <f>IFERROR(VLOOKUP(B384,'[35]3.2.1.1'!A:U,18,FALSE),)</f>
        <v>0</v>
      </c>
      <c r="L384" s="193">
        <f t="shared" ref="L384" si="305">N384-J384</f>
        <v>0</v>
      </c>
      <c r="M384" s="194">
        <f t="shared" ref="M384" si="306">K384+I384</f>
        <v>0</v>
      </c>
      <c r="N384" s="196">
        <f t="shared" ref="N384" si="307">TRUNC(M384*F384,2)</f>
        <v>0</v>
      </c>
      <c r="O384" s="194">
        <f t="shared" si="298"/>
        <v>71.62</v>
      </c>
      <c r="P384" s="196">
        <f t="shared" si="298"/>
        <v>702.59</v>
      </c>
    </row>
    <row r="385" spans="2:16" ht="38.25">
      <c r="B385" s="190" t="s">
        <v>556</v>
      </c>
      <c r="C385" s="191">
        <v>30304</v>
      </c>
      <c r="D385" s="575" t="s">
        <v>109</v>
      </c>
      <c r="E385" s="192" t="s">
        <v>58</v>
      </c>
      <c r="F385" s="193">
        <v>56.45</v>
      </c>
      <c r="G385" s="194">
        <v>71.62</v>
      </c>
      <c r="H385" s="193">
        <v>4042.95</v>
      </c>
      <c r="I385" s="194">
        <v>0</v>
      </c>
      <c r="J385" s="193">
        <f>TRUNC(I385*F385,2)</f>
        <v>0</v>
      </c>
      <c r="K385" s="194">
        <f>IFERROR(VLOOKUP(B385,'[35]3.2.1.2'!A:U,18,FALSE),)</f>
        <v>0</v>
      </c>
      <c r="L385" s="193">
        <f>N385-J385</f>
        <v>0</v>
      </c>
      <c r="M385" s="194">
        <f>K385+I385</f>
        <v>0</v>
      </c>
      <c r="N385" s="196">
        <f>TRUNC(M385*F385,2)</f>
        <v>0</v>
      </c>
      <c r="O385" s="194">
        <f t="shared" si="298"/>
        <v>71.62</v>
      </c>
      <c r="P385" s="196">
        <f t="shared" si="298"/>
        <v>4042.95</v>
      </c>
    </row>
    <row r="386" spans="2:16" s="213" customFormat="1">
      <c r="B386" s="210" t="s">
        <v>557</v>
      </c>
      <c r="C386" s="211"/>
      <c r="D386" s="212" t="s">
        <v>119</v>
      </c>
      <c r="E386" s="197"/>
      <c r="F386" s="198"/>
      <c r="G386" s="199"/>
      <c r="H386" s="200">
        <v>365305.13</v>
      </c>
      <c r="I386" s="201"/>
      <c r="J386" s="200">
        <f>SUBTOTAL(9,J387:J456)</f>
        <v>39351.599999999999</v>
      </c>
      <c r="K386" s="201"/>
      <c r="L386" s="200">
        <f>SUBTOTAL(9,L387:L456)</f>
        <v>0</v>
      </c>
      <c r="M386" s="200"/>
      <c r="N386" s="200">
        <f>SUBTOTAL(9,N387:N456)</f>
        <v>39351.599999999999</v>
      </c>
      <c r="O386" s="200">
        <f t="shared" si="298"/>
        <v>0</v>
      </c>
      <c r="P386" s="200">
        <f t="shared" si="298"/>
        <v>325953.53000000003</v>
      </c>
    </row>
    <row r="387" spans="2:16" s="131" customFormat="1">
      <c r="B387" s="137" t="s">
        <v>558</v>
      </c>
      <c r="C387" s="133"/>
      <c r="D387" s="125" t="s">
        <v>98</v>
      </c>
      <c r="E387" s="126"/>
      <c r="F387" s="127"/>
      <c r="G387" s="128"/>
      <c r="H387" s="129">
        <v>1390.97</v>
      </c>
      <c r="I387" s="130"/>
      <c r="J387" s="129">
        <f>SUBTOTAL(9,J388)</f>
        <v>0</v>
      </c>
      <c r="K387" s="130"/>
      <c r="L387" s="129">
        <f>SUBTOTAL(9,L388)</f>
        <v>0</v>
      </c>
      <c r="M387" s="129"/>
      <c r="N387" s="129">
        <f>SUBTOTAL(9,N388)</f>
        <v>0</v>
      </c>
      <c r="O387" s="129">
        <f t="shared" si="298"/>
        <v>0</v>
      </c>
      <c r="P387" s="129">
        <f t="shared" si="298"/>
        <v>1390.97</v>
      </c>
    </row>
    <row r="388" spans="2:16">
      <c r="B388" s="190" t="s">
        <v>559</v>
      </c>
      <c r="C388" s="191">
        <v>10501</v>
      </c>
      <c r="D388" s="575" t="s">
        <v>122</v>
      </c>
      <c r="E388" s="192" t="s">
        <v>57</v>
      </c>
      <c r="F388" s="193">
        <v>7.69</v>
      </c>
      <c r="G388" s="194">
        <v>180.88</v>
      </c>
      <c r="H388" s="193">
        <v>1390.97</v>
      </c>
      <c r="I388" s="194">
        <v>0</v>
      </c>
      <c r="J388" s="193">
        <f t="shared" ref="J388" si="308">TRUNC(I388*F388,2)</f>
        <v>0</v>
      </c>
      <c r="K388" s="194">
        <f>IFERROR(VLOOKUP(B388,#REF!,18,FALSE),)</f>
        <v>0</v>
      </c>
      <c r="L388" s="193">
        <f t="shared" ref="L388" si="309">N388-J388</f>
        <v>0</v>
      </c>
      <c r="M388" s="194">
        <f t="shared" ref="M388" si="310">K388+I388</f>
        <v>0</v>
      </c>
      <c r="N388" s="196">
        <f t="shared" ref="N388" si="311">TRUNC(M388*F388,2)</f>
        <v>0</v>
      </c>
      <c r="O388" s="194">
        <f t="shared" si="298"/>
        <v>180.88</v>
      </c>
      <c r="P388" s="196">
        <f t="shared" si="298"/>
        <v>1390.97</v>
      </c>
    </row>
    <row r="389" spans="2:16">
      <c r="B389" s="138"/>
      <c r="C389" s="132"/>
      <c r="D389" s="123"/>
      <c r="E389" s="123"/>
      <c r="F389" s="123"/>
      <c r="G389" s="123"/>
      <c r="H389" s="123"/>
      <c r="I389" s="123"/>
      <c r="J389" s="123"/>
      <c r="K389" s="123"/>
      <c r="L389" s="123"/>
      <c r="M389" s="123"/>
      <c r="N389" s="124"/>
      <c r="O389" s="123">
        <f t="shared" si="298"/>
        <v>0</v>
      </c>
      <c r="P389" s="124">
        <f t="shared" si="298"/>
        <v>0</v>
      </c>
    </row>
    <row r="390" spans="2:16" s="131" customFormat="1">
      <c r="B390" s="137" t="s">
        <v>560</v>
      </c>
      <c r="C390" s="133"/>
      <c r="D390" s="125" t="s">
        <v>124</v>
      </c>
      <c r="E390" s="126"/>
      <c r="F390" s="127"/>
      <c r="G390" s="128"/>
      <c r="H390" s="129">
        <v>130072.25</v>
      </c>
      <c r="I390" s="130"/>
      <c r="J390" s="129">
        <f>SUBTOTAL(9,J391:J401)</f>
        <v>39351.599999999999</v>
      </c>
      <c r="K390" s="130"/>
      <c r="L390" s="129">
        <f>SUBTOTAL(9,L391:L401)</f>
        <v>0</v>
      </c>
      <c r="M390" s="129"/>
      <c r="N390" s="129">
        <f>SUBTOTAL(9,N391:N401)</f>
        <v>39351.599999999999</v>
      </c>
      <c r="O390" s="129">
        <f t="shared" si="298"/>
        <v>0</v>
      </c>
      <c r="P390" s="129">
        <f t="shared" si="298"/>
        <v>90720.65</v>
      </c>
    </row>
    <row r="391" spans="2:16" ht="25.5">
      <c r="B391" s="190" t="s">
        <v>561</v>
      </c>
      <c r="C391" s="191" t="s">
        <v>136</v>
      </c>
      <c r="D391" s="575" t="s">
        <v>141</v>
      </c>
      <c r="E391" s="192" t="s">
        <v>60</v>
      </c>
      <c r="F391" s="193">
        <v>462.96</v>
      </c>
      <c r="G391" s="194">
        <v>85</v>
      </c>
      <c r="H391" s="193">
        <v>39351.599999999999</v>
      </c>
      <c r="I391" s="194">
        <v>85</v>
      </c>
      <c r="J391" s="193">
        <f t="shared" ref="J391" si="312">TRUNC(I391*F391,2)</f>
        <v>39351.599999999999</v>
      </c>
      <c r="K391" s="194">
        <f>IFERROR(VLOOKUP(B391,'[35]4.3.2.1'!A:U,18,FALSE),)</f>
        <v>0</v>
      </c>
      <c r="L391" s="193">
        <f t="shared" ref="L391" si="313">N391-J391</f>
        <v>0</v>
      </c>
      <c r="M391" s="194">
        <f t="shared" ref="M391" si="314">K391+I391</f>
        <v>85</v>
      </c>
      <c r="N391" s="196">
        <f t="shared" ref="N391" si="315">TRUNC(M391*F391,2)</f>
        <v>39351.599999999999</v>
      </c>
      <c r="O391" s="194">
        <f t="shared" si="298"/>
        <v>0</v>
      </c>
      <c r="P391" s="196">
        <f t="shared" si="298"/>
        <v>0</v>
      </c>
    </row>
    <row r="392" spans="2:16">
      <c r="B392" s="190" t="s">
        <v>562</v>
      </c>
      <c r="C392" s="191" t="s">
        <v>137</v>
      </c>
      <c r="D392" s="575" t="s">
        <v>142</v>
      </c>
      <c r="E392" s="192" t="s">
        <v>49</v>
      </c>
      <c r="F392" s="193">
        <v>596.34</v>
      </c>
      <c r="G392" s="194">
        <v>36.83</v>
      </c>
      <c r="H392" s="193">
        <v>21963.200000000001</v>
      </c>
      <c r="I392" s="194">
        <v>0</v>
      </c>
      <c r="J392" s="193">
        <f>TRUNC(I392*F392,2)</f>
        <v>0</v>
      </c>
      <c r="K392" s="194">
        <f>IFERROR(VLOOKUP(B392,#REF!,18,FALSE),)</f>
        <v>0</v>
      </c>
      <c r="L392" s="193">
        <f>N392-J392</f>
        <v>0</v>
      </c>
      <c r="M392" s="194">
        <f>K392+I392</f>
        <v>0</v>
      </c>
      <c r="N392" s="196">
        <f>TRUNC(M392*F392,2)</f>
        <v>0</v>
      </c>
      <c r="O392" s="194">
        <f t="shared" si="298"/>
        <v>36.83</v>
      </c>
      <c r="P392" s="196">
        <f t="shared" si="298"/>
        <v>21963.200000000001</v>
      </c>
    </row>
    <row r="393" spans="2:16" ht="25.5">
      <c r="B393" s="190" t="s">
        <v>563</v>
      </c>
      <c r="C393" s="191" t="s">
        <v>138</v>
      </c>
      <c r="D393" s="575" t="s">
        <v>143</v>
      </c>
      <c r="E393" s="192" t="s">
        <v>29</v>
      </c>
      <c r="F393" s="193">
        <v>4.82</v>
      </c>
      <c r="G393" s="194">
        <v>528</v>
      </c>
      <c r="H393" s="193">
        <v>2544.96</v>
      </c>
      <c r="I393" s="194">
        <v>0</v>
      </c>
      <c r="J393" s="193">
        <f t="shared" ref="J393:J399" si="316">TRUNC(I393*F393,2)</f>
        <v>0</v>
      </c>
      <c r="K393" s="194">
        <f>IFERROR(VLOOKUP(B393,#REF!,18,FALSE),)</f>
        <v>0</v>
      </c>
      <c r="L393" s="193">
        <f t="shared" ref="L393:L399" si="317">N393-J393</f>
        <v>0</v>
      </c>
      <c r="M393" s="194">
        <f t="shared" ref="M393:M399" si="318">K393+I393</f>
        <v>0</v>
      </c>
      <c r="N393" s="196">
        <f t="shared" ref="N393:N399" si="319">TRUNC(M393*F393,2)</f>
        <v>0</v>
      </c>
      <c r="O393" s="194">
        <f t="shared" si="298"/>
        <v>528</v>
      </c>
      <c r="P393" s="196">
        <f t="shared" si="298"/>
        <v>2544.96</v>
      </c>
    </row>
    <row r="394" spans="2:16" ht="25.5">
      <c r="B394" s="190" t="s">
        <v>564</v>
      </c>
      <c r="C394" s="191" t="s">
        <v>139</v>
      </c>
      <c r="D394" s="575" t="s">
        <v>144</v>
      </c>
      <c r="E394" s="192" t="s">
        <v>29</v>
      </c>
      <c r="F394" s="193">
        <v>6.12</v>
      </c>
      <c r="G394" s="194">
        <v>4554</v>
      </c>
      <c r="H394" s="193">
        <v>27870.48</v>
      </c>
      <c r="I394" s="194">
        <v>0</v>
      </c>
      <c r="J394" s="193">
        <f t="shared" si="316"/>
        <v>0</v>
      </c>
      <c r="K394" s="194">
        <f>IFERROR(VLOOKUP(B394,#REF!,18,FALSE),)</f>
        <v>0</v>
      </c>
      <c r="L394" s="193">
        <f t="shared" si="317"/>
        <v>0</v>
      </c>
      <c r="M394" s="194">
        <f t="shared" si="318"/>
        <v>0</v>
      </c>
      <c r="N394" s="196">
        <f t="shared" si="319"/>
        <v>0</v>
      </c>
      <c r="O394" s="194">
        <f t="shared" si="298"/>
        <v>4554</v>
      </c>
      <c r="P394" s="196">
        <f t="shared" si="298"/>
        <v>27870.48</v>
      </c>
    </row>
    <row r="395" spans="2:16">
      <c r="B395" s="190" t="s">
        <v>565</v>
      </c>
      <c r="C395" s="191">
        <v>30101</v>
      </c>
      <c r="D395" s="575" t="s">
        <v>145</v>
      </c>
      <c r="E395" s="192" t="s">
        <v>58</v>
      </c>
      <c r="F395" s="193">
        <v>48.58</v>
      </c>
      <c r="G395" s="194">
        <v>5.8</v>
      </c>
      <c r="H395" s="193">
        <v>281.76</v>
      </c>
      <c r="I395" s="194">
        <v>0</v>
      </c>
      <c r="J395" s="193">
        <f t="shared" si="316"/>
        <v>0</v>
      </c>
      <c r="K395" s="194">
        <f>IFERROR(VLOOKUP(B395,#REF!,18,FALSE),)</f>
        <v>0</v>
      </c>
      <c r="L395" s="193">
        <f t="shared" si="317"/>
        <v>0</v>
      </c>
      <c r="M395" s="194">
        <f t="shared" si="318"/>
        <v>0</v>
      </c>
      <c r="N395" s="196">
        <f t="shared" si="319"/>
        <v>0</v>
      </c>
      <c r="O395" s="194">
        <f t="shared" si="298"/>
        <v>5.8</v>
      </c>
      <c r="P395" s="196">
        <f t="shared" si="298"/>
        <v>281.76</v>
      </c>
    </row>
    <row r="396" spans="2:16" ht="51">
      <c r="B396" s="190" t="s">
        <v>566</v>
      </c>
      <c r="C396" s="191">
        <v>40339</v>
      </c>
      <c r="D396" s="575" t="s">
        <v>146</v>
      </c>
      <c r="E396" s="192" t="s">
        <v>57</v>
      </c>
      <c r="F396" s="193">
        <v>91.04</v>
      </c>
      <c r="G396" s="194">
        <v>122.6</v>
      </c>
      <c r="H396" s="193">
        <v>11161.5</v>
      </c>
      <c r="I396" s="194">
        <v>0</v>
      </c>
      <c r="J396" s="193">
        <f t="shared" si="316"/>
        <v>0</v>
      </c>
      <c r="K396" s="194">
        <f>IFERROR(VLOOKUP(B396,#REF!,18,FALSE),)</f>
        <v>0</v>
      </c>
      <c r="L396" s="193">
        <f t="shared" si="317"/>
        <v>0</v>
      </c>
      <c r="M396" s="194">
        <f t="shared" si="318"/>
        <v>0</v>
      </c>
      <c r="N396" s="196">
        <f t="shared" si="319"/>
        <v>0</v>
      </c>
      <c r="O396" s="194">
        <f t="shared" si="298"/>
        <v>122.6</v>
      </c>
      <c r="P396" s="196">
        <f t="shared" si="298"/>
        <v>11161.5</v>
      </c>
    </row>
    <row r="397" spans="2:16" ht="25.5">
      <c r="B397" s="190" t="s">
        <v>567</v>
      </c>
      <c r="C397" s="191">
        <v>40328</v>
      </c>
      <c r="D397" s="575" t="s">
        <v>147</v>
      </c>
      <c r="E397" s="192" t="s">
        <v>29</v>
      </c>
      <c r="F397" s="193">
        <v>7.98</v>
      </c>
      <c r="G397" s="194">
        <v>584</v>
      </c>
      <c r="H397" s="193">
        <v>4660.32</v>
      </c>
      <c r="I397" s="194">
        <v>0</v>
      </c>
      <c r="J397" s="193">
        <f t="shared" si="316"/>
        <v>0</v>
      </c>
      <c r="K397" s="194">
        <f>IFERROR(VLOOKUP(B397,#REF!,18,FALSE),)</f>
        <v>0</v>
      </c>
      <c r="L397" s="193">
        <f t="shared" si="317"/>
        <v>0</v>
      </c>
      <c r="M397" s="194">
        <f t="shared" si="318"/>
        <v>0</v>
      </c>
      <c r="N397" s="196">
        <f t="shared" si="319"/>
        <v>0</v>
      </c>
      <c r="O397" s="194">
        <f t="shared" si="298"/>
        <v>584</v>
      </c>
      <c r="P397" s="196">
        <f t="shared" si="298"/>
        <v>4660.32</v>
      </c>
    </row>
    <row r="398" spans="2:16" ht="25.5">
      <c r="B398" s="190" t="s">
        <v>568</v>
      </c>
      <c r="C398" s="191">
        <v>40245</v>
      </c>
      <c r="D398" s="575" t="s">
        <v>148</v>
      </c>
      <c r="E398" s="192" t="s">
        <v>29</v>
      </c>
      <c r="F398" s="193">
        <v>8.41</v>
      </c>
      <c r="G398" s="194">
        <v>144</v>
      </c>
      <c r="H398" s="193">
        <v>1211.04</v>
      </c>
      <c r="I398" s="194">
        <v>0</v>
      </c>
      <c r="J398" s="193">
        <f t="shared" si="316"/>
        <v>0</v>
      </c>
      <c r="K398" s="194">
        <f>IFERROR(VLOOKUP(B398,#REF!,18,FALSE),)</f>
        <v>0</v>
      </c>
      <c r="L398" s="193">
        <f t="shared" si="317"/>
        <v>0</v>
      </c>
      <c r="M398" s="194">
        <f t="shared" si="318"/>
        <v>0</v>
      </c>
      <c r="N398" s="196">
        <f t="shared" si="319"/>
        <v>0</v>
      </c>
      <c r="O398" s="194">
        <f t="shared" si="298"/>
        <v>144</v>
      </c>
      <c r="P398" s="196">
        <f t="shared" si="298"/>
        <v>1211.04</v>
      </c>
    </row>
    <row r="399" spans="2:16" ht="25.5">
      <c r="B399" s="190" t="s">
        <v>569</v>
      </c>
      <c r="C399" s="191">
        <v>40246</v>
      </c>
      <c r="D399" s="575" t="s">
        <v>149</v>
      </c>
      <c r="E399" s="192" t="s">
        <v>29</v>
      </c>
      <c r="F399" s="193">
        <v>8.08</v>
      </c>
      <c r="G399" s="194">
        <v>37</v>
      </c>
      <c r="H399" s="193">
        <v>298.95999999999998</v>
      </c>
      <c r="I399" s="194">
        <v>0</v>
      </c>
      <c r="J399" s="193">
        <f t="shared" si="316"/>
        <v>0</v>
      </c>
      <c r="K399" s="194">
        <f>IFERROR(VLOOKUP(B399,#REF!,18,FALSE),)</f>
        <v>0</v>
      </c>
      <c r="L399" s="193">
        <f t="shared" si="317"/>
        <v>0</v>
      </c>
      <c r="M399" s="194">
        <f t="shared" si="318"/>
        <v>0</v>
      </c>
      <c r="N399" s="196">
        <f t="shared" si="319"/>
        <v>0</v>
      </c>
      <c r="O399" s="194">
        <f t="shared" si="298"/>
        <v>37</v>
      </c>
      <c r="P399" s="196">
        <f t="shared" si="298"/>
        <v>298.95999999999998</v>
      </c>
    </row>
    <row r="400" spans="2:16" ht="51">
      <c r="B400" s="190" t="s">
        <v>570</v>
      </c>
      <c r="C400" s="191" t="s">
        <v>140</v>
      </c>
      <c r="D400" s="575" t="s">
        <v>177</v>
      </c>
      <c r="E400" s="192" t="s">
        <v>58</v>
      </c>
      <c r="F400" s="193">
        <v>486.08</v>
      </c>
      <c r="G400" s="194">
        <v>16.8</v>
      </c>
      <c r="H400" s="193">
        <v>8166.14</v>
      </c>
      <c r="I400" s="194">
        <v>0</v>
      </c>
      <c r="J400" s="193">
        <f>TRUNC(I400*F400,2)</f>
        <v>0</v>
      </c>
      <c r="K400" s="194">
        <f>IFERROR(VLOOKUP(B400,#REF!,18,FALSE),)</f>
        <v>0</v>
      </c>
      <c r="L400" s="193">
        <f>N400-J400</f>
        <v>0</v>
      </c>
      <c r="M400" s="194">
        <f>K400+I400</f>
        <v>0</v>
      </c>
      <c r="N400" s="196">
        <f>TRUNC(M400*F400,2)</f>
        <v>0</v>
      </c>
      <c r="O400" s="194">
        <f t="shared" si="298"/>
        <v>16.8</v>
      </c>
      <c r="P400" s="196">
        <f t="shared" si="298"/>
        <v>8166.14</v>
      </c>
    </row>
    <row r="401" spans="2:16">
      <c r="B401" s="190" t="s">
        <v>571</v>
      </c>
      <c r="C401" s="191">
        <v>40813</v>
      </c>
      <c r="D401" s="575" t="s">
        <v>151</v>
      </c>
      <c r="E401" s="192" t="s">
        <v>57</v>
      </c>
      <c r="F401" s="193">
        <v>64.3</v>
      </c>
      <c r="G401" s="194">
        <v>195.37</v>
      </c>
      <c r="H401" s="193">
        <v>12562.29</v>
      </c>
      <c r="I401" s="194">
        <v>0</v>
      </c>
      <c r="J401" s="193">
        <f>TRUNC(I401*F401,2)</f>
        <v>0</v>
      </c>
      <c r="K401" s="194">
        <f>IFERROR(VLOOKUP(B401,#REF!,18,FALSE),)</f>
        <v>0</v>
      </c>
      <c r="L401" s="193">
        <f>N401-J401</f>
        <v>0</v>
      </c>
      <c r="M401" s="194">
        <f>K401+I401</f>
        <v>0</v>
      </c>
      <c r="N401" s="196">
        <f>TRUNC(M401*F401,2)</f>
        <v>0</v>
      </c>
      <c r="O401" s="194">
        <f t="shared" si="298"/>
        <v>195.37</v>
      </c>
      <c r="P401" s="196">
        <f t="shared" si="298"/>
        <v>12562.29</v>
      </c>
    </row>
    <row r="402" spans="2:16">
      <c r="B402" s="138"/>
      <c r="C402" s="132"/>
      <c r="D402" s="123"/>
      <c r="E402" s="123"/>
      <c r="F402" s="123"/>
      <c r="G402" s="123"/>
      <c r="H402" s="123"/>
      <c r="I402" s="123"/>
      <c r="J402" s="123"/>
      <c r="K402" s="123"/>
      <c r="L402" s="123"/>
      <c r="M402" s="123"/>
      <c r="N402" s="124"/>
      <c r="O402" s="123">
        <f t="shared" si="298"/>
        <v>0</v>
      </c>
      <c r="P402" s="124">
        <f t="shared" si="298"/>
        <v>0</v>
      </c>
    </row>
    <row r="403" spans="2:16" s="131" customFormat="1">
      <c r="B403" s="137" t="s">
        <v>572</v>
      </c>
      <c r="C403" s="133"/>
      <c r="D403" s="125" t="s">
        <v>153</v>
      </c>
      <c r="E403" s="126"/>
      <c r="F403" s="127"/>
      <c r="G403" s="128"/>
      <c r="H403" s="129">
        <v>13844.96</v>
      </c>
      <c r="I403" s="130"/>
      <c r="J403" s="129">
        <f>SUBTOTAL(9,J404)</f>
        <v>0</v>
      </c>
      <c r="K403" s="130"/>
      <c r="L403" s="129">
        <f>SUBTOTAL(9,L404)</f>
        <v>0</v>
      </c>
      <c r="M403" s="129"/>
      <c r="N403" s="129">
        <f>SUBTOTAL(9,N404)</f>
        <v>0</v>
      </c>
      <c r="O403" s="129">
        <f t="shared" si="298"/>
        <v>0</v>
      </c>
      <c r="P403" s="129">
        <f t="shared" si="298"/>
        <v>13844.96</v>
      </c>
    </row>
    <row r="404" spans="2:16" ht="25.5">
      <c r="B404" s="190" t="s">
        <v>573</v>
      </c>
      <c r="C404" s="191" t="s">
        <v>155</v>
      </c>
      <c r="D404" s="575" t="s">
        <v>156</v>
      </c>
      <c r="E404" s="192" t="s">
        <v>50</v>
      </c>
      <c r="F404" s="193">
        <v>91.41</v>
      </c>
      <c r="G404" s="194">
        <v>151.46</v>
      </c>
      <c r="H404" s="193">
        <v>13844.96</v>
      </c>
      <c r="I404" s="194">
        <v>0</v>
      </c>
      <c r="J404" s="193">
        <f t="shared" ref="J404" si="320">TRUNC(I404*F404,2)</f>
        <v>0</v>
      </c>
      <c r="K404" s="194">
        <f>IFERROR(VLOOKUP(B404,#REF!,18,FALSE),)</f>
        <v>0</v>
      </c>
      <c r="L404" s="193">
        <f t="shared" ref="L404" si="321">N404-J404</f>
        <v>0</v>
      </c>
      <c r="M404" s="194">
        <f t="shared" ref="M404" si="322">K404+I404</f>
        <v>0</v>
      </c>
      <c r="N404" s="196">
        <f t="shared" ref="N404" si="323">TRUNC(M404*F404,2)</f>
        <v>0</v>
      </c>
      <c r="O404" s="194">
        <f t="shared" si="298"/>
        <v>151.46</v>
      </c>
      <c r="P404" s="196">
        <f t="shared" si="298"/>
        <v>13844.96</v>
      </c>
    </row>
    <row r="405" spans="2:16">
      <c r="B405" s="138"/>
      <c r="C405" s="132"/>
      <c r="D405" s="123"/>
      <c r="E405" s="123"/>
      <c r="F405" s="123"/>
      <c r="G405" s="123"/>
      <c r="H405" s="123"/>
      <c r="I405" s="123"/>
      <c r="J405" s="123"/>
      <c r="K405" s="123"/>
      <c r="L405" s="123"/>
      <c r="M405" s="123"/>
      <c r="N405" s="124"/>
      <c r="O405" s="123">
        <f t="shared" si="298"/>
        <v>0</v>
      </c>
      <c r="P405" s="124">
        <f t="shared" si="298"/>
        <v>0</v>
      </c>
    </row>
    <row r="406" spans="2:16" s="131" customFormat="1">
      <c r="B406" s="137" t="s">
        <v>574</v>
      </c>
      <c r="C406" s="133"/>
      <c r="D406" s="125" t="s">
        <v>158</v>
      </c>
      <c r="E406" s="126"/>
      <c r="F406" s="127"/>
      <c r="G406" s="128"/>
      <c r="H406" s="129">
        <v>2958.92</v>
      </c>
      <c r="I406" s="130"/>
      <c r="J406" s="129">
        <f>SUBTOTAL(9,J407:J409)</f>
        <v>0</v>
      </c>
      <c r="K406" s="130"/>
      <c r="L406" s="129">
        <f>SUBTOTAL(9,L407:L409)</f>
        <v>0</v>
      </c>
      <c r="M406" s="129"/>
      <c r="N406" s="129">
        <f>SUBTOTAL(9,N407:N409)</f>
        <v>0</v>
      </c>
      <c r="O406" s="129">
        <f t="shared" si="298"/>
        <v>0</v>
      </c>
      <c r="P406" s="129">
        <f t="shared" si="298"/>
        <v>2958.92</v>
      </c>
    </row>
    <row r="407" spans="2:16" ht="25.5">
      <c r="B407" s="190" t="s">
        <v>575</v>
      </c>
      <c r="C407" s="191" t="s">
        <v>155</v>
      </c>
      <c r="D407" s="575" t="s">
        <v>156</v>
      </c>
      <c r="E407" s="192" t="s">
        <v>50</v>
      </c>
      <c r="F407" s="193">
        <v>91.41</v>
      </c>
      <c r="G407" s="194">
        <v>23.59</v>
      </c>
      <c r="H407" s="193">
        <v>2156.36</v>
      </c>
      <c r="I407" s="194">
        <v>0</v>
      </c>
      <c r="J407" s="193">
        <f t="shared" ref="J407" si="324">TRUNC(I407*F407,2)</f>
        <v>0</v>
      </c>
      <c r="K407" s="194">
        <f>IFERROR(VLOOKUP(B407,#REF!,18,FALSE),)</f>
        <v>0</v>
      </c>
      <c r="L407" s="193">
        <f t="shared" ref="L407" si="325">N407-J407</f>
        <v>0</v>
      </c>
      <c r="M407" s="194">
        <f t="shared" ref="M407" si="326">K407+I407</f>
        <v>0</v>
      </c>
      <c r="N407" s="196">
        <f t="shared" ref="N407" si="327">TRUNC(M407*F407,2)</f>
        <v>0</v>
      </c>
      <c r="O407" s="194">
        <f t="shared" si="298"/>
        <v>23.59</v>
      </c>
      <c r="P407" s="196">
        <f t="shared" si="298"/>
        <v>2156.36</v>
      </c>
    </row>
    <row r="408" spans="2:16">
      <c r="B408" s="190" t="s">
        <v>576</v>
      </c>
      <c r="C408" s="191">
        <v>200323</v>
      </c>
      <c r="D408" s="575" t="s">
        <v>162</v>
      </c>
      <c r="E408" s="192" t="s">
        <v>58</v>
      </c>
      <c r="F408" s="193">
        <v>125.94</v>
      </c>
      <c r="G408" s="194">
        <v>4.76</v>
      </c>
      <c r="H408" s="193">
        <v>599.47</v>
      </c>
      <c r="I408" s="194">
        <v>0</v>
      </c>
      <c r="J408" s="193">
        <f>TRUNC(I408*F408,2)</f>
        <v>0</v>
      </c>
      <c r="K408" s="194">
        <f>IFERROR(VLOOKUP(B408,#REF!,18,FALSE),)</f>
        <v>0</v>
      </c>
      <c r="L408" s="193">
        <f>N408-J408</f>
        <v>0</v>
      </c>
      <c r="M408" s="194">
        <f>K408+I408</f>
        <v>0</v>
      </c>
      <c r="N408" s="196">
        <f>TRUNC(M408*F408,2)</f>
        <v>0</v>
      </c>
      <c r="O408" s="194">
        <f t="shared" si="298"/>
        <v>4.76</v>
      </c>
      <c r="P408" s="196">
        <f t="shared" si="298"/>
        <v>599.47</v>
      </c>
    </row>
    <row r="409" spans="2:16" ht="38.25">
      <c r="B409" s="190" t="s">
        <v>577</v>
      </c>
      <c r="C409" s="191">
        <v>50501</v>
      </c>
      <c r="D409" s="575" t="s">
        <v>916</v>
      </c>
      <c r="E409" s="192" t="s">
        <v>57</v>
      </c>
      <c r="F409" s="193">
        <v>94.9</v>
      </c>
      <c r="G409" s="194">
        <v>2.14</v>
      </c>
      <c r="H409" s="193">
        <v>203.09</v>
      </c>
      <c r="I409" s="194">
        <v>0</v>
      </c>
      <c r="J409" s="193">
        <f t="shared" ref="J409" si="328">TRUNC(I409*F409,2)</f>
        <v>0</v>
      </c>
      <c r="K409" s="194">
        <f>IFERROR(VLOOKUP(B409,#REF!,18,FALSE),)</f>
        <v>0</v>
      </c>
      <c r="L409" s="193">
        <f t="shared" ref="L409" si="329">N409-J409</f>
        <v>0</v>
      </c>
      <c r="M409" s="194">
        <f t="shared" ref="M409" si="330">K409+I409</f>
        <v>0</v>
      </c>
      <c r="N409" s="196">
        <f t="shared" ref="N409" si="331">TRUNC(M409*F409,2)</f>
        <v>0</v>
      </c>
      <c r="O409" s="194">
        <f t="shared" si="298"/>
        <v>2.14</v>
      </c>
      <c r="P409" s="196">
        <f t="shared" si="298"/>
        <v>203.09</v>
      </c>
    </row>
    <row r="410" spans="2:16">
      <c r="B410" s="138"/>
      <c r="C410" s="132"/>
      <c r="D410" s="123"/>
      <c r="E410" s="123"/>
      <c r="F410" s="123"/>
      <c r="G410" s="123"/>
      <c r="H410" s="123"/>
      <c r="I410" s="123"/>
      <c r="J410" s="123"/>
      <c r="K410" s="123"/>
      <c r="L410" s="123"/>
      <c r="M410" s="123"/>
      <c r="N410" s="124"/>
      <c r="O410" s="123">
        <f t="shared" si="298"/>
        <v>0</v>
      </c>
      <c r="P410" s="124">
        <f t="shared" si="298"/>
        <v>0</v>
      </c>
    </row>
    <row r="411" spans="2:16" s="131" customFormat="1">
      <c r="B411" s="137" t="s">
        <v>578</v>
      </c>
      <c r="C411" s="133"/>
      <c r="D411" s="125" t="s">
        <v>164</v>
      </c>
      <c r="E411" s="126"/>
      <c r="F411" s="127"/>
      <c r="G411" s="128"/>
      <c r="H411" s="129">
        <v>9240.3700000000008</v>
      </c>
      <c r="I411" s="130"/>
      <c r="J411" s="129">
        <f>SUBTOTAL(9,J412:J416)</f>
        <v>0</v>
      </c>
      <c r="K411" s="130"/>
      <c r="L411" s="129">
        <f>SUBTOTAL(9,L412:L416)</f>
        <v>0</v>
      </c>
      <c r="M411" s="129"/>
      <c r="N411" s="129">
        <f>SUBTOTAL(9,N412:N416)</f>
        <v>0</v>
      </c>
      <c r="O411" s="129">
        <f t="shared" si="298"/>
        <v>0</v>
      </c>
      <c r="P411" s="129">
        <f t="shared" si="298"/>
        <v>9240.3700000000008</v>
      </c>
    </row>
    <row r="412" spans="2:16" ht="51">
      <c r="B412" s="190" t="s">
        <v>579</v>
      </c>
      <c r="C412" s="191">
        <v>40339</v>
      </c>
      <c r="D412" s="575" t="s">
        <v>146</v>
      </c>
      <c r="E412" s="192" t="s">
        <v>57</v>
      </c>
      <c r="F412" s="193">
        <v>91.04</v>
      </c>
      <c r="G412" s="194">
        <v>52.4</v>
      </c>
      <c r="H412" s="193">
        <v>4770.5</v>
      </c>
      <c r="I412" s="194">
        <v>0</v>
      </c>
      <c r="J412" s="193">
        <f t="shared" ref="J412" si="332">TRUNC(I412*F412,2)</f>
        <v>0</v>
      </c>
      <c r="K412" s="194">
        <f>IFERROR(VLOOKUP(B412,#REF!,18,FALSE),)</f>
        <v>0</v>
      </c>
      <c r="L412" s="193">
        <f t="shared" ref="L412" si="333">N412-J412</f>
        <v>0</v>
      </c>
      <c r="M412" s="194">
        <f t="shared" ref="M412" si="334">K412+I412</f>
        <v>0</v>
      </c>
      <c r="N412" s="196">
        <f t="shared" ref="N412" si="335">TRUNC(M412*F412,2)</f>
        <v>0</v>
      </c>
      <c r="O412" s="194">
        <f t="shared" si="298"/>
        <v>52.4</v>
      </c>
      <c r="P412" s="196">
        <f t="shared" si="298"/>
        <v>4770.5</v>
      </c>
    </row>
    <row r="413" spans="2:16" ht="25.5">
      <c r="B413" s="190" t="s">
        <v>580</v>
      </c>
      <c r="C413" s="191">
        <v>40328</v>
      </c>
      <c r="D413" s="575" t="s">
        <v>147</v>
      </c>
      <c r="E413" s="192" t="s">
        <v>29</v>
      </c>
      <c r="F413" s="193">
        <v>7.98</v>
      </c>
      <c r="G413" s="194">
        <v>210</v>
      </c>
      <c r="H413" s="193">
        <v>1675.8</v>
      </c>
      <c r="I413" s="194">
        <v>0</v>
      </c>
      <c r="J413" s="193">
        <f>TRUNC(I413*F413,2)</f>
        <v>0</v>
      </c>
      <c r="K413" s="194">
        <f>IFERROR(VLOOKUP(B413,#REF!,18,FALSE),)</f>
        <v>0</v>
      </c>
      <c r="L413" s="193">
        <f>N413-J413</f>
        <v>0</v>
      </c>
      <c r="M413" s="194">
        <f>K413+I413</f>
        <v>0</v>
      </c>
      <c r="N413" s="196">
        <f>TRUNC(M413*F413,2)</f>
        <v>0</v>
      </c>
      <c r="O413" s="194">
        <f t="shared" si="298"/>
        <v>210</v>
      </c>
      <c r="P413" s="196">
        <f t="shared" si="298"/>
        <v>1675.8</v>
      </c>
    </row>
    <row r="414" spans="2:16" ht="25.5">
      <c r="B414" s="190" t="s">
        <v>581</v>
      </c>
      <c r="C414" s="191">
        <v>40245</v>
      </c>
      <c r="D414" s="575" t="s">
        <v>148</v>
      </c>
      <c r="E414" s="192" t="s">
        <v>29</v>
      </c>
      <c r="F414" s="193">
        <v>8.41</v>
      </c>
      <c r="G414" s="194">
        <v>55</v>
      </c>
      <c r="H414" s="193">
        <v>462.55</v>
      </c>
      <c r="I414" s="194">
        <v>0</v>
      </c>
      <c r="J414" s="193">
        <f t="shared" ref="J414:J416" si="336">TRUNC(I414*F414,2)</f>
        <v>0</v>
      </c>
      <c r="K414" s="194">
        <f>IFERROR(VLOOKUP(B414,#REF!,18,FALSE),)</f>
        <v>0</v>
      </c>
      <c r="L414" s="193">
        <f t="shared" ref="L414:L416" si="337">N414-J414</f>
        <v>0</v>
      </c>
      <c r="M414" s="194">
        <f t="shared" ref="M414:M416" si="338">K414+I414</f>
        <v>0</v>
      </c>
      <c r="N414" s="196">
        <f t="shared" ref="N414:N416" si="339">TRUNC(M414*F414,2)</f>
        <v>0</v>
      </c>
      <c r="O414" s="194">
        <f t="shared" si="298"/>
        <v>55</v>
      </c>
      <c r="P414" s="196">
        <f t="shared" si="298"/>
        <v>462.55</v>
      </c>
    </row>
    <row r="415" spans="2:16" ht="25.5">
      <c r="B415" s="190" t="s">
        <v>582</v>
      </c>
      <c r="C415" s="191">
        <v>40246</v>
      </c>
      <c r="D415" s="575" t="s">
        <v>149</v>
      </c>
      <c r="E415" s="192" t="s">
        <v>29</v>
      </c>
      <c r="F415" s="193">
        <v>8.08</v>
      </c>
      <c r="G415" s="194">
        <v>78</v>
      </c>
      <c r="H415" s="193">
        <v>630.24</v>
      </c>
      <c r="I415" s="194">
        <v>0</v>
      </c>
      <c r="J415" s="193">
        <f t="shared" si="336"/>
        <v>0</v>
      </c>
      <c r="K415" s="194">
        <f>IFERROR(VLOOKUP(B415,#REF!,18,FALSE),)</f>
        <v>0</v>
      </c>
      <c r="L415" s="193">
        <f t="shared" si="337"/>
        <v>0</v>
      </c>
      <c r="M415" s="194">
        <f t="shared" si="338"/>
        <v>0</v>
      </c>
      <c r="N415" s="196">
        <f t="shared" si="339"/>
        <v>0</v>
      </c>
      <c r="O415" s="194">
        <f t="shared" si="298"/>
        <v>78</v>
      </c>
      <c r="P415" s="196">
        <f t="shared" si="298"/>
        <v>630.24</v>
      </c>
    </row>
    <row r="416" spans="2:16" ht="38.25">
      <c r="B416" s="190" t="s">
        <v>583</v>
      </c>
      <c r="C416" s="191" t="s">
        <v>140</v>
      </c>
      <c r="D416" s="575" t="s">
        <v>150</v>
      </c>
      <c r="E416" s="192" t="s">
        <v>58</v>
      </c>
      <c r="F416" s="193">
        <v>486.08</v>
      </c>
      <c r="G416" s="194">
        <v>3.5</v>
      </c>
      <c r="H416" s="193">
        <v>1701.28</v>
      </c>
      <c r="I416" s="194">
        <v>0</v>
      </c>
      <c r="J416" s="193">
        <f t="shared" si="336"/>
        <v>0</v>
      </c>
      <c r="K416" s="194">
        <f>IFERROR(VLOOKUP(B416,#REF!,18,FALSE),)</f>
        <v>0</v>
      </c>
      <c r="L416" s="193">
        <f t="shared" si="337"/>
        <v>0</v>
      </c>
      <c r="M416" s="194">
        <f t="shared" si="338"/>
        <v>0</v>
      </c>
      <c r="N416" s="196">
        <f t="shared" si="339"/>
        <v>0</v>
      </c>
      <c r="O416" s="194">
        <f t="shared" si="298"/>
        <v>3.5</v>
      </c>
      <c r="P416" s="196">
        <f t="shared" si="298"/>
        <v>1701.28</v>
      </c>
    </row>
    <row r="417" spans="2:16">
      <c r="B417" s="138"/>
      <c r="C417" s="132"/>
      <c r="D417" s="123"/>
      <c r="E417" s="123"/>
      <c r="F417" s="123"/>
      <c r="G417" s="123"/>
      <c r="H417" s="123"/>
      <c r="I417" s="123"/>
      <c r="J417" s="123"/>
      <c r="K417" s="123"/>
      <c r="L417" s="123"/>
      <c r="M417" s="123"/>
      <c r="N417" s="124"/>
      <c r="O417" s="123">
        <f t="shared" si="298"/>
        <v>0</v>
      </c>
      <c r="P417" s="124">
        <f t="shared" si="298"/>
        <v>0</v>
      </c>
    </row>
    <row r="418" spans="2:16" s="131" customFormat="1">
      <c r="B418" s="137" t="s">
        <v>584</v>
      </c>
      <c r="C418" s="133"/>
      <c r="D418" s="125" t="s">
        <v>171</v>
      </c>
      <c r="E418" s="126"/>
      <c r="F418" s="127"/>
      <c r="G418" s="128"/>
      <c r="H418" s="129">
        <v>18264.59</v>
      </c>
      <c r="I418" s="130"/>
      <c r="J418" s="129">
        <f>SUBTOTAL(9,J419:J423)</f>
        <v>0</v>
      </c>
      <c r="K418" s="130"/>
      <c r="L418" s="129">
        <f>SUBTOTAL(9,L419:L423)</f>
        <v>0</v>
      </c>
      <c r="M418" s="129"/>
      <c r="N418" s="129">
        <f>SUBTOTAL(9,N419:N423)</f>
        <v>0</v>
      </c>
      <c r="O418" s="129">
        <f t="shared" si="298"/>
        <v>0</v>
      </c>
      <c r="P418" s="129">
        <f t="shared" si="298"/>
        <v>18264.59</v>
      </c>
    </row>
    <row r="419" spans="2:16" ht="51">
      <c r="B419" s="190" t="s">
        <v>585</v>
      </c>
      <c r="C419" s="191">
        <v>40339</v>
      </c>
      <c r="D419" s="575" t="s">
        <v>146</v>
      </c>
      <c r="E419" s="192" t="s">
        <v>57</v>
      </c>
      <c r="F419" s="193">
        <v>91.04</v>
      </c>
      <c r="G419" s="194">
        <v>87.7</v>
      </c>
      <c r="H419" s="193">
        <v>7984.21</v>
      </c>
      <c r="I419" s="194">
        <v>0</v>
      </c>
      <c r="J419" s="193">
        <f t="shared" ref="J419" si="340">TRUNC(I419*F419,2)</f>
        <v>0</v>
      </c>
      <c r="K419" s="194">
        <f>IFERROR(VLOOKUP(B419,#REF!,18,FALSE),)</f>
        <v>0</v>
      </c>
      <c r="L419" s="193">
        <f t="shared" ref="L419" si="341">N419-J419</f>
        <v>0</v>
      </c>
      <c r="M419" s="194">
        <f t="shared" ref="M419" si="342">K419+I419</f>
        <v>0</v>
      </c>
      <c r="N419" s="196">
        <f t="shared" ref="N419" si="343">TRUNC(M419*F419,2)</f>
        <v>0</v>
      </c>
      <c r="O419" s="194">
        <f t="shared" si="298"/>
        <v>87.7</v>
      </c>
      <c r="P419" s="196">
        <f t="shared" si="298"/>
        <v>7984.21</v>
      </c>
    </row>
    <row r="420" spans="2:16" ht="25.5">
      <c r="B420" s="190" t="s">
        <v>586</v>
      </c>
      <c r="C420" s="191">
        <v>40328</v>
      </c>
      <c r="D420" s="575" t="s">
        <v>147</v>
      </c>
      <c r="E420" s="192" t="s">
        <v>29</v>
      </c>
      <c r="F420" s="193">
        <v>7.98</v>
      </c>
      <c r="G420" s="194">
        <v>502</v>
      </c>
      <c r="H420" s="193">
        <v>4005.96</v>
      </c>
      <c r="I420" s="194">
        <v>0</v>
      </c>
      <c r="J420" s="193">
        <f>TRUNC(I420*F420,2)</f>
        <v>0</v>
      </c>
      <c r="K420" s="194">
        <f>IFERROR(VLOOKUP(B420,#REF!,18,FALSE),)</f>
        <v>0</v>
      </c>
      <c r="L420" s="193">
        <f>N420-J420</f>
        <v>0</v>
      </c>
      <c r="M420" s="194">
        <f>K420+I420</f>
        <v>0</v>
      </c>
      <c r="N420" s="196">
        <f>TRUNC(M420*F420,2)</f>
        <v>0</v>
      </c>
      <c r="O420" s="194">
        <f t="shared" si="298"/>
        <v>502</v>
      </c>
      <c r="P420" s="196">
        <f t="shared" si="298"/>
        <v>4005.96</v>
      </c>
    </row>
    <row r="421" spans="2:16" ht="25.5">
      <c r="B421" s="190" t="s">
        <v>587</v>
      </c>
      <c r="C421" s="191">
        <v>40245</v>
      </c>
      <c r="D421" s="575" t="s">
        <v>148</v>
      </c>
      <c r="E421" s="192" t="s">
        <v>29</v>
      </c>
      <c r="F421" s="193">
        <v>8.41</v>
      </c>
      <c r="G421" s="194">
        <v>199</v>
      </c>
      <c r="H421" s="193">
        <v>1673.59</v>
      </c>
      <c r="I421" s="194">
        <v>0</v>
      </c>
      <c r="J421" s="193">
        <f t="shared" ref="J421:J423" si="344">TRUNC(I421*F421,2)</f>
        <v>0</v>
      </c>
      <c r="K421" s="194">
        <f>IFERROR(VLOOKUP(B421,#REF!,18,FALSE),)</f>
        <v>0</v>
      </c>
      <c r="L421" s="193">
        <f t="shared" ref="L421:L423" si="345">N421-J421</f>
        <v>0</v>
      </c>
      <c r="M421" s="194">
        <f t="shared" ref="M421:M423" si="346">K421+I421</f>
        <v>0</v>
      </c>
      <c r="N421" s="196">
        <f t="shared" ref="N421:N423" si="347">TRUNC(M421*F421,2)</f>
        <v>0</v>
      </c>
      <c r="O421" s="194">
        <f t="shared" si="298"/>
        <v>199</v>
      </c>
      <c r="P421" s="196">
        <f t="shared" si="298"/>
        <v>1673.59</v>
      </c>
    </row>
    <row r="422" spans="2:16" ht="25.5">
      <c r="B422" s="190" t="s">
        <v>588</v>
      </c>
      <c r="C422" s="191">
        <v>40246</v>
      </c>
      <c r="D422" s="575" t="s">
        <v>149</v>
      </c>
      <c r="E422" s="192" t="s">
        <v>29</v>
      </c>
      <c r="F422" s="193">
        <v>8.08</v>
      </c>
      <c r="G422" s="194">
        <v>34</v>
      </c>
      <c r="H422" s="193">
        <v>274.72000000000003</v>
      </c>
      <c r="I422" s="194">
        <v>0</v>
      </c>
      <c r="J422" s="193">
        <f t="shared" si="344"/>
        <v>0</v>
      </c>
      <c r="K422" s="194">
        <f>IFERROR(VLOOKUP(B422,#REF!,18,FALSE),)</f>
        <v>0</v>
      </c>
      <c r="L422" s="193">
        <f t="shared" si="345"/>
        <v>0</v>
      </c>
      <c r="M422" s="194">
        <f t="shared" si="346"/>
        <v>0</v>
      </c>
      <c r="N422" s="196">
        <f t="shared" si="347"/>
        <v>0</v>
      </c>
      <c r="O422" s="194">
        <f t="shared" si="298"/>
        <v>34</v>
      </c>
      <c r="P422" s="196">
        <f t="shared" si="298"/>
        <v>274.72000000000003</v>
      </c>
    </row>
    <row r="423" spans="2:16" ht="51">
      <c r="B423" s="190" t="s">
        <v>589</v>
      </c>
      <c r="C423" s="191" t="s">
        <v>140</v>
      </c>
      <c r="D423" s="575" t="s">
        <v>177</v>
      </c>
      <c r="E423" s="192" t="s">
        <v>58</v>
      </c>
      <c r="F423" s="193">
        <v>486.08</v>
      </c>
      <c r="G423" s="194">
        <v>8.9</v>
      </c>
      <c r="H423" s="193">
        <v>4326.1099999999997</v>
      </c>
      <c r="I423" s="194">
        <v>0</v>
      </c>
      <c r="J423" s="193">
        <f t="shared" si="344"/>
        <v>0</v>
      </c>
      <c r="K423" s="194">
        <f>IFERROR(VLOOKUP(B423,#REF!,18,FALSE),)</f>
        <v>0</v>
      </c>
      <c r="L423" s="193">
        <f t="shared" si="345"/>
        <v>0</v>
      </c>
      <c r="M423" s="194">
        <f t="shared" si="346"/>
        <v>0</v>
      </c>
      <c r="N423" s="196">
        <f t="shared" si="347"/>
        <v>0</v>
      </c>
      <c r="O423" s="194">
        <f t="shared" si="298"/>
        <v>8.9</v>
      </c>
      <c r="P423" s="196">
        <f t="shared" si="298"/>
        <v>4326.1099999999997</v>
      </c>
    </row>
    <row r="424" spans="2:16">
      <c r="B424" s="138"/>
      <c r="C424" s="132"/>
      <c r="D424" s="123"/>
      <c r="E424" s="123"/>
      <c r="F424" s="123"/>
      <c r="G424" s="123"/>
      <c r="H424" s="123"/>
      <c r="I424" s="123"/>
      <c r="J424" s="123"/>
      <c r="K424" s="123"/>
      <c r="L424" s="123"/>
      <c r="M424" s="123"/>
      <c r="N424" s="124"/>
      <c r="O424" s="123">
        <f t="shared" si="298"/>
        <v>0</v>
      </c>
      <c r="P424" s="124">
        <f t="shared" si="298"/>
        <v>0</v>
      </c>
    </row>
    <row r="425" spans="2:16" s="131" customFormat="1">
      <c r="B425" s="137" t="s">
        <v>590</v>
      </c>
      <c r="C425" s="133"/>
      <c r="D425" s="125" t="s">
        <v>179</v>
      </c>
      <c r="E425" s="126"/>
      <c r="F425" s="127"/>
      <c r="G425" s="128"/>
      <c r="H425" s="129">
        <v>22658.7</v>
      </c>
      <c r="I425" s="130"/>
      <c r="J425" s="129">
        <f>SUBTOTAL(9,J426:J429)</f>
        <v>0</v>
      </c>
      <c r="K425" s="130"/>
      <c r="L425" s="129">
        <f>SUBTOTAL(9,L426:L429)</f>
        <v>0</v>
      </c>
      <c r="M425" s="129"/>
      <c r="N425" s="129">
        <f>SUBTOTAL(9,N426:N429)</f>
        <v>0</v>
      </c>
      <c r="O425" s="129">
        <f t="shared" si="298"/>
        <v>0</v>
      </c>
      <c r="P425" s="129">
        <f t="shared" si="298"/>
        <v>22658.7</v>
      </c>
    </row>
    <row r="426" spans="2:16" ht="38.25">
      <c r="B426" s="190" t="s">
        <v>591</v>
      </c>
      <c r="C426" s="191">
        <v>40339</v>
      </c>
      <c r="D426" s="575" t="s">
        <v>184</v>
      </c>
      <c r="E426" s="192" t="s">
        <v>57</v>
      </c>
      <c r="F426" s="193">
        <v>91.04</v>
      </c>
      <c r="G426" s="194">
        <v>34.1</v>
      </c>
      <c r="H426" s="193">
        <v>3104.46</v>
      </c>
      <c r="I426" s="194">
        <v>0</v>
      </c>
      <c r="J426" s="193">
        <f t="shared" ref="J426" si="348">TRUNC(I426*F426,2)</f>
        <v>0</v>
      </c>
      <c r="K426" s="194">
        <f>IFERROR(VLOOKUP(B426,#REF!,18,FALSE),)</f>
        <v>0</v>
      </c>
      <c r="L426" s="193">
        <f t="shared" ref="L426" si="349">N426-J426</f>
        <v>0</v>
      </c>
      <c r="M426" s="194">
        <f t="shared" ref="M426" si="350">K426+I426</f>
        <v>0</v>
      </c>
      <c r="N426" s="196">
        <f t="shared" ref="N426" si="351">TRUNC(M426*F426,2)</f>
        <v>0</v>
      </c>
      <c r="O426" s="194">
        <f t="shared" si="298"/>
        <v>34.1</v>
      </c>
      <c r="P426" s="196">
        <f t="shared" si="298"/>
        <v>3104.46</v>
      </c>
    </row>
    <row r="427" spans="2:16" ht="25.5">
      <c r="B427" s="190" t="s">
        <v>592</v>
      </c>
      <c r="C427" s="191">
        <v>40328</v>
      </c>
      <c r="D427" s="575" t="s">
        <v>147</v>
      </c>
      <c r="E427" s="192" t="s">
        <v>29</v>
      </c>
      <c r="F427" s="193">
        <v>7.98</v>
      </c>
      <c r="G427" s="194">
        <v>370.3</v>
      </c>
      <c r="H427" s="193">
        <v>2954.99</v>
      </c>
      <c r="I427" s="194">
        <v>0</v>
      </c>
      <c r="J427" s="193">
        <f>TRUNC(I427*F427,2)</f>
        <v>0</v>
      </c>
      <c r="K427" s="194">
        <f>IFERROR(VLOOKUP(B427,#REF!,18,FALSE),)</f>
        <v>0</v>
      </c>
      <c r="L427" s="193">
        <f>N427-J427</f>
        <v>0</v>
      </c>
      <c r="M427" s="194">
        <f>K427+I427</f>
        <v>0</v>
      </c>
      <c r="N427" s="196">
        <f>TRUNC(M427*F427,2)</f>
        <v>0</v>
      </c>
      <c r="O427" s="194">
        <f t="shared" si="298"/>
        <v>370.3</v>
      </c>
      <c r="P427" s="196">
        <f t="shared" si="298"/>
        <v>2954.99</v>
      </c>
    </row>
    <row r="428" spans="2:16" ht="51">
      <c r="B428" s="190" t="s">
        <v>593</v>
      </c>
      <c r="C428" s="191" t="s">
        <v>140</v>
      </c>
      <c r="D428" s="575" t="s">
        <v>177</v>
      </c>
      <c r="E428" s="192" t="s">
        <v>58</v>
      </c>
      <c r="F428" s="193">
        <v>486.08</v>
      </c>
      <c r="G428" s="194">
        <v>6.54</v>
      </c>
      <c r="H428" s="193">
        <v>3178.96</v>
      </c>
      <c r="I428" s="194">
        <v>0</v>
      </c>
      <c r="J428" s="193">
        <f t="shared" ref="J428:J429" si="352">TRUNC(I428*F428,2)</f>
        <v>0</v>
      </c>
      <c r="K428" s="194">
        <f>IFERROR(VLOOKUP(B428,#REF!,18,FALSE),)</f>
        <v>0</v>
      </c>
      <c r="L428" s="193">
        <f t="shared" ref="L428:L429" si="353">N428-J428</f>
        <v>0</v>
      </c>
      <c r="M428" s="194">
        <f t="shared" ref="M428:M429" si="354">K428+I428</f>
        <v>0</v>
      </c>
      <c r="N428" s="196">
        <f t="shared" ref="N428:N429" si="355">TRUNC(M428*F428,2)</f>
        <v>0</v>
      </c>
      <c r="O428" s="194">
        <f t="shared" si="298"/>
        <v>6.54</v>
      </c>
      <c r="P428" s="196">
        <f t="shared" si="298"/>
        <v>3178.96</v>
      </c>
    </row>
    <row r="429" spans="2:16" ht="25.5">
      <c r="B429" s="190" t="s">
        <v>594</v>
      </c>
      <c r="C429" s="191">
        <v>40602</v>
      </c>
      <c r="D429" s="575" t="s">
        <v>185</v>
      </c>
      <c r="E429" s="192" t="s">
        <v>57</v>
      </c>
      <c r="F429" s="193">
        <v>79.41</v>
      </c>
      <c r="G429" s="194">
        <v>169</v>
      </c>
      <c r="H429" s="193">
        <v>13420.29</v>
      </c>
      <c r="I429" s="194">
        <v>0</v>
      </c>
      <c r="J429" s="193">
        <f t="shared" si="352"/>
        <v>0</v>
      </c>
      <c r="K429" s="194">
        <f>IFERROR(VLOOKUP(B429,#REF!,18,FALSE),)</f>
        <v>0</v>
      </c>
      <c r="L429" s="193">
        <f t="shared" si="353"/>
        <v>0</v>
      </c>
      <c r="M429" s="194">
        <f t="shared" si="354"/>
        <v>0</v>
      </c>
      <c r="N429" s="196">
        <f t="shared" si="355"/>
        <v>0</v>
      </c>
      <c r="O429" s="194">
        <f t="shared" si="298"/>
        <v>169</v>
      </c>
      <c r="P429" s="196">
        <f t="shared" si="298"/>
        <v>13420.29</v>
      </c>
    </row>
    <row r="430" spans="2:16">
      <c r="B430" s="138"/>
      <c r="C430" s="132"/>
      <c r="D430" s="123"/>
      <c r="E430" s="123"/>
      <c r="F430" s="123"/>
      <c r="G430" s="123"/>
      <c r="H430" s="123"/>
      <c r="I430" s="123"/>
      <c r="J430" s="123"/>
      <c r="K430" s="123"/>
      <c r="L430" s="123"/>
      <c r="M430" s="123"/>
      <c r="N430" s="124"/>
      <c r="O430" s="123">
        <f t="shared" si="298"/>
        <v>0</v>
      </c>
      <c r="P430" s="124">
        <f t="shared" si="298"/>
        <v>0</v>
      </c>
    </row>
    <row r="431" spans="2:16" s="131" customFormat="1">
      <c r="B431" s="137" t="s">
        <v>595</v>
      </c>
      <c r="C431" s="133"/>
      <c r="D431" s="125" t="s">
        <v>187</v>
      </c>
      <c r="E431" s="126"/>
      <c r="F431" s="127"/>
      <c r="G431" s="128"/>
      <c r="H431" s="129">
        <v>49946.76</v>
      </c>
      <c r="I431" s="130"/>
      <c r="J431" s="129">
        <f>SUBTOTAL(9,J432:J437)</f>
        <v>0</v>
      </c>
      <c r="K431" s="130"/>
      <c r="L431" s="129">
        <f>SUBTOTAL(9,L432:L437)</f>
        <v>0</v>
      </c>
      <c r="M431" s="129"/>
      <c r="N431" s="129">
        <f>SUBTOTAL(9,N432:N437)</f>
        <v>0</v>
      </c>
      <c r="O431" s="129">
        <f t="shared" si="298"/>
        <v>0</v>
      </c>
      <c r="P431" s="129">
        <f t="shared" si="298"/>
        <v>49946.76</v>
      </c>
    </row>
    <row r="432" spans="2:16" ht="51">
      <c r="B432" s="190" t="s">
        <v>596</v>
      </c>
      <c r="C432" s="191">
        <v>90102</v>
      </c>
      <c r="D432" s="575" t="s">
        <v>194</v>
      </c>
      <c r="E432" s="192" t="s">
        <v>57</v>
      </c>
      <c r="F432" s="193">
        <v>89.99</v>
      </c>
      <c r="G432" s="194">
        <v>191.8</v>
      </c>
      <c r="H432" s="193">
        <v>17260.080000000002</v>
      </c>
      <c r="I432" s="194">
        <v>0</v>
      </c>
      <c r="J432" s="193">
        <f t="shared" ref="J432" si="356">TRUNC(I432*F432,2)</f>
        <v>0</v>
      </c>
      <c r="K432" s="194">
        <f>IFERROR(VLOOKUP(B432,#REF!,18,FALSE),)</f>
        <v>0</v>
      </c>
      <c r="L432" s="193">
        <f t="shared" ref="L432" si="357">N432-J432</f>
        <v>0</v>
      </c>
      <c r="M432" s="194">
        <f t="shared" ref="M432" si="358">K432+I432</f>
        <v>0</v>
      </c>
      <c r="N432" s="196">
        <f t="shared" ref="N432" si="359">TRUNC(M432*F432,2)</f>
        <v>0</v>
      </c>
      <c r="O432" s="194">
        <f t="shared" si="298"/>
        <v>191.8</v>
      </c>
      <c r="P432" s="196">
        <f t="shared" si="298"/>
        <v>17260.080000000002</v>
      </c>
    </row>
    <row r="433" spans="2:16" ht="51">
      <c r="B433" s="190" t="s">
        <v>597</v>
      </c>
      <c r="C433" s="191">
        <v>90223</v>
      </c>
      <c r="D433" s="575" t="s">
        <v>195</v>
      </c>
      <c r="E433" s="192" t="s">
        <v>57</v>
      </c>
      <c r="F433" s="193">
        <v>124.46</v>
      </c>
      <c r="G433" s="194">
        <v>200.69</v>
      </c>
      <c r="H433" s="193">
        <v>24977.88</v>
      </c>
      <c r="I433" s="194">
        <v>0</v>
      </c>
      <c r="J433" s="193">
        <f>TRUNC(I433*F433,2)</f>
        <v>0</v>
      </c>
      <c r="K433" s="194">
        <f>IFERROR(VLOOKUP(B433,#REF!,18,FALSE),)</f>
        <v>0</v>
      </c>
      <c r="L433" s="193">
        <f>N433-J433</f>
        <v>0</v>
      </c>
      <c r="M433" s="194">
        <f>K433+I433</f>
        <v>0</v>
      </c>
      <c r="N433" s="196">
        <f>TRUNC(M433*F433,2)</f>
        <v>0</v>
      </c>
      <c r="O433" s="194">
        <f t="shared" si="298"/>
        <v>200.69</v>
      </c>
      <c r="P433" s="196">
        <f t="shared" si="298"/>
        <v>24977.88</v>
      </c>
    </row>
    <row r="434" spans="2:16" ht="51">
      <c r="B434" s="190" t="s">
        <v>598</v>
      </c>
      <c r="C434" s="191">
        <v>40339</v>
      </c>
      <c r="D434" s="575" t="s">
        <v>196</v>
      </c>
      <c r="E434" s="192" t="s">
        <v>57</v>
      </c>
      <c r="F434" s="193">
        <v>91.04</v>
      </c>
      <c r="G434" s="194">
        <v>25.2</v>
      </c>
      <c r="H434" s="193">
        <v>2294.21</v>
      </c>
      <c r="I434" s="194">
        <v>0</v>
      </c>
      <c r="J434" s="193">
        <f t="shared" ref="J434:J437" si="360">TRUNC(I434*F434,2)</f>
        <v>0</v>
      </c>
      <c r="K434" s="194">
        <f>IFERROR(VLOOKUP(B434,#REF!,18,FALSE),)</f>
        <v>0</v>
      </c>
      <c r="L434" s="193">
        <f t="shared" ref="L434:L437" si="361">N434-J434</f>
        <v>0</v>
      </c>
      <c r="M434" s="194">
        <f t="shared" ref="M434:M437" si="362">K434+I434</f>
        <v>0</v>
      </c>
      <c r="N434" s="196">
        <f t="shared" ref="N434:N437" si="363">TRUNC(M434*F434,2)</f>
        <v>0</v>
      </c>
      <c r="O434" s="194">
        <f t="shared" si="298"/>
        <v>25.2</v>
      </c>
      <c r="P434" s="196">
        <f t="shared" si="298"/>
        <v>2294.21</v>
      </c>
    </row>
    <row r="435" spans="2:16" ht="25.5">
      <c r="B435" s="190" t="s">
        <v>599</v>
      </c>
      <c r="C435" s="191">
        <v>40328</v>
      </c>
      <c r="D435" s="575" t="s">
        <v>197</v>
      </c>
      <c r="E435" s="192" t="s">
        <v>29</v>
      </c>
      <c r="F435" s="193">
        <v>7.98</v>
      </c>
      <c r="G435" s="194">
        <v>122</v>
      </c>
      <c r="H435" s="193">
        <v>973.56</v>
      </c>
      <c r="I435" s="194">
        <v>0</v>
      </c>
      <c r="J435" s="193">
        <f t="shared" si="360"/>
        <v>0</v>
      </c>
      <c r="K435" s="194">
        <f>IFERROR(VLOOKUP(B435,#REF!,18,FALSE),)</f>
        <v>0</v>
      </c>
      <c r="L435" s="193">
        <f t="shared" si="361"/>
        <v>0</v>
      </c>
      <c r="M435" s="194">
        <f t="shared" si="362"/>
        <v>0</v>
      </c>
      <c r="N435" s="196">
        <f t="shared" si="363"/>
        <v>0</v>
      </c>
      <c r="O435" s="194">
        <f t="shared" si="298"/>
        <v>122</v>
      </c>
      <c r="P435" s="196">
        <f t="shared" si="298"/>
        <v>973.56</v>
      </c>
    </row>
    <row r="436" spans="2:16" ht="38.25">
      <c r="B436" s="190" t="s">
        <v>600</v>
      </c>
      <c r="C436" s="191" t="s">
        <v>140</v>
      </c>
      <c r="D436" s="575" t="s">
        <v>198</v>
      </c>
      <c r="E436" s="192" t="s">
        <v>58</v>
      </c>
      <c r="F436" s="193">
        <v>486.08</v>
      </c>
      <c r="G436" s="194">
        <v>1.3</v>
      </c>
      <c r="H436" s="193">
        <v>631.9</v>
      </c>
      <c r="I436" s="194">
        <v>0</v>
      </c>
      <c r="J436" s="193">
        <f t="shared" si="360"/>
        <v>0</v>
      </c>
      <c r="K436" s="194">
        <f>IFERROR(VLOOKUP(B436,#REF!,18,FALSE),)</f>
        <v>0</v>
      </c>
      <c r="L436" s="193">
        <f t="shared" si="361"/>
        <v>0</v>
      </c>
      <c r="M436" s="194">
        <f t="shared" si="362"/>
        <v>0</v>
      </c>
      <c r="N436" s="196">
        <f t="shared" si="363"/>
        <v>0</v>
      </c>
      <c r="O436" s="194">
        <f t="shared" si="298"/>
        <v>1.3</v>
      </c>
      <c r="P436" s="196">
        <f t="shared" si="298"/>
        <v>631.9</v>
      </c>
    </row>
    <row r="437" spans="2:16" ht="51">
      <c r="B437" s="190" t="s">
        <v>601</v>
      </c>
      <c r="C437" s="191">
        <v>50602</v>
      </c>
      <c r="D437" s="575" t="s">
        <v>199</v>
      </c>
      <c r="E437" s="192" t="s">
        <v>57</v>
      </c>
      <c r="F437" s="193">
        <v>62.2</v>
      </c>
      <c r="G437" s="194">
        <v>61.24</v>
      </c>
      <c r="H437" s="193">
        <v>3809.13</v>
      </c>
      <c r="I437" s="194">
        <v>0</v>
      </c>
      <c r="J437" s="193">
        <f t="shared" si="360"/>
        <v>0</v>
      </c>
      <c r="K437" s="194">
        <f>IFERROR(VLOOKUP(B437,#REF!,18,FALSE),)</f>
        <v>0</v>
      </c>
      <c r="L437" s="193">
        <f t="shared" si="361"/>
        <v>0</v>
      </c>
      <c r="M437" s="194">
        <f t="shared" si="362"/>
        <v>0</v>
      </c>
      <c r="N437" s="196">
        <f t="shared" si="363"/>
        <v>0</v>
      </c>
      <c r="O437" s="194">
        <f t="shared" si="298"/>
        <v>61.24</v>
      </c>
      <c r="P437" s="196">
        <f t="shared" si="298"/>
        <v>3809.13</v>
      </c>
    </row>
    <row r="438" spans="2:16">
      <c r="B438" s="138"/>
      <c r="C438" s="132"/>
      <c r="D438" s="123"/>
      <c r="E438" s="123"/>
      <c r="F438" s="123"/>
      <c r="G438" s="123"/>
      <c r="H438" s="123"/>
      <c r="I438" s="123"/>
      <c r="J438" s="123"/>
      <c r="K438" s="123"/>
      <c r="L438" s="123"/>
      <c r="M438" s="123"/>
      <c r="N438" s="124"/>
      <c r="O438" s="123">
        <f t="shared" ref="O438:P504" si="364">G438-M438</f>
        <v>0</v>
      </c>
      <c r="P438" s="124">
        <f t="shared" si="364"/>
        <v>0</v>
      </c>
    </row>
    <row r="439" spans="2:16" s="131" customFormat="1">
      <c r="B439" s="137" t="s">
        <v>602</v>
      </c>
      <c r="C439" s="133"/>
      <c r="D439" s="125" t="s">
        <v>201</v>
      </c>
      <c r="E439" s="126"/>
      <c r="F439" s="127"/>
      <c r="G439" s="128"/>
      <c r="H439" s="129">
        <v>6322.53</v>
      </c>
      <c r="I439" s="130"/>
      <c r="J439" s="129">
        <f>SUBTOTAL(9,J440:J443)</f>
        <v>0</v>
      </c>
      <c r="K439" s="130"/>
      <c r="L439" s="129">
        <f>SUBTOTAL(9,L440:L443)</f>
        <v>0</v>
      </c>
      <c r="M439" s="129"/>
      <c r="N439" s="129">
        <f>SUBTOTAL(9,N440:N443)</f>
        <v>0</v>
      </c>
      <c r="O439" s="129">
        <f t="shared" si="364"/>
        <v>0</v>
      </c>
      <c r="P439" s="129">
        <f t="shared" si="364"/>
        <v>6322.53</v>
      </c>
    </row>
    <row r="440" spans="2:16" ht="25.5">
      <c r="B440" s="190" t="s">
        <v>603</v>
      </c>
      <c r="C440" s="191" t="s">
        <v>206</v>
      </c>
      <c r="D440" s="575" t="s">
        <v>207</v>
      </c>
      <c r="E440" s="192" t="s">
        <v>60</v>
      </c>
      <c r="F440" s="193">
        <v>72.83</v>
      </c>
      <c r="G440" s="194">
        <v>44.2</v>
      </c>
      <c r="H440" s="193">
        <v>3219.09</v>
      </c>
      <c r="I440" s="194">
        <v>0</v>
      </c>
      <c r="J440" s="193">
        <f t="shared" ref="J440" si="365">TRUNC(I440*F440,2)</f>
        <v>0</v>
      </c>
      <c r="K440" s="194">
        <f>IFERROR(VLOOKUP(B440,#REF!,18,FALSE),)</f>
        <v>0</v>
      </c>
      <c r="L440" s="193">
        <f t="shared" ref="L440" si="366">N440-J440</f>
        <v>0</v>
      </c>
      <c r="M440" s="194">
        <f t="shared" ref="M440" si="367">K440+I440</f>
        <v>0</v>
      </c>
      <c r="N440" s="196">
        <f t="shared" ref="N440" si="368">TRUNC(M440*F440,2)</f>
        <v>0</v>
      </c>
      <c r="O440" s="194">
        <f t="shared" si="364"/>
        <v>44.2</v>
      </c>
      <c r="P440" s="196">
        <f t="shared" si="364"/>
        <v>3219.09</v>
      </c>
    </row>
    <row r="441" spans="2:16">
      <c r="B441" s="190" t="s">
        <v>604</v>
      </c>
      <c r="C441" s="191">
        <v>90302</v>
      </c>
      <c r="D441" s="575" t="s">
        <v>208</v>
      </c>
      <c r="E441" s="192" t="s">
        <v>51</v>
      </c>
      <c r="F441" s="193">
        <v>31.38</v>
      </c>
      <c r="G441" s="194">
        <v>64.14</v>
      </c>
      <c r="H441" s="193">
        <v>2012.71</v>
      </c>
      <c r="I441" s="194">
        <v>0</v>
      </c>
      <c r="J441" s="193">
        <f>TRUNC(I441*F441,2)</f>
        <v>0</v>
      </c>
      <c r="K441" s="194">
        <f>IFERROR(VLOOKUP(B441,#REF!,18,FALSE),)</f>
        <v>0</v>
      </c>
      <c r="L441" s="193">
        <f>N441-J441</f>
        <v>0</v>
      </c>
      <c r="M441" s="194">
        <f>K441+I441</f>
        <v>0</v>
      </c>
      <c r="N441" s="196">
        <f>TRUNC(M441*F441,2)</f>
        <v>0</v>
      </c>
      <c r="O441" s="194">
        <f t="shared" si="364"/>
        <v>64.14</v>
      </c>
      <c r="P441" s="196">
        <f t="shared" si="364"/>
        <v>2012.71</v>
      </c>
    </row>
    <row r="442" spans="2:16" ht="25.5">
      <c r="B442" s="190" t="s">
        <v>605</v>
      </c>
      <c r="C442" s="191">
        <v>141909</v>
      </c>
      <c r="D442" s="575" t="s">
        <v>209</v>
      </c>
      <c r="E442" s="192" t="s">
        <v>51</v>
      </c>
      <c r="F442" s="193">
        <v>61.57</v>
      </c>
      <c r="G442" s="194">
        <v>9.27</v>
      </c>
      <c r="H442" s="193">
        <v>570.75</v>
      </c>
      <c r="I442" s="194">
        <v>0</v>
      </c>
      <c r="J442" s="193">
        <f t="shared" ref="J442:J443" si="369">TRUNC(I442*F442,2)</f>
        <v>0</v>
      </c>
      <c r="K442" s="194">
        <f>IFERROR(VLOOKUP(B442,#REF!,18,FALSE),)</f>
        <v>0</v>
      </c>
      <c r="L442" s="193">
        <f t="shared" ref="L442:L443" si="370">N442-J442</f>
        <v>0</v>
      </c>
      <c r="M442" s="194">
        <f t="shared" ref="M442:M443" si="371">K442+I442</f>
        <v>0</v>
      </c>
      <c r="N442" s="196">
        <f t="shared" ref="N442:N443" si="372">TRUNC(M442*F442,2)</f>
        <v>0</v>
      </c>
      <c r="O442" s="194">
        <f t="shared" si="364"/>
        <v>9.27</v>
      </c>
      <c r="P442" s="196">
        <f t="shared" si="364"/>
        <v>570.75</v>
      </c>
    </row>
    <row r="443" spans="2:16" ht="25.5">
      <c r="B443" s="190" t="s">
        <v>606</v>
      </c>
      <c r="C443" s="191">
        <v>140903</v>
      </c>
      <c r="D443" s="575" t="s">
        <v>607</v>
      </c>
      <c r="E443" s="192" t="s">
        <v>51</v>
      </c>
      <c r="F443" s="193">
        <v>48.46</v>
      </c>
      <c r="G443" s="194">
        <v>10.73</v>
      </c>
      <c r="H443" s="193">
        <v>519.98</v>
      </c>
      <c r="I443" s="194">
        <v>0</v>
      </c>
      <c r="J443" s="193">
        <f t="shared" si="369"/>
        <v>0</v>
      </c>
      <c r="K443" s="194">
        <f>IFERROR(VLOOKUP(B443,#REF!,18,FALSE),)</f>
        <v>0</v>
      </c>
      <c r="L443" s="193">
        <f t="shared" si="370"/>
        <v>0</v>
      </c>
      <c r="M443" s="194">
        <f t="shared" si="371"/>
        <v>0</v>
      </c>
      <c r="N443" s="196">
        <f t="shared" si="372"/>
        <v>0</v>
      </c>
      <c r="O443" s="194">
        <f t="shared" si="364"/>
        <v>10.73</v>
      </c>
      <c r="P443" s="196">
        <f t="shared" si="364"/>
        <v>519.98</v>
      </c>
    </row>
    <row r="444" spans="2:16">
      <c r="B444" s="138"/>
      <c r="C444" s="132"/>
      <c r="D444" s="123"/>
      <c r="E444" s="123"/>
      <c r="F444" s="123"/>
      <c r="G444" s="123"/>
      <c r="H444" s="123"/>
      <c r="I444" s="123"/>
      <c r="J444" s="123"/>
      <c r="K444" s="123"/>
      <c r="L444" s="123"/>
      <c r="M444" s="123"/>
      <c r="N444" s="124"/>
      <c r="O444" s="123">
        <f t="shared" si="364"/>
        <v>0</v>
      </c>
      <c r="P444" s="124">
        <f t="shared" si="364"/>
        <v>0</v>
      </c>
    </row>
    <row r="445" spans="2:16" s="131" customFormat="1">
      <c r="B445" s="137" t="s">
        <v>849</v>
      </c>
      <c r="C445" s="133"/>
      <c r="D445" s="125" t="s">
        <v>212</v>
      </c>
      <c r="E445" s="126"/>
      <c r="F445" s="127"/>
      <c r="G445" s="128"/>
      <c r="H445" s="129">
        <v>110605.08</v>
      </c>
      <c r="I445" s="130"/>
      <c r="J445" s="129">
        <f>SUBTOTAL(9,J446:J456)</f>
        <v>0</v>
      </c>
      <c r="K445" s="130"/>
      <c r="L445" s="129">
        <f>SUBTOTAL(9,L446:L456)</f>
        <v>0</v>
      </c>
      <c r="M445" s="129"/>
      <c r="N445" s="129">
        <f>SUBTOTAL(9,N446:N456)</f>
        <v>0</v>
      </c>
      <c r="O445" s="129">
        <f t="shared" si="364"/>
        <v>0</v>
      </c>
      <c r="P445" s="129">
        <f t="shared" si="364"/>
        <v>110605.08</v>
      </c>
    </row>
    <row r="446" spans="2:16">
      <c r="B446" s="190" t="s">
        <v>608</v>
      </c>
      <c r="C446" s="191" t="s">
        <v>224</v>
      </c>
      <c r="D446" s="575" t="s">
        <v>229</v>
      </c>
      <c r="E446" s="192" t="s">
        <v>50</v>
      </c>
      <c r="F446" s="193">
        <v>280.31</v>
      </c>
      <c r="G446" s="194">
        <v>111.39</v>
      </c>
      <c r="H446" s="193">
        <v>31223.73</v>
      </c>
      <c r="I446" s="194">
        <v>0</v>
      </c>
      <c r="J446" s="193">
        <f t="shared" ref="J446" si="373">TRUNC(I446*F446,2)</f>
        <v>0</v>
      </c>
      <c r="K446" s="194">
        <f>IFERROR(VLOOKUP(B446,#REF!,18,FALSE),)</f>
        <v>0</v>
      </c>
      <c r="L446" s="193">
        <f t="shared" ref="L446" si="374">N446-J446</f>
        <v>0</v>
      </c>
      <c r="M446" s="194">
        <f t="shared" ref="M446" si="375">K446+I446</f>
        <v>0</v>
      </c>
      <c r="N446" s="196">
        <f t="shared" ref="N446" si="376">TRUNC(M446*F446,2)</f>
        <v>0</v>
      </c>
      <c r="O446" s="194">
        <f t="shared" si="364"/>
        <v>111.39</v>
      </c>
      <c r="P446" s="196">
        <f t="shared" si="364"/>
        <v>31223.73</v>
      </c>
    </row>
    <row r="447" spans="2:16">
      <c r="B447" s="190" t="s">
        <v>609</v>
      </c>
      <c r="C447" s="191" t="s">
        <v>225</v>
      </c>
      <c r="D447" s="575" t="s">
        <v>230</v>
      </c>
      <c r="E447" s="192" t="s">
        <v>50</v>
      </c>
      <c r="F447" s="193">
        <v>645.84</v>
      </c>
      <c r="G447" s="194">
        <v>15.3</v>
      </c>
      <c r="H447" s="193">
        <v>9881.35</v>
      </c>
      <c r="I447" s="194">
        <v>0</v>
      </c>
      <c r="J447" s="193">
        <f>TRUNC(I447*F447,2)</f>
        <v>0</v>
      </c>
      <c r="K447" s="194">
        <f>IFERROR(VLOOKUP(B447,#REF!,18,FALSE),)</f>
        <v>0</v>
      </c>
      <c r="L447" s="193">
        <f>N447-J447</f>
        <v>0</v>
      </c>
      <c r="M447" s="194">
        <f>K447+I447</f>
        <v>0</v>
      </c>
      <c r="N447" s="196">
        <f>TRUNC(M447*F447,2)</f>
        <v>0</v>
      </c>
      <c r="O447" s="194">
        <f t="shared" si="364"/>
        <v>15.3</v>
      </c>
      <c r="P447" s="196">
        <f t="shared" si="364"/>
        <v>9881.35</v>
      </c>
    </row>
    <row r="448" spans="2:16">
      <c r="B448" s="190" t="s">
        <v>610</v>
      </c>
      <c r="C448" s="191" t="s">
        <v>226</v>
      </c>
      <c r="D448" s="575" t="s">
        <v>231</v>
      </c>
      <c r="E448" s="192" t="s">
        <v>50</v>
      </c>
      <c r="F448" s="193">
        <v>651.87</v>
      </c>
      <c r="G448" s="194">
        <v>5.63</v>
      </c>
      <c r="H448" s="193">
        <v>3670.03</v>
      </c>
      <c r="I448" s="194">
        <v>0</v>
      </c>
      <c r="J448" s="193">
        <f t="shared" ref="J448:J456" si="377">TRUNC(I448*F448,2)</f>
        <v>0</v>
      </c>
      <c r="K448" s="194">
        <f>IFERROR(VLOOKUP(B448,#REF!,18,FALSE),)</f>
        <v>0</v>
      </c>
      <c r="L448" s="193">
        <f t="shared" ref="L448:L456" si="378">N448-J448</f>
        <v>0</v>
      </c>
      <c r="M448" s="194">
        <f t="shared" ref="M448:M456" si="379">K448+I448</f>
        <v>0</v>
      </c>
      <c r="N448" s="196">
        <f t="shared" ref="N448:N456" si="380">TRUNC(M448*F448,2)</f>
        <v>0</v>
      </c>
      <c r="O448" s="194">
        <f t="shared" si="364"/>
        <v>5.63</v>
      </c>
      <c r="P448" s="196">
        <f t="shared" si="364"/>
        <v>3670.03</v>
      </c>
    </row>
    <row r="449" spans="2:16">
      <c r="B449" s="190" t="s">
        <v>611</v>
      </c>
      <c r="C449" s="191">
        <v>210322</v>
      </c>
      <c r="D449" s="575" t="s">
        <v>232</v>
      </c>
      <c r="E449" s="192" t="s">
        <v>51</v>
      </c>
      <c r="F449" s="193">
        <v>91.5</v>
      </c>
      <c r="G449" s="194">
        <v>13.65</v>
      </c>
      <c r="H449" s="193">
        <v>1248.98</v>
      </c>
      <c r="I449" s="194">
        <v>0</v>
      </c>
      <c r="J449" s="193">
        <f t="shared" si="377"/>
        <v>0</v>
      </c>
      <c r="K449" s="194">
        <f>IFERROR(VLOOKUP(B449,#REF!,18,FALSE),)</f>
        <v>0</v>
      </c>
      <c r="L449" s="193">
        <f t="shared" si="378"/>
        <v>0</v>
      </c>
      <c r="M449" s="194">
        <f t="shared" si="379"/>
        <v>0</v>
      </c>
      <c r="N449" s="196">
        <f t="shared" si="380"/>
        <v>0</v>
      </c>
      <c r="O449" s="194">
        <f t="shared" si="364"/>
        <v>13.65</v>
      </c>
      <c r="P449" s="196">
        <f t="shared" si="364"/>
        <v>1248.98</v>
      </c>
    </row>
    <row r="450" spans="2:16" ht="25.5">
      <c r="B450" s="190" t="s">
        <v>612</v>
      </c>
      <c r="C450" s="191" t="s">
        <v>227</v>
      </c>
      <c r="D450" s="575" t="s">
        <v>233</v>
      </c>
      <c r="E450" s="192" t="s">
        <v>51</v>
      </c>
      <c r="F450" s="193">
        <v>366.23</v>
      </c>
      <c r="G450" s="194">
        <v>4.1500000000000004</v>
      </c>
      <c r="H450" s="193">
        <v>1519.85</v>
      </c>
      <c r="I450" s="194">
        <v>0</v>
      </c>
      <c r="J450" s="193">
        <f t="shared" si="377"/>
        <v>0</v>
      </c>
      <c r="K450" s="194">
        <f>IFERROR(VLOOKUP(B450,#REF!,18,FALSE),)</f>
        <v>0</v>
      </c>
      <c r="L450" s="193">
        <f t="shared" si="378"/>
        <v>0</v>
      </c>
      <c r="M450" s="194">
        <f t="shared" si="379"/>
        <v>0</v>
      </c>
      <c r="N450" s="196">
        <f t="shared" si="380"/>
        <v>0</v>
      </c>
      <c r="O450" s="194">
        <f t="shared" si="364"/>
        <v>4.1500000000000004</v>
      </c>
      <c r="P450" s="196">
        <f t="shared" si="364"/>
        <v>1519.85</v>
      </c>
    </row>
    <row r="451" spans="2:16" ht="51">
      <c r="B451" s="190" t="s">
        <v>613</v>
      </c>
      <c r="C451" s="191">
        <v>50608</v>
      </c>
      <c r="D451" s="575" t="s">
        <v>234</v>
      </c>
      <c r="E451" s="192" t="s">
        <v>57</v>
      </c>
      <c r="F451" s="193">
        <v>88.68</v>
      </c>
      <c r="G451" s="194">
        <v>8.32</v>
      </c>
      <c r="H451" s="193">
        <v>737.82</v>
      </c>
      <c r="I451" s="194">
        <v>0</v>
      </c>
      <c r="J451" s="193">
        <f t="shared" si="377"/>
        <v>0</v>
      </c>
      <c r="K451" s="194">
        <f>IFERROR(VLOOKUP(B451,#REF!,18,FALSE),)</f>
        <v>0</v>
      </c>
      <c r="L451" s="193">
        <f t="shared" si="378"/>
        <v>0</v>
      </c>
      <c r="M451" s="194">
        <f t="shared" si="379"/>
        <v>0</v>
      </c>
      <c r="N451" s="196">
        <f t="shared" si="380"/>
        <v>0</v>
      </c>
      <c r="O451" s="194">
        <f t="shared" si="364"/>
        <v>8.32</v>
      </c>
      <c r="P451" s="196">
        <f t="shared" si="364"/>
        <v>737.82</v>
      </c>
    </row>
    <row r="452" spans="2:16" ht="25.5">
      <c r="B452" s="190" t="s">
        <v>614</v>
      </c>
      <c r="C452" s="191">
        <v>120101</v>
      </c>
      <c r="D452" s="575" t="s">
        <v>235</v>
      </c>
      <c r="E452" s="192" t="s">
        <v>57</v>
      </c>
      <c r="F452" s="193">
        <v>5.64</v>
      </c>
      <c r="G452" s="194">
        <v>531.42999999999995</v>
      </c>
      <c r="H452" s="193">
        <v>2997.27</v>
      </c>
      <c r="I452" s="194">
        <v>0</v>
      </c>
      <c r="J452" s="193">
        <f t="shared" si="377"/>
        <v>0</v>
      </c>
      <c r="K452" s="194">
        <f>IFERROR(VLOOKUP(B452,#REF!,18,FALSE),)</f>
        <v>0</v>
      </c>
      <c r="L452" s="193">
        <f t="shared" si="378"/>
        <v>0</v>
      </c>
      <c r="M452" s="194">
        <f t="shared" si="379"/>
        <v>0</v>
      </c>
      <c r="N452" s="196">
        <f t="shared" si="380"/>
        <v>0</v>
      </c>
      <c r="O452" s="194">
        <f t="shared" si="364"/>
        <v>531.42999999999995</v>
      </c>
      <c r="P452" s="196">
        <f t="shared" si="364"/>
        <v>2997.27</v>
      </c>
    </row>
    <row r="453" spans="2:16" ht="25.5">
      <c r="B453" s="190" t="s">
        <v>615</v>
      </c>
      <c r="C453" s="191">
        <v>120303</v>
      </c>
      <c r="D453" s="575" t="s">
        <v>236</v>
      </c>
      <c r="E453" s="192" t="s">
        <v>57</v>
      </c>
      <c r="F453" s="193">
        <v>49.24</v>
      </c>
      <c r="G453" s="194">
        <v>531.42999999999995</v>
      </c>
      <c r="H453" s="193">
        <v>26167.61</v>
      </c>
      <c r="I453" s="194">
        <v>0</v>
      </c>
      <c r="J453" s="193">
        <f t="shared" si="377"/>
        <v>0</v>
      </c>
      <c r="K453" s="194">
        <f>IFERROR(VLOOKUP(B453,#REF!,18,FALSE),)</f>
        <v>0</v>
      </c>
      <c r="L453" s="193">
        <f t="shared" si="378"/>
        <v>0</v>
      </c>
      <c r="M453" s="194">
        <f t="shared" si="379"/>
        <v>0</v>
      </c>
      <c r="N453" s="196">
        <f t="shared" si="380"/>
        <v>0</v>
      </c>
      <c r="O453" s="194">
        <f t="shared" si="364"/>
        <v>531.42999999999995</v>
      </c>
      <c r="P453" s="196">
        <f t="shared" si="364"/>
        <v>26167.61</v>
      </c>
    </row>
    <row r="454" spans="2:16" ht="25.5">
      <c r="B454" s="190" t="s">
        <v>616</v>
      </c>
      <c r="C454" s="191">
        <v>190117</v>
      </c>
      <c r="D454" s="575" t="s">
        <v>237</v>
      </c>
      <c r="E454" s="192" t="s">
        <v>57</v>
      </c>
      <c r="F454" s="193">
        <v>18.27</v>
      </c>
      <c r="G454" s="194">
        <v>531.42999999999995</v>
      </c>
      <c r="H454" s="193">
        <v>9709.23</v>
      </c>
      <c r="I454" s="194">
        <v>0</v>
      </c>
      <c r="J454" s="193">
        <f t="shared" si="377"/>
        <v>0</v>
      </c>
      <c r="K454" s="194">
        <f>IFERROR(VLOOKUP(B454,#REF!,18,FALSE),)</f>
        <v>0</v>
      </c>
      <c r="L454" s="193">
        <f t="shared" si="378"/>
        <v>0</v>
      </c>
      <c r="M454" s="194">
        <f t="shared" si="379"/>
        <v>0</v>
      </c>
      <c r="N454" s="196">
        <f t="shared" si="380"/>
        <v>0</v>
      </c>
      <c r="O454" s="194">
        <f t="shared" si="364"/>
        <v>531.42999999999995</v>
      </c>
      <c r="P454" s="196">
        <f t="shared" si="364"/>
        <v>9709.23</v>
      </c>
    </row>
    <row r="455" spans="2:16" ht="38.25">
      <c r="B455" s="190" t="s">
        <v>617</v>
      </c>
      <c r="C455" s="191">
        <v>130230</v>
      </c>
      <c r="D455" s="575" t="s">
        <v>238</v>
      </c>
      <c r="E455" s="192" t="s">
        <v>57</v>
      </c>
      <c r="F455" s="193">
        <v>106.19</v>
      </c>
      <c r="G455" s="194">
        <v>142.32</v>
      </c>
      <c r="H455" s="193">
        <v>15112.96</v>
      </c>
      <c r="I455" s="194">
        <v>0</v>
      </c>
      <c r="J455" s="193">
        <f t="shared" si="377"/>
        <v>0</v>
      </c>
      <c r="K455" s="194">
        <f>IFERROR(VLOOKUP(B455,#REF!,18,FALSE),)</f>
        <v>0</v>
      </c>
      <c r="L455" s="193">
        <f t="shared" si="378"/>
        <v>0</v>
      </c>
      <c r="M455" s="194">
        <f t="shared" si="379"/>
        <v>0</v>
      </c>
      <c r="N455" s="196">
        <f t="shared" si="380"/>
        <v>0</v>
      </c>
      <c r="O455" s="194">
        <f t="shared" si="364"/>
        <v>142.32</v>
      </c>
      <c r="P455" s="196">
        <f t="shared" si="364"/>
        <v>15112.96</v>
      </c>
    </row>
    <row r="456" spans="2:16" ht="25.5">
      <c r="B456" s="190" t="s">
        <v>618</v>
      </c>
      <c r="C456" s="191" t="s">
        <v>228</v>
      </c>
      <c r="D456" s="575" t="s">
        <v>239</v>
      </c>
      <c r="E456" s="192" t="s">
        <v>72</v>
      </c>
      <c r="F456" s="193">
        <v>333.45</v>
      </c>
      <c r="G456" s="194">
        <v>25</v>
      </c>
      <c r="H456" s="193">
        <v>8336.25</v>
      </c>
      <c r="I456" s="194">
        <v>0</v>
      </c>
      <c r="J456" s="193">
        <f t="shared" si="377"/>
        <v>0</v>
      </c>
      <c r="K456" s="194">
        <f>IFERROR(VLOOKUP(B456,#REF!,18,FALSE),)</f>
        <v>0</v>
      </c>
      <c r="L456" s="193">
        <f t="shared" si="378"/>
        <v>0</v>
      </c>
      <c r="M456" s="194">
        <f t="shared" si="379"/>
        <v>0</v>
      </c>
      <c r="N456" s="196">
        <f t="shared" si="380"/>
        <v>0</v>
      </c>
      <c r="O456" s="194">
        <f t="shared" si="364"/>
        <v>25</v>
      </c>
      <c r="P456" s="196">
        <f t="shared" si="364"/>
        <v>8336.25</v>
      </c>
    </row>
    <row r="457" spans="2:16">
      <c r="B457" s="138"/>
      <c r="C457" s="132"/>
      <c r="D457" s="123"/>
      <c r="E457" s="123"/>
      <c r="F457" s="123"/>
      <c r="G457" s="123"/>
      <c r="H457" s="123"/>
      <c r="I457" s="123"/>
      <c r="J457" s="123"/>
      <c r="K457" s="123"/>
      <c r="L457" s="123"/>
      <c r="M457" s="123"/>
      <c r="N457" s="124"/>
      <c r="O457" s="123">
        <f t="shared" si="364"/>
        <v>0</v>
      </c>
      <c r="P457" s="124">
        <f t="shared" si="364"/>
        <v>0</v>
      </c>
    </row>
    <row r="458" spans="2:16" s="213" customFormat="1">
      <c r="B458" s="210" t="s">
        <v>619</v>
      </c>
      <c r="C458" s="211"/>
      <c r="D458" s="212" t="s">
        <v>240</v>
      </c>
      <c r="E458" s="197"/>
      <c r="F458" s="198"/>
      <c r="G458" s="199"/>
      <c r="H458" s="200">
        <v>616385.41</v>
      </c>
      <c r="I458" s="201"/>
      <c r="J458" s="200">
        <f>SUBTOTAL(9,J459:J493)</f>
        <v>82175.95</v>
      </c>
      <c r="K458" s="201"/>
      <c r="L458" s="200">
        <f>SUBTOTAL(9,L459:L493)</f>
        <v>29243.249999999996</v>
      </c>
      <c r="M458" s="200"/>
      <c r="N458" s="200">
        <f>SUBTOTAL(9,N459:N493)</f>
        <v>111419.19999999998</v>
      </c>
      <c r="O458" s="200">
        <f t="shared" si="364"/>
        <v>0</v>
      </c>
      <c r="P458" s="200">
        <f t="shared" si="364"/>
        <v>504966.21000000008</v>
      </c>
    </row>
    <row r="459" spans="2:16" s="131" customFormat="1">
      <c r="B459" s="137" t="s">
        <v>620</v>
      </c>
      <c r="C459" s="133"/>
      <c r="D459" s="125" t="s">
        <v>242</v>
      </c>
      <c r="E459" s="126"/>
      <c r="F459" s="127"/>
      <c r="G459" s="128"/>
      <c r="H459" s="129">
        <v>296584.23</v>
      </c>
      <c r="I459" s="130"/>
      <c r="J459" s="129">
        <f>SUBTOTAL(9,J460:J471)</f>
        <v>48935.93</v>
      </c>
      <c r="K459" s="130"/>
      <c r="L459" s="129">
        <f>SUBTOTAL(9,L460:L471)</f>
        <v>29243.249999999996</v>
      </c>
      <c r="M459" s="129"/>
      <c r="N459" s="129">
        <f>SUBTOTAL(9,N460:N471)</f>
        <v>78179.179999999993</v>
      </c>
      <c r="O459" s="129">
        <f t="shared" si="364"/>
        <v>0</v>
      </c>
      <c r="P459" s="129">
        <f t="shared" si="364"/>
        <v>218405.05</v>
      </c>
    </row>
    <row r="460" spans="2:16" s="244" customFormat="1">
      <c r="B460" s="576" t="s">
        <v>621</v>
      </c>
      <c r="C460" s="238">
        <v>40405</v>
      </c>
      <c r="D460" s="239" t="s">
        <v>264</v>
      </c>
      <c r="E460" s="240" t="s">
        <v>57</v>
      </c>
      <c r="F460" s="241">
        <v>86.33</v>
      </c>
      <c r="G460" s="242">
        <v>341</v>
      </c>
      <c r="H460" s="241">
        <v>29438.53</v>
      </c>
      <c r="I460" s="242">
        <f>'[35]4.4.1.1'!R24</f>
        <v>90</v>
      </c>
      <c r="J460" s="241">
        <f t="shared" ref="J460:J471" si="381">TRUNC(I460*F460,2)</f>
        <v>7769.7</v>
      </c>
      <c r="K460" s="259">
        <f>'[35]4.4.1.1'!R25</f>
        <v>251</v>
      </c>
      <c r="L460" s="260">
        <f t="shared" ref="L460:L471" si="382">N460-J460</f>
        <v>21668.829999999998</v>
      </c>
      <c r="M460" s="242">
        <f t="shared" ref="M460:M471" si="383">K460+I460</f>
        <v>341</v>
      </c>
      <c r="N460" s="243">
        <f t="shared" ref="N460:N471" si="384">TRUNC(M460*F460,2)</f>
        <v>29438.53</v>
      </c>
      <c r="O460" s="242">
        <f t="shared" si="364"/>
        <v>0</v>
      </c>
      <c r="P460" s="243">
        <f t="shared" si="364"/>
        <v>0</v>
      </c>
    </row>
    <row r="461" spans="2:16" s="244" customFormat="1">
      <c r="B461" s="576" t="s">
        <v>622</v>
      </c>
      <c r="C461" s="238" t="s">
        <v>255</v>
      </c>
      <c r="D461" s="239" t="s">
        <v>265</v>
      </c>
      <c r="E461" s="240" t="s">
        <v>29</v>
      </c>
      <c r="F461" s="241">
        <v>7.33</v>
      </c>
      <c r="G461" s="242">
        <v>3966.02</v>
      </c>
      <c r="H461" s="241">
        <v>29070.93</v>
      </c>
      <c r="I461" s="242">
        <f>'[35]4.4.1.2'!R24</f>
        <v>3569.4180000000001</v>
      </c>
      <c r="J461" s="241">
        <f t="shared" si="381"/>
        <v>26163.83</v>
      </c>
      <c r="K461" s="259">
        <f>'[35]4.4.1.2'!R25</f>
        <v>78.30199999999968</v>
      </c>
      <c r="L461" s="260">
        <f t="shared" si="382"/>
        <v>573.94999999999709</v>
      </c>
      <c r="M461" s="242">
        <f t="shared" si="383"/>
        <v>3647.72</v>
      </c>
      <c r="N461" s="243">
        <f t="shared" si="384"/>
        <v>26737.78</v>
      </c>
      <c r="O461" s="242">
        <f t="shared" si="364"/>
        <v>318.30000000000018</v>
      </c>
      <c r="P461" s="243">
        <f t="shared" si="364"/>
        <v>2333.1500000000015</v>
      </c>
    </row>
    <row r="462" spans="2:16" ht="25.5">
      <c r="B462" s="190" t="s">
        <v>623</v>
      </c>
      <c r="C462" s="191">
        <v>40328</v>
      </c>
      <c r="D462" s="575" t="s">
        <v>147</v>
      </c>
      <c r="E462" s="192" t="s">
        <v>29</v>
      </c>
      <c r="F462" s="193">
        <v>7.98</v>
      </c>
      <c r="G462" s="194">
        <v>1880</v>
      </c>
      <c r="H462" s="193">
        <v>15002.4</v>
      </c>
      <c r="I462" s="194">
        <f>'[35]4.4.1.3'!R24</f>
        <v>1880</v>
      </c>
      <c r="J462" s="193">
        <f t="shared" si="381"/>
        <v>15002.4</v>
      </c>
      <c r="K462" s="264">
        <f>'[35]4.4.1.3'!R25</f>
        <v>0</v>
      </c>
      <c r="L462" s="263">
        <f t="shared" si="382"/>
        <v>0</v>
      </c>
      <c r="M462" s="194">
        <f t="shared" si="383"/>
        <v>1880</v>
      </c>
      <c r="N462" s="196">
        <f t="shared" si="384"/>
        <v>15002.4</v>
      </c>
      <c r="O462" s="194">
        <f t="shared" si="364"/>
        <v>0</v>
      </c>
      <c r="P462" s="196">
        <f t="shared" si="364"/>
        <v>0</v>
      </c>
    </row>
    <row r="463" spans="2:16">
      <c r="B463" s="190" t="s">
        <v>624</v>
      </c>
      <c r="C463" s="191" t="s">
        <v>256</v>
      </c>
      <c r="D463" s="575" t="s">
        <v>266</v>
      </c>
      <c r="E463" s="192" t="s">
        <v>29</v>
      </c>
      <c r="F463" s="193">
        <v>11.02</v>
      </c>
      <c r="G463" s="194">
        <v>73</v>
      </c>
      <c r="H463" s="193">
        <v>804.46</v>
      </c>
      <c r="I463" s="194">
        <v>0</v>
      </c>
      <c r="J463" s="193">
        <f t="shared" si="381"/>
        <v>0</v>
      </c>
      <c r="K463" s="194">
        <f>IFERROR(VLOOKUP(B463,#REF!,18,FALSE),)</f>
        <v>0</v>
      </c>
      <c r="L463" s="193">
        <f t="shared" si="382"/>
        <v>0</v>
      </c>
      <c r="M463" s="194">
        <f t="shared" si="383"/>
        <v>0</v>
      </c>
      <c r="N463" s="196">
        <f t="shared" si="384"/>
        <v>0</v>
      </c>
      <c r="O463" s="194">
        <f t="shared" si="364"/>
        <v>73</v>
      </c>
      <c r="P463" s="196">
        <f t="shared" si="364"/>
        <v>804.46</v>
      </c>
    </row>
    <row r="464" spans="2:16" s="244" customFormat="1" ht="51">
      <c r="B464" s="576" t="s">
        <v>625</v>
      </c>
      <c r="C464" s="238" t="s">
        <v>257</v>
      </c>
      <c r="D464" s="239" t="s">
        <v>267</v>
      </c>
      <c r="E464" s="240" t="s">
        <v>58</v>
      </c>
      <c r="F464" s="241">
        <v>777.83</v>
      </c>
      <c r="G464" s="242">
        <v>28.05</v>
      </c>
      <c r="H464" s="241">
        <v>21818.13</v>
      </c>
      <c r="I464" s="242">
        <v>0</v>
      </c>
      <c r="J464" s="241">
        <f t="shared" si="381"/>
        <v>0</v>
      </c>
      <c r="K464" s="259">
        <f>'[35]4.4.1.5'!R25</f>
        <v>9</v>
      </c>
      <c r="L464" s="260">
        <f t="shared" si="382"/>
        <v>7000.47</v>
      </c>
      <c r="M464" s="242">
        <f t="shared" si="383"/>
        <v>9</v>
      </c>
      <c r="N464" s="243">
        <f t="shared" si="384"/>
        <v>7000.47</v>
      </c>
      <c r="O464" s="242">
        <f t="shared" si="364"/>
        <v>19.05</v>
      </c>
      <c r="P464" s="243">
        <f t="shared" si="364"/>
        <v>14817.66</v>
      </c>
    </row>
    <row r="465" spans="2:16">
      <c r="B465" s="190" t="s">
        <v>626</v>
      </c>
      <c r="C465" s="191" t="s">
        <v>258</v>
      </c>
      <c r="D465" s="575" t="s">
        <v>268</v>
      </c>
      <c r="E465" s="192" t="s">
        <v>49</v>
      </c>
      <c r="F465" s="193">
        <v>641.15</v>
      </c>
      <c r="G465" s="194">
        <v>113.84</v>
      </c>
      <c r="H465" s="193">
        <v>72988.52</v>
      </c>
      <c r="I465" s="194">
        <v>0</v>
      </c>
      <c r="J465" s="193">
        <f t="shared" si="381"/>
        <v>0</v>
      </c>
      <c r="K465" s="194">
        <f>IFERROR(VLOOKUP(B465,#REF!,18,FALSE),)</f>
        <v>0</v>
      </c>
      <c r="L465" s="193">
        <f t="shared" si="382"/>
        <v>0</v>
      </c>
      <c r="M465" s="194">
        <f t="shared" si="383"/>
        <v>0</v>
      </c>
      <c r="N465" s="196">
        <f t="shared" si="384"/>
        <v>0</v>
      </c>
      <c r="O465" s="194">
        <f t="shared" si="364"/>
        <v>113.84</v>
      </c>
      <c r="P465" s="196">
        <f t="shared" si="364"/>
        <v>72988.52</v>
      </c>
    </row>
    <row r="466" spans="2:16">
      <c r="B466" s="190" t="s">
        <v>627</v>
      </c>
      <c r="C466" s="191" t="s">
        <v>259</v>
      </c>
      <c r="D466" s="575" t="s">
        <v>269</v>
      </c>
      <c r="E466" s="192" t="s">
        <v>72</v>
      </c>
      <c r="F466" s="193">
        <v>14345.61</v>
      </c>
      <c r="G466" s="194">
        <v>4</v>
      </c>
      <c r="H466" s="193">
        <v>57382.44</v>
      </c>
      <c r="I466" s="194">
        <v>0</v>
      </c>
      <c r="J466" s="193">
        <f t="shared" si="381"/>
        <v>0</v>
      </c>
      <c r="K466" s="194">
        <f>IFERROR(VLOOKUP(B466,#REF!,18,FALSE),)</f>
        <v>0</v>
      </c>
      <c r="L466" s="193">
        <f t="shared" si="382"/>
        <v>0</v>
      </c>
      <c r="M466" s="194">
        <f t="shared" si="383"/>
        <v>0</v>
      </c>
      <c r="N466" s="196">
        <f t="shared" si="384"/>
        <v>0</v>
      </c>
      <c r="O466" s="194">
        <f t="shared" si="364"/>
        <v>4</v>
      </c>
      <c r="P466" s="196">
        <f t="shared" si="364"/>
        <v>57382.44</v>
      </c>
    </row>
    <row r="467" spans="2:16">
      <c r="B467" s="190" t="s">
        <v>628</v>
      </c>
      <c r="C467" s="191" t="s">
        <v>260</v>
      </c>
      <c r="D467" s="575" t="s">
        <v>270</v>
      </c>
      <c r="E467" s="192" t="s">
        <v>72</v>
      </c>
      <c r="F467" s="193">
        <v>5478.19</v>
      </c>
      <c r="G467" s="194">
        <v>2</v>
      </c>
      <c r="H467" s="193">
        <v>10956.38</v>
      </c>
      <c r="I467" s="194">
        <v>0</v>
      </c>
      <c r="J467" s="193">
        <f t="shared" si="381"/>
        <v>0</v>
      </c>
      <c r="K467" s="194">
        <f>IFERROR(VLOOKUP(B467,#REF!,18,FALSE),)</f>
        <v>0</v>
      </c>
      <c r="L467" s="193">
        <f t="shared" si="382"/>
        <v>0</v>
      </c>
      <c r="M467" s="194">
        <f t="shared" si="383"/>
        <v>0</v>
      </c>
      <c r="N467" s="196">
        <f t="shared" si="384"/>
        <v>0</v>
      </c>
      <c r="O467" s="194">
        <f t="shared" si="364"/>
        <v>2</v>
      </c>
      <c r="P467" s="196">
        <f t="shared" si="364"/>
        <v>10956.38</v>
      </c>
    </row>
    <row r="468" spans="2:16" ht="25.5">
      <c r="B468" s="190" t="s">
        <v>629</v>
      </c>
      <c r="C468" s="191">
        <v>40817</v>
      </c>
      <c r="D468" s="575" t="s">
        <v>271</v>
      </c>
      <c r="E468" s="192" t="s">
        <v>58</v>
      </c>
      <c r="F468" s="193">
        <v>3001.6</v>
      </c>
      <c r="G468" s="194">
        <v>0.03</v>
      </c>
      <c r="H468" s="193">
        <v>90.05</v>
      </c>
      <c r="I468" s="194">
        <v>0</v>
      </c>
      <c r="J468" s="193">
        <f t="shared" si="381"/>
        <v>0</v>
      </c>
      <c r="K468" s="194">
        <f>IFERROR(VLOOKUP(B468,#REF!,18,FALSE),)</f>
        <v>0</v>
      </c>
      <c r="L468" s="193">
        <f t="shared" si="382"/>
        <v>0</v>
      </c>
      <c r="M468" s="194">
        <f t="shared" si="383"/>
        <v>0</v>
      </c>
      <c r="N468" s="196">
        <f t="shared" si="384"/>
        <v>0</v>
      </c>
      <c r="O468" s="194">
        <f t="shared" si="364"/>
        <v>0.03</v>
      </c>
      <c r="P468" s="196">
        <f t="shared" si="364"/>
        <v>90.05</v>
      </c>
    </row>
    <row r="469" spans="2:16">
      <c r="B469" s="190" t="s">
        <v>630</v>
      </c>
      <c r="C469" s="191" t="s">
        <v>261</v>
      </c>
      <c r="D469" s="575" t="s">
        <v>272</v>
      </c>
      <c r="E469" s="192" t="s">
        <v>72</v>
      </c>
      <c r="F469" s="193">
        <v>2011.04</v>
      </c>
      <c r="G469" s="194">
        <v>15</v>
      </c>
      <c r="H469" s="193">
        <v>30165.599999999999</v>
      </c>
      <c r="I469" s="194">
        <v>0</v>
      </c>
      <c r="J469" s="193">
        <f t="shared" si="381"/>
        <v>0</v>
      </c>
      <c r="K469" s="194">
        <f>IFERROR(VLOOKUP(B469,#REF!,18,FALSE),)</f>
        <v>0</v>
      </c>
      <c r="L469" s="193">
        <f t="shared" si="382"/>
        <v>0</v>
      </c>
      <c r="M469" s="194">
        <f t="shared" si="383"/>
        <v>0</v>
      </c>
      <c r="N469" s="196">
        <f t="shared" si="384"/>
        <v>0</v>
      </c>
      <c r="O469" s="194">
        <f t="shared" si="364"/>
        <v>15</v>
      </c>
      <c r="P469" s="196">
        <f t="shared" si="364"/>
        <v>30165.599999999999</v>
      </c>
    </row>
    <row r="470" spans="2:16" ht="25.5">
      <c r="B470" s="190" t="s">
        <v>631</v>
      </c>
      <c r="C470" s="191" t="s">
        <v>262</v>
      </c>
      <c r="D470" s="575" t="s">
        <v>273</v>
      </c>
      <c r="E470" s="192" t="s">
        <v>72</v>
      </c>
      <c r="F470" s="193">
        <v>28185.33</v>
      </c>
      <c r="G470" s="194">
        <v>1</v>
      </c>
      <c r="H470" s="193">
        <v>28185.33</v>
      </c>
      <c r="I470" s="194">
        <v>0</v>
      </c>
      <c r="J470" s="193">
        <f t="shared" si="381"/>
        <v>0</v>
      </c>
      <c r="K470" s="194">
        <f>IFERROR(VLOOKUP(B470,#REF!,18,FALSE),)</f>
        <v>0</v>
      </c>
      <c r="L470" s="193">
        <f t="shared" si="382"/>
        <v>0</v>
      </c>
      <c r="M470" s="194">
        <f t="shared" si="383"/>
        <v>0</v>
      </c>
      <c r="N470" s="196">
        <f t="shared" si="384"/>
        <v>0</v>
      </c>
      <c r="O470" s="194">
        <f t="shared" si="364"/>
        <v>1</v>
      </c>
      <c r="P470" s="196">
        <f t="shared" si="364"/>
        <v>28185.33</v>
      </c>
    </row>
    <row r="471" spans="2:16">
      <c r="B471" s="190" t="s">
        <v>632</v>
      </c>
      <c r="C471" s="191" t="s">
        <v>263</v>
      </c>
      <c r="D471" s="575" t="s">
        <v>274</v>
      </c>
      <c r="E471" s="192" t="s">
        <v>72</v>
      </c>
      <c r="F471" s="193">
        <v>340.73</v>
      </c>
      <c r="G471" s="194">
        <v>2</v>
      </c>
      <c r="H471" s="193">
        <v>681.46</v>
      </c>
      <c r="I471" s="194">
        <v>0</v>
      </c>
      <c r="J471" s="193">
        <f t="shared" si="381"/>
        <v>0</v>
      </c>
      <c r="K471" s="194">
        <f>IFERROR(VLOOKUP(B471,#REF!,18,FALSE),)</f>
        <v>0</v>
      </c>
      <c r="L471" s="193">
        <f t="shared" si="382"/>
        <v>0</v>
      </c>
      <c r="M471" s="194">
        <f t="shared" si="383"/>
        <v>0</v>
      </c>
      <c r="N471" s="196">
        <f t="shared" si="384"/>
        <v>0</v>
      </c>
      <c r="O471" s="194">
        <f t="shared" si="364"/>
        <v>2</v>
      </c>
      <c r="P471" s="196">
        <f t="shared" si="364"/>
        <v>681.46</v>
      </c>
    </row>
    <row r="472" spans="2:16">
      <c r="B472" s="138"/>
      <c r="C472" s="132"/>
      <c r="D472" s="123"/>
      <c r="E472" s="123"/>
      <c r="F472" s="123"/>
      <c r="G472" s="123"/>
      <c r="H472" s="123"/>
      <c r="I472" s="123"/>
      <c r="J472" s="123"/>
      <c r="K472" s="123"/>
      <c r="L472" s="123"/>
      <c r="M472" s="123"/>
      <c r="N472" s="124"/>
      <c r="O472" s="123">
        <f t="shared" si="364"/>
        <v>0</v>
      </c>
      <c r="P472" s="124">
        <f t="shared" si="364"/>
        <v>0</v>
      </c>
    </row>
    <row r="473" spans="2:16" s="131" customFormat="1">
      <c r="B473" s="137" t="s">
        <v>633</v>
      </c>
      <c r="C473" s="133"/>
      <c r="D473" s="125" t="s">
        <v>276</v>
      </c>
      <c r="E473" s="126"/>
      <c r="F473" s="127"/>
      <c r="G473" s="128"/>
      <c r="H473" s="129">
        <v>1770.61</v>
      </c>
      <c r="I473" s="130"/>
      <c r="J473" s="129">
        <f>SUBTOTAL(9,J474:J474)</f>
        <v>0</v>
      </c>
      <c r="K473" s="130"/>
      <c r="L473" s="129">
        <f>SUBTOTAL(9,L474:L474)</f>
        <v>0</v>
      </c>
      <c r="M473" s="129"/>
      <c r="N473" s="129">
        <f>SUBTOTAL(9,N474:N474)</f>
        <v>0</v>
      </c>
      <c r="O473" s="129">
        <f t="shared" si="364"/>
        <v>0</v>
      </c>
      <c r="P473" s="129">
        <f t="shared" si="364"/>
        <v>1770.61</v>
      </c>
    </row>
    <row r="474" spans="2:16" ht="25.5">
      <c r="B474" s="190" t="s">
        <v>634</v>
      </c>
      <c r="C474" s="191" t="s">
        <v>635</v>
      </c>
      <c r="D474" s="575" t="s">
        <v>636</v>
      </c>
      <c r="E474" s="192" t="s">
        <v>72</v>
      </c>
      <c r="F474" s="193">
        <v>1770.61</v>
      </c>
      <c r="G474" s="194">
        <v>1</v>
      </c>
      <c r="H474" s="193">
        <v>1770.61</v>
      </c>
      <c r="I474" s="194">
        <v>0</v>
      </c>
      <c r="J474" s="193">
        <f t="shared" ref="J474" si="385">TRUNC(I474*F474,2)</f>
        <v>0</v>
      </c>
      <c r="K474" s="194">
        <f>IFERROR(VLOOKUP(B474,#REF!,18,FALSE),)</f>
        <v>0</v>
      </c>
      <c r="L474" s="193">
        <f t="shared" ref="L474" si="386">N474-J474</f>
        <v>0</v>
      </c>
      <c r="M474" s="194">
        <f t="shared" ref="M474" si="387">K474+I474</f>
        <v>0</v>
      </c>
      <c r="N474" s="196">
        <f t="shared" ref="N474" si="388">TRUNC(M474*F474,2)</f>
        <v>0</v>
      </c>
      <c r="O474" s="194">
        <f t="shared" si="364"/>
        <v>1</v>
      </c>
      <c r="P474" s="196">
        <f t="shared" si="364"/>
        <v>1770.61</v>
      </c>
    </row>
    <row r="475" spans="2:16">
      <c r="B475" s="138"/>
      <c r="C475" s="132"/>
      <c r="D475" s="123"/>
      <c r="E475" s="123"/>
      <c r="F475" s="123"/>
      <c r="G475" s="123"/>
      <c r="H475" s="123"/>
      <c r="I475" s="123"/>
      <c r="J475" s="123"/>
      <c r="K475" s="123"/>
      <c r="L475" s="123"/>
      <c r="M475" s="123"/>
      <c r="N475" s="124"/>
      <c r="O475" s="123">
        <f t="shared" si="364"/>
        <v>0</v>
      </c>
      <c r="P475" s="124">
        <f t="shared" si="364"/>
        <v>0</v>
      </c>
    </row>
    <row r="476" spans="2:16" s="131" customFormat="1">
      <c r="B476" s="137" t="s">
        <v>637</v>
      </c>
      <c r="C476" s="133"/>
      <c r="D476" s="125" t="s">
        <v>281</v>
      </c>
      <c r="E476" s="126"/>
      <c r="F476" s="127"/>
      <c r="G476" s="128"/>
      <c r="H476" s="129">
        <v>309292.32</v>
      </c>
      <c r="I476" s="130"/>
      <c r="J476" s="129">
        <f>SUBTOTAL(9,J477:J490)</f>
        <v>33240.019999999997</v>
      </c>
      <c r="K476" s="130"/>
      <c r="L476" s="129">
        <f>SUBTOTAL(9,L477:L490)</f>
        <v>0</v>
      </c>
      <c r="M476" s="129"/>
      <c r="N476" s="129">
        <f>SUBTOTAL(9,N477:N490)</f>
        <v>33240.019999999997</v>
      </c>
      <c r="O476" s="129">
        <f t="shared" si="364"/>
        <v>0</v>
      </c>
      <c r="P476" s="129">
        <f t="shared" si="364"/>
        <v>276052.3</v>
      </c>
    </row>
    <row r="477" spans="2:16" ht="25.5">
      <c r="B477" s="190" t="s">
        <v>638</v>
      </c>
      <c r="C477" s="191" t="s">
        <v>652</v>
      </c>
      <c r="D477" s="575" t="s">
        <v>653</v>
      </c>
      <c r="E477" s="192" t="s">
        <v>315</v>
      </c>
      <c r="F477" s="193">
        <v>16620.009999999998</v>
      </c>
      <c r="G477" s="194">
        <v>2</v>
      </c>
      <c r="H477" s="193">
        <v>33240.019999999997</v>
      </c>
      <c r="I477" s="194">
        <v>2</v>
      </c>
      <c r="J477" s="193">
        <f t="shared" ref="J477:J490" si="389">TRUNC(I477*F477,2)</f>
        <v>33240.019999999997</v>
      </c>
      <c r="K477" s="194">
        <f>IFERROR(VLOOKUP(B477,'[35]4.4.3.1'!A:U,18,FALSE),)</f>
        <v>0</v>
      </c>
      <c r="L477" s="193">
        <f t="shared" ref="L477:L490" si="390">N477-J477</f>
        <v>0</v>
      </c>
      <c r="M477" s="194">
        <f t="shared" ref="M477:M490" si="391">K477+I477</f>
        <v>2</v>
      </c>
      <c r="N477" s="196">
        <f t="shared" ref="N477:N490" si="392">TRUNC(M477*F477,2)</f>
        <v>33240.019999999997</v>
      </c>
      <c r="O477" s="194">
        <f t="shared" si="364"/>
        <v>0</v>
      </c>
      <c r="P477" s="196">
        <f t="shared" si="364"/>
        <v>0</v>
      </c>
    </row>
    <row r="478" spans="2:16" ht="25.5">
      <c r="B478" s="190" t="s">
        <v>639</v>
      </c>
      <c r="C478" s="191" t="s">
        <v>295</v>
      </c>
      <c r="D478" s="575" t="s">
        <v>305</v>
      </c>
      <c r="E478" s="192" t="s">
        <v>51</v>
      </c>
      <c r="F478" s="193">
        <v>1268.83</v>
      </c>
      <c r="G478" s="194">
        <v>77.2</v>
      </c>
      <c r="H478" s="193">
        <v>97953.68</v>
      </c>
      <c r="I478" s="194">
        <v>0</v>
      </c>
      <c r="J478" s="193">
        <f t="shared" si="389"/>
        <v>0</v>
      </c>
      <c r="K478" s="194">
        <f>IFERROR(VLOOKUP(B478,#REF!,18,FALSE),)</f>
        <v>0</v>
      </c>
      <c r="L478" s="193">
        <f t="shared" si="390"/>
        <v>0</v>
      </c>
      <c r="M478" s="194">
        <f t="shared" si="391"/>
        <v>0</v>
      </c>
      <c r="N478" s="196">
        <f t="shared" si="392"/>
        <v>0</v>
      </c>
      <c r="O478" s="194">
        <f t="shared" si="364"/>
        <v>77.2</v>
      </c>
      <c r="P478" s="196">
        <f t="shared" si="364"/>
        <v>97953.68</v>
      </c>
    </row>
    <row r="479" spans="2:16">
      <c r="B479" s="190" t="s">
        <v>640</v>
      </c>
      <c r="C479" s="191" t="s">
        <v>296</v>
      </c>
      <c r="D479" s="575" t="s">
        <v>306</v>
      </c>
      <c r="E479" s="192" t="s">
        <v>51</v>
      </c>
      <c r="F479" s="193">
        <v>294.97000000000003</v>
      </c>
      <c r="G479" s="194">
        <v>77.2</v>
      </c>
      <c r="H479" s="193">
        <v>22771.68</v>
      </c>
      <c r="I479" s="194">
        <v>0</v>
      </c>
      <c r="J479" s="193">
        <f t="shared" si="389"/>
        <v>0</v>
      </c>
      <c r="K479" s="194">
        <f>IFERROR(VLOOKUP(B479,#REF!,18,FALSE),)</f>
        <v>0</v>
      </c>
      <c r="L479" s="193">
        <f t="shared" si="390"/>
        <v>0</v>
      </c>
      <c r="M479" s="194">
        <f t="shared" si="391"/>
        <v>0</v>
      </c>
      <c r="N479" s="196">
        <f t="shared" si="392"/>
        <v>0</v>
      </c>
      <c r="O479" s="194">
        <f t="shared" si="364"/>
        <v>77.2</v>
      </c>
      <c r="P479" s="196">
        <f t="shared" si="364"/>
        <v>22771.68</v>
      </c>
    </row>
    <row r="480" spans="2:16">
      <c r="B480" s="190" t="s">
        <v>641</v>
      </c>
      <c r="C480" s="191" t="s">
        <v>297</v>
      </c>
      <c r="D480" s="575" t="s">
        <v>307</v>
      </c>
      <c r="E480" s="192" t="s">
        <v>51</v>
      </c>
      <c r="F480" s="193">
        <v>309.62</v>
      </c>
      <c r="G480" s="194">
        <v>50.2</v>
      </c>
      <c r="H480" s="193">
        <v>15542.92</v>
      </c>
      <c r="I480" s="194">
        <v>0</v>
      </c>
      <c r="J480" s="193">
        <f t="shared" si="389"/>
        <v>0</v>
      </c>
      <c r="K480" s="194">
        <f>IFERROR(VLOOKUP(B480,#REF!,18,FALSE),)</f>
        <v>0</v>
      </c>
      <c r="L480" s="193">
        <f t="shared" si="390"/>
        <v>0</v>
      </c>
      <c r="M480" s="194">
        <f t="shared" si="391"/>
        <v>0</v>
      </c>
      <c r="N480" s="196">
        <f t="shared" si="392"/>
        <v>0</v>
      </c>
      <c r="O480" s="194">
        <f t="shared" si="364"/>
        <v>50.2</v>
      </c>
      <c r="P480" s="196">
        <f t="shared" si="364"/>
        <v>15542.92</v>
      </c>
    </row>
    <row r="481" spans="2:16" ht="25.5">
      <c r="B481" s="190" t="s">
        <v>642</v>
      </c>
      <c r="C481" s="191" t="s">
        <v>298</v>
      </c>
      <c r="D481" s="575" t="s">
        <v>308</v>
      </c>
      <c r="E481" s="192" t="s">
        <v>51</v>
      </c>
      <c r="F481" s="193">
        <v>358.26</v>
      </c>
      <c r="G481" s="194">
        <v>50.2</v>
      </c>
      <c r="H481" s="193">
        <v>17984.650000000001</v>
      </c>
      <c r="I481" s="194">
        <v>0</v>
      </c>
      <c r="J481" s="193">
        <f t="shared" si="389"/>
        <v>0</v>
      </c>
      <c r="K481" s="194">
        <f>IFERROR(VLOOKUP(B481,#REF!,18,FALSE),)</f>
        <v>0</v>
      </c>
      <c r="L481" s="193">
        <f t="shared" si="390"/>
        <v>0</v>
      </c>
      <c r="M481" s="194">
        <f t="shared" si="391"/>
        <v>0</v>
      </c>
      <c r="N481" s="196">
        <f t="shared" si="392"/>
        <v>0</v>
      </c>
      <c r="O481" s="194">
        <f t="shared" si="364"/>
        <v>50.2</v>
      </c>
      <c r="P481" s="196">
        <f t="shared" si="364"/>
        <v>17984.650000000001</v>
      </c>
    </row>
    <row r="482" spans="2:16" ht="25.5">
      <c r="B482" s="190" t="s">
        <v>643</v>
      </c>
      <c r="C482" s="191" t="s">
        <v>497</v>
      </c>
      <c r="D482" s="575" t="s">
        <v>500</v>
      </c>
      <c r="E482" s="192" t="s">
        <v>51</v>
      </c>
      <c r="F482" s="193">
        <v>3440.35</v>
      </c>
      <c r="G482" s="194">
        <v>8</v>
      </c>
      <c r="H482" s="193">
        <v>27522.799999999999</v>
      </c>
      <c r="I482" s="194">
        <v>0</v>
      </c>
      <c r="J482" s="193">
        <f t="shared" si="389"/>
        <v>0</v>
      </c>
      <c r="K482" s="194">
        <f>IFERROR(VLOOKUP(B482,#REF!,18,FALSE),)</f>
        <v>0</v>
      </c>
      <c r="L482" s="193">
        <f t="shared" si="390"/>
        <v>0</v>
      </c>
      <c r="M482" s="194">
        <f t="shared" si="391"/>
        <v>0</v>
      </c>
      <c r="N482" s="196">
        <f t="shared" si="392"/>
        <v>0</v>
      </c>
      <c r="O482" s="194">
        <f t="shared" si="364"/>
        <v>8</v>
      </c>
      <c r="P482" s="196">
        <f t="shared" si="364"/>
        <v>27522.799999999999</v>
      </c>
    </row>
    <row r="483" spans="2:16" ht="25.5">
      <c r="B483" s="190" t="s">
        <v>644</v>
      </c>
      <c r="C483" s="191" t="s">
        <v>498</v>
      </c>
      <c r="D483" s="575" t="s">
        <v>501</v>
      </c>
      <c r="E483" s="192" t="s">
        <v>51</v>
      </c>
      <c r="F483" s="193">
        <v>2019.23</v>
      </c>
      <c r="G483" s="194">
        <v>8</v>
      </c>
      <c r="H483" s="193">
        <v>16153.84</v>
      </c>
      <c r="I483" s="194">
        <v>0</v>
      </c>
      <c r="J483" s="193">
        <f t="shared" si="389"/>
        <v>0</v>
      </c>
      <c r="K483" s="194">
        <f>IFERROR(VLOOKUP(B483,#REF!,18,FALSE),)</f>
        <v>0</v>
      </c>
      <c r="L483" s="193">
        <f t="shared" si="390"/>
        <v>0</v>
      </c>
      <c r="M483" s="194">
        <f t="shared" si="391"/>
        <v>0</v>
      </c>
      <c r="N483" s="196">
        <f t="shared" si="392"/>
        <v>0</v>
      </c>
      <c r="O483" s="194">
        <f t="shared" si="364"/>
        <v>8</v>
      </c>
      <c r="P483" s="196">
        <f t="shared" si="364"/>
        <v>16153.84</v>
      </c>
    </row>
    <row r="484" spans="2:16" ht="25.5">
      <c r="B484" s="190" t="s">
        <v>645</v>
      </c>
      <c r="C484" s="191" t="s">
        <v>299</v>
      </c>
      <c r="D484" s="575" t="s">
        <v>309</v>
      </c>
      <c r="E484" s="192" t="s">
        <v>29</v>
      </c>
      <c r="F484" s="193">
        <v>8.1199999999999992</v>
      </c>
      <c r="G484" s="194">
        <v>5340</v>
      </c>
      <c r="H484" s="193">
        <v>43360.800000000003</v>
      </c>
      <c r="I484" s="194">
        <v>0</v>
      </c>
      <c r="J484" s="193">
        <f t="shared" si="389"/>
        <v>0</v>
      </c>
      <c r="K484" s="194">
        <f>IFERROR(VLOOKUP(B484,#REF!,18,FALSE),)</f>
        <v>0</v>
      </c>
      <c r="L484" s="193">
        <f t="shared" si="390"/>
        <v>0</v>
      </c>
      <c r="M484" s="194">
        <f t="shared" si="391"/>
        <v>0</v>
      </c>
      <c r="N484" s="196">
        <f t="shared" si="392"/>
        <v>0</v>
      </c>
      <c r="O484" s="194">
        <f t="shared" si="364"/>
        <v>5340</v>
      </c>
      <c r="P484" s="196">
        <f t="shared" si="364"/>
        <v>43360.800000000003</v>
      </c>
    </row>
    <row r="485" spans="2:16">
      <c r="B485" s="190" t="s">
        <v>646</v>
      </c>
      <c r="C485" s="191" t="s">
        <v>300</v>
      </c>
      <c r="D485" s="575" t="s">
        <v>310</v>
      </c>
      <c r="E485" s="192" t="s">
        <v>29</v>
      </c>
      <c r="F485" s="193">
        <v>0.64</v>
      </c>
      <c r="G485" s="194">
        <v>5340</v>
      </c>
      <c r="H485" s="193">
        <v>3417.6</v>
      </c>
      <c r="I485" s="194">
        <v>0</v>
      </c>
      <c r="J485" s="193">
        <f t="shared" si="389"/>
        <v>0</v>
      </c>
      <c r="K485" s="194">
        <f>IFERROR(VLOOKUP(B485,#REF!,18,FALSE),)</f>
        <v>0</v>
      </c>
      <c r="L485" s="193">
        <f t="shared" si="390"/>
        <v>0</v>
      </c>
      <c r="M485" s="194">
        <f t="shared" si="391"/>
        <v>0</v>
      </c>
      <c r="N485" s="196">
        <f t="shared" si="392"/>
        <v>0</v>
      </c>
      <c r="O485" s="194">
        <f t="shared" si="364"/>
        <v>5340</v>
      </c>
      <c r="P485" s="196">
        <f t="shared" si="364"/>
        <v>3417.6</v>
      </c>
    </row>
    <row r="486" spans="2:16" ht="51">
      <c r="B486" s="190" t="s">
        <v>647</v>
      </c>
      <c r="C486" s="191" t="s">
        <v>140</v>
      </c>
      <c r="D486" s="575" t="s">
        <v>177</v>
      </c>
      <c r="E486" s="192" t="s">
        <v>58</v>
      </c>
      <c r="F486" s="193">
        <v>486.08</v>
      </c>
      <c r="G486" s="194">
        <v>31.31</v>
      </c>
      <c r="H486" s="193">
        <v>15219.16</v>
      </c>
      <c r="I486" s="194">
        <v>0</v>
      </c>
      <c r="J486" s="193">
        <f t="shared" si="389"/>
        <v>0</v>
      </c>
      <c r="K486" s="194">
        <f>IFERROR(VLOOKUP(B486,#REF!,18,FALSE),)</f>
        <v>0</v>
      </c>
      <c r="L486" s="193">
        <f t="shared" si="390"/>
        <v>0</v>
      </c>
      <c r="M486" s="194">
        <f t="shared" si="391"/>
        <v>0</v>
      </c>
      <c r="N486" s="196">
        <f t="shared" si="392"/>
        <v>0</v>
      </c>
      <c r="O486" s="194">
        <f t="shared" si="364"/>
        <v>31.31</v>
      </c>
      <c r="P486" s="196">
        <f t="shared" si="364"/>
        <v>15219.16</v>
      </c>
    </row>
    <row r="487" spans="2:16">
      <c r="B487" s="190" t="s">
        <v>648</v>
      </c>
      <c r="C487" s="191" t="s">
        <v>301</v>
      </c>
      <c r="D487" s="575" t="s">
        <v>311</v>
      </c>
      <c r="E487" s="192" t="s">
        <v>49</v>
      </c>
      <c r="F487" s="193">
        <v>105.97</v>
      </c>
      <c r="G487" s="194">
        <v>31.31</v>
      </c>
      <c r="H487" s="193">
        <v>3317.92</v>
      </c>
      <c r="I487" s="194">
        <v>0</v>
      </c>
      <c r="J487" s="193">
        <f t="shared" si="389"/>
        <v>0</v>
      </c>
      <c r="K487" s="194">
        <f>IFERROR(VLOOKUP(B487,#REF!,18,FALSE),)</f>
        <v>0</v>
      </c>
      <c r="L487" s="193">
        <f t="shared" si="390"/>
        <v>0</v>
      </c>
      <c r="M487" s="194">
        <f t="shared" si="391"/>
        <v>0</v>
      </c>
      <c r="N487" s="196">
        <f t="shared" si="392"/>
        <v>0</v>
      </c>
      <c r="O487" s="194">
        <f t="shared" si="364"/>
        <v>31.31</v>
      </c>
      <c r="P487" s="196">
        <f t="shared" si="364"/>
        <v>3317.92</v>
      </c>
    </row>
    <row r="488" spans="2:16">
      <c r="B488" s="190" t="s">
        <v>649</v>
      </c>
      <c r="C488" s="191" t="s">
        <v>302</v>
      </c>
      <c r="D488" s="575" t="s">
        <v>312</v>
      </c>
      <c r="E488" s="192" t="s">
        <v>72</v>
      </c>
      <c r="F488" s="193">
        <v>1.62</v>
      </c>
      <c r="G488" s="194">
        <v>4</v>
      </c>
      <c r="H488" s="193">
        <v>6.48</v>
      </c>
      <c r="I488" s="194">
        <v>0</v>
      </c>
      <c r="J488" s="193">
        <f t="shared" si="389"/>
        <v>0</v>
      </c>
      <c r="K488" s="194">
        <f>IFERROR(VLOOKUP(B488,#REF!,18,FALSE),)</f>
        <v>0</v>
      </c>
      <c r="L488" s="193">
        <f t="shared" si="390"/>
        <v>0</v>
      </c>
      <c r="M488" s="194">
        <f t="shared" si="391"/>
        <v>0</v>
      </c>
      <c r="N488" s="196">
        <f t="shared" si="392"/>
        <v>0</v>
      </c>
      <c r="O488" s="194">
        <f t="shared" si="364"/>
        <v>4</v>
      </c>
      <c r="P488" s="196">
        <f t="shared" si="364"/>
        <v>6.48</v>
      </c>
    </row>
    <row r="489" spans="2:16">
      <c r="B489" s="190" t="s">
        <v>650</v>
      </c>
      <c r="C489" s="191" t="s">
        <v>303</v>
      </c>
      <c r="D489" s="575" t="s">
        <v>313</v>
      </c>
      <c r="E489" s="192" t="s">
        <v>72</v>
      </c>
      <c r="F489" s="193">
        <v>5793.75</v>
      </c>
      <c r="G489" s="194">
        <v>2</v>
      </c>
      <c r="H489" s="193">
        <v>11587.5</v>
      </c>
      <c r="I489" s="194">
        <v>0</v>
      </c>
      <c r="J489" s="193">
        <f t="shared" si="389"/>
        <v>0</v>
      </c>
      <c r="K489" s="194">
        <f>IFERROR(VLOOKUP(B489,#REF!,18,FALSE),)</f>
        <v>0</v>
      </c>
      <c r="L489" s="193">
        <f t="shared" si="390"/>
        <v>0</v>
      </c>
      <c r="M489" s="194">
        <f t="shared" si="391"/>
        <v>0</v>
      </c>
      <c r="N489" s="196">
        <f t="shared" si="392"/>
        <v>0</v>
      </c>
      <c r="O489" s="194">
        <f t="shared" si="364"/>
        <v>2</v>
      </c>
      <c r="P489" s="196">
        <f t="shared" si="364"/>
        <v>11587.5</v>
      </c>
    </row>
    <row r="490" spans="2:16" ht="25.5">
      <c r="B490" s="190" t="s">
        <v>651</v>
      </c>
      <c r="C490" s="191">
        <v>190418</v>
      </c>
      <c r="D490" s="575" t="s">
        <v>314</v>
      </c>
      <c r="E490" s="192" t="s">
        <v>57</v>
      </c>
      <c r="F490" s="193">
        <v>33.049999999999997</v>
      </c>
      <c r="G490" s="194">
        <v>36.71</v>
      </c>
      <c r="H490" s="193">
        <v>1213.27</v>
      </c>
      <c r="I490" s="194">
        <v>0</v>
      </c>
      <c r="J490" s="193">
        <f t="shared" si="389"/>
        <v>0</v>
      </c>
      <c r="K490" s="194">
        <f>IFERROR(VLOOKUP(B490,#REF!,18,FALSE),)</f>
        <v>0</v>
      </c>
      <c r="L490" s="193">
        <f t="shared" si="390"/>
        <v>0</v>
      </c>
      <c r="M490" s="194">
        <f t="shared" si="391"/>
        <v>0</v>
      </c>
      <c r="N490" s="196">
        <f t="shared" si="392"/>
        <v>0</v>
      </c>
      <c r="O490" s="194">
        <f t="shared" si="364"/>
        <v>36.71</v>
      </c>
      <c r="P490" s="196">
        <f t="shared" si="364"/>
        <v>1213.27</v>
      </c>
    </row>
    <row r="491" spans="2:16">
      <c r="B491" s="138"/>
      <c r="C491" s="132"/>
      <c r="D491" s="123"/>
      <c r="E491" s="123"/>
      <c r="F491" s="123"/>
      <c r="G491" s="123"/>
      <c r="H491" s="123"/>
      <c r="I491" s="123"/>
      <c r="J491" s="123"/>
      <c r="K491" s="123"/>
      <c r="L491" s="123"/>
      <c r="M491" s="123"/>
      <c r="N491" s="124"/>
      <c r="O491" s="123">
        <f t="shared" si="364"/>
        <v>0</v>
      </c>
      <c r="P491" s="124">
        <f t="shared" si="364"/>
        <v>0</v>
      </c>
    </row>
    <row r="492" spans="2:16" s="131" customFormat="1">
      <c r="B492" s="137" t="s">
        <v>654</v>
      </c>
      <c r="C492" s="133"/>
      <c r="D492" s="125" t="s">
        <v>212</v>
      </c>
      <c r="E492" s="126"/>
      <c r="F492" s="127"/>
      <c r="G492" s="128"/>
      <c r="H492" s="129">
        <v>8738.25</v>
      </c>
      <c r="I492" s="130"/>
      <c r="J492" s="129">
        <f>SUBTOTAL(9,J493:J493)</f>
        <v>0</v>
      </c>
      <c r="K492" s="130"/>
      <c r="L492" s="129">
        <f>SUBTOTAL(9,L493:L493)</f>
        <v>0</v>
      </c>
      <c r="M492" s="129"/>
      <c r="N492" s="129">
        <f>SUBTOTAL(9,N493:N493)</f>
        <v>0</v>
      </c>
      <c r="O492" s="129">
        <f t="shared" si="364"/>
        <v>0</v>
      </c>
      <c r="P492" s="129">
        <f t="shared" si="364"/>
        <v>8738.25</v>
      </c>
    </row>
    <row r="493" spans="2:16" ht="25.5">
      <c r="B493" s="190" t="s">
        <v>655</v>
      </c>
      <c r="C493" s="191" t="s">
        <v>227</v>
      </c>
      <c r="D493" s="575" t="s">
        <v>233</v>
      </c>
      <c r="E493" s="192" t="s">
        <v>51</v>
      </c>
      <c r="F493" s="193">
        <v>366.23</v>
      </c>
      <c r="G493" s="194">
        <v>23.86</v>
      </c>
      <c r="H493" s="193">
        <v>8738.25</v>
      </c>
      <c r="I493" s="194">
        <v>0</v>
      </c>
      <c r="J493" s="193">
        <f t="shared" ref="J493" si="393">TRUNC(I493*F493,2)</f>
        <v>0</v>
      </c>
      <c r="K493" s="194">
        <f>IFERROR(VLOOKUP(B493,#REF!,18,FALSE),)</f>
        <v>0</v>
      </c>
      <c r="L493" s="193">
        <f t="shared" ref="L493" si="394">N493-J493</f>
        <v>0</v>
      </c>
      <c r="M493" s="194">
        <f t="shared" ref="M493" si="395">K493+I493</f>
        <v>0</v>
      </c>
      <c r="N493" s="196">
        <f t="shared" ref="N493" si="396">TRUNC(M493*F493,2)</f>
        <v>0</v>
      </c>
      <c r="O493" s="194">
        <f t="shared" si="364"/>
        <v>23.86</v>
      </c>
      <c r="P493" s="196">
        <f t="shared" si="364"/>
        <v>8738.25</v>
      </c>
    </row>
    <row r="494" spans="2:16">
      <c r="B494" s="138"/>
      <c r="C494" s="132"/>
      <c r="D494" s="123"/>
      <c r="E494" s="123"/>
      <c r="F494" s="123"/>
      <c r="G494" s="123"/>
      <c r="H494" s="123"/>
      <c r="I494" s="123"/>
      <c r="J494" s="123"/>
      <c r="K494" s="123"/>
      <c r="L494" s="123"/>
      <c r="M494" s="123"/>
      <c r="N494" s="124"/>
      <c r="O494" s="123">
        <f t="shared" si="364"/>
        <v>0</v>
      </c>
      <c r="P494" s="124">
        <f t="shared" si="364"/>
        <v>0</v>
      </c>
    </row>
    <row r="495" spans="2:16" s="213" customFormat="1">
      <c r="B495" s="210" t="s">
        <v>656</v>
      </c>
      <c r="C495" s="211"/>
      <c r="D495" s="212" t="s">
        <v>318</v>
      </c>
      <c r="E495" s="197"/>
      <c r="F495" s="198"/>
      <c r="G495" s="199"/>
      <c r="H495" s="200">
        <v>428188.12</v>
      </c>
      <c r="I495" s="201"/>
      <c r="J495" s="200">
        <f>SUBTOTAL(9,J496:J500)</f>
        <v>0</v>
      </c>
      <c r="K495" s="201"/>
      <c r="L495" s="200">
        <f>SUBTOTAL(9,L496:L500)</f>
        <v>0</v>
      </c>
      <c r="M495" s="200"/>
      <c r="N495" s="200">
        <f>SUBTOTAL(9,N496:N500)</f>
        <v>0</v>
      </c>
      <c r="O495" s="200">
        <f t="shared" si="364"/>
        <v>0</v>
      </c>
      <c r="P495" s="200">
        <f t="shared" si="364"/>
        <v>428188.12</v>
      </c>
    </row>
    <row r="496" spans="2:16" s="131" customFormat="1">
      <c r="B496" s="137" t="s">
        <v>657</v>
      </c>
      <c r="C496" s="133"/>
      <c r="D496" s="125" t="s">
        <v>318</v>
      </c>
      <c r="E496" s="126"/>
      <c r="F496" s="127"/>
      <c r="G496" s="128"/>
      <c r="H496" s="129">
        <v>428188.12</v>
      </c>
      <c r="I496" s="130"/>
      <c r="J496" s="129">
        <f>SUBTOTAL(9,J497:J500)</f>
        <v>0</v>
      </c>
      <c r="K496" s="130"/>
      <c r="L496" s="129">
        <f>SUBTOTAL(9,L497:L500)</f>
        <v>0</v>
      </c>
      <c r="M496" s="129"/>
      <c r="N496" s="129">
        <f>SUBTOTAL(9,N497:N500)</f>
        <v>0</v>
      </c>
      <c r="O496" s="129">
        <f t="shared" si="364"/>
        <v>0</v>
      </c>
      <c r="P496" s="129">
        <f t="shared" si="364"/>
        <v>428188.12</v>
      </c>
    </row>
    <row r="497" spans="2:16">
      <c r="B497" s="190" t="s">
        <v>658</v>
      </c>
      <c r="C497" s="191" t="s">
        <v>323</v>
      </c>
      <c r="D497" s="575" t="s">
        <v>326</v>
      </c>
      <c r="E497" s="192" t="s">
        <v>59</v>
      </c>
      <c r="F497" s="193">
        <v>409453.83</v>
      </c>
      <c r="G497" s="194">
        <v>1</v>
      </c>
      <c r="H497" s="193">
        <v>409453.83</v>
      </c>
      <c r="I497" s="194">
        <v>0</v>
      </c>
      <c r="J497" s="193">
        <f t="shared" ref="J497" si="397">TRUNC(I497*F497,2)</f>
        <v>0</v>
      </c>
      <c r="K497" s="194">
        <f>IFERROR(VLOOKUP(B497,#REF!,18,FALSE),)</f>
        <v>0</v>
      </c>
      <c r="L497" s="193">
        <f t="shared" ref="L497" si="398">N497-J497</f>
        <v>0</v>
      </c>
      <c r="M497" s="194">
        <f t="shared" ref="M497" si="399">K497+I497</f>
        <v>0</v>
      </c>
      <c r="N497" s="196">
        <f t="shared" ref="N497" si="400">TRUNC(M497*F497,2)</f>
        <v>0</v>
      </c>
      <c r="O497" s="194">
        <f t="shared" si="364"/>
        <v>1</v>
      </c>
      <c r="P497" s="196">
        <f t="shared" si="364"/>
        <v>409453.83</v>
      </c>
    </row>
    <row r="498" spans="2:16">
      <c r="B498" s="190" t="s">
        <v>659</v>
      </c>
      <c r="C498" s="191" t="s">
        <v>324</v>
      </c>
      <c r="D498" s="575" t="s">
        <v>327</v>
      </c>
      <c r="E498" s="192" t="s">
        <v>59</v>
      </c>
      <c r="F498" s="193">
        <v>3812.11</v>
      </c>
      <c r="G498" s="194">
        <v>1</v>
      </c>
      <c r="H498" s="193">
        <v>3812.11</v>
      </c>
      <c r="I498" s="194">
        <v>0</v>
      </c>
      <c r="J498" s="193">
        <f>TRUNC(I498*F498,2)</f>
        <v>0</v>
      </c>
      <c r="K498" s="194">
        <f>IFERROR(VLOOKUP(B498,#REF!,18,FALSE),)</f>
        <v>0</v>
      </c>
      <c r="L498" s="193">
        <f>N498-J498</f>
        <v>0</v>
      </c>
      <c r="M498" s="194">
        <f>K498+I498</f>
        <v>0</v>
      </c>
      <c r="N498" s="196">
        <f>TRUNC(M498*F498,2)</f>
        <v>0</v>
      </c>
      <c r="O498" s="194">
        <f t="shared" si="364"/>
        <v>1</v>
      </c>
      <c r="P498" s="196">
        <f t="shared" si="364"/>
        <v>3812.11</v>
      </c>
    </row>
    <row r="499" spans="2:16" ht="25.5">
      <c r="B499" s="190" t="s">
        <v>660</v>
      </c>
      <c r="C499" s="191" t="s">
        <v>663</v>
      </c>
      <c r="D499" s="575" t="s">
        <v>662</v>
      </c>
      <c r="E499" s="192" t="s">
        <v>72</v>
      </c>
      <c r="F499" s="193">
        <v>943.82</v>
      </c>
      <c r="G499" s="194">
        <v>1</v>
      </c>
      <c r="H499" s="193">
        <v>943.82</v>
      </c>
      <c r="I499" s="194">
        <v>0</v>
      </c>
      <c r="J499" s="193">
        <f>TRUNC(I499*F499,2)</f>
        <v>0</v>
      </c>
      <c r="K499" s="194">
        <f>IFERROR(VLOOKUP(B499,#REF!,18,FALSE),)</f>
        <v>0</v>
      </c>
      <c r="L499" s="193">
        <f>N499-J499</f>
        <v>0</v>
      </c>
      <c r="M499" s="194">
        <f>K499+I499</f>
        <v>0</v>
      </c>
      <c r="N499" s="196">
        <f>TRUNC(M499*F499,2)</f>
        <v>0</v>
      </c>
      <c r="O499" s="194">
        <f t="shared" si="364"/>
        <v>1</v>
      </c>
      <c r="P499" s="196">
        <f t="shared" si="364"/>
        <v>943.82</v>
      </c>
    </row>
    <row r="500" spans="2:16">
      <c r="B500" s="190" t="s">
        <v>661</v>
      </c>
      <c r="C500" s="191" t="s">
        <v>325</v>
      </c>
      <c r="D500" s="575" t="s">
        <v>328</v>
      </c>
      <c r="E500" s="192" t="s">
        <v>50</v>
      </c>
      <c r="F500" s="193">
        <v>115.83</v>
      </c>
      <c r="G500" s="194">
        <v>120.68</v>
      </c>
      <c r="H500" s="193">
        <v>13978.36</v>
      </c>
      <c r="I500" s="194">
        <v>0</v>
      </c>
      <c r="J500" s="193">
        <f t="shared" ref="J500" si="401">TRUNC(I500*F500,2)</f>
        <v>0</v>
      </c>
      <c r="K500" s="194">
        <f>IFERROR(VLOOKUP(B500,#REF!,18,FALSE),)</f>
        <v>0</v>
      </c>
      <c r="L500" s="193">
        <f t="shared" ref="L500" si="402">N500-J500</f>
        <v>0</v>
      </c>
      <c r="M500" s="194">
        <f t="shared" ref="M500" si="403">K500+I500</f>
        <v>0</v>
      </c>
      <c r="N500" s="196">
        <f t="shared" ref="N500" si="404">TRUNC(M500*F500,2)</f>
        <v>0</v>
      </c>
      <c r="O500" s="194">
        <f t="shared" si="364"/>
        <v>120.68</v>
      </c>
      <c r="P500" s="196">
        <f t="shared" si="364"/>
        <v>13978.36</v>
      </c>
    </row>
    <row r="501" spans="2:16">
      <c r="B501" s="138"/>
      <c r="C501" s="132"/>
      <c r="D501" s="123"/>
      <c r="E501" s="123"/>
      <c r="F501" s="123"/>
      <c r="G501" s="123"/>
      <c r="H501" s="123"/>
      <c r="I501" s="123"/>
      <c r="J501" s="123"/>
      <c r="K501" s="123"/>
      <c r="L501" s="123"/>
      <c r="M501" s="123"/>
      <c r="N501" s="124"/>
      <c r="O501" s="123">
        <f t="shared" si="364"/>
        <v>0</v>
      </c>
      <c r="P501" s="124">
        <f t="shared" si="364"/>
        <v>0</v>
      </c>
    </row>
    <row r="502" spans="2:16" s="213" customFormat="1">
      <c r="B502" s="210" t="s">
        <v>664</v>
      </c>
      <c r="C502" s="211"/>
      <c r="D502" s="212" t="s">
        <v>329</v>
      </c>
      <c r="E502" s="197"/>
      <c r="F502" s="198"/>
      <c r="G502" s="199"/>
      <c r="H502" s="200">
        <v>43372.77</v>
      </c>
      <c r="I502" s="201"/>
      <c r="J502" s="200">
        <f>SUBTOTAL(9,J503:J528)</f>
        <v>0</v>
      </c>
      <c r="K502" s="201"/>
      <c r="L502" s="200">
        <f>SUBTOTAL(9,L503:L528)</f>
        <v>0</v>
      </c>
      <c r="M502" s="200"/>
      <c r="N502" s="200">
        <f>SUBTOTAL(9,N503:N528)</f>
        <v>0</v>
      </c>
      <c r="O502" s="200">
        <f t="shared" si="364"/>
        <v>0</v>
      </c>
      <c r="P502" s="200">
        <f t="shared" si="364"/>
        <v>43372.77</v>
      </c>
    </row>
    <row r="503" spans="2:16" s="131" customFormat="1">
      <c r="B503" s="137" t="s">
        <v>665</v>
      </c>
      <c r="C503" s="133"/>
      <c r="D503" s="125" t="s">
        <v>329</v>
      </c>
      <c r="E503" s="126"/>
      <c r="F503" s="127"/>
      <c r="G503" s="128"/>
      <c r="H503" s="129">
        <v>39993.79</v>
      </c>
      <c r="I503" s="130"/>
      <c r="J503" s="129">
        <f>SUBTOTAL(9,J504:J522)</f>
        <v>0</v>
      </c>
      <c r="K503" s="130"/>
      <c r="L503" s="129">
        <f>SUBTOTAL(9,L504:L522)</f>
        <v>0</v>
      </c>
      <c r="M503" s="129"/>
      <c r="N503" s="129">
        <f>SUBTOTAL(9,N504:N522)</f>
        <v>0</v>
      </c>
      <c r="O503" s="129">
        <f t="shared" si="364"/>
        <v>0</v>
      </c>
      <c r="P503" s="129">
        <f t="shared" si="364"/>
        <v>39993.79</v>
      </c>
    </row>
    <row r="504" spans="2:16" ht="25.5">
      <c r="B504" s="190" t="s">
        <v>666</v>
      </c>
      <c r="C504" s="191">
        <v>151701</v>
      </c>
      <c r="D504" s="575" t="s">
        <v>685</v>
      </c>
      <c r="E504" s="192" t="s">
        <v>59</v>
      </c>
      <c r="F504" s="193">
        <v>1510.64</v>
      </c>
      <c r="G504" s="194">
        <v>1</v>
      </c>
      <c r="H504" s="193">
        <v>1510.64</v>
      </c>
      <c r="I504" s="194">
        <v>0</v>
      </c>
      <c r="J504" s="193">
        <f t="shared" ref="J504:J522" si="405">TRUNC(I504*F504,2)</f>
        <v>0</v>
      </c>
      <c r="K504" s="194">
        <f>IFERROR(VLOOKUP(B504,#REF!,18,FALSE),)</f>
        <v>0</v>
      </c>
      <c r="L504" s="193">
        <f t="shared" ref="L504:L522" si="406">N504-J504</f>
        <v>0</v>
      </c>
      <c r="M504" s="194">
        <f t="shared" ref="M504:M522" si="407">K504+I504</f>
        <v>0</v>
      </c>
      <c r="N504" s="196">
        <f t="shared" ref="N504:N522" si="408">TRUNC(M504*F504,2)</f>
        <v>0</v>
      </c>
      <c r="O504" s="194">
        <f t="shared" si="364"/>
        <v>1</v>
      </c>
      <c r="P504" s="196">
        <f t="shared" si="364"/>
        <v>1510.64</v>
      </c>
    </row>
    <row r="505" spans="2:16" ht="25.5">
      <c r="B505" s="190" t="s">
        <v>667</v>
      </c>
      <c r="C505" s="191">
        <v>150312</v>
      </c>
      <c r="D505" s="575" t="s">
        <v>350</v>
      </c>
      <c r="E505" s="192" t="s">
        <v>59</v>
      </c>
      <c r="F505" s="193">
        <v>103.79</v>
      </c>
      <c r="G505" s="194">
        <v>1</v>
      </c>
      <c r="H505" s="193">
        <v>103.79</v>
      </c>
      <c r="I505" s="194">
        <v>0</v>
      </c>
      <c r="J505" s="193">
        <f t="shared" si="405"/>
        <v>0</v>
      </c>
      <c r="K505" s="194">
        <f>IFERROR(VLOOKUP(B505,#REF!,18,FALSE),)</f>
        <v>0</v>
      </c>
      <c r="L505" s="193">
        <f t="shared" si="406"/>
        <v>0</v>
      </c>
      <c r="M505" s="194">
        <f t="shared" si="407"/>
        <v>0</v>
      </c>
      <c r="N505" s="196">
        <f t="shared" si="408"/>
        <v>0</v>
      </c>
      <c r="O505" s="194">
        <f t="shared" ref="O505:P537" si="409">G505-M505</f>
        <v>1</v>
      </c>
      <c r="P505" s="196">
        <f t="shared" si="409"/>
        <v>103.79</v>
      </c>
    </row>
    <row r="506" spans="2:16">
      <c r="B506" s="190" t="s">
        <v>668</v>
      </c>
      <c r="C506" s="191">
        <v>150628</v>
      </c>
      <c r="D506" s="575" t="s">
        <v>351</v>
      </c>
      <c r="E506" s="192" t="s">
        <v>59</v>
      </c>
      <c r="F506" s="193">
        <v>7.47</v>
      </c>
      <c r="G506" s="194">
        <v>20</v>
      </c>
      <c r="H506" s="193">
        <v>149.4</v>
      </c>
      <c r="I506" s="194">
        <v>0</v>
      </c>
      <c r="J506" s="193">
        <f t="shared" si="405"/>
        <v>0</v>
      </c>
      <c r="K506" s="194">
        <f>IFERROR(VLOOKUP(B506,#REF!,18,FALSE),)</f>
        <v>0</v>
      </c>
      <c r="L506" s="193">
        <f t="shared" si="406"/>
        <v>0</v>
      </c>
      <c r="M506" s="194">
        <f t="shared" si="407"/>
        <v>0</v>
      </c>
      <c r="N506" s="196">
        <f t="shared" si="408"/>
        <v>0</v>
      </c>
      <c r="O506" s="194">
        <f t="shared" si="409"/>
        <v>20</v>
      </c>
      <c r="P506" s="196">
        <f t="shared" si="409"/>
        <v>149.4</v>
      </c>
    </row>
    <row r="507" spans="2:16">
      <c r="B507" s="190" t="s">
        <v>669</v>
      </c>
      <c r="C507" s="191">
        <v>151417</v>
      </c>
      <c r="D507" s="575" t="s">
        <v>352</v>
      </c>
      <c r="E507" s="192" t="s">
        <v>51</v>
      </c>
      <c r="F507" s="193">
        <v>5.86</v>
      </c>
      <c r="G507" s="194">
        <v>169.2</v>
      </c>
      <c r="H507" s="193">
        <v>991.51</v>
      </c>
      <c r="I507" s="194">
        <v>0</v>
      </c>
      <c r="J507" s="193">
        <f t="shared" si="405"/>
        <v>0</v>
      </c>
      <c r="K507" s="194">
        <f>IFERROR(VLOOKUP(B507,#REF!,18,FALSE),)</f>
        <v>0</v>
      </c>
      <c r="L507" s="193">
        <f t="shared" si="406"/>
        <v>0</v>
      </c>
      <c r="M507" s="194">
        <f t="shared" si="407"/>
        <v>0</v>
      </c>
      <c r="N507" s="196">
        <f t="shared" si="408"/>
        <v>0</v>
      </c>
      <c r="O507" s="194">
        <f t="shared" si="409"/>
        <v>169.2</v>
      </c>
      <c r="P507" s="196">
        <f t="shared" si="409"/>
        <v>991.51</v>
      </c>
    </row>
    <row r="508" spans="2:16">
      <c r="B508" s="190" t="s">
        <v>670</v>
      </c>
      <c r="C508" s="191">
        <v>151418</v>
      </c>
      <c r="D508" s="575" t="s">
        <v>353</v>
      </c>
      <c r="E508" s="192" t="s">
        <v>51</v>
      </c>
      <c r="F508" s="193">
        <v>6.74</v>
      </c>
      <c r="G508" s="194">
        <v>333.8</v>
      </c>
      <c r="H508" s="193">
        <v>2249.81</v>
      </c>
      <c r="I508" s="194">
        <v>0</v>
      </c>
      <c r="J508" s="193">
        <f t="shared" si="405"/>
        <v>0</v>
      </c>
      <c r="K508" s="194">
        <f>IFERROR(VLOOKUP(B508,#REF!,18,FALSE),)</f>
        <v>0</v>
      </c>
      <c r="L508" s="193">
        <f t="shared" si="406"/>
        <v>0</v>
      </c>
      <c r="M508" s="194">
        <f t="shared" si="407"/>
        <v>0</v>
      </c>
      <c r="N508" s="196">
        <f t="shared" si="408"/>
        <v>0</v>
      </c>
      <c r="O508" s="194">
        <f t="shared" si="409"/>
        <v>333.8</v>
      </c>
      <c r="P508" s="196">
        <f t="shared" si="409"/>
        <v>2249.81</v>
      </c>
    </row>
    <row r="509" spans="2:16">
      <c r="B509" s="190" t="s">
        <v>671</v>
      </c>
      <c r="C509" s="191">
        <v>151420</v>
      </c>
      <c r="D509" s="575" t="s">
        <v>354</v>
      </c>
      <c r="E509" s="192" t="s">
        <v>51</v>
      </c>
      <c r="F509" s="193">
        <v>10.63</v>
      </c>
      <c r="G509" s="194">
        <v>60</v>
      </c>
      <c r="H509" s="193">
        <v>637.79999999999995</v>
      </c>
      <c r="I509" s="194">
        <v>0</v>
      </c>
      <c r="J509" s="193">
        <f t="shared" si="405"/>
        <v>0</v>
      </c>
      <c r="K509" s="194">
        <f>IFERROR(VLOOKUP(B509,#REF!,18,FALSE),)</f>
        <v>0</v>
      </c>
      <c r="L509" s="193">
        <f t="shared" si="406"/>
        <v>0</v>
      </c>
      <c r="M509" s="194">
        <f t="shared" si="407"/>
        <v>0</v>
      </c>
      <c r="N509" s="196">
        <f t="shared" si="408"/>
        <v>0</v>
      </c>
      <c r="O509" s="194">
        <f t="shared" si="409"/>
        <v>60</v>
      </c>
      <c r="P509" s="196">
        <f t="shared" si="409"/>
        <v>637.79999999999995</v>
      </c>
    </row>
    <row r="510" spans="2:16" ht="38.25">
      <c r="B510" s="190" t="s">
        <v>672</v>
      </c>
      <c r="C510" s="191">
        <v>151809</v>
      </c>
      <c r="D510" s="575" t="s">
        <v>355</v>
      </c>
      <c r="E510" s="192" t="s">
        <v>59</v>
      </c>
      <c r="F510" s="193">
        <v>150.13</v>
      </c>
      <c r="G510" s="194">
        <v>1</v>
      </c>
      <c r="H510" s="193">
        <v>150.13</v>
      </c>
      <c r="I510" s="194">
        <v>0</v>
      </c>
      <c r="J510" s="193">
        <f t="shared" si="405"/>
        <v>0</v>
      </c>
      <c r="K510" s="194">
        <f>IFERROR(VLOOKUP(B510,#REF!,18,FALSE),)</f>
        <v>0</v>
      </c>
      <c r="L510" s="193">
        <f t="shared" si="406"/>
        <v>0</v>
      </c>
      <c r="M510" s="194">
        <f t="shared" si="407"/>
        <v>0</v>
      </c>
      <c r="N510" s="196">
        <f t="shared" si="408"/>
        <v>0</v>
      </c>
      <c r="O510" s="194">
        <f t="shared" si="409"/>
        <v>1</v>
      </c>
      <c r="P510" s="196">
        <f t="shared" si="409"/>
        <v>150.13</v>
      </c>
    </row>
    <row r="511" spans="2:16" ht="38.25">
      <c r="B511" s="190" t="s">
        <v>673</v>
      </c>
      <c r="C511" s="191">
        <v>151803</v>
      </c>
      <c r="D511" s="575" t="s">
        <v>356</v>
      </c>
      <c r="E511" s="192" t="s">
        <v>59</v>
      </c>
      <c r="F511" s="193">
        <v>170.86</v>
      </c>
      <c r="G511" s="194">
        <v>11</v>
      </c>
      <c r="H511" s="193">
        <v>1879.46</v>
      </c>
      <c r="I511" s="194">
        <v>0</v>
      </c>
      <c r="J511" s="193">
        <f t="shared" si="405"/>
        <v>0</v>
      </c>
      <c r="K511" s="194">
        <f>IFERROR(VLOOKUP(B511,#REF!,18,FALSE),)</f>
        <v>0</v>
      </c>
      <c r="L511" s="193">
        <f t="shared" si="406"/>
        <v>0</v>
      </c>
      <c r="M511" s="194">
        <f t="shared" si="407"/>
        <v>0</v>
      </c>
      <c r="N511" s="196">
        <f t="shared" si="408"/>
        <v>0</v>
      </c>
      <c r="O511" s="194">
        <f t="shared" si="409"/>
        <v>11</v>
      </c>
      <c r="P511" s="196">
        <f t="shared" si="409"/>
        <v>1879.46</v>
      </c>
    </row>
    <row r="512" spans="2:16" ht="25.5">
      <c r="B512" s="190" t="s">
        <v>674</v>
      </c>
      <c r="C512" s="191">
        <v>151338</v>
      </c>
      <c r="D512" s="575" t="s">
        <v>357</v>
      </c>
      <c r="E512" s="192" t="s">
        <v>59</v>
      </c>
      <c r="F512" s="193">
        <v>18.14</v>
      </c>
      <c r="G512" s="194">
        <v>1</v>
      </c>
      <c r="H512" s="193">
        <v>18.14</v>
      </c>
      <c r="I512" s="194">
        <v>0</v>
      </c>
      <c r="J512" s="193">
        <f t="shared" si="405"/>
        <v>0</v>
      </c>
      <c r="K512" s="194">
        <f>IFERROR(VLOOKUP(B512,#REF!,18,FALSE),)</f>
        <v>0</v>
      </c>
      <c r="L512" s="193">
        <f t="shared" si="406"/>
        <v>0</v>
      </c>
      <c r="M512" s="194">
        <f t="shared" si="407"/>
        <v>0</v>
      </c>
      <c r="N512" s="196">
        <f t="shared" si="408"/>
        <v>0</v>
      </c>
      <c r="O512" s="194">
        <f t="shared" si="409"/>
        <v>1</v>
      </c>
      <c r="P512" s="196">
        <f t="shared" si="409"/>
        <v>18.14</v>
      </c>
    </row>
    <row r="513" spans="2:16" ht="25.5">
      <c r="B513" s="190" t="s">
        <v>675</v>
      </c>
      <c r="C513" s="191">
        <v>151301</v>
      </c>
      <c r="D513" s="575" t="s">
        <v>358</v>
      </c>
      <c r="E513" s="192" t="s">
        <v>59</v>
      </c>
      <c r="F513" s="193">
        <v>18.14</v>
      </c>
      <c r="G513" s="194">
        <v>1</v>
      </c>
      <c r="H513" s="193">
        <v>18.14</v>
      </c>
      <c r="I513" s="194">
        <v>0</v>
      </c>
      <c r="J513" s="193">
        <f t="shared" si="405"/>
        <v>0</v>
      </c>
      <c r="K513" s="194">
        <f>IFERROR(VLOOKUP(B513,#REF!,18,FALSE),)</f>
        <v>0</v>
      </c>
      <c r="L513" s="193">
        <f t="shared" si="406"/>
        <v>0</v>
      </c>
      <c r="M513" s="194">
        <f t="shared" si="407"/>
        <v>0</v>
      </c>
      <c r="N513" s="196">
        <f t="shared" si="408"/>
        <v>0</v>
      </c>
      <c r="O513" s="194">
        <f t="shared" si="409"/>
        <v>1</v>
      </c>
      <c r="P513" s="196">
        <f t="shared" si="409"/>
        <v>18.14</v>
      </c>
    </row>
    <row r="514" spans="2:16" ht="25.5">
      <c r="B514" s="190" t="s">
        <v>676</v>
      </c>
      <c r="C514" s="191">
        <v>151303</v>
      </c>
      <c r="D514" s="575" t="s">
        <v>359</v>
      </c>
      <c r="E514" s="192" t="s">
        <v>59</v>
      </c>
      <c r="F514" s="193">
        <v>18.14</v>
      </c>
      <c r="G514" s="194">
        <v>1</v>
      </c>
      <c r="H514" s="193">
        <v>18.14</v>
      </c>
      <c r="I514" s="194">
        <v>0</v>
      </c>
      <c r="J514" s="193">
        <f t="shared" si="405"/>
        <v>0</v>
      </c>
      <c r="K514" s="194">
        <f>IFERROR(VLOOKUP(B514,#REF!,18,FALSE),)</f>
        <v>0</v>
      </c>
      <c r="L514" s="193">
        <f t="shared" si="406"/>
        <v>0</v>
      </c>
      <c r="M514" s="194">
        <f t="shared" si="407"/>
        <v>0</v>
      </c>
      <c r="N514" s="196">
        <f t="shared" si="408"/>
        <v>0</v>
      </c>
      <c r="O514" s="194">
        <f t="shared" si="409"/>
        <v>1</v>
      </c>
      <c r="P514" s="196">
        <f t="shared" si="409"/>
        <v>18.14</v>
      </c>
    </row>
    <row r="515" spans="2:16" ht="25.5">
      <c r="B515" s="190" t="s">
        <v>677</v>
      </c>
      <c r="C515" s="191">
        <v>151318</v>
      </c>
      <c r="D515" s="575" t="s">
        <v>547</v>
      </c>
      <c r="E515" s="192" t="s">
        <v>59</v>
      </c>
      <c r="F515" s="193">
        <v>22.63</v>
      </c>
      <c r="G515" s="194">
        <v>1</v>
      </c>
      <c r="H515" s="193">
        <v>22.63</v>
      </c>
      <c r="I515" s="194">
        <v>0</v>
      </c>
      <c r="J515" s="193">
        <f t="shared" si="405"/>
        <v>0</v>
      </c>
      <c r="K515" s="194">
        <f>IFERROR(VLOOKUP(B515,#REF!,18,FALSE),)</f>
        <v>0</v>
      </c>
      <c r="L515" s="193">
        <f t="shared" si="406"/>
        <v>0</v>
      </c>
      <c r="M515" s="194">
        <f t="shared" si="407"/>
        <v>0</v>
      </c>
      <c r="N515" s="196">
        <f t="shared" si="408"/>
        <v>0</v>
      </c>
      <c r="O515" s="194">
        <f t="shared" si="409"/>
        <v>1</v>
      </c>
      <c r="P515" s="196">
        <f t="shared" si="409"/>
        <v>22.63</v>
      </c>
    </row>
    <row r="516" spans="2:16">
      <c r="B516" s="190" t="s">
        <v>678</v>
      </c>
      <c r="C516" s="191">
        <v>151350</v>
      </c>
      <c r="D516" s="575" t="s">
        <v>360</v>
      </c>
      <c r="E516" s="192" t="s">
        <v>59</v>
      </c>
      <c r="F516" s="193">
        <v>133.04</v>
      </c>
      <c r="G516" s="194">
        <v>1</v>
      </c>
      <c r="H516" s="193">
        <v>133.04</v>
      </c>
      <c r="I516" s="194">
        <v>0</v>
      </c>
      <c r="J516" s="193">
        <f t="shared" si="405"/>
        <v>0</v>
      </c>
      <c r="K516" s="194">
        <f>IFERROR(VLOOKUP(B516,#REF!,18,FALSE),)</f>
        <v>0</v>
      </c>
      <c r="L516" s="193">
        <f t="shared" si="406"/>
        <v>0</v>
      </c>
      <c r="M516" s="194">
        <f t="shared" si="407"/>
        <v>0</v>
      </c>
      <c r="N516" s="196">
        <f t="shared" si="408"/>
        <v>0</v>
      </c>
      <c r="O516" s="194">
        <f t="shared" si="409"/>
        <v>1</v>
      </c>
      <c r="P516" s="196">
        <f t="shared" si="409"/>
        <v>133.04</v>
      </c>
    </row>
    <row r="517" spans="2:16">
      <c r="B517" s="190" t="s">
        <v>679</v>
      </c>
      <c r="C517" s="191">
        <v>151132</v>
      </c>
      <c r="D517" s="575" t="s">
        <v>361</v>
      </c>
      <c r="E517" s="192" t="s">
        <v>51</v>
      </c>
      <c r="F517" s="193">
        <v>7.5</v>
      </c>
      <c r="G517" s="194">
        <v>78.400000000000006</v>
      </c>
      <c r="H517" s="193">
        <v>588</v>
      </c>
      <c r="I517" s="194">
        <v>0</v>
      </c>
      <c r="J517" s="193">
        <f t="shared" si="405"/>
        <v>0</v>
      </c>
      <c r="K517" s="194">
        <f>IFERROR(VLOOKUP(B517,#REF!,18,FALSE),)</f>
        <v>0</v>
      </c>
      <c r="L517" s="193">
        <f t="shared" si="406"/>
        <v>0</v>
      </c>
      <c r="M517" s="194">
        <f t="shared" si="407"/>
        <v>0</v>
      </c>
      <c r="N517" s="196">
        <f t="shared" si="408"/>
        <v>0</v>
      </c>
      <c r="O517" s="194">
        <f t="shared" si="409"/>
        <v>78.400000000000006</v>
      </c>
      <c r="P517" s="196">
        <f t="shared" si="409"/>
        <v>588</v>
      </c>
    </row>
    <row r="518" spans="2:16" ht="25.5">
      <c r="B518" s="190" t="s">
        <v>680</v>
      </c>
      <c r="C518" s="191">
        <v>150801</v>
      </c>
      <c r="D518" s="575" t="s">
        <v>362</v>
      </c>
      <c r="E518" s="192" t="s">
        <v>51</v>
      </c>
      <c r="F518" s="193">
        <v>12.67</v>
      </c>
      <c r="G518" s="194">
        <v>70</v>
      </c>
      <c r="H518" s="193">
        <v>886.9</v>
      </c>
      <c r="I518" s="194">
        <v>0</v>
      </c>
      <c r="J518" s="193">
        <f t="shared" si="405"/>
        <v>0</v>
      </c>
      <c r="K518" s="194">
        <f>IFERROR(VLOOKUP(B518,#REF!,18,FALSE),)</f>
        <v>0</v>
      </c>
      <c r="L518" s="193">
        <f t="shared" si="406"/>
        <v>0</v>
      </c>
      <c r="M518" s="194">
        <f t="shared" si="407"/>
        <v>0</v>
      </c>
      <c r="N518" s="196">
        <f t="shared" si="408"/>
        <v>0</v>
      </c>
      <c r="O518" s="194">
        <f t="shared" si="409"/>
        <v>70</v>
      </c>
      <c r="P518" s="196">
        <f t="shared" si="409"/>
        <v>886.9</v>
      </c>
    </row>
    <row r="519" spans="2:16">
      <c r="B519" s="190" t="s">
        <v>681</v>
      </c>
      <c r="C519" s="191">
        <v>180110</v>
      </c>
      <c r="D519" s="575" t="s">
        <v>363</v>
      </c>
      <c r="E519" s="192" t="s">
        <v>59</v>
      </c>
      <c r="F519" s="193">
        <v>106.15</v>
      </c>
      <c r="G519" s="194">
        <v>5</v>
      </c>
      <c r="H519" s="193">
        <v>530.75</v>
      </c>
      <c r="I519" s="194">
        <v>0</v>
      </c>
      <c r="J519" s="193">
        <f t="shared" si="405"/>
        <v>0</v>
      </c>
      <c r="K519" s="194">
        <f>IFERROR(VLOOKUP(B519,#REF!,18,FALSE),)</f>
        <v>0</v>
      </c>
      <c r="L519" s="193">
        <f t="shared" si="406"/>
        <v>0</v>
      </c>
      <c r="M519" s="194">
        <f t="shared" si="407"/>
        <v>0</v>
      </c>
      <c r="N519" s="196">
        <f t="shared" si="408"/>
        <v>0</v>
      </c>
      <c r="O519" s="194">
        <f t="shared" si="409"/>
        <v>5</v>
      </c>
      <c r="P519" s="196">
        <f t="shared" si="409"/>
        <v>530.75</v>
      </c>
    </row>
    <row r="520" spans="2:16">
      <c r="B520" s="190" t="s">
        <v>682</v>
      </c>
      <c r="C520" s="191" t="s">
        <v>367</v>
      </c>
      <c r="D520" s="575" t="s">
        <v>364</v>
      </c>
      <c r="E520" s="192" t="s">
        <v>72</v>
      </c>
      <c r="F520" s="193">
        <v>362.44</v>
      </c>
      <c r="G520" s="194">
        <v>20</v>
      </c>
      <c r="H520" s="193">
        <v>7248.8</v>
      </c>
      <c r="I520" s="194">
        <v>0</v>
      </c>
      <c r="J520" s="193">
        <f t="shared" si="405"/>
        <v>0</v>
      </c>
      <c r="K520" s="194">
        <f>IFERROR(VLOOKUP(B520,#REF!,18,FALSE),)</f>
        <v>0</v>
      </c>
      <c r="L520" s="193">
        <f t="shared" si="406"/>
        <v>0</v>
      </c>
      <c r="M520" s="194">
        <f t="shared" si="407"/>
        <v>0</v>
      </c>
      <c r="N520" s="196">
        <f t="shared" si="408"/>
        <v>0</v>
      </c>
      <c r="O520" s="194">
        <f t="shared" si="409"/>
        <v>20</v>
      </c>
      <c r="P520" s="196">
        <f t="shared" si="409"/>
        <v>7248.8</v>
      </c>
    </row>
    <row r="521" spans="2:16" ht="25.5">
      <c r="B521" s="190" t="s">
        <v>683</v>
      </c>
      <c r="C521" s="191" t="s">
        <v>368</v>
      </c>
      <c r="D521" s="575" t="s">
        <v>365</v>
      </c>
      <c r="E521" s="192" t="s">
        <v>72</v>
      </c>
      <c r="F521" s="193">
        <v>4976.67</v>
      </c>
      <c r="G521" s="194">
        <v>2</v>
      </c>
      <c r="H521" s="193">
        <v>9953.34</v>
      </c>
      <c r="I521" s="194">
        <v>0</v>
      </c>
      <c r="J521" s="193">
        <f t="shared" si="405"/>
        <v>0</v>
      </c>
      <c r="K521" s="194">
        <f>IFERROR(VLOOKUP(B521,#REF!,18,FALSE),)</f>
        <v>0</v>
      </c>
      <c r="L521" s="193">
        <f t="shared" si="406"/>
        <v>0</v>
      </c>
      <c r="M521" s="194">
        <f t="shared" si="407"/>
        <v>0</v>
      </c>
      <c r="N521" s="196">
        <f t="shared" si="408"/>
        <v>0</v>
      </c>
      <c r="O521" s="194">
        <f t="shared" si="409"/>
        <v>2</v>
      </c>
      <c r="P521" s="196">
        <f t="shared" si="409"/>
        <v>9953.34</v>
      </c>
    </row>
    <row r="522" spans="2:16" ht="25.5">
      <c r="B522" s="190" t="s">
        <v>684</v>
      </c>
      <c r="C522" s="191" t="s">
        <v>369</v>
      </c>
      <c r="D522" s="575" t="s">
        <v>366</v>
      </c>
      <c r="E522" s="192" t="s">
        <v>10</v>
      </c>
      <c r="F522" s="193">
        <v>12903.37</v>
      </c>
      <c r="G522" s="194">
        <v>1</v>
      </c>
      <c r="H522" s="193">
        <v>12903.37</v>
      </c>
      <c r="I522" s="194">
        <v>0</v>
      </c>
      <c r="J522" s="193">
        <f t="shared" si="405"/>
        <v>0</v>
      </c>
      <c r="K522" s="194">
        <f>IFERROR(VLOOKUP(B522,#REF!,18,FALSE),)</f>
        <v>0</v>
      </c>
      <c r="L522" s="193">
        <f t="shared" si="406"/>
        <v>0</v>
      </c>
      <c r="M522" s="194">
        <f t="shared" si="407"/>
        <v>0</v>
      </c>
      <c r="N522" s="196">
        <f t="shared" si="408"/>
        <v>0</v>
      </c>
      <c r="O522" s="194">
        <f t="shared" si="409"/>
        <v>1</v>
      </c>
      <c r="P522" s="196">
        <f t="shared" si="409"/>
        <v>12903.37</v>
      </c>
    </row>
    <row r="523" spans="2:16">
      <c r="B523" s="138"/>
      <c r="C523" s="132"/>
      <c r="D523" s="123"/>
      <c r="E523" s="123"/>
      <c r="F523" s="123"/>
      <c r="G523" s="123"/>
      <c r="H523" s="123"/>
      <c r="I523" s="123"/>
      <c r="J523" s="123"/>
      <c r="K523" s="123"/>
      <c r="L523" s="123"/>
      <c r="M523" s="123"/>
      <c r="N523" s="124"/>
      <c r="O523" s="123">
        <f t="shared" si="409"/>
        <v>0</v>
      </c>
      <c r="P523" s="124">
        <f t="shared" si="409"/>
        <v>0</v>
      </c>
    </row>
    <row r="524" spans="2:16" s="131" customFormat="1">
      <c r="B524" s="137" t="s">
        <v>686</v>
      </c>
      <c r="C524" s="133"/>
      <c r="D524" s="125" t="s">
        <v>371</v>
      </c>
      <c r="E524" s="126"/>
      <c r="F524" s="127"/>
      <c r="G524" s="128"/>
      <c r="H524" s="129">
        <v>3378.98</v>
      </c>
      <c r="I524" s="130"/>
      <c r="J524" s="129">
        <f>SUBTOTAL(9,J525:J528)</f>
        <v>0</v>
      </c>
      <c r="K524" s="130"/>
      <c r="L524" s="129">
        <f>SUBTOTAL(9,L525:L528)</f>
        <v>0</v>
      </c>
      <c r="M524" s="129"/>
      <c r="N524" s="129">
        <f>SUBTOTAL(9,N525:N528)</f>
        <v>0</v>
      </c>
      <c r="O524" s="129">
        <f t="shared" si="409"/>
        <v>0</v>
      </c>
      <c r="P524" s="129">
        <f t="shared" si="409"/>
        <v>3378.98</v>
      </c>
    </row>
    <row r="525" spans="2:16" ht="38.25">
      <c r="B525" s="190" t="s">
        <v>687</v>
      </c>
      <c r="C525" s="191">
        <v>150610</v>
      </c>
      <c r="D525" s="575" t="s">
        <v>376</v>
      </c>
      <c r="E525" s="192" t="s">
        <v>59</v>
      </c>
      <c r="F525" s="193">
        <v>188.46</v>
      </c>
      <c r="G525" s="194">
        <v>4</v>
      </c>
      <c r="H525" s="193">
        <v>753.84</v>
      </c>
      <c r="I525" s="194">
        <v>0</v>
      </c>
      <c r="J525" s="193">
        <f t="shared" ref="J525" si="410">TRUNC(I525*F525,2)</f>
        <v>0</v>
      </c>
      <c r="K525" s="194">
        <f>IFERROR(VLOOKUP(B525,#REF!,18,FALSE),)</f>
        <v>0</v>
      </c>
      <c r="L525" s="193">
        <f t="shared" ref="L525" si="411">N525-J525</f>
        <v>0</v>
      </c>
      <c r="M525" s="194">
        <f t="shared" ref="M525" si="412">K525+I525</f>
        <v>0</v>
      </c>
      <c r="N525" s="196">
        <f t="shared" ref="N525" si="413">TRUNC(M525*F525,2)</f>
        <v>0</v>
      </c>
      <c r="O525" s="194">
        <f t="shared" si="409"/>
        <v>4</v>
      </c>
      <c r="P525" s="196">
        <f t="shared" si="409"/>
        <v>753.84</v>
      </c>
    </row>
    <row r="526" spans="2:16" ht="38.25">
      <c r="B526" s="190" t="s">
        <v>688</v>
      </c>
      <c r="C526" s="191">
        <v>160324</v>
      </c>
      <c r="D526" s="575" t="s">
        <v>546</v>
      </c>
      <c r="E526" s="192" t="s">
        <v>59</v>
      </c>
      <c r="F526" s="193">
        <v>199.91</v>
      </c>
      <c r="G526" s="194">
        <v>1</v>
      </c>
      <c r="H526" s="193">
        <v>199.91</v>
      </c>
      <c r="I526" s="194">
        <v>0</v>
      </c>
      <c r="J526" s="193">
        <f>TRUNC(I526*F526,2)</f>
        <v>0</v>
      </c>
      <c r="K526" s="194">
        <f>IFERROR(VLOOKUP(B526,#REF!,18,FALSE),)</f>
        <v>0</v>
      </c>
      <c r="L526" s="193">
        <f>N526-J526</f>
        <v>0</v>
      </c>
      <c r="M526" s="194">
        <f>K526+I526</f>
        <v>0</v>
      </c>
      <c r="N526" s="196">
        <f>TRUNC(M526*F526,2)</f>
        <v>0</v>
      </c>
      <c r="O526" s="194">
        <f t="shared" si="409"/>
        <v>1</v>
      </c>
      <c r="P526" s="196">
        <f t="shared" si="409"/>
        <v>199.91</v>
      </c>
    </row>
    <row r="527" spans="2:16" ht="25.5">
      <c r="B527" s="190" t="s">
        <v>689</v>
      </c>
      <c r="C527" s="191">
        <v>160317</v>
      </c>
      <c r="D527" s="575" t="s">
        <v>377</v>
      </c>
      <c r="E527" s="192" t="s">
        <v>51</v>
      </c>
      <c r="F527" s="193">
        <v>33.369999999999997</v>
      </c>
      <c r="G527" s="194">
        <v>70.900000000000006</v>
      </c>
      <c r="H527" s="193">
        <v>2365.9299999999998</v>
      </c>
      <c r="I527" s="194">
        <v>0</v>
      </c>
      <c r="J527" s="193">
        <f t="shared" ref="J527:J528" si="414">TRUNC(I527*F527,2)</f>
        <v>0</v>
      </c>
      <c r="K527" s="194">
        <f>IFERROR(VLOOKUP(B527,#REF!,18,FALSE),)</f>
        <v>0</v>
      </c>
      <c r="L527" s="193">
        <f t="shared" ref="L527:L528" si="415">N527-J527</f>
        <v>0</v>
      </c>
      <c r="M527" s="194">
        <f t="shared" ref="M527:M528" si="416">K527+I527</f>
        <v>0</v>
      </c>
      <c r="N527" s="196">
        <f t="shared" ref="N527:N528" si="417">TRUNC(M527*F527,2)</f>
        <v>0</v>
      </c>
      <c r="O527" s="194">
        <f t="shared" si="409"/>
        <v>70.900000000000006</v>
      </c>
      <c r="P527" s="196">
        <f t="shared" si="409"/>
        <v>2365.9299999999998</v>
      </c>
    </row>
    <row r="528" spans="2:16" ht="25.5">
      <c r="B528" s="190" t="s">
        <v>690</v>
      </c>
      <c r="C528" s="191">
        <v>160334</v>
      </c>
      <c r="D528" s="575" t="s">
        <v>378</v>
      </c>
      <c r="E528" s="192" t="s">
        <v>59</v>
      </c>
      <c r="F528" s="193">
        <v>29.65</v>
      </c>
      <c r="G528" s="194">
        <v>2</v>
      </c>
      <c r="H528" s="193">
        <v>59.3</v>
      </c>
      <c r="I528" s="194">
        <v>0</v>
      </c>
      <c r="J528" s="193">
        <f t="shared" si="414"/>
        <v>0</v>
      </c>
      <c r="K528" s="194">
        <f>IFERROR(VLOOKUP(B528,#REF!,18,FALSE),)</f>
        <v>0</v>
      </c>
      <c r="L528" s="193">
        <f t="shared" si="415"/>
        <v>0</v>
      </c>
      <c r="M528" s="194">
        <f t="shared" si="416"/>
        <v>0</v>
      </c>
      <c r="N528" s="196">
        <f t="shared" si="417"/>
        <v>0</v>
      </c>
      <c r="O528" s="194">
        <f t="shared" si="409"/>
        <v>2</v>
      </c>
      <c r="P528" s="196">
        <f t="shared" si="409"/>
        <v>59.3</v>
      </c>
    </row>
    <row r="529" spans="2:16">
      <c r="B529" s="138"/>
      <c r="C529" s="132"/>
      <c r="D529" s="123"/>
      <c r="E529" s="123"/>
      <c r="F529" s="123"/>
      <c r="G529" s="123"/>
      <c r="H529" s="123"/>
      <c r="I529" s="123"/>
      <c r="J529" s="123"/>
      <c r="K529" s="123"/>
      <c r="L529" s="123"/>
      <c r="M529" s="123"/>
      <c r="N529" s="124"/>
      <c r="O529" s="123">
        <f t="shared" si="409"/>
        <v>0</v>
      </c>
      <c r="P529" s="124">
        <f t="shared" si="409"/>
        <v>0</v>
      </c>
    </row>
    <row r="530" spans="2:16" s="213" customFormat="1">
      <c r="B530" s="210" t="s">
        <v>691</v>
      </c>
      <c r="C530" s="211"/>
      <c r="D530" s="212" t="s">
        <v>380</v>
      </c>
      <c r="E530" s="197"/>
      <c r="F530" s="198"/>
      <c r="G530" s="199"/>
      <c r="H530" s="200">
        <v>2437.2800000000002</v>
      </c>
      <c r="I530" s="201"/>
      <c r="J530" s="200">
        <f>SUBTOTAL(9,J531:J536)</f>
        <v>0</v>
      </c>
      <c r="K530" s="201"/>
      <c r="L530" s="200">
        <f>SUBTOTAL(9,L531:L536)</f>
        <v>0</v>
      </c>
      <c r="M530" s="200"/>
      <c r="N530" s="200">
        <f>SUBTOTAL(9,N531:N536)</f>
        <v>0</v>
      </c>
      <c r="O530" s="200">
        <f t="shared" si="409"/>
        <v>0</v>
      </c>
      <c r="P530" s="200">
        <f t="shared" si="409"/>
        <v>2437.2800000000002</v>
      </c>
    </row>
    <row r="531" spans="2:16" s="131" customFormat="1">
      <c r="B531" s="137" t="s">
        <v>692</v>
      </c>
      <c r="C531" s="133"/>
      <c r="D531" s="125" t="s">
        <v>380</v>
      </c>
      <c r="E531" s="126"/>
      <c r="F531" s="127"/>
      <c r="G531" s="128"/>
      <c r="H531" s="129">
        <v>2437.2800000000002</v>
      </c>
      <c r="I531" s="130"/>
      <c r="J531" s="129">
        <f>SUBTOTAL(9,J532:J536)</f>
        <v>0</v>
      </c>
      <c r="K531" s="130"/>
      <c r="L531" s="129">
        <f>SUBTOTAL(9,L532:L536)</f>
        <v>0</v>
      </c>
      <c r="M531" s="129"/>
      <c r="N531" s="129">
        <f>SUBTOTAL(9,N532:N536)</f>
        <v>0</v>
      </c>
      <c r="O531" s="129">
        <f t="shared" si="409"/>
        <v>0</v>
      </c>
      <c r="P531" s="129">
        <f t="shared" si="409"/>
        <v>2437.2800000000002</v>
      </c>
    </row>
    <row r="532" spans="2:16" ht="25.5">
      <c r="B532" s="190" t="s">
        <v>693</v>
      </c>
      <c r="C532" s="191">
        <v>160612</v>
      </c>
      <c r="D532" s="575" t="s">
        <v>387</v>
      </c>
      <c r="E532" s="192" t="s">
        <v>59</v>
      </c>
      <c r="F532" s="193">
        <v>29.96</v>
      </c>
      <c r="G532" s="194">
        <v>2</v>
      </c>
      <c r="H532" s="193">
        <v>59.92</v>
      </c>
      <c r="I532" s="194">
        <v>0</v>
      </c>
      <c r="J532" s="193">
        <f t="shared" ref="J532" si="418">TRUNC(I532*F532,2)</f>
        <v>0</v>
      </c>
      <c r="K532" s="194">
        <f>IFERROR(VLOOKUP(B532,#REF!,18,FALSE),)</f>
        <v>0</v>
      </c>
      <c r="L532" s="193">
        <f t="shared" ref="L532" si="419">N532-J532</f>
        <v>0</v>
      </c>
      <c r="M532" s="194">
        <f t="shared" ref="M532" si="420">K532+I532</f>
        <v>0</v>
      </c>
      <c r="N532" s="196">
        <f t="shared" ref="N532" si="421">TRUNC(M532*F532,2)</f>
        <v>0</v>
      </c>
      <c r="O532" s="194">
        <f t="shared" si="409"/>
        <v>2</v>
      </c>
      <c r="P532" s="196">
        <f t="shared" si="409"/>
        <v>59.92</v>
      </c>
    </row>
    <row r="533" spans="2:16" ht="38.25">
      <c r="B533" s="190" t="s">
        <v>694</v>
      </c>
      <c r="C533" s="191">
        <v>160608</v>
      </c>
      <c r="D533" s="575" t="s">
        <v>545</v>
      </c>
      <c r="E533" s="192" t="s">
        <v>59</v>
      </c>
      <c r="F533" s="193">
        <v>320.60000000000002</v>
      </c>
      <c r="G533" s="194">
        <v>3</v>
      </c>
      <c r="H533" s="193">
        <v>961.8</v>
      </c>
      <c r="I533" s="194">
        <v>0</v>
      </c>
      <c r="J533" s="193">
        <f>TRUNC(I533*F533,2)</f>
        <v>0</v>
      </c>
      <c r="K533" s="194">
        <f>IFERROR(VLOOKUP(B533,#REF!,18,FALSE),)</f>
        <v>0</v>
      </c>
      <c r="L533" s="193">
        <f>N533-J533</f>
        <v>0</v>
      </c>
      <c r="M533" s="194">
        <f>K533+I533</f>
        <v>0</v>
      </c>
      <c r="N533" s="196">
        <f>TRUNC(M533*F533,2)</f>
        <v>0</v>
      </c>
      <c r="O533" s="194">
        <f t="shared" si="409"/>
        <v>3</v>
      </c>
      <c r="P533" s="196">
        <f t="shared" si="409"/>
        <v>961.8</v>
      </c>
    </row>
    <row r="534" spans="2:16" ht="25.5">
      <c r="B534" s="190" t="s">
        <v>695</v>
      </c>
      <c r="C534" s="191">
        <v>160613</v>
      </c>
      <c r="D534" s="575" t="s">
        <v>389</v>
      </c>
      <c r="E534" s="192" t="s">
        <v>59</v>
      </c>
      <c r="F534" s="193">
        <v>197.45</v>
      </c>
      <c r="G534" s="194">
        <v>4</v>
      </c>
      <c r="H534" s="193">
        <v>789.8</v>
      </c>
      <c r="I534" s="194">
        <v>0</v>
      </c>
      <c r="J534" s="193">
        <f t="shared" ref="J534:J536" si="422">TRUNC(I534*F534,2)</f>
        <v>0</v>
      </c>
      <c r="K534" s="194">
        <f>IFERROR(VLOOKUP(B534,#REF!,18,FALSE),)</f>
        <v>0</v>
      </c>
      <c r="L534" s="193">
        <f t="shared" ref="L534:L536" si="423">N534-J534</f>
        <v>0</v>
      </c>
      <c r="M534" s="194">
        <f t="shared" ref="M534:M536" si="424">K534+I534</f>
        <v>0</v>
      </c>
      <c r="N534" s="196">
        <f t="shared" ref="N534:N536" si="425">TRUNC(M534*F534,2)</f>
        <v>0</v>
      </c>
      <c r="O534" s="194">
        <f t="shared" si="409"/>
        <v>4</v>
      </c>
      <c r="P534" s="196">
        <f t="shared" si="409"/>
        <v>789.8</v>
      </c>
    </row>
    <row r="535" spans="2:16" ht="38.25">
      <c r="B535" s="190" t="s">
        <v>696</v>
      </c>
      <c r="C535" s="191">
        <v>160607</v>
      </c>
      <c r="D535" s="575" t="s">
        <v>390</v>
      </c>
      <c r="E535" s="192" t="s">
        <v>59</v>
      </c>
      <c r="F535" s="193">
        <v>178.48</v>
      </c>
      <c r="G535" s="194">
        <v>3</v>
      </c>
      <c r="H535" s="193">
        <v>535.44000000000005</v>
      </c>
      <c r="I535" s="194">
        <v>0</v>
      </c>
      <c r="J535" s="193">
        <f t="shared" si="422"/>
        <v>0</v>
      </c>
      <c r="K535" s="194">
        <f>IFERROR(VLOOKUP(B535,#REF!,18,FALSE),)</f>
        <v>0</v>
      </c>
      <c r="L535" s="193">
        <f t="shared" si="423"/>
        <v>0</v>
      </c>
      <c r="M535" s="194">
        <f t="shared" si="424"/>
        <v>0</v>
      </c>
      <c r="N535" s="196">
        <f t="shared" si="425"/>
        <v>0</v>
      </c>
      <c r="O535" s="194">
        <f t="shared" si="409"/>
        <v>3</v>
      </c>
      <c r="P535" s="196">
        <f t="shared" si="409"/>
        <v>535.44000000000005</v>
      </c>
    </row>
    <row r="536" spans="2:16" ht="38.25">
      <c r="B536" s="190" t="s">
        <v>697</v>
      </c>
      <c r="C536" s="191">
        <v>190605</v>
      </c>
      <c r="D536" s="575" t="s">
        <v>544</v>
      </c>
      <c r="E536" s="192" t="s">
        <v>57</v>
      </c>
      <c r="F536" s="193">
        <v>50.18</v>
      </c>
      <c r="G536" s="194">
        <v>1.8</v>
      </c>
      <c r="H536" s="193">
        <v>90.32</v>
      </c>
      <c r="I536" s="194">
        <v>0</v>
      </c>
      <c r="J536" s="193">
        <f t="shared" si="422"/>
        <v>0</v>
      </c>
      <c r="K536" s="194">
        <f>IFERROR(VLOOKUP(B536,#REF!,18,FALSE),)</f>
        <v>0</v>
      </c>
      <c r="L536" s="193">
        <f t="shared" si="423"/>
        <v>0</v>
      </c>
      <c r="M536" s="194">
        <f t="shared" si="424"/>
        <v>0</v>
      </c>
      <c r="N536" s="196">
        <f t="shared" si="425"/>
        <v>0</v>
      </c>
      <c r="O536" s="194">
        <f t="shared" si="409"/>
        <v>1.8</v>
      </c>
      <c r="P536" s="196">
        <f t="shared" si="409"/>
        <v>90.32</v>
      </c>
    </row>
    <row r="537" spans="2:16">
      <c r="B537" s="138"/>
      <c r="C537" s="132"/>
      <c r="D537" s="123"/>
      <c r="E537" s="123"/>
      <c r="F537" s="123"/>
      <c r="G537" s="123"/>
      <c r="H537" s="123"/>
      <c r="I537" s="123"/>
      <c r="J537" s="123"/>
      <c r="K537" s="123"/>
      <c r="L537" s="123"/>
      <c r="M537" s="123"/>
      <c r="N537" s="124"/>
      <c r="O537" s="123">
        <f t="shared" si="409"/>
        <v>0</v>
      </c>
      <c r="P537" s="124">
        <f t="shared" si="409"/>
        <v>0</v>
      </c>
    </row>
    <row r="538" spans="2:16" s="209" customFormat="1">
      <c r="B538" s="202">
        <v>5</v>
      </c>
      <c r="C538" s="203" t="s">
        <v>864</v>
      </c>
      <c r="D538" s="209" t="s">
        <v>989</v>
      </c>
      <c r="E538" s="204"/>
      <c r="F538" s="205"/>
      <c r="G538" s="206"/>
      <c r="H538" s="207">
        <v>1520449.28</v>
      </c>
      <c r="I538" s="208"/>
      <c r="J538" s="207">
        <f>SUBTOTAL(9,J539:J703)</f>
        <v>279158.15000000002</v>
      </c>
      <c r="K538" s="208"/>
      <c r="L538" s="207">
        <f>SUBTOTAL(9,L539:L703)</f>
        <v>19327.64</v>
      </c>
      <c r="M538" s="207"/>
      <c r="N538" s="207">
        <f>SUBTOTAL(9,N539:N703)</f>
        <v>298485.78999999998</v>
      </c>
      <c r="O538" s="207">
        <f>G538-M538</f>
        <v>0</v>
      </c>
      <c r="P538" s="207">
        <f>H538-N538</f>
        <v>1221963.49</v>
      </c>
    </row>
    <row r="539" spans="2:16" s="213" customFormat="1">
      <c r="B539" s="210" t="s">
        <v>28</v>
      </c>
      <c r="C539" s="211"/>
      <c r="D539" s="212" t="s">
        <v>65</v>
      </c>
      <c r="E539" s="197"/>
      <c r="F539" s="198"/>
      <c r="G539" s="199"/>
      <c r="H539" s="200">
        <v>4103.1499999999996</v>
      </c>
      <c r="I539" s="201"/>
      <c r="J539" s="200">
        <f>SUBTOTAL(9,J540:J546)</f>
        <v>4103.1399999999994</v>
      </c>
      <c r="K539" s="201"/>
      <c r="L539" s="200">
        <f>SUBTOTAL(9,L540:L546)</f>
        <v>0</v>
      </c>
      <c r="M539" s="200"/>
      <c r="N539" s="200">
        <f>SUBTOTAL(9,N540:N546)</f>
        <v>4103.1399999999994</v>
      </c>
      <c r="O539" s="200">
        <f t="shared" ref="O539:P604" si="426">G539-M539</f>
        <v>0</v>
      </c>
      <c r="P539" s="200">
        <f t="shared" si="426"/>
        <v>1.0000000000218279E-2</v>
      </c>
    </row>
    <row r="540" spans="2:16" s="131" customFormat="1">
      <c r="B540" s="137" t="s">
        <v>698</v>
      </c>
      <c r="C540" s="133"/>
      <c r="D540" s="125" t="s">
        <v>101</v>
      </c>
      <c r="E540" s="126"/>
      <c r="F540" s="127"/>
      <c r="G540" s="128"/>
      <c r="H540" s="129">
        <v>1783.68</v>
      </c>
      <c r="I540" s="130"/>
      <c r="J540" s="129">
        <f>SUBTOTAL(9,J541:J541)</f>
        <v>1783.68</v>
      </c>
      <c r="K540" s="130"/>
      <c r="L540" s="129">
        <f>SUBTOTAL(9,L541:L541)</f>
        <v>0</v>
      </c>
      <c r="M540" s="129"/>
      <c r="N540" s="129">
        <f>SUBTOTAL(9,N541:N541)</f>
        <v>1783.68</v>
      </c>
      <c r="O540" s="129">
        <f t="shared" si="426"/>
        <v>0</v>
      </c>
      <c r="P540" s="129">
        <f t="shared" si="426"/>
        <v>0</v>
      </c>
    </row>
    <row r="541" spans="2:16">
      <c r="B541" s="190" t="s">
        <v>699</v>
      </c>
      <c r="C541" s="191">
        <v>20305</v>
      </c>
      <c r="D541" s="575" t="s">
        <v>103</v>
      </c>
      <c r="E541" s="192" t="s">
        <v>57</v>
      </c>
      <c r="F541" s="193">
        <v>222.96</v>
      </c>
      <c r="G541" s="194">
        <v>8</v>
      </c>
      <c r="H541" s="193">
        <v>1783.68</v>
      </c>
      <c r="I541" s="195">
        <v>8</v>
      </c>
      <c r="J541" s="193">
        <f>TRUNC(I541*F541,2)</f>
        <v>1783.68</v>
      </c>
      <c r="K541" s="194">
        <f>IFERROR(VLOOKUP(B541,'[35]5.1.1.1'!A:U,18,FALSE),)</f>
        <v>0</v>
      </c>
      <c r="L541" s="193">
        <f t="shared" ref="L541" si="427">N541-J541</f>
        <v>0</v>
      </c>
      <c r="M541" s="194">
        <f>K541+I541</f>
        <v>8</v>
      </c>
      <c r="N541" s="196">
        <f>TRUNC(M541*F541,2)</f>
        <v>1783.68</v>
      </c>
      <c r="O541" s="194">
        <f t="shared" si="426"/>
        <v>0</v>
      </c>
      <c r="P541" s="196">
        <f t="shared" si="426"/>
        <v>0</v>
      </c>
    </row>
    <row r="542" spans="2:16">
      <c r="B542" s="138"/>
      <c r="C542" s="132"/>
      <c r="D542" s="123"/>
      <c r="E542" s="123"/>
      <c r="F542" s="123"/>
      <c r="G542" s="123"/>
      <c r="H542" s="123"/>
      <c r="I542" s="123"/>
      <c r="J542" s="123"/>
      <c r="K542" s="123"/>
      <c r="L542" s="123"/>
      <c r="M542" s="123"/>
      <c r="N542" s="124"/>
      <c r="O542" s="194"/>
      <c r="P542" s="124"/>
    </row>
    <row r="543" spans="2:16" s="131" customFormat="1">
      <c r="B543" s="137" t="s">
        <v>700</v>
      </c>
      <c r="C543" s="133"/>
      <c r="D543" s="125" t="s">
        <v>105</v>
      </c>
      <c r="E543" s="126"/>
      <c r="F543" s="127"/>
      <c r="G543" s="128"/>
      <c r="H543" s="129">
        <v>2319.4699999999998</v>
      </c>
      <c r="I543" s="130"/>
      <c r="J543" s="129">
        <f>SUBTOTAL(9,J544:J546)</f>
        <v>2319.46</v>
      </c>
      <c r="K543" s="130"/>
      <c r="L543" s="129">
        <f>SUBTOTAL(9,L544:L546)</f>
        <v>0</v>
      </c>
      <c r="M543" s="129"/>
      <c r="N543" s="129">
        <f>SUBTOTAL(9,N544:N546)</f>
        <v>2319.46</v>
      </c>
      <c r="O543" s="129">
        <f t="shared" si="426"/>
        <v>0</v>
      </c>
      <c r="P543" s="129">
        <f t="shared" si="426"/>
        <v>9.9999999997635314E-3</v>
      </c>
    </row>
    <row r="544" spans="2:16">
      <c r="B544" s="190" t="s">
        <v>701</v>
      </c>
      <c r="C544" s="191">
        <v>10402</v>
      </c>
      <c r="D544" s="575" t="s">
        <v>108</v>
      </c>
      <c r="E544" s="192" t="s">
        <v>57</v>
      </c>
      <c r="F544" s="193">
        <v>3.74</v>
      </c>
      <c r="G544" s="194">
        <v>180.88</v>
      </c>
      <c r="H544" s="193">
        <v>676.49</v>
      </c>
      <c r="I544" s="194">
        <f>'[35]5.1.2.1 '!R24</f>
        <v>180.88</v>
      </c>
      <c r="J544" s="193">
        <f>TRUNC(I544*F544,2)</f>
        <v>676.49</v>
      </c>
      <c r="K544" s="264">
        <f>'[35]5.1.2.1 '!R25</f>
        <v>0</v>
      </c>
      <c r="L544" s="263">
        <f t="shared" ref="L544:L546" si="428">N544-J544</f>
        <v>0</v>
      </c>
      <c r="M544" s="194">
        <f>K544+I544</f>
        <v>180.88</v>
      </c>
      <c r="N544" s="196">
        <f>TRUNC(M544*F544,2)</f>
        <v>676.49</v>
      </c>
      <c r="O544" s="194">
        <f t="shared" si="426"/>
        <v>0</v>
      </c>
      <c r="P544" s="196">
        <f t="shared" si="426"/>
        <v>0</v>
      </c>
    </row>
    <row r="545" spans="2:16">
      <c r="B545" s="190" t="s">
        <v>702</v>
      </c>
      <c r="C545" s="191">
        <v>10404</v>
      </c>
      <c r="D545" s="575" t="s">
        <v>118</v>
      </c>
      <c r="E545" s="192" t="s">
        <v>59</v>
      </c>
      <c r="F545" s="193">
        <v>111.49</v>
      </c>
      <c r="G545" s="194">
        <v>1</v>
      </c>
      <c r="H545" s="193">
        <v>111.49</v>
      </c>
      <c r="I545" s="194">
        <f>'[35]5.1.2.2'!R24</f>
        <v>1</v>
      </c>
      <c r="J545" s="193">
        <f t="shared" ref="J545:J546" si="429">TRUNC(I545*F545,2)</f>
        <v>111.49</v>
      </c>
      <c r="K545" s="264">
        <f>'[35]5.1.2.2'!R25</f>
        <v>0</v>
      </c>
      <c r="L545" s="263">
        <f t="shared" si="428"/>
        <v>0</v>
      </c>
      <c r="M545" s="194">
        <f t="shared" ref="M545:M546" si="430">K545+I545</f>
        <v>1</v>
      </c>
      <c r="N545" s="196">
        <f t="shared" ref="N545:N546" si="431">TRUNC(M545*F545,2)</f>
        <v>111.49</v>
      </c>
      <c r="O545" s="194">
        <f t="shared" si="426"/>
        <v>0</v>
      </c>
      <c r="P545" s="196">
        <f t="shared" si="426"/>
        <v>0</v>
      </c>
    </row>
    <row r="546" spans="2:16" ht="38.25">
      <c r="B546" s="190" t="s">
        <v>703</v>
      </c>
      <c r="C546" s="191">
        <v>30304</v>
      </c>
      <c r="D546" s="575" t="s">
        <v>109</v>
      </c>
      <c r="E546" s="192" t="s">
        <v>58</v>
      </c>
      <c r="F546" s="193">
        <v>56.45</v>
      </c>
      <c r="G546" s="194">
        <v>27.13</v>
      </c>
      <c r="H546" s="193">
        <v>1531.49</v>
      </c>
      <c r="I546" s="194">
        <f>'[35]5.1.2.3'!R24</f>
        <v>27.13</v>
      </c>
      <c r="J546" s="193">
        <f t="shared" si="429"/>
        <v>1531.48</v>
      </c>
      <c r="K546" s="264">
        <f>'[35]5.1.2.3'!R25</f>
        <v>0</v>
      </c>
      <c r="L546" s="263">
        <f t="shared" si="428"/>
        <v>0</v>
      </c>
      <c r="M546" s="194">
        <f t="shared" si="430"/>
        <v>27.13</v>
      </c>
      <c r="N546" s="196">
        <f t="shared" si="431"/>
        <v>1531.48</v>
      </c>
      <c r="O546" s="194">
        <f t="shared" si="426"/>
        <v>0</v>
      </c>
      <c r="P546" s="196">
        <f t="shared" si="426"/>
        <v>9.9999999999909051E-3</v>
      </c>
    </row>
    <row r="547" spans="2:16">
      <c r="B547" s="138"/>
      <c r="C547" s="132"/>
      <c r="D547" s="123"/>
      <c r="E547" s="123"/>
      <c r="F547" s="123"/>
      <c r="G547" s="123"/>
      <c r="H547" s="123"/>
      <c r="I547" s="123"/>
      <c r="J547" s="123"/>
      <c r="K547" s="123"/>
      <c r="L547" s="123"/>
      <c r="M547" s="123"/>
      <c r="N547" s="124"/>
      <c r="O547" s="123">
        <f t="shared" si="426"/>
        <v>0</v>
      </c>
      <c r="P547" s="124">
        <f t="shared" si="426"/>
        <v>0</v>
      </c>
    </row>
    <row r="548" spans="2:16" s="213" customFormat="1">
      <c r="B548" s="210" t="s">
        <v>704</v>
      </c>
      <c r="C548" s="211"/>
      <c r="D548" s="212" t="s">
        <v>56</v>
      </c>
      <c r="E548" s="197"/>
      <c r="F548" s="198"/>
      <c r="G548" s="199"/>
      <c r="H548" s="200">
        <v>9398.7999999999993</v>
      </c>
      <c r="I548" s="201"/>
      <c r="J548" s="200">
        <f>SUBTOTAL(9,J549:J552)</f>
        <v>9398.7999999999993</v>
      </c>
      <c r="K548" s="201"/>
      <c r="L548" s="200">
        <f>SUBTOTAL(9,L549:L552)</f>
        <v>0</v>
      </c>
      <c r="M548" s="200"/>
      <c r="N548" s="200">
        <f>SUBTOTAL(9,N549:N552)</f>
        <v>9398.7999999999993</v>
      </c>
      <c r="O548" s="200">
        <f t="shared" si="426"/>
        <v>0</v>
      </c>
      <c r="P548" s="200">
        <f t="shared" si="426"/>
        <v>0</v>
      </c>
    </row>
    <row r="549" spans="2:16" s="131" customFormat="1">
      <c r="B549" s="137" t="s">
        <v>705</v>
      </c>
      <c r="C549" s="133"/>
      <c r="D549" s="125" t="s">
        <v>111</v>
      </c>
      <c r="E549" s="126"/>
      <c r="F549" s="127"/>
      <c r="G549" s="128"/>
      <c r="H549" s="129">
        <v>9398.7999999999993</v>
      </c>
      <c r="I549" s="130"/>
      <c r="J549" s="129">
        <f>SUBTOTAL(9,J550:J552)</f>
        <v>9398.7999999999993</v>
      </c>
      <c r="K549" s="130"/>
      <c r="L549" s="129">
        <f>SUBTOTAL(9,L550:L552)</f>
        <v>0</v>
      </c>
      <c r="M549" s="129"/>
      <c r="N549" s="129">
        <f>SUBTOTAL(9,N550:N552)</f>
        <v>9398.7999999999993</v>
      </c>
      <c r="O549" s="129">
        <f t="shared" si="426"/>
        <v>0</v>
      </c>
      <c r="P549" s="129">
        <f t="shared" si="426"/>
        <v>0</v>
      </c>
    </row>
    <row r="550" spans="2:16">
      <c r="B550" s="190" t="s">
        <v>706</v>
      </c>
      <c r="C550" s="191">
        <v>30103</v>
      </c>
      <c r="D550" s="575" t="s">
        <v>116</v>
      </c>
      <c r="E550" s="192" t="s">
        <v>58</v>
      </c>
      <c r="F550" s="193">
        <v>9.81</v>
      </c>
      <c r="G550" s="194">
        <v>0.88</v>
      </c>
      <c r="H550" s="193">
        <v>8.6300000000000008</v>
      </c>
      <c r="I550" s="194">
        <v>0.88</v>
      </c>
      <c r="J550" s="193">
        <f t="shared" ref="J550" si="432">TRUNC(I550*F550,2)</f>
        <v>8.6300000000000008</v>
      </c>
      <c r="K550" s="264">
        <v>0</v>
      </c>
      <c r="L550" s="263">
        <f t="shared" ref="L550" si="433">N550-J550</f>
        <v>0</v>
      </c>
      <c r="M550" s="194">
        <f t="shared" ref="M550" si="434">K550+I550</f>
        <v>0.88</v>
      </c>
      <c r="N550" s="196">
        <f t="shared" ref="N550" si="435">TRUNC(M550*F550,2)</f>
        <v>8.6300000000000008</v>
      </c>
      <c r="O550" s="194">
        <f t="shared" si="426"/>
        <v>0</v>
      </c>
      <c r="P550" s="196">
        <f t="shared" si="426"/>
        <v>0</v>
      </c>
    </row>
    <row r="551" spans="2:16" ht="25.5">
      <c r="B551" s="190" t="s">
        <v>707</v>
      </c>
      <c r="C551" s="191">
        <v>30210</v>
      </c>
      <c r="D551" s="575" t="s">
        <v>117</v>
      </c>
      <c r="E551" s="192" t="s">
        <v>58</v>
      </c>
      <c r="F551" s="193">
        <v>25.99</v>
      </c>
      <c r="G551" s="194">
        <v>0.88</v>
      </c>
      <c r="H551" s="193">
        <v>22.87</v>
      </c>
      <c r="I551" s="194">
        <v>0.88</v>
      </c>
      <c r="J551" s="193">
        <f>TRUNC(I551*F551,2)</f>
        <v>22.87</v>
      </c>
      <c r="K551" s="264">
        <v>0</v>
      </c>
      <c r="L551" s="263">
        <f>N551-J551</f>
        <v>0</v>
      </c>
      <c r="M551" s="194">
        <f>K551+I551</f>
        <v>0.88</v>
      </c>
      <c r="N551" s="196">
        <f>TRUNC(M551*F551,2)</f>
        <v>22.87</v>
      </c>
      <c r="O551" s="194">
        <f t="shared" si="426"/>
        <v>0</v>
      </c>
      <c r="P551" s="196">
        <f t="shared" si="426"/>
        <v>0</v>
      </c>
    </row>
    <row r="552" spans="2:16" ht="25.5">
      <c r="B552" s="190" t="s">
        <v>708</v>
      </c>
      <c r="C552" s="191">
        <v>30208</v>
      </c>
      <c r="D552" s="575" t="s">
        <v>709</v>
      </c>
      <c r="E552" s="192" t="s">
        <v>58</v>
      </c>
      <c r="F552" s="193">
        <v>115.66</v>
      </c>
      <c r="G552" s="194">
        <v>80.989999999999995</v>
      </c>
      <c r="H552" s="193">
        <v>9367.2999999999993</v>
      </c>
      <c r="I552" s="194">
        <v>80.989999999999995</v>
      </c>
      <c r="J552" s="193">
        <f>TRUNC(I552*F552,2)</f>
        <v>9367.2999999999993</v>
      </c>
      <c r="K552" s="264">
        <v>0</v>
      </c>
      <c r="L552" s="263">
        <f>N552-J552</f>
        <v>0</v>
      </c>
      <c r="M552" s="194">
        <f>K552+I552</f>
        <v>80.989999999999995</v>
      </c>
      <c r="N552" s="196">
        <f>TRUNC(M552*F552,2)</f>
        <v>9367.2999999999993</v>
      </c>
      <c r="O552" s="194">
        <f t="shared" si="426"/>
        <v>0</v>
      </c>
      <c r="P552" s="196">
        <f t="shared" si="426"/>
        <v>0</v>
      </c>
    </row>
    <row r="553" spans="2:16" s="213" customFormat="1">
      <c r="B553" s="210" t="s">
        <v>710</v>
      </c>
      <c r="C553" s="211"/>
      <c r="D553" s="212" t="s">
        <v>119</v>
      </c>
      <c r="E553" s="197"/>
      <c r="F553" s="198"/>
      <c r="G553" s="199"/>
      <c r="H553" s="200">
        <v>365305.13</v>
      </c>
      <c r="I553" s="201"/>
      <c r="J553" s="200">
        <f>SUBTOTAL(9,J554:J623)</f>
        <v>45402.879999999997</v>
      </c>
      <c r="K553" s="201"/>
      <c r="L553" s="200">
        <f>SUBTOTAL(9,L554:L623)</f>
        <v>19327.64</v>
      </c>
      <c r="M553" s="200"/>
      <c r="N553" s="200">
        <f>SUBTOTAL(9,N554:N623)</f>
        <v>64730.52</v>
      </c>
      <c r="O553" s="200">
        <f t="shared" si="426"/>
        <v>0</v>
      </c>
      <c r="P553" s="200">
        <f t="shared" si="426"/>
        <v>300574.61</v>
      </c>
    </row>
    <row r="554" spans="2:16" s="131" customFormat="1">
      <c r="B554" s="137" t="s">
        <v>711</v>
      </c>
      <c r="C554" s="133"/>
      <c r="D554" s="125" t="s">
        <v>98</v>
      </c>
      <c r="E554" s="126"/>
      <c r="F554" s="127"/>
      <c r="G554" s="128"/>
      <c r="H554" s="129">
        <v>1390.97</v>
      </c>
      <c r="I554" s="130"/>
      <c r="J554" s="129">
        <f>SUBTOTAL(9,J555)</f>
        <v>1390.96</v>
      </c>
      <c r="K554" s="130"/>
      <c r="L554" s="129">
        <f>SUBTOTAL(9,L555)</f>
        <v>0</v>
      </c>
      <c r="M554" s="129"/>
      <c r="N554" s="129">
        <f>SUBTOTAL(9,N555)</f>
        <v>1390.96</v>
      </c>
      <c r="O554" s="129">
        <f t="shared" si="426"/>
        <v>0</v>
      </c>
      <c r="P554" s="129">
        <f t="shared" si="426"/>
        <v>9.9999999999909051E-3</v>
      </c>
    </row>
    <row r="555" spans="2:16">
      <c r="B555" s="190" t="s">
        <v>712</v>
      </c>
      <c r="C555" s="191">
        <v>10501</v>
      </c>
      <c r="D555" s="575" t="s">
        <v>122</v>
      </c>
      <c r="E555" s="192" t="s">
        <v>57</v>
      </c>
      <c r="F555" s="193">
        <v>7.69</v>
      </c>
      <c r="G555" s="194">
        <v>180.88</v>
      </c>
      <c r="H555" s="193">
        <v>1390.97</v>
      </c>
      <c r="I555" s="194">
        <v>180.88</v>
      </c>
      <c r="J555" s="193">
        <f t="shared" ref="J555" si="436">TRUNC(I555*F555,2)</f>
        <v>1390.96</v>
      </c>
      <c r="K555" s="264">
        <v>0</v>
      </c>
      <c r="L555" s="263">
        <f t="shared" ref="L555" si="437">N555-J555</f>
        <v>0</v>
      </c>
      <c r="M555" s="194">
        <f t="shared" ref="M555" si="438">K555+I555</f>
        <v>180.88</v>
      </c>
      <c r="N555" s="196">
        <f t="shared" ref="N555" si="439">TRUNC(M555*F555,2)</f>
        <v>1390.96</v>
      </c>
      <c r="O555" s="194">
        <f t="shared" si="426"/>
        <v>0</v>
      </c>
      <c r="P555" s="196">
        <f t="shared" si="426"/>
        <v>9.9999999999909051E-3</v>
      </c>
    </row>
    <row r="556" spans="2:16">
      <c r="B556" s="138"/>
      <c r="C556" s="132"/>
      <c r="D556" s="123"/>
      <c r="E556" s="123"/>
      <c r="F556" s="123"/>
      <c r="G556" s="123"/>
      <c r="H556" s="123"/>
      <c r="I556" s="123"/>
      <c r="J556" s="123"/>
      <c r="K556" s="123"/>
      <c r="L556" s="123"/>
      <c r="M556" s="123"/>
      <c r="N556" s="124"/>
      <c r="O556" s="123">
        <f t="shared" si="426"/>
        <v>0</v>
      </c>
      <c r="P556" s="124">
        <f t="shared" si="426"/>
        <v>0</v>
      </c>
    </row>
    <row r="557" spans="2:16" s="131" customFormat="1">
      <c r="B557" s="137" t="s">
        <v>713</v>
      </c>
      <c r="C557" s="133"/>
      <c r="D557" s="125" t="s">
        <v>124</v>
      </c>
      <c r="E557" s="126"/>
      <c r="F557" s="127"/>
      <c r="G557" s="128"/>
      <c r="H557" s="129">
        <v>130072.25</v>
      </c>
      <c r="I557" s="130"/>
      <c r="J557" s="129">
        <f>SUBTOTAL(9,J558:J568)</f>
        <v>44011.92</v>
      </c>
      <c r="K557" s="130"/>
      <c r="L557" s="129">
        <f>SUBTOTAL(9,L558:L568)</f>
        <v>19327.64</v>
      </c>
      <c r="M557" s="129"/>
      <c r="N557" s="129">
        <f>SUBTOTAL(9,N558:N568)</f>
        <v>63339.56</v>
      </c>
      <c r="O557" s="129">
        <f t="shared" si="426"/>
        <v>0</v>
      </c>
      <c r="P557" s="129">
        <f t="shared" si="426"/>
        <v>66732.69</v>
      </c>
    </row>
    <row r="558" spans="2:16" ht="25.5">
      <c r="B558" s="190" t="s">
        <v>714</v>
      </c>
      <c r="C558" s="191" t="s">
        <v>136</v>
      </c>
      <c r="D558" s="575" t="s">
        <v>141</v>
      </c>
      <c r="E558" s="192" t="s">
        <v>60</v>
      </c>
      <c r="F558" s="193">
        <v>462.96</v>
      </c>
      <c r="G558" s="194">
        <v>85</v>
      </c>
      <c r="H558" s="193">
        <v>39351.599999999999</v>
      </c>
      <c r="I558" s="194">
        <v>85</v>
      </c>
      <c r="J558" s="193">
        <f t="shared" ref="J558" si="440">TRUNC(I558*F558,2)</f>
        <v>39351.599999999999</v>
      </c>
      <c r="K558" s="194">
        <f>IFERROR(VLOOKUP(B558,'[35]5.3.2.1'!A:U,18,FALSE),)</f>
        <v>0</v>
      </c>
      <c r="L558" s="193">
        <f t="shared" ref="L558" si="441">N558-J558</f>
        <v>0</v>
      </c>
      <c r="M558" s="194">
        <f t="shared" ref="M558" si="442">K558+I558</f>
        <v>85</v>
      </c>
      <c r="N558" s="196">
        <f t="shared" ref="N558" si="443">TRUNC(M558*F558,2)</f>
        <v>39351.599999999999</v>
      </c>
      <c r="O558" s="194">
        <f t="shared" si="426"/>
        <v>0</v>
      </c>
      <c r="P558" s="196">
        <f t="shared" si="426"/>
        <v>0</v>
      </c>
    </row>
    <row r="559" spans="2:16">
      <c r="B559" s="190" t="s">
        <v>715</v>
      </c>
      <c r="C559" s="191" t="s">
        <v>137</v>
      </c>
      <c r="D559" s="575" t="s">
        <v>142</v>
      </c>
      <c r="E559" s="192" t="s">
        <v>49</v>
      </c>
      <c r="F559" s="193">
        <v>596.34</v>
      </c>
      <c r="G559" s="194">
        <v>36.83</v>
      </c>
      <c r="H559" s="193">
        <v>21963.200000000001</v>
      </c>
      <c r="I559" s="194">
        <v>0</v>
      </c>
      <c r="J559" s="193">
        <f>TRUNC(I559*F559,2)</f>
        <v>0</v>
      </c>
      <c r="K559" s="194">
        <f>IFERROR(VLOOKUP(B559,#REF!,18,FALSE),)</f>
        <v>0</v>
      </c>
      <c r="L559" s="193">
        <f>N559-J559</f>
        <v>0</v>
      </c>
      <c r="M559" s="194">
        <f>K559+I559</f>
        <v>0</v>
      </c>
      <c r="N559" s="196">
        <f>TRUNC(M559*F559,2)</f>
        <v>0</v>
      </c>
      <c r="O559" s="194">
        <f t="shared" si="426"/>
        <v>36.83</v>
      </c>
      <c r="P559" s="196">
        <f t="shared" si="426"/>
        <v>21963.200000000001</v>
      </c>
    </row>
    <row r="560" spans="2:16" ht="25.5">
      <c r="B560" s="190" t="s">
        <v>716</v>
      </c>
      <c r="C560" s="191" t="s">
        <v>138</v>
      </c>
      <c r="D560" s="575" t="s">
        <v>143</v>
      </c>
      <c r="E560" s="192" t="s">
        <v>29</v>
      </c>
      <c r="F560" s="193">
        <v>4.82</v>
      </c>
      <c r="G560" s="194">
        <v>528</v>
      </c>
      <c r="H560" s="193">
        <v>2544.96</v>
      </c>
      <c r="I560" s="194">
        <v>0</v>
      </c>
      <c r="J560" s="193">
        <f t="shared" ref="J560:J566" si="444">TRUNC(I560*F560,2)</f>
        <v>0</v>
      </c>
      <c r="K560" s="194">
        <f>IFERROR(VLOOKUP(B560,#REF!,18,FALSE),)</f>
        <v>0</v>
      </c>
      <c r="L560" s="193">
        <f t="shared" ref="L560:L566" si="445">N560-J560</f>
        <v>0</v>
      </c>
      <c r="M560" s="194">
        <f t="shared" ref="M560:M566" si="446">K560+I560</f>
        <v>0</v>
      </c>
      <c r="N560" s="196">
        <f t="shared" ref="N560:N566" si="447">TRUNC(M560*F560,2)</f>
        <v>0</v>
      </c>
      <c r="O560" s="194">
        <f t="shared" si="426"/>
        <v>528</v>
      </c>
      <c r="P560" s="196">
        <f t="shared" si="426"/>
        <v>2544.96</v>
      </c>
    </row>
    <row r="561" spans="2:16" ht="25.5">
      <c r="B561" s="190" t="s">
        <v>717</v>
      </c>
      <c r="C561" s="191" t="s">
        <v>139</v>
      </c>
      <c r="D561" s="575" t="s">
        <v>144</v>
      </c>
      <c r="E561" s="192" t="s">
        <v>29</v>
      </c>
      <c r="F561" s="193">
        <v>6.12</v>
      </c>
      <c r="G561" s="194">
        <v>4554</v>
      </c>
      <c r="H561" s="193">
        <v>27870.48</v>
      </c>
      <c r="I561" s="194">
        <v>0</v>
      </c>
      <c r="J561" s="193">
        <f t="shared" si="444"/>
        <v>0</v>
      </c>
      <c r="K561" s="194">
        <v>0</v>
      </c>
      <c r="L561" s="193">
        <f t="shared" si="445"/>
        <v>0</v>
      </c>
      <c r="M561" s="194">
        <f t="shared" si="446"/>
        <v>0</v>
      </c>
      <c r="N561" s="196">
        <f t="shared" si="447"/>
        <v>0</v>
      </c>
      <c r="O561" s="194">
        <f t="shared" si="426"/>
        <v>4554</v>
      </c>
      <c r="P561" s="196">
        <f t="shared" si="426"/>
        <v>27870.48</v>
      </c>
    </row>
    <row r="562" spans="2:16">
      <c r="B562" s="190" t="s">
        <v>718</v>
      </c>
      <c r="C562" s="191">
        <v>30101</v>
      </c>
      <c r="D562" s="575" t="s">
        <v>145</v>
      </c>
      <c r="E562" s="192" t="s">
        <v>58</v>
      </c>
      <c r="F562" s="193">
        <v>48.58</v>
      </c>
      <c r="G562" s="194">
        <v>5.8</v>
      </c>
      <c r="H562" s="193">
        <v>281.76</v>
      </c>
      <c r="I562" s="194">
        <v>0</v>
      </c>
      <c r="J562" s="193">
        <f t="shared" si="444"/>
        <v>0</v>
      </c>
      <c r="K562" s="194">
        <f>IFERROR(VLOOKUP(B562,#REF!,18,FALSE),)</f>
        <v>0</v>
      </c>
      <c r="L562" s="193">
        <f t="shared" si="445"/>
        <v>0</v>
      </c>
      <c r="M562" s="194">
        <f t="shared" si="446"/>
        <v>0</v>
      </c>
      <c r="N562" s="196">
        <f t="shared" si="447"/>
        <v>0</v>
      </c>
      <c r="O562" s="194">
        <f t="shared" si="426"/>
        <v>5.8</v>
      </c>
      <c r="P562" s="196">
        <f t="shared" si="426"/>
        <v>281.76</v>
      </c>
    </row>
    <row r="563" spans="2:16" s="584" customFormat="1" ht="51">
      <c r="B563" s="577" t="s">
        <v>719</v>
      </c>
      <c r="C563" s="578">
        <v>40339</v>
      </c>
      <c r="D563" s="579" t="s">
        <v>146</v>
      </c>
      <c r="E563" s="580" t="s">
        <v>57</v>
      </c>
      <c r="F563" s="581">
        <v>91.04</v>
      </c>
      <c r="G563" s="582">
        <v>122.6</v>
      </c>
      <c r="H563" s="581">
        <v>11161.5</v>
      </c>
      <c r="I563" s="582">
        <v>0</v>
      </c>
      <c r="J563" s="581">
        <f t="shared" si="444"/>
        <v>0</v>
      </c>
      <c r="K563" s="582">
        <f>'[35]5.3.2.6'!R25</f>
        <v>122.6</v>
      </c>
      <c r="L563" s="581">
        <f t="shared" si="445"/>
        <v>11161.5</v>
      </c>
      <c r="M563" s="582">
        <f t="shared" si="446"/>
        <v>122.6</v>
      </c>
      <c r="N563" s="583">
        <f t="shared" si="447"/>
        <v>11161.5</v>
      </c>
      <c r="O563" s="582">
        <f t="shared" si="426"/>
        <v>0</v>
      </c>
      <c r="P563" s="583">
        <f t="shared" si="426"/>
        <v>0</v>
      </c>
    </row>
    <row r="564" spans="2:16" ht="25.5">
      <c r="B564" s="190" t="s">
        <v>720</v>
      </c>
      <c r="C564" s="191">
        <v>40328</v>
      </c>
      <c r="D564" s="575" t="s">
        <v>147</v>
      </c>
      <c r="E564" s="192" t="s">
        <v>29</v>
      </c>
      <c r="F564" s="193">
        <v>7.98</v>
      </c>
      <c r="G564" s="194">
        <v>584</v>
      </c>
      <c r="H564" s="193">
        <v>4660.32</v>
      </c>
      <c r="I564" s="194">
        <f>'[35]5.3.2.7'!R24</f>
        <v>584</v>
      </c>
      <c r="J564" s="193">
        <f t="shared" si="444"/>
        <v>4660.32</v>
      </c>
      <c r="K564" s="264">
        <f>'[35]5.3.2.7'!R25</f>
        <v>0</v>
      </c>
      <c r="L564" s="263">
        <f t="shared" si="445"/>
        <v>0</v>
      </c>
      <c r="M564" s="194">
        <f t="shared" si="446"/>
        <v>584</v>
      </c>
      <c r="N564" s="196">
        <f t="shared" si="447"/>
        <v>4660.32</v>
      </c>
      <c r="O564" s="194">
        <f t="shared" si="426"/>
        <v>0</v>
      </c>
      <c r="P564" s="196">
        <f t="shared" si="426"/>
        <v>0</v>
      </c>
    </row>
    <row r="565" spans="2:16" ht="25.5">
      <c r="B565" s="190" t="s">
        <v>721</v>
      </c>
      <c r="C565" s="191">
        <v>40245</v>
      </c>
      <c r="D565" s="575" t="s">
        <v>148</v>
      </c>
      <c r="E565" s="192" t="s">
        <v>29</v>
      </c>
      <c r="F565" s="193">
        <v>8.41</v>
      </c>
      <c r="G565" s="194">
        <v>144</v>
      </c>
      <c r="H565" s="193">
        <v>1211.04</v>
      </c>
      <c r="I565" s="194">
        <v>0</v>
      </c>
      <c r="J565" s="193">
        <f t="shared" si="444"/>
        <v>0</v>
      </c>
      <c r="K565" s="194">
        <v>0</v>
      </c>
      <c r="L565" s="193">
        <f t="shared" si="445"/>
        <v>0</v>
      </c>
      <c r="M565" s="194">
        <f t="shared" si="446"/>
        <v>0</v>
      </c>
      <c r="N565" s="196">
        <f t="shared" si="447"/>
        <v>0</v>
      </c>
      <c r="O565" s="194">
        <f t="shared" si="426"/>
        <v>144</v>
      </c>
      <c r="P565" s="196">
        <f t="shared" si="426"/>
        <v>1211.04</v>
      </c>
    </row>
    <row r="566" spans="2:16" ht="25.5">
      <c r="B566" s="190" t="s">
        <v>722</v>
      </c>
      <c r="C566" s="191">
        <v>40246</v>
      </c>
      <c r="D566" s="575" t="s">
        <v>149</v>
      </c>
      <c r="E566" s="192" t="s">
        <v>29</v>
      </c>
      <c r="F566" s="193">
        <v>8.08</v>
      </c>
      <c r="G566" s="194">
        <v>37</v>
      </c>
      <c r="H566" s="193">
        <v>298.95999999999998</v>
      </c>
      <c r="I566" s="194">
        <v>0</v>
      </c>
      <c r="J566" s="193">
        <f t="shared" si="444"/>
        <v>0</v>
      </c>
      <c r="K566" s="194">
        <v>0</v>
      </c>
      <c r="L566" s="193">
        <f t="shared" si="445"/>
        <v>0</v>
      </c>
      <c r="M566" s="194">
        <f t="shared" si="446"/>
        <v>0</v>
      </c>
      <c r="N566" s="196">
        <f t="shared" si="447"/>
        <v>0</v>
      </c>
      <c r="O566" s="194">
        <f t="shared" si="426"/>
        <v>37</v>
      </c>
      <c r="P566" s="196">
        <f t="shared" si="426"/>
        <v>298.95999999999998</v>
      </c>
    </row>
    <row r="567" spans="2:16" s="584" customFormat="1" ht="51">
      <c r="B567" s="577" t="s">
        <v>723</v>
      </c>
      <c r="C567" s="578" t="s">
        <v>140</v>
      </c>
      <c r="D567" s="579" t="s">
        <v>177</v>
      </c>
      <c r="E567" s="580" t="s">
        <v>58</v>
      </c>
      <c r="F567" s="581">
        <v>486.08</v>
      </c>
      <c r="G567" s="582">
        <v>16.8</v>
      </c>
      <c r="H567" s="581">
        <v>8166.14</v>
      </c>
      <c r="I567" s="582">
        <v>0</v>
      </c>
      <c r="J567" s="581">
        <f>TRUNC(I567*F567,2)</f>
        <v>0</v>
      </c>
      <c r="K567" s="582">
        <f>'[35]5.3.2.10'!R26</f>
        <v>16.8</v>
      </c>
      <c r="L567" s="581">
        <f>N567-J567</f>
        <v>8166.14</v>
      </c>
      <c r="M567" s="582">
        <f>K567+I567</f>
        <v>16.8</v>
      </c>
      <c r="N567" s="583">
        <f>TRUNC(M567*F567,2)</f>
        <v>8166.14</v>
      </c>
      <c r="O567" s="582">
        <f t="shared" si="426"/>
        <v>0</v>
      </c>
      <c r="P567" s="583">
        <f t="shared" si="426"/>
        <v>0</v>
      </c>
    </row>
    <row r="568" spans="2:16">
      <c r="B568" s="190" t="s">
        <v>724</v>
      </c>
      <c r="C568" s="191">
        <v>40813</v>
      </c>
      <c r="D568" s="575" t="s">
        <v>151</v>
      </c>
      <c r="E568" s="192" t="s">
        <v>57</v>
      </c>
      <c r="F568" s="193">
        <v>64.3</v>
      </c>
      <c r="G568" s="194">
        <v>195.37</v>
      </c>
      <c r="H568" s="193">
        <v>12562.29</v>
      </c>
      <c r="I568" s="194">
        <v>0</v>
      </c>
      <c r="J568" s="193">
        <f>TRUNC(I568*F568,2)</f>
        <v>0</v>
      </c>
      <c r="K568" s="194">
        <f>IFERROR(VLOOKUP(B568,#REF!,18,FALSE),)</f>
        <v>0</v>
      </c>
      <c r="L568" s="193">
        <f>N568-J568</f>
        <v>0</v>
      </c>
      <c r="M568" s="194">
        <f>K568+I568</f>
        <v>0</v>
      </c>
      <c r="N568" s="196">
        <f>TRUNC(M568*F568,2)</f>
        <v>0</v>
      </c>
      <c r="O568" s="194">
        <f t="shared" si="426"/>
        <v>195.37</v>
      </c>
      <c r="P568" s="196">
        <f t="shared" si="426"/>
        <v>12562.29</v>
      </c>
    </row>
    <row r="569" spans="2:16">
      <c r="B569" s="138"/>
      <c r="C569" s="132"/>
      <c r="D569" s="123"/>
      <c r="E569" s="123"/>
      <c r="F569" s="123"/>
      <c r="G569" s="123"/>
      <c r="H569" s="123"/>
      <c r="I569" s="123"/>
      <c r="J569" s="123"/>
      <c r="K569" s="123"/>
      <c r="L569" s="123"/>
      <c r="M569" s="123"/>
      <c r="N569" s="124"/>
      <c r="O569" s="123">
        <f t="shared" si="426"/>
        <v>0</v>
      </c>
      <c r="P569" s="124">
        <f t="shared" si="426"/>
        <v>0</v>
      </c>
    </row>
    <row r="570" spans="2:16" s="131" customFormat="1">
      <c r="B570" s="137" t="s">
        <v>725</v>
      </c>
      <c r="C570" s="133"/>
      <c r="D570" s="125" t="s">
        <v>153</v>
      </c>
      <c r="E570" s="126"/>
      <c r="F570" s="127"/>
      <c r="G570" s="128"/>
      <c r="H570" s="129">
        <v>13844.96</v>
      </c>
      <c r="I570" s="130"/>
      <c r="J570" s="129">
        <f>SUBTOTAL(9,J571)</f>
        <v>0</v>
      </c>
      <c r="K570" s="130"/>
      <c r="L570" s="129">
        <f>SUBTOTAL(9,L571)</f>
        <v>0</v>
      </c>
      <c r="M570" s="129"/>
      <c r="N570" s="129">
        <f>SUBTOTAL(9,N571)</f>
        <v>0</v>
      </c>
      <c r="O570" s="129">
        <f t="shared" si="426"/>
        <v>0</v>
      </c>
      <c r="P570" s="129">
        <f t="shared" si="426"/>
        <v>13844.96</v>
      </c>
    </row>
    <row r="571" spans="2:16" ht="25.5">
      <c r="B571" s="190" t="s">
        <v>726</v>
      </c>
      <c r="C571" s="191" t="s">
        <v>155</v>
      </c>
      <c r="D571" s="575" t="s">
        <v>156</v>
      </c>
      <c r="E571" s="192" t="s">
        <v>50</v>
      </c>
      <c r="F571" s="193">
        <v>91.41</v>
      </c>
      <c r="G571" s="194">
        <v>151.46</v>
      </c>
      <c r="H571" s="193">
        <v>13844.96</v>
      </c>
      <c r="I571" s="194">
        <v>0</v>
      </c>
      <c r="J571" s="193">
        <f t="shared" ref="J571" si="448">TRUNC(I571*F571,2)</f>
        <v>0</v>
      </c>
      <c r="K571" s="194">
        <f>IFERROR(VLOOKUP(B571,#REF!,18,FALSE),)</f>
        <v>0</v>
      </c>
      <c r="L571" s="193">
        <f t="shared" ref="L571" si="449">N571-J571</f>
        <v>0</v>
      </c>
      <c r="M571" s="194">
        <f t="shared" ref="M571" si="450">K571+I571</f>
        <v>0</v>
      </c>
      <c r="N571" s="196">
        <f t="shared" ref="N571" si="451">TRUNC(M571*F571,2)</f>
        <v>0</v>
      </c>
      <c r="O571" s="194">
        <f t="shared" si="426"/>
        <v>151.46</v>
      </c>
      <c r="P571" s="196">
        <f t="shared" si="426"/>
        <v>13844.96</v>
      </c>
    </row>
    <row r="572" spans="2:16">
      <c r="B572" s="138"/>
      <c r="C572" s="132"/>
      <c r="D572" s="123"/>
      <c r="E572" s="123"/>
      <c r="F572" s="123"/>
      <c r="G572" s="123"/>
      <c r="H572" s="123"/>
      <c r="I572" s="123"/>
      <c r="J572" s="123"/>
      <c r="K572" s="123"/>
      <c r="L572" s="123"/>
      <c r="M572" s="123"/>
      <c r="N572" s="124"/>
      <c r="O572" s="123">
        <f t="shared" si="426"/>
        <v>0</v>
      </c>
      <c r="P572" s="124">
        <f t="shared" si="426"/>
        <v>0</v>
      </c>
    </row>
    <row r="573" spans="2:16" s="131" customFormat="1">
      <c r="B573" s="137" t="s">
        <v>727</v>
      </c>
      <c r="C573" s="133"/>
      <c r="D573" s="125" t="s">
        <v>158</v>
      </c>
      <c r="E573" s="126"/>
      <c r="F573" s="127"/>
      <c r="G573" s="128"/>
      <c r="H573" s="129">
        <v>2958.92</v>
      </c>
      <c r="I573" s="130"/>
      <c r="J573" s="129">
        <f>SUBTOTAL(9,J574:J576)</f>
        <v>0</v>
      </c>
      <c r="K573" s="130"/>
      <c r="L573" s="129">
        <f>SUBTOTAL(9,L574:L576)</f>
        <v>0</v>
      </c>
      <c r="M573" s="129"/>
      <c r="N573" s="129">
        <f>SUBTOTAL(9,N574:N576)</f>
        <v>0</v>
      </c>
      <c r="O573" s="129">
        <f t="shared" si="426"/>
        <v>0</v>
      </c>
      <c r="P573" s="129">
        <f t="shared" si="426"/>
        <v>2958.92</v>
      </c>
    </row>
    <row r="574" spans="2:16" ht="25.5">
      <c r="B574" s="190" t="s">
        <v>728</v>
      </c>
      <c r="C574" s="191" t="s">
        <v>155</v>
      </c>
      <c r="D574" s="575" t="s">
        <v>156</v>
      </c>
      <c r="E574" s="192" t="s">
        <v>50</v>
      </c>
      <c r="F574" s="193">
        <v>91.41</v>
      </c>
      <c r="G574" s="194">
        <v>23.59</v>
      </c>
      <c r="H574" s="193">
        <v>2156.36</v>
      </c>
      <c r="I574" s="194">
        <v>0</v>
      </c>
      <c r="J574" s="193">
        <f t="shared" ref="J574" si="452">TRUNC(I574*F574,2)</f>
        <v>0</v>
      </c>
      <c r="K574" s="194">
        <f>IFERROR(VLOOKUP(B574,#REF!,18,FALSE),)</f>
        <v>0</v>
      </c>
      <c r="L574" s="193">
        <f t="shared" ref="L574" si="453">N574-J574</f>
        <v>0</v>
      </c>
      <c r="M574" s="194">
        <f t="shared" ref="M574" si="454">K574+I574</f>
        <v>0</v>
      </c>
      <c r="N574" s="196">
        <f t="shared" ref="N574" si="455">TRUNC(M574*F574,2)</f>
        <v>0</v>
      </c>
      <c r="O574" s="194">
        <f t="shared" si="426"/>
        <v>23.59</v>
      </c>
      <c r="P574" s="196">
        <f t="shared" si="426"/>
        <v>2156.36</v>
      </c>
    </row>
    <row r="575" spans="2:16">
      <c r="B575" s="190" t="s">
        <v>729</v>
      </c>
      <c r="C575" s="191">
        <v>200323</v>
      </c>
      <c r="D575" s="575" t="s">
        <v>162</v>
      </c>
      <c r="E575" s="192" t="s">
        <v>58</v>
      </c>
      <c r="F575" s="193">
        <v>125.94</v>
      </c>
      <c r="G575" s="194">
        <v>4.76</v>
      </c>
      <c r="H575" s="193">
        <v>599.47</v>
      </c>
      <c r="I575" s="194">
        <v>0</v>
      </c>
      <c r="J575" s="193">
        <f>TRUNC(I575*F575,2)</f>
        <v>0</v>
      </c>
      <c r="K575" s="194">
        <f>IFERROR(VLOOKUP(B575,#REF!,18,FALSE),)</f>
        <v>0</v>
      </c>
      <c r="L575" s="193">
        <f>N575-J575</f>
        <v>0</v>
      </c>
      <c r="M575" s="194">
        <f>K575+I575</f>
        <v>0</v>
      </c>
      <c r="N575" s="196">
        <f>TRUNC(M575*F575,2)</f>
        <v>0</v>
      </c>
      <c r="O575" s="194">
        <f t="shared" si="426"/>
        <v>4.76</v>
      </c>
      <c r="P575" s="196">
        <f t="shared" si="426"/>
        <v>599.47</v>
      </c>
    </row>
    <row r="576" spans="2:16" ht="38.25">
      <c r="B576" s="190" t="s">
        <v>730</v>
      </c>
      <c r="C576" s="191">
        <v>50501</v>
      </c>
      <c r="D576" s="575" t="s">
        <v>916</v>
      </c>
      <c r="E576" s="192" t="s">
        <v>57</v>
      </c>
      <c r="F576" s="193">
        <v>94.9</v>
      </c>
      <c r="G576" s="194">
        <v>2.14</v>
      </c>
      <c r="H576" s="193">
        <v>203.09</v>
      </c>
      <c r="I576" s="194">
        <v>0</v>
      </c>
      <c r="J576" s="193">
        <f t="shared" ref="J576" si="456">TRUNC(I576*F576,2)</f>
        <v>0</v>
      </c>
      <c r="K576" s="194">
        <f>IFERROR(VLOOKUP(B576,#REF!,18,FALSE),)</f>
        <v>0</v>
      </c>
      <c r="L576" s="193">
        <f t="shared" ref="L576" si="457">N576-J576</f>
        <v>0</v>
      </c>
      <c r="M576" s="194">
        <f t="shared" ref="M576" si="458">K576+I576</f>
        <v>0</v>
      </c>
      <c r="N576" s="196">
        <f t="shared" ref="N576" si="459">TRUNC(M576*F576,2)</f>
        <v>0</v>
      </c>
      <c r="O576" s="194">
        <f t="shared" si="426"/>
        <v>2.14</v>
      </c>
      <c r="P576" s="196">
        <f t="shared" si="426"/>
        <v>203.09</v>
      </c>
    </row>
    <row r="577" spans="2:16">
      <c r="B577" s="138"/>
      <c r="C577" s="132"/>
      <c r="D577" s="123"/>
      <c r="E577" s="123"/>
      <c r="F577" s="123"/>
      <c r="G577" s="123"/>
      <c r="H577" s="123"/>
      <c r="I577" s="123"/>
      <c r="J577" s="123"/>
      <c r="K577" s="123"/>
      <c r="L577" s="123"/>
      <c r="M577" s="123"/>
      <c r="N577" s="124"/>
      <c r="O577" s="123">
        <f t="shared" si="426"/>
        <v>0</v>
      </c>
      <c r="P577" s="124">
        <f t="shared" si="426"/>
        <v>0</v>
      </c>
    </row>
    <row r="578" spans="2:16" s="131" customFormat="1">
      <c r="B578" s="137" t="s">
        <v>731</v>
      </c>
      <c r="C578" s="133"/>
      <c r="D578" s="125" t="s">
        <v>164</v>
      </c>
      <c r="E578" s="126"/>
      <c r="F578" s="127"/>
      <c r="G578" s="128"/>
      <c r="H578" s="129">
        <v>9240.3700000000008</v>
      </c>
      <c r="I578" s="130"/>
      <c r="J578" s="129">
        <f>SUBTOTAL(9,J579:J583)</f>
        <v>0</v>
      </c>
      <c r="K578" s="130"/>
      <c r="L578" s="129">
        <f>SUBTOTAL(9,L579:L583)</f>
        <v>0</v>
      </c>
      <c r="M578" s="129"/>
      <c r="N578" s="129">
        <f>SUBTOTAL(9,N579:N583)</f>
        <v>0</v>
      </c>
      <c r="O578" s="129">
        <f t="shared" si="426"/>
        <v>0</v>
      </c>
      <c r="P578" s="129">
        <f t="shared" si="426"/>
        <v>9240.3700000000008</v>
      </c>
    </row>
    <row r="579" spans="2:16" ht="38.25">
      <c r="B579" s="190" t="s">
        <v>732</v>
      </c>
      <c r="C579" s="191">
        <v>40339</v>
      </c>
      <c r="D579" s="575" t="s">
        <v>184</v>
      </c>
      <c r="E579" s="192" t="s">
        <v>57</v>
      </c>
      <c r="F579" s="193">
        <v>91.04</v>
      </c>
      <c r="G579" s="194">
        <v>52.4</v>
      </c>
      <c r="H579" s="193">
        <v>4770.5</v>
      </c>
      <c r="I579" s="194">
        <v>0</v>
      </c>
      <c r="J579" s="193">
        <f t="shared" ref="J579" si="460">TRUNC(I579*F579,2)</f>
        <v>0</v>
      </c>
      <c r="K579" s="194">
        <f>IFERROR(VLOOKUP(B579,#REF!,18,FALSE),)</f>
        <v>0</v>
      </c>
      <c r="L579" s="193">
        <f t="shared" ref="L579" si="461">N579-J579</f>
        <v>0</v>
      </c>
      <c r="M579" s="194">
        <f t="shared" ref="M579" si="462">K579+I579</f>
        <v>0</v>
      </c>
      <c r="N579" s="196">
        <f t="shared" ref="N579" si="463">TRUNC(M579*F579,2)</f>
        <v>0</v>
      </c>
      <c r="O579" s="194">
        <f t="shared" si="426"/>
        <v>52.4</v>
      </c>
      <c r="P579" s="196">
        <f t="shared" si="426"/>
        <v>4770.5</v>
      </c>
    </row>
    <row r="580" spans="2:16" ht="25.5">
      <c r="B580" s="190" t="s">
        <v>733</v>
      </c>
      <c r="C580" s="191">
        <v>40328</v>
      </c>
      <c r="D580" s="575" t="s">
        <v>147</v>
      </c>
      <c r="E580" s="192" t="s">
        <v>29</v>
      </c>
      <c r="F580" s="193">
        <v>7.98</v>
      </c>
      <c r="G580" s="194">
        <v>210</v>
      </c>
      <c r="H580" s="193">
        <v>1675.8</v>
      </c>
      <c r="I580" s="194">
        <v>0</v>
      </c>
      <c r="J580" s="193">
        <f>TRUNC(I580*F580,2)</f>
        <v>0</v>
      </c>
      <c r="K580" s="194">
        <f>IFERROR(VLOOKUP(B580,#REF!,18,FALSE),)</f>
        <v>0</v>
      </c>
      <c r="L580" s="193">
        <f>N580-J580</f>
        <v>0</v>
      </c>
      <c r="M580" s="194">
        <f>K580+I580</f>
        <v>0</v>
      </c>
      <c r="N580" s="196">
        <f>TRUNC(M580*F580,2)</f>
        <v>0</v>
      </c>
      <c r="O580" s="194">
        <f t="shared" si="426"/>
        <v>210</v>
      </c>
      <c r="P580" s="196">
        <f t="shared" si="426"/>
        <v>1675.8</v>
      </c>
    </row>
    <row r="581" spans="2:16" ht="25.5">
      <c r="B581" s="190" t="s">
        <v>734</v>
      </c>
      <c r="C581" s="191">
        <v>40245</v>
      </c>
      <c r="D581" s="575" t="s">
        <v>148</v>
      </c>
      <c r="E581" s="192" t="s">
        <v>29</v>
      </c>
      <c r="F581" s="193">
        <v>8.41</v>
      </c>
      <c r="G581" s="194">
        <v>55</v>
      </c>
      <c r="H581" s="193">
        <v>462.55</v>
      </c>
      <c r="I581" s="194">
        <v>0</v>
      </c>
      <c r="J581" s="193">
        <f t="shared" ref="J581:J583" si="464">TRUNC(I581*F581,2)</f>
        <v>0</v>
      </c>
      <c r="K581" s="194">
        <f>IFERROR(VLOOKUP(B581,#REF!,18,FALSE),)</f>
        <v>0</v>
      </c>
      <c r="L581" s="193">
        <f t="shared" ref="L581:L583" si="465">N581-J581</f>
        <v>0</v>
      </c>
      <c r="M581" s="194">
        <f t="shared" ref="M581:M583" si="466">K581+I581</f>
        <v>0</v>
      </c>
      <c r="N581" s="196">
        <f t="shared" ref="N581:N583" si="467">TRUNC(M581*F581,2)</f>
        <v>0</v>
      </c>
      <c r="O581" s="194">
        <f t="shared" si="426"/>
        <v>55</v>
      </c>
      <c r="P581" s="196">
        <f t="shared" si="426"/>
        <v>462.55</v>
      </c>
    </row>
    <row r="582" spans="2:16" ht="25.5">
      <c r="B582" s="190" t="s">
        <v>735</v>
      </c>
      <c r="C582" s="191">
        <v>40246</v>
      </c>
      <c r="D582" s="575" t="s">
        <v>149</v>
      </c>
      <c r="E582" s="192" t="s">
        <v>29</v>
      </c>
      <c r="F582" s="193">
        <v>8.08</v>
      </c>
      <c r="G582" s="194">
        <v>78</v>
      </c>
      <c r="H582" s="193">
        <v>630.24</v>
      </c>
      <c r="I582" s="194">
        <v>0</v>
      </c>
      <c r="J582" s="193">
        <f t="shared" si="464"/>
        <v>0</v>
      </c>
      <c r="K582" s="194">
        <f>IFERROR(VLOOKUP(B582,#REF!,18,FALSE),)</f>
        <v>0</v>
      </c>
      <c r="L582" s="193">
        <f t="shared" si="465"/>
        <v>0</v>
      </c>
      <c r="M582" s="194">
        <f t="shared" si="466"/>
        <v>0</v>
      </c>
      <c r="N582" s="196">
        <f t="shared" si="467"/>
        <v>0</v>
      </c>
      <c r="O582" s="194">
        <f t="shared" si="426"/>
        <v>78</v>
      </c>
      <c r="P582" s="196">
        <f t="shared" si="426"/>
        <v>630.24</v>
      </c>
    </row>
    <row r="583" spans="2:16" ht="38.25">
      <c r="B583" s="190" t="s">
        <v>736</v>
      </c>
      <c r="C583" s="191" t="s">
        <v>140</v>
      </c>
      <c r="D583" s="575" t="s">
        <v>150</v>
      </c>
      <c r="E583" s="192" t="s">
        <v>58</v>
      </c>
      <c r="F583" s="193">
        <v>486.08</v>
      </c>
      <c r="G583" s="194">
        <v>3.5</v>
      </c>
      <c r="H583" s="193">
        <v>1701.28</v>
      </c>
      <c r="I583" s="194">
        <v>0</v>
      </c>
      <c r="J583" s="193">
        <f t="shared" si="464"/>
        <v>0</v>
      </c>
      <c r="K583" s="194">
        <f>IFERROR(VLOOKUP(B583,#REF!,18,FALSE),)</f>
        <v>0</v>
      </c>
      <c r="L583" s="193">
        <f t="shared" si="465"/>
        <v>0</v>
      </c>
      <c r="M583" s="194">
        <f t="shared" si="466"/>
        <v>0</v>
      </c>
      <c r="N583" s="196">
        <f t="shared" si="467"/>
        <v>0</v>
      </c>
      <c r="O583" s="194">
        <f t="shared" si="426"/>
        <v>3.5</v>
      </c>
      <c r="P583" s="196">
        <f t="shared" si="426"/>
        <v>1701.28</v>
      </c>
    </row>
    <row r="584" spans="2:16">
      <c r="B584" s="138"/>
      <c r="C584" s="132"/>
      <c r="D584" s="123"/>
      <c r="E584" s="123"/>
      <c r="F584" s="123"/>
      <c r="G584" s="123"/>
      <c r="H584" s="123"/>
      <c r="I584" s="123"/>
      <c r="J584" s="123"/>
      <c r="K584" s="123"/>
      <c r="L584" s="123"/>
      <c r="M584" s="123"/>
      <c r="N584" s="124"/>
      <c r="O584" s="123">
        <f t="shared" si="426"/>
        <v>0</v>
      </c>
      <c r="P584" s="124">
        <f t="shared" si="426"/>
        <v>0</v>
      </c>
    </row>
    <row r="585" spans="2:16" s="131" customFormat="1">
      <c r="B585" s="137" t="s">
        <v>737</v>
      </c>
      <c r="C585" s="133"/>
      <c r="D585" s="125" t="s">
        <v>171</v>
      </c>
      <c r="E585" s="126"/>
      <c r="F585" s="127"/>
      <c r="G585" s="128"/>
      <c r="H585" s="129">
        <v>18264.59</v>
      </c>
      <c r="I585" s="130"/>
      <c r="J585" s="129">
        <f>SUBTOTAL(9,J586:J590)</f>
        <v>0</v>
      </c>
      <c r="K585" s="130"/>
      <c r="L585" s="129">
        <f>SUBTOTAL(9,L586:L590)</f>
        <v>0</v>
      </c>
      <c r="M585" s="129"/>
      <c r="N585" s="129">
        <f>SUBTOTAL(9,N586:N590)</f>
        <v>0</v>
      </c>
      <c r="O585" s="129">
        <f t="shared" si="426"/>
        <v>0</v>
      </c>
      <c r="P585" s="129">
        <f t="shared" si="426"/>
        <v>18264.59</v>
      </c>
    </row>
    <row r="586" spans="2:16" ht="38.25">
      <c r="B586" s="190" t="s">
        <v>738</v>
      </c>
      <c r="C586" s="191">
        <v>40339</v>
      </c>
      <c r="D586" s="575" t="s">
        <v>184</v>
      </c>
      <c r="E586" s="192" t="s">
        <v>57</v>
      </c>
      <c r="F586" s="193">
        <v>91.04</v>
      </c>
      <c r="G586" s="194">
        <v>87.7</v>
      </c>
      <c r="H586" s="193">
        <v>7984.21</v>
      </c>
      <c r="I586" s="194">
        <v>0</v>
      </c>
      <c r="J586" s="193">
        <f t="shared" ref="J586" si="468">TRUNC(I586*F586,2)</f>
        <v>0</v>
      </c>
      <c r="K586" s="194">
        <f>IFERROR(VLOOKUP(B586,#REF!,18,FALSE),)</f>
        <v>0</v>
      </c>
      <c r="L586" s="193">
        <f t="shared" ref="L586" si="469">N586-J586</f>
        <v>0</v>
      </c>
      <c r="M586" s="194">
        <f t="shared" ref="M586" si="470">K586+I586</f>
        <v>0</v>
      </c>
      <c r="N586" s="196">
        <f t="shared" ref="N586" si="471">TRUNC(M586*F586,2)</f>
        <v>0</v>
      </c>
      <c r="O586" s="194">
        <f t="shared" si="426"/>
        <v>87.7</v>
      </c>
      <c r="P586" s="196">
        <f t="shared" si="426"/>
        <v>7984.21</v>
      </c>
    </row>
    <row r="587" spans="2:16" ht="25.5">
      <c r="B587" s="190" t="s">
        <v>739</v>
      </c>
      <c r="C587" s="191">
        <v>40328</v>
      </c>
      <c r="D587" s="575" t="s">
        <v>147</v>
      </c>
      <c r="E587" s="192" t="s">
        <v>29</v>
      </c>
      <c r="F587" s="193">
        <v>7.98</v>
      </c>
      <c r="G587" s="194">
        <v>502</v>
      </c>
      <c r="H587" s="193">
        <v>4005.96</v>
      </c>
      <c r="I587" s="194">
        <v>0</v>
      </c>
      <c r="J587" s="193">
        <f>TRUNC(I587*F587,2)</f>
        <v>0</v>
      </c>
      <c r="K587" s="194">
        <f>IFERROR(VLOOKUP(B587,#REF!,18,FALSE),)</f>
        <v>0</v>
      </c>
      <c r="L587" s="193">
        <f>N587-J587</f>
        <v>0</v>
      </c>
      <c r="M587" s="194">
        <f>K587+I587</f>
        <v>0</v>
      </c>
      <c r="N587" s="196">
        <f>TRUNC(M587*F587,2)</f>
        <v>0</v>
      </c>
      <c r="O587" s="194">
        <f t="shared" si="426"/>
        <v>502</v>
      </c>
      <c r="P587" s="196">
        <f t="shared" si="426"/>
        <v>4005.96</v>
      </c>
    </row>
    <row r="588" spans="2:16" ht="25.5">
      <c r="B588" s="190" t="s">
        <v>740</v>
      </c>
      <c r="C588" s="191">
        <v>40245</v>
      </c>
      <c r="D588" s="575" t="s">
        <v>148</v>
      </c>
      <c r="E588" s="192" t="s">
        <v>29</v>
      </c>
      <c r="F588" s="193">
        <v>8.41</v>
      </c>
      <c r="G588" s="194">
        <v>199</v>
      </c>
      <c r="H588" s="193">
        <v>1673.59</v>
      </c>
      <c r="I588" s="194">
        <v>0</v>
      </c>
      <c r="J588" s="193">
        <f t="shared" ref="J588:J590" si="472">TRUNC(I588*F588,2)</f>
        <v>0</v>
      </c>
      <c r="K588" s="194">
        <f>IFERROR(VLOOKUP(B588,#REF!,18,FALSE),)</f>
        <v>0</v>
      </c>
      <c r="L588" s="193">
        <f t="shared" ref="L588:L590" si="473">N588-J588</f>
        <v>0</v>
      </c>
      <c r="M588" s="194">
        <f t="shared" ref="M588:M590" si="474">K588+I588</f>
        <v>0</v>
      </c>
      <c r="N588" s="196">
        <f t="shared" ref="N588:N590" si="475">TRUNC(M588*F588,2)</f>
        <v>0</v>
      </c>
      <c r="O588" s="194">
        <f t="shared" si="426"/>
        <v>199</v>
      </c>
      <c r="P588" s="196">
        <f t="shared" si="426"/>
        <v>1673.59</v>
      </c>
    </row>
    <row r="589" spans="2:16" ht="25.5">
      <c r="B589" s="190" t="s">
        <v>741</v>
      </c>
      <c r="C589" s="191">
        <v>40246</v>
      </c>
      <c r="D589" s="575" t="s">
        <v>149</v>
      </c>
      <c r="E589" s="192" t="s">
        <v>29</v>
      </c>
      <c r="F589" s="193">
        <v>8.08</v>
      </c>
      <c r="G589" s="194">
        <v>34</v>
      </c>
      <c r="H589" s="193">
        <v>274.72000000000003</v>
      </c>
      <c r="I589" s="194">
        <v>0</v>
      </c>
      <c r="J589" s="193">
        <f t="shared" si="472"/>
        <v>0</v>
      </c>
      <c r="K589" s="194">
        <f>IFERROR(VLOOKUP(B589,#REF!,18,FALSE),)</f>
        <v>0</v>
      </c>
      <c r="L589" s="193">
        <f t="shared" si="473"/>
        <v>0</v>
      </c>
      <c r="M589" s="194">
        <f t="shared" si="474"/>
        <v>0</v>
      </c>
      <c r="N589" s="196">
        <f t="shared" si="475"/>
        <v>0</v>
      </c>
      <c r="O589" s="194">
        <f t="shared" si="426"/>
        <v>34</v>
      </c>
      <c r="P589" s="196">
        <f t="shared" si="426"/>
        <v>274.72000000000003</v>
      </c>
    </row>
    <row r="590" spans="2:16" ht="51">
      <c r="B590" s="190" t="s">
        <v>742</v>
      </c>
      <c r="C590" s="191" t="s">
        <v>140</v>
      </c>
      <c r="D590" s="575" t="s">
        <v>177</v>
      </c>
      <c r="E590" s="192" t="s">
        <v>58</v>
      </c>
      <c r="F590" s="193">
        <v>486.08</v>
      </c>
      <c r="G590" s="194">
        <v>8.9</v>
      </c>
      <c r="H590" s="193">
        <v>4326.1099999999997</v>
      </c>
      <c r="I590" s="194">
        <v>0</v>
      </c>
      <c r="J590" s="193">
        <f t="shared" si="472"/>
        <v>0</v>
      </c>
      <c r="K590" s="194">
        <f>IFERROR(VLOOKUP(B590,#REF!,18,FALSE),)</f>
        <v>0</v>
      </c>
      <c r="L590" s="193">
        <f t="shared" si="473"/>
        <v>0</v>
      </c>
      <c r="M590" s="194">
        <f t="shared" si="474"/>
        <v>0</v>
      </c>
      <c r="N590" s="196">
        <f t="shared" si="475"/>
        <v>0</v>
      </c>
      <c r="O590" s="194">
        <f t="shared" si="426"/>
        <v>8.9</v>
      </c>
      <c r="P590" s="196">
        <f t="shared" si="426"/>
        <v>4326.1099999999997</v>
      </c>
    </row>
    <row r="591" spans="2:16">
      <c r="B591" s="138"/>
      <c r="C591" s="132"/>
      <c r="D591" s="123"/>
      <c r="E591" s="123"/>
      <c r="F591" s="123"/>
      <c r="G591" s="123"/>
      <c r="H591" s="123"/>
      <c r="I591" s="123"/>
      <c r="J591" s="123"/>
      <c r="K591" s="123"/>
      <c r="L591" s="123"/>
      <c r="M591" s="123"/>
      <c r="N591" s="124"/>
      <c r="O591" s="123">
        <f t="shared" si="426"/>
        <v>0</v>
      </c>
      <c r="P591" s="124">
        <f t="shared" si="426"/>
        <v>0</v>
      </c>
    </row>
    <row r="592" spans="2:16" s="131" customFormat="1">
      <c r="B592" s="137" t="s">
        <v>743</v>
      </c>
      <c r="C592" s="133"/>
      <c r="D592" s="125" t="s">
        <v>179</v>
      </c>
      <c r="E592" s="126"/>
      <c r="F592" s="127"/>
      <c r="G592" s="128"/>
      <c r="H592" s="129">
        <v>22658.7</v>
      </c>
      <c r="I592" s="130"/>
      <c r="J592" s="129">
        <f>SUBTOTAL(9,J593:J596)</f>
        <v>0</v>
      </c>
      <c r="K592" s="130"/>
      <c r="L592" s="129">
        <f>SUBTOTAL(9,L593:L596)</f>
        <v>0</v>
      </c>
      <c r="M592" s="129"/>
      <c r="N592" s="129">
        <f>SUBTOTAL(9,N593:N596)</f>
        <v>0</v>
      </c>
      <c r="O592" s="129">
        <f t="shared" si="426"/>
        <v>0</v>
      </c>
      <c r="P592" s="129">
        <f t="shared" si="426"/>
        <v>22658.7</v>
      </c>
    </row>
    <row r="593" spans="2:16" ht="38.25">
      <c r="B593" s="190" t="s">
        <v>744</v>
      </c>
      <c r="C593" s="191">
        <v>40339</v>
      </c>
      <c r="D593" s="575" t="s">
        <v>184</v>
      </c>
      <c r="E593" s="192" t="s">
        <v>57</v>
      </c>
      <c r="F593" s="193">
        <v>91.04</v>
      </c>
      <c r="G593" s="194">
        <v>34.1</v>
      </c>
      <c r="H593" s="193">
        <v>3104.46</v>
      </c>
      <c r="I593" s="194">
        <v>0</v>
      </c>
      <c r="J593" s="193">
        <f t="shared" ref="J593" si="476">TRUNC(I593*F593,2)</f>
        <v>0</v>
      </c>
      <c r="K593" s="194">
        <f>IFERROR(VLOOKUP(B593,#REF!,18,FALSE),)</f>
        <v>0</v>
      </c>
      <c r="L593" s="193">
        <f t="shared" ref="L593" si="477">N593-J593</f>
        <v>0</v>
      </c>
      <c r="M593" s="194">
        <f t="shared" ref="M593" si="478">K593+I593</f>
        <v>0</v>
      </c>
      <c r="N593" s="196">
        <f t="shared" ref="N593" si="479">TRUNC(M593*F593,2)</f>
        <v>0</v>
      </c>
      <c r="O593" s="194">
        <f t="shared" si="426"/>
        <v>34.1</v>
      </c>
      <c r="P593" s="196">
        <f t="shared" si="426"/>
        <v>3104.46</v>
      </c>
    </row>
    <row r="594" spans="2:16" ht="25.5">
      <c r="B594" s="190" t="s">
        <v>745</v>
      </c>
      <c r="C594" s="191">
        <v>40328</v>
      </c>
      <c r="D594" s="575" t="s">
        <v>147</v>
      </c>
      <c r="E594" s="192" t="s">
        <v>29</v>
      </c>
      <c r="F594" s="193">
        <v>7.98</v>
      </c>
      <c r="G594" s="194">
        <v>370.3</v>
      </c>
      <c r="H594" s="193">
        <v>2954.99</v>
      </c>
      <c r="I594" s="194">
        <v>0</v>
      </c>
      <c r="J594" s="193">
        <f>TRUNC(I594*F594,2)</f>
        <v>0</v>
      </c>
      <c r="K594" s="194">
        <f>IFERROR(VLOOKUP(B594,#REF!,18,FALSE),)</f>
        <v>0</v>
      </c>
      <c r="L594" s="193">
        <f>N594-J594</f>
        <v>0</v>
      </c>
      <c r="M594" s="194">
        <f>K594+I594</f>
        <v>0</v>
      </c>
      <c r="N594" s="196">
        <f>TRUNC(M594*F594,2)</f>
        <v>0</v>
      </c>
      <c r="O594" s="194">
        <f t="shared" si="426"/>
        <v>370.3</v>
      </c>
      <c r="P594" s="196">
        <f t="shared" si="426"/>
        <v>2954.99</v>
      </c>
    </row>
    <row r="595" spans="2:16" ht="51">
      <c r="B595" s="190" t="s">
        <v>746</v>
      </c>
      <c r="C595" s="191" t="s">
        <v>140</v>
      </c>
      <c r="D595" s="575" t="s">
        <v>177</v>
      </c>
      <c r="E595" s="192" t="s">
        <v>58</v>
      </c>
      <c r="F595" s="193">
        <v>486.08</v>
      </c>
      <c r="G595" s="194">
        <v>6.54</v>
      </c>
      <c r="H595" s="193">
        <v>3178.96</v>
      </c>
      <c r="I595" s="194">
        <v>0</v>
      </c>
      <c r="J595" s="193">
        <f t="shared" ref="J595:J596" si="480">TRUNC(I595*F595,2)</f>
        <v>0</v>
      </c>
      <c r="K595" s="194">
        <f>IFERROR(VLOOKUP(B595,#REF!,18,FALSE),)</f>
        <v>0</v>
      </c>
      <c r="L595" s="193">
        <f t="shared" ref="L595:L596" si="481">N595-J595</f>
        <v>0</v>
      </c>
      <c r="M595" s="194">
        <f t="shared" ref="M595:M596" si="482">K595+I595</f>
        <v>0</v>
      </c>
      <c r="N595" s="196">
        <f t="shared" ref="N595:N596" si="483">TRUNC(M595*F595,2)</f>
        <v>0</v>
      </c>
      <c r="O595" s="194">
        <f t="shared" si="426"/>
        <v>6.54</v>
      </c>
      <c r="P595" s="196">
        <f t="shared" si="426"/>
        <v>3178.96</v>
      </c>
    </row>
    <row r="596" spans="2:16" ht="25.5">
      <c r="B596" s="190" t="s">
        <v>747</v>
      </c>
      <c r="C596" s="191">
        <v>40602</v>
      </c>
      <c r="D596" s="575" t="s">
        <v>185</v>
      </c>
      <c r="E596" s="192" t="s">
        <v>57</v>
      </c>
      <c r="F596" s="193">
        <v>79.41</v>
      </c>
      <c r="G596" s="194">
        <v>169</v>
      </c>
      <c r="H596" s="193">
        <v>13420.29</v>
      </c>
      <c r="I596" s="194">
        <v>0</v>
      </c>
      <c r="J596" s="193">
        <f t="shared" si="480"/>
        <v>0</v>
      </c>
      <c r="K596" s="194">
        <f>IFERROR(VLOOKUP(B596,#REF!,18,FALSE),)</f>
        <v>0</v>
      </c>
      <c r="L596" s="193">
        <f t="shared" si="481"/>
        <v>0</v>
      </c>
      <c r="M596" s="194">
        <f t="shared" si="482"/>
        <v>0</v>
      </c>
      <c r="N596" s="196">
        <f t="shared" si="483"/>
        <v>0</v>
      </c>
      <c r="O596" s="194">
        <f t="shared" si="426"/>
        <v>169</v>
      </c>
      <c r="P596" s="196">
        <f t="shared" si="426"/>
        <v>13420.29</v>
      </c>
    </row>
    <row r="597" spans="2:16">
      <c r="B597" s="138"/>
      <c r="C597" s="132"/>
      <c r="D597" s="123"/>
      <c r="E597" s="123"/>
      <c r="F597" s="123"/>
      <c r="G597" s="123"/>
      <c r="H597" s="123"/>
      <c r="I597" s="123"/>
      <c r="J597" s="123"/>
      <c r="K597" s="123"/>
      <c r="L597" s="123"/>
      <c r="M597" s="123"/>
      <c r="N597" s="124"/>
      <c r="O597" s="123">
        <f t="shared" si="426"/>
        <v>0</v>
      </c>
      <c r="P597" s="124">
        <f t="shared" si="426"/>
        <v>0</v>
      </c>
    </row>
    <row r="598" spans="2:16" s="131" customFormat="1">
      <c r="B598" s="137" t="s">
        <v>748</v>
      </c>
      <c r="C598" s="133"/>
      <c r="D598" s="125" t="s">
        <v>187</v>
      </c>
      <c r="E598" s="126"/>
      <c r="F598" s="127"/>
      <c r="G598" s="128"/>
      <c r="H598" s="129">
        <v>49946.76</v>
      </c>
      <c r="I598" s="130"/>
      <c r="J598" s="129">
        <f>SUBTOTAL(9,J599:J604)</f>
        <v>0</v>
      </c>
      <c r="K598" s="130"/>
      <c r="L598" s="129">
        <f>SUBTOTAL(9,L599:L604)</f>
        <v>0</v>
      </c>
      <c r="M598" s="129"/>
      <c r="N598" s="129">
        <f>SUBTOTAL(9,N599:N604)</f>
        <v>0</v>
      </c>
      <c r="O598" s="129">
        <f t="shared" si="426"/>
        <v>0</v>
      </c>
      <c r="P598" s="129">
        <f t="shared" si="426"/>
        <v>49946.76</v>
      </c>
    </row>
    <row r="599" spans="2:16" ht="51">
      <c r="B599" s="190" t="s">
        <v>749</v>
      </c>
      <c r="C599" s="191">
        <v>90102</v>
      </c>
      <c r="D599" s="575" t="s">
        <v>194</v>
      </c>
      <c r="E599" s="192" t="s">
        <v>57</v>
      </c>
      <c r="F599" s="193">
        <v>89.99</v>
      </c>
      <c r="G599" s="194">
        <v>191.8</v>
      </c>
      <c r="H599" s="193">
        <v>17260.080000000002</v>
      </c>
      <c r="I599" s="194">
        <v>0</v>
      </c>
      <c r="J599" s="193">
        <f t="shared" ref="J599" si="484">TRUNC(I599*F599,2)</f>
        <v>0</v>
      </c>
      <c r="K599" s="194">
        <f>IFERROR(VLOOKUP(B599,#REF!,18,FALSE),)</f>
        <v>0</v>
      </c>
      <c r="L599" s="193">
        <f t="shared" ref="L599" si="485">N599-J599</f>
        <v>0</v>
      </c>
      <c r="M599" s="194">
        <f t="shared" ref="M599" si="486">K599+I599</f>
        <v>0</v>
      </c>
      <c r="N599" s="196">
        <f t="shared" ref="N599" si="487">TRUNC(M599*F599,2)</f>
        <v>0</v>
      </c>
      <c r="O599" s="194">
        <f t="shared" si="426"/>
        <v>191.8</v>
      </c>
      <c r="P599" s="196">
        <f t="shared" si="426"/>
        <v>17260.080000000002</v>
      </c>
    </row>
    <row r="600" spans="2:16" ht="51">
      <c r="B600" s="190" t="s">
        <v>750</v>
      </c>
      <c r="C600" s="191">
        <v>90223</v>
      </c>
      <c r="D600" s="575" t="s">
        <v>195</v>
      </c>
      <c r="E600" s="192" t="s">
        <v>57</v>
      </c>
      <c r="F600" s="193">
        <v>124.46</v>
      </c>
      <c r="G600" s="194">
        <v>200.69</v>
      </c>
      <c r="H600" s="193">
        <v>24977.88</v>
      </c>
      <c r="I600" s="194">
        <v>0</v>
      </c>
      <c r="J600" s="193">
        <f>TRUNC(I600*F600,2)</f>
        <v>0</v>
      </c>
      <c r="K600" s="194">
        <f>IFERROR(VLOOKUP(B600,#REF!,18,FALSE),)</f>
        <v>0</v>
      </c>
      <c r="L600" s="193">
        <f>N600-J600</f>
        <v>0</v>
      </c>
      <c r="M600" s="194">
        <f>K600+I600</f>
        <v>0</v>
      </c>
      <c r="N600" s="196">
        <f>TRUNC(M600*F600,2)</f>
        <v>0</v>
      </c>
      <c r="O600" s="194">
        <f t="shared" si="426"/>
        <v>200.69</v>
      </c>
      <c r="P600" s="196">
        <f t="shared" si="426"/>
        <v>24977.88</v>
      </c>
    </row>
    <row r="601" spans="2:16" ht="51">
      <c r="B601" s="190" t="s">
        <v>751</v>
      </c>
      <c r="C601" s="191">
        <v>40339</v>
      </c>
      <c r="D601" s="575" t="s">
        <v>196</v>
      </c>
      <c r="E601" s="192" t="s">
        <v>57</v>
      </c>
      <c r="F601" s="193">
        <v>91.04</v>
      </c>
      <c r="G601" s="194">
        <v>25.2</v>
      </c>
      <c r="H601" s="193">
        <v>2294.21</v>
      </c>
      <c r="I601" s="194">
        <v>0</v>
      </c>
      <c r="J601" s="193">
        <f t="shared" ref="J601:J604" si="488">TRUNC(I601*F601,2)</f>
        <v>0</v>
      </c>
      <c r="K601" s="194">
        <f>IFERROR(VLOOKUP(B601,#REF!,18,FALSE),)</f>
        <v>0</v>
      </c>
      <c r="L601" s="193">
        <f t="shared" ref="L601:L604" si="489">N601-J601</f>
        <v>0</v>
      </c>
      <c r="M601" s="194">
        <f t="shared" ref="M601:M604" si="490">K601+I601</f>
        <v>0</v>
      </c>
      <c r="N601" s="196">
        <f t="shared" ref="N601:N604" si="491">TRUNC(M601*F601,2)</f>
        <v>0</v>
      </c>
      <c r="O601" s="194">
        <f t="shared" si="426"/>
        <v>25.2</v>
      </c>
      <c r="P601" s="196">
        <f t="shared" si="426"/>
        <v>2294.21</v>
      </c>
    </row>
    <row r="602" spans="2:16" ht="25.5">
      <c r="B602" s="190" t="s">
        <v>752</v>
      </c>
      <c r="C602" s="191">
        <v>40328</v>
      </c>
      <c r="D602" s="575" t="s">
        <v>197</v>
      </c>
      <c r="E602" s="192" t="s">
        <v>29</v>
      </c>
      <c r="F602" s="193">
        <v>7.98</v>
      </c>
      <c r="G602" s="194">
        <v>122</v>
      </c>
      <c r="H602" s="193">
        <v>973.56</v>
      </c>
      <c r="I602" s="194">
        <v>0</v>
      </c>
      <c r="J602" s="193">
        <f t="shared" si="488"/>
        <v>0</v>
      </c>
      <c r="K602" s="194">
        <f>IFERROR(VLOOKUP(B602,#REF!,18,FALSE),)</f>
        <v>0</v>
      </c>
      <c r="L602" s="193">
        <f t="shared" si="489"/>
        <v>0</v>
      </c>
      <c r="M602" s="194">
        <f t="shared" si="490"/>
        <v>0</v>
      </c>
      <c r="N602" s="196">
        <f t="shared" si="491"/>
        <v>0</v>
      </c>
      <c r="O602" s="194">
        <f t="shared" si="426"/>
        <v>122</v>
      </c>
      <c r="P602" s="196">
        <f t="shared" si="426"/>
        <v>973.56</v>
      </c>
    </row>
    <row r="603" spans="2:16" ht="38.25">
      <c r="B603" s="190" t="s">
        <v>753</v>
      </c>
      <c r="C603" s="191" t="s">
        <v>140</v>
      </c>
      <c r="D603" s="575" t="s">
        <v>198</v>
      </c>
      <c r="E603" s="192" t="s">
        <v>58</v>
      </c>
      <c r="F603" s="193">
        <v>486.08</v>
      </c>
      <c r="G603" s="194">
        <v>1.3</v>
      </c>
      <c r="H603" s="193">
        <v>631.9</v>
      </c>
      <c r="I603" s="194">
        <v>0</v>
      </c>
      <c r="J603" s="193">
        <f t="shared" si="488"/>
        <v>0</v>
      </c>
      <c r="K603" s="194">
        <f>IFERROR(VLOOKUP(B603,#REF!,18,FALSE),)</f>
        <v>0</v>
      </c>
      <c r="L603" s="193">
        <f t="shared" si="489"/>
        <v>0</v>
      </c>
      <c r="M603" s="194">
        <f t="shared" si="490"/>
        <v>0</v>
      </c>
      <c r="N603" s="196">
        <f t="shared" si="491"/>
        <v>0</v>
      </c>
      <c r="O603" s="194">
        <f t="shared" si="426"/>
        <v>1.3</v>
      </c>
      <c r="P603" s="196">
        <f t="shared" si="426"/>
        <v>631.9</v>
      </c>
    </row>
    <row r="604" spans="2:16" ht="51">
      <c r="B604" s="190" t="s">
        <v>754</v>
      </c>
      <c r="C604" s="191">
        <v>50602</v>
      </c>
      <c r="D604" s="575" t="s">
        <v>199</v>
      </c>
      <c r="E604" s="192" t="s">
        <v>57</v>
      </c>
      <c r="F604" s="193">
        <v>62.2</v>
      </c>
      <c r="G604" s="194">
        <v>61.24</v>
      </c>
      <c r="H604" s="193">
        <v>3809.13</v>
      </c>
      <c r="I604" s="194">
        <v>0</v>
      </c>
      <c r="J604" s="193">
        <f t="shared" si="488"/>
        <v>0</v>
      </c>
      <c r="K604" s="194">
        <f>IFERROR(VLOOKUP(B604,#REF!,18,FALSE),)</f>
        <v>0</v>
      </c>
      <c r="L604" s="193">
        <f t="shared" si="489"/>
        <v>0</v>
      </c>
      <c r="M604" s="194">
        <f t="shared" si="490"/>
        <v>0</v>
      </c>
      <c r="N604" s="196">
        <f t="shared" si="491"/>
        <v>0</v>
      </c>
      <c r="O604" s="194">
        <f t="shared" si="426"/>
        <v>61.24</v>
      </c>
      <c r="P604" s="196">
        <f t="shared" si="426"/>
        <v>3809.13</v>
      </c>
    </row>
    <row r="605" spans="2:16">
      <c r="B605" s="138"/>
      <c r="C605" s="132"/>
      <c r="D605" s="123"/>
      <c r="E605" s="123"/>
      <c r="F605" s="123"/>
      <c r="G605" s="123"/>
      <c r="H605" s="123"/>
      <c r="I605" s="123"/>
      <c r="J605" s="123"/>
      <c r="K605" s="123"/>
      <c r="L605" s="123"/>
      <c r="M605" s="123"/>
      <c r="N605" s="124"/>
      <c r="O605" s="123">
        <f t="shared" ref="O605:P671" si="492">G605-M605</f>
        <v>0</v>
      </c>
      <c r="P605" s="124">
        <f t="shared" si="492"/>
        <v>0</v>
      </c>
    </row>
    <row r="606" spans="2:16" s="131" customFormat="1">
      <c r="B606" s="137" t="s">
        <v>755</v>
      </c>
      <c r="C606" s="133"/>
      <c r="D606" s="125" t="s">
        <v>201</v>
      </c>
      <c r="E606" s="126"/>
      <c r="F606" s="127"/>
      <c r="G606" s="128"/>
      <c r="H606" s="129">
        <v>6322.53</v>
      </c>
      <c r="I606" s="130"/>
      <c r="J606" s="129">
        <f>SUBTOTAL(9,J607:J610)</f>
        <v>0</v>
      </c>
      <c r="K606" s="130"/>
      <c r="L606" s="129">
        <f>SUBTOTAL(9,L607:L610)</f>
        <v>0</v>
      </c>
      <c r="M606" s="129"/>
      <c r="N606" s="129">
        <f>SUBTOTAL(9,N607:N610)</f>
        <v>0</v>
      </c>
      <c r="O606" s="129">
        <f t="shared" si="492"/>
        <v>0</v>
      </c>
      <c r="P606" s="129">
        <f t="shared" si="492"/>
        <v>6322.53</v>
      </c>
    </row>
    <row r="607" spans="2:16" ht="25.5">
      <c r="B607" s="190" t="s">
        <v>756</v>
      </c>
      <c r="C607" s="191" t="s">
        <v>206</v>
      </c>
      <c r="D607" s="575" t="s">
        <v>207</v>
      </c>
      <c r="E607" s="192" t="s">
        <v>60</v>
      </c>
      <c r="F607" s="193">
        <v>72.83</v>
      </c>
      <c r="G607" s="194">
        <v>44.2</v>
      </c>
      <c r="H607" s="193">
        <v>3219.09</v>
      </c>
      <c r="I607" s="194">
        <v>0</v>
      </c>
      <c r="J607" s="193">
        <f t="shared" ref="J607" si="493">TRUNC(I607*F607,2)</f>
        <v>0</v>
      </c>
      <c r="K607" s="194">
        <f>IFERROR(VLOOKUP(B607,#REF!,18,FALSE),)</f>
        <v>0</v>
      </c>
      <c r="L607" s="193">
        <f t="shared" ref="L607" si="494">N607-J607</f>
        <v>0</v>
      </c>
      <c r="M607" s="194">
        <f t="shared" ref="M607" si="495">K607+I607</f>
        <v>0</v>
      </c>
      <c r="N607" s="196">
        <f t="shared" ref="N607" si="496">TRUNC(M607*F607,2)</f>
        <v>0</v>
      </c>
      <c r="O607" s="194">
        <f t="shared" si="492"/>
        <v>44.2</v>
      </c>
      <c r="P607" s="196">
        <f t="shared" si="492"/>
        <v>3219.09</v>
      </c>
    </row>
    <row r="608" spans="2:16">
      <c r="B608" s="190" t="s">
        <v>757</v>
      </c>
      <c r="C608" s="191">
        <v>90302</v>
      </c>
      <c r="D608" s="575" t="s">
        <v>208</v>
      </c>
      <c r="E608" s="192" t="s">
        <v>51</v>
      </c>
      <c r="F608" s="193">
        <v>31.38</v>
      </c>
      <c r="G608" s="194">
        <v>64.14</v>
      </c>
      <c r="H608" s="193">
        <v>2012.71</v>
      </c>
      <c r="I608" s="194">
        <v>0</v>
      </c>
      <c r="J608" s="193">
        <f>TRUNC(I608*F608,2)</f>
        <v>0</v>
      </c>
      <c r="K608" s="194">
        <f>IFERROR(VLOOKUP(B608,#REF!,18,FALSE),)</f>
        <v>0</v>
      </c>
      <c r="L608" s="193">
        <f>N608-J608</f>
        <v>0</v>
      </c>
      <c r="M608" s="194">
        <f>K608+I608</f>
        <v>0</v>
      </c>
      <c r="N608" s="196">
        <f>TRUNC(M608*F608,2)</f>
        <v>0</v>
      </c>
      <c r="O608" s="194">
        <f t="shared" si="492"/>
        <v>64.14</v>
      </c>
      <c r="P608" s="196">
        <f t="shared" si="492"/>
        <v>2012.71</v>
      </c>
    </row>
    <row r="609" spans="2:16" ht="25.5">
      <c r="B609" s="190" t="s">
        <v>758</v>
      </c>
      <c r="C609" s="191">
        <v>141909</v>
      </c>
      <c r="D609" s="575" t="s">
        <v>209</v>
      </c>
      <c r="E609" s="192" t="s">
        <v>51</v>
      </c>
      <c r="F609" s="193">
        <v>61.57</v>
      </c>
      <c r="G609" s="194">
        <v>9.27</v>
      </c>
      <c r="H609" s="193">
        <v>570.75</v>
      </c>
      <c r="I609" s="194">
        <v>0</v>
      </c>
      <c r="J609" s="193">
        <f t="shared" ref="J609:J610" si="497">TRUNC(I609*F609,2)</f>
        <v>0</v>
      </c>
      <c r="K609" s="194">
        <f>IFERROR(VLOOKUP(B609,#REF!,18,FALSE),)</f>
        <v>0</v>
      </c>
      <c r="L609" s="193">
        <f t="shared" ref="L609:L610" si="498">N609-J609</f>
        <v>0</v>
      </c>
      <c r="M609" s="194">
        <f t="shared" ref="M609:M610" si="499">K609+I609</f>
        <v>0</v>
      </c>
      <c r="N609" s="196">
        <f t="shared" ref="N609:N610" si="500">TRUNC(M609*F609,2)</f>
        <v>0</v>
      </c>
      <c r="O609" s="194">
        <f t="shared" si="492"/>
        <v>9.27</v>
      </c>
      <c r="P609" s="196">
        <f t="shared" si="492"/>
        <v>570.75</v>
      </c>
    </row>
    <row r="610" spans="2:16" ht="25.5">
      <c r="B610" s="190" t="s">
        <v>759</v>
      </c>
      <c r="C610" s="191">
        <v>140903</v>
      </c>
      <c r="D610" s="575" t="s">
        <v>607</v>
      </c>
      <c r="E610" s="192" t="s">
        <v>51</v>
      </c>
      <c r="F610" s="193">
        <v>48.46</v>
      </c>
      <c r="G610" s="194">
        <v>10.73</v>
      </c>
      <c r="H610" s="193">
        <v>519.98</v>
      </c>
      <c r="I610" s="194">
        <v>0</v>
      </c>
      <c r="J610" s="193">
        <f t="shared" si="497"/>
        <v>0</v>
      </c>
      <c r="K610" s="194">
        <f>IFERROR(VLOOKUP(B610,#REF!,18,FALSE),)</f>
        <v>0</v>
      </c>
      <c r="L610" s="193">
        <f t="shared" si="498"/>
        <v>0</v>
      </c>
      <c r="M610" s="194">
        <f t="shared" si="499"/>
        <v>0</v>
      </c>
      <c r="N610" s="196">
        <f t="shared" si="500"/>
        <v>0</v>
      </c>
      <c r="O610" s="194">
        <f t="shared" si="492"/>
        <v>10.73</v>
      </c>
      <c r="P610" s="196">
        <f t="shared" si="492"/>
        <v>519.98</v>
      </c>
    </row>
    <row r="611" spans="2:16">
      <c r="B611" s="138"/>
      <c r="C611" s="132"/>
      <c r="D611" s="123"/>
      <c r="E611" s="123"/>
      <c r="F611" s="123"/>
      <c r="G611" s="123"/>
      <c r="H611" s="123"/>
      <c r="I611" s="123"/>
      <c r="J611" s="123"/>
      <c r="K611" s="123"/>
      <c r="L611" s="123"/>
      <c r="M611" s="123"/>
      <c r="N611" s="124"/>
      <c r="O611" s="123">
        <f t="shared" si="492"/>
        <v>0</v>
      </c>
      <c r="P611" s="124">
        <f t="shared" si="492"/>
        <v>0</v>
      </c>
    </row>
    <row r="612" spans="2:16" s="131" customFormat="1">
      <c r="B612" s="137" t="s">
        <v>850</v>
      </c>
      <c r="C612" s="133"/>
      <c r="D612" s="125" t="s">
        <v>212</v>
      </c>
      <c r="E612" s="126"/>
      <c r="F612" s="127"/>
      <c r="G612" s="128"/>
      <c r="H612" s="129">
        <v>110605.08</v>
      </c>
      <c r="I612" s="130"/>
      <c r="J612" s="129">
        <f>SUBTOTAL(9,J613:J623)</f>
        <v>0</v>
      </c>
      <c r="K612" s="130"/>
      <c r="L612" s="129">
        <f>SUBTOTAL(9,L613:L623)</f>
        <v>0</v>
      </c>
      <c r="M612" s="129"/>
      <c r="N612" s="129">
        <f>SUBTOTAL(9,N613:N623)</f>
        <v>0</v>
      </c>
      <c r="O612" s="129">
        <f t="shared" si="492"/>
        <v>0</v>
      </c>
      <c r="P612" s="129">
        <f t="shared" si="492"/>
        <v>110605.08</v>
      </c>
    </row>
    <row r="613" spans="2:16">
      <c r="B613" s="190" t="s">
        <v>760</v>
      </c>
      <c r="C613" s="191" t="s">
        <v>224</v>
      </c>
      <c r="D613" s="575" t="s">
        <v>229</v>
      </c>
      <c r="E613" s="192" t="s">
        <v>50</v>
      </c>
      <c r="F613" s="193">
        <v>280.31</v>
      </c>
      <c r="G613" s="194">
        <v>111.39</v>
      </c>
      <c r="H613" s="193">
        <v>31223.73</v>
      </c>
      <c r="I613" s="194">
        <v>0</v>
      </c>
      <c r="J613" s="193">
        <f t="shared" ref="J613" si="501">TRUNC(I613*F613,2)</f>
        <v>0</v>
      </c>
      <c r="K613" s="194">
        <f>IFERROR(VLOOKUP(B613,#REF!,18,FALSE),)</f>
        <v>0</v>
      </c>
      <c r="L613" s="193">
        <f t="shared" ref="L613" si="502">N613-J613</f>
        <v>0</v>
      </c>
      <c r="M613" s="194">
        <f t="shared" ref="M613" si="503">K613+I613</f>
        <v>0</v>
      </c>
      <c r="N613" s="196">
        <f t="shared" ref="N613" si="504">TRUNC(M613*F613,2)</f>
        <v>0</v>
      </c>
      <c r="O613" s="194">
        <f t="shared" si="492"/>
        <v>111.39</v>
      </c>
      <c r="P613" s="196">
        <f t="shared" si="492"/>
        <v>31223.73</v>
      </c>
    </row>
    <row r="614" spans="2:16">
      <c r="B614" s="190" t="s">
        <v>761</v>
      </c>
      <c r="C614" s="191" t="s">
        <v>225</v>
      </c>
      <c r="D614" s="575" t="s">
        <v>230</v>
      </c>
      <c r="E614" s="192" t="s">
        <v>50</v>
      </c>
      <c r="F614" s="193">
        <v>645.84</v>
      </c>
      <c r="G614" s="194">
        <v>15.3</v>
      </c>
      <c r="H614" s="193">
        <v>9881.35</v>
      </c>
      <c r="I614" s="194">
        <v>0</v>
      </c>
      <c r="J614" s="193">
        <f>TRUNC(I614*F614,2)</f>
        <v>0</v>
      </c>
      <c r="K614" s="194">
        <f>IFERROR(VLOOKUP(B614,#REF!,18,FALSE),)</f>
        <v>0</v>
      </c>
      <c r="L614" s="193">
        <f>N614-J614</f>
        <v>0</v>
      </c>
      <c r="M614" s="194">
        <f>K614+I614</f>
        <v>0</v>
      </c>
      <c r="N614" s="196">
        <f>TRUNC(M614*F614,2)</f>
        <v>0</v>
      </c>
      <c r="O614" s="194">
        <f t="shared" si="492"/>
        <v>15.3</v>
      </c>
      <c r="P614" s="196">
        <f t="shared" si="492"/>
        <v>9881.35</v>
      </c>
    </row>
    <row r="615" spans="2:16">
      <c r="B615" s="190" t="s">
        <v>762</v>
      </c>
      <c r="C615" s="191" t="s">
        <v>226</v>
      </c>
      <c r="D615" s="575" t="s">
        <v>231</v>
      </c>
      <c r="E615" s="192" t="s">
        <v>50</v>
      </c>
      <c r="F615" s="193">
        <v>651.87</v>
      </c>
      <c r="G615" s="194">
        <v>5.63</v>
      </c>
      <c r="H615" s="193">
        <v>3670.03</v>
      </c>
      <c r="I615" s="194">
        <v>0</v>
      </c>
      <c r="J615" s="193">
        <f t="shared" ref="J615:J623" si="505">TRUNC(I615*F615,2)</f>
        <v>0</v>
      </c>
      <c r="K615" s="194">
        <f>IFERROR(VLOOKUP(B615,#REF!,18,FALSE),)</f>
        <v>0</v>
      </c>
      <c r="L615" s="193">
        <f t="shared" ref="L615:L623" si="506">N615-J615</f>
        <v>0</v>
      </c>
      <c r="M615" s="194">
        <f t="shared" ref="M615:M623" si="507">K615+I615</f>
        <v>0</v>
      </c>
      <c r="N615" s="196">
        <f t="shared" ref="N615:N623" si="508">TRUNC(M615*F615,2)</f>
        <v>0</v>
      </c>
      <c r="O615" s="194">
        <f t="shared" si="492"/>
        <v>5.63</v>
      </c>
      <c r="P615" s="196">
        <f t="shared" si="492"/>
        <v>3670.03</v>
      </c>
    </row>
    <row r="616" spans="2:16" ht="24" customHeight="1">
      <c r="B616" s="190" t="s">
        <v>763</v>
      </c>
      <c r="C616" s="191">
        <v>210322</v>
      </c>
      <c r="D616" s="575" t="s">
        <v>232</v>
      </c>
      <c r="E616" s="192" t="s">
        <v>51</v>
      </c>
      <c r="F616" s="193">
        <v>91.5</v>
      </c>
      <c r="G616" s="194">
        <v>13.65</v>
      </c>
      <c r="H616" s="193">
        <v>1248.98</v>
      </c>
      <c r="I616" s="194">
        <v>0</v>
      </c>
      <c r="J616" s="193">
        <f t="shared" si="505"/>
        <v>0</v>
      </c>
      <c r="K616" s="194">
        <f>IFERROR(VLOOKUP(B616,#REF!,18,FALSE),)</f>
        <v>0</v>
      </c>
      <c r="L616" s="193">
        <f t="shared" si="506"/>
        <v>0</v>
      </c>
      <c r="M616" s="194">
        <f t="shared" si="507"/>
        <v>0</v>
      </c>
      <c r="N616" s="196">
        <f t="shared" si="508"/>
        <v>0</v>
      </c>
      <c r="O616" s="194">
        <f t="shared" si="492"/>
        <v>13.65</v>
      </c>
      <c r="P616" s="196">
        <f t="shared" si="492"/>
        <v>1248.98</v>
      </c>
    </row>
    <row r="617" spans="2:16" ht="25.5">
      <c r="B617" s="190" t="s">
        <v>764</v>
      </c>
      <c r="C617" s="191" t="s">
        <v>227</v>
      </c>
      <c r="D617" s="575" t="s">
        <v>233</v>
      </c>
      <c r="E617" s="192" t="s">
        <v>51</v>
      </c>
      <c r="F617" s="193">
        <v>366.23</v>
      </c>
      <c r="G617" s="194">
        <v>4.1500000000000004</v>
      </c>
      <c r="H617" s="193">
        <v>1519.85</v>
      </c>
      <c r="I617" s="194">
        <v>0</v>
      </c>
      <c r="J617" s="193">
        <f t="shared" si="505"/>
        <v>0</v>
      </c>
      <c r="K617" s="194">
        <f>IFERROR(VLOOKUP(B617,#REF!,18,FALSE),)</f>
        <v>0</v>
      </c>
      <c r="L617" s="193">
        <f t="shared" si="506"/>
        <v>0</v>
      </c>
      <c r="M617" s="194">
        <f t="shared" si="507"/>
        <v>0</v>
      </c>
      <c r="N617" s="196">
        <f t="shared" si="508"/>
        <v>0</v>
      </c>
      <c r="O617" s="194">
        <f t="shared" si="492"/>
        <v>4.1500000000000004</v>
      </c>
      <c r="P617" s="196">
        <f t="shared" si="492"/>
        <v>1519.85</v>
      </c>
    </row>
    <row r="618" spans="2:16" ht="51">
      <c r="B618" s="190" t="s">
        <v>765</v>
      </c>
      <c r="C618" s="191">
        <v>50608</v>
      </c>
      <c r="D618" s="575" t="s">
        <v>234</v>
      </c>
      <c r="E618" s="192" t="s">
        <v>57</v>
      </c>
      <c r="F618" s="193">
        <v>88.68</v>
      </c>
      <c r="G618" s="194">
        <v>8.32</v>
      </c>
      <c r="H618" s="193">
        <v>737.82</v>
      </c>
      <c r="I618" s="194">
        <v>0</v>
      </c>
      <c r="J618" s="193">
        <f t="shared" si="505"/>
        <v>0</v>
      </c>
      <c r="K618" s="194">
        <f>IFERROR(VLOOKUP(B618,#REF!,18,FALSE),)</f>
        <v>0</v>
      </c>
      <c r="L618" s="193">
        <f t="shared" si="506"/>
        <v>0</v>
      </c>
      <c r="M618" s="194">
        <f t="shared" si="507"/>
        <v>0</v>
      </c>
      <c r="N618" s="196">
        <f t="shared" si="508"/>
        <v>0</v>
      </c>
      <c r="O618" s="194">
        <f t="shared" si="492"/>
        <v>8.32</v>
      </c>
      <c r="P618" s="196">
        <f t="shared" si="492"/>
        <v>737.82</v>
      </c>
    </row>
    <row r="619" spans="2:16" ht="25.5">
      <c r="B619" s="190" t="s">
        <v>766</v>
      </c>
      <c r="C619" s="191">
        <v>120101</v>
      </c>
      <c r="D619" s="575" t="s">
        <v>235</v>
      </c>
      <c r="E619" s="192" t="s">
        <v>57</v>
      </c>
      <c r="F619" s="193">
        <v>5.64</v>
      </c>
      <c r="G619" s="194">
        <v>531.42999999999995</v>
      </c>
      <c r="H619" s="193">
        <v>2997.27</v>
      </c>
      <c r="I619" s="194">
        <v>0</v>
      </c>
      <c r="J619" s="193">
        <f t="shared" si="505"/>
        <v>0</v>
      </c>
      <c r="K619" s="194">
        <f>IFERROR(VLOOKUP(B619,#REF!,18,FALSE),)</f>
        <v>0</v>
      </c>
      <c r="L619" s="193">
        <f t="shared" si="506"/>
        <v>0</v>
      </c>
      <c r="M619" s="194">
        <f t="shared" si="507"/>
        <v>0</v>
      </c>
      <c r="N619" s="196">
        <f t="shared" si="508"/>
        <v>0</v>
      </c>
      <c r="O619" s="194">
        <f t="shared" si="492"/>
        <v>531.42999999999995</v>
      </c>
      <c r="P619" s="196">
        <f t="shared" si="492"/>
        <v>2997.27</v>
      </c>
    </row>
    <row r="620" spans="2:16" ht="25.5">
      <c r="B620" s="190" t="s">
        <v>767</v>
      </c>
      <c r="C620" s="191">
        <v>120303</v>
      </c>
      <c r="D620" s="575" t="s">
        <v>236</v>
      </c>
      <c r="E620" s="192" t="s">
        <v>57</v>
      </c>
      <c r="F620" s="193">
        <v>49.24</v>
      </c>
      <c r="G620" s="194">
        <v>531.42999999999995</v>
      </c>
      <c r="H620" s="193">
        <v>26167.61</v>
      </c>
      <c r="I620" s="194">
        <v>0</v>
      </c>
      <c r="J620" s="193">
        <f t="shared" si="505"/>
        <v>0</v>
      </c>
      <c r="K620" s="194">
        <f>IFERROR(VLOOKUP(B620,#REF!,18,FALSE),)</f>
        <v>0</v>
      </c>
      <c r="L620" s="193">
        <f t="shared" si="506"/>
        <v>0</v>
      </c>
      <c r="M620" s="194">
        <f t="shared" si="507"/>
        <v>0</v>
      </c>
      <c r="N620" s="196">
        <f t="shared" si="508"/>
        <v>0</v>
      </c>
      <c r="O620" s="194">
        <f t="shared" si="492"/>
        <v>531.42999999999995</v>
      </c>
      <c r="P620" s="196">
        <f t="shared" si="492"/>
        <v>26167.61</v>
      </c>
    </row>
    <row r="621" spans="2:16" ht="25.5">
      <c r="B621" s="190" t="s">
        <v>768</v>
      </c>
      <c r="C621" s="191">
        <v>190117</v>
      </c>
      <c r="D621" s="575" t="s">
        <v>237</v>
      </c>
      <c r="E621" s="192" t="s">
        <v>57</v>
      </c>
      <c r="F621" s="193">
        <v>18.27</v>
      </c>
      <c r="G621" s="194">
        <v>531.42999999999995</v>
      </c>
      <c r="H621" s="193">
        <v>9709.23</v>
      </c>
      <c r="I621" s="194">
        <v>0</v>
      </c>
      <c r="J621" s="193">
        <f t="shared" si="505"/>
        <v>0</v>
      </c>
      <c r="K621" s="194">
        <f>IFERROR(VLOOKUP(B621,#REF!,18,FALSE),)</f>
        <v>0</v>
      </c>
      <c r="L621" s="193">
        <f t="shared" si="506"/>
        <v>0</v>
      </c>
      <c r="M621" s="194">
        <f t="shared" si="507"/>
        <v>0</v>
      </c>
      <c r="N621" s="196">
        <f t="shared" si="508"/>
        <v>0</v>
      </c>
      <c r="O621" s="194">
        <f t="shared" si="492"/>
        <v>531.42999999999995</v>
      </c>
      <c r="P621" s="196">
        <f t="shared" si="492"/>
        <v>9709.23</v>
      </c>
    </row>
    <row r="622" spans="2:16" ht="38.25">
      <c r="B622" s="190" t="s">
        <v>769</v>
      </c>
      <c r="C622" s="191">
        <v>130230</v>
      </c>
      <c r="D622" s="575" t="s">
        <v>238</v>
      </c>
      <c r="E622" s="192" t="s">
        <v>57</v>
      </c>
      <c r="F622" s="193">
        <v>106.19</v>
      </c>
      <c r="G622" s="194">
        <v>142.32</v>
      </c>
      <c r="H622" s="193">
        <v>15112.96</v>
      </c>
      <c r="I622" s="194">
        <v>0</v>
      </c>
      <c r="J622" s="193">
        <f t="shared" si="505"/>
        <v>0</v>
      </c>
      <c r="K622" s="194">
        <f>IFERROR(VLOOKUP(B622,#REF!,18,FALSE),)</f>
        <v>0</v>
      </c>
      <c r="L622" s="193">
        <f t="shared" si="506"/>
        <v>0</v>
      </c>
      <c r="M622" s="194">
        <f t="shared" si="507"/>
        <v>0</v>
      </c>
      <c r="N622" s="196">
        <f t="shared" si="508"/>
        <v>0</v>
      </c>
      <c r="O622" s="194">
        <f t="shared" si="492"/>
        <v>142.32</v>
      </c>
      <c r="P622" s="196">
        <f t="shared" si="492"/>
        <v>15112.96</v>
      </c>
    </row>
    <row r="623" spans="2:16" ht="25.5">
      <c r="B623" s="190" t="s">
        <v>770</v>
      </c>
      <c r="C623" s="191" t="s">
        <v>228</v>
      </c>
      <c r="D623" s="575" t="s">
        <v>239</v>
      </c>
      <c r="E623" s="192" t="s">
        <v>72</v>
      </c>
      <c r="F623" s="193">
        <v>333.45</v>
      </c>
      <c r="G623" s="194">
        <v>25</v>
      </c>
      <c r="H623" s="193">
        <v>8336.25</v>
      </c>
      <c r="I623" s="194">
        <v>0</v>
      </c>
      <c r="J623" s="193">
        <f t="shared" si="505"/>
        <v>0</v>
      </c>
      <c r="K623" s="194">
        <f>IFERROR(VLOOKUP(B623,#REF!,18,FALSE),)</f>
        <v>0</v>
      </c>
      <c r="L623" s="193">
        <f t="shared" si="506"/>
        <v>0</v>
      </c>
      <c r="M623" s="194">
        <f t="shared" si="507"/>
        <v>0</v>
      </c>
      <c r="N623" s="196">
        <f t="shared" si="508"/>
        <v>0</v>
      </c>
      <c r="O623" s="194">
        <f t="shared" si="492"/>
        <v>25</v>
      </c>
      <c r="P623" s="196">
        <f t="shared" si="492"/>
        <v>8336.25</v>
      </c>
    </row>
    <row r="624" spans="2:16">
      <c r="B624" s="138"/>
      <c r="C624" s="132"/>
      <c r="D624" s="123"/>
      <c r="E624" s="123"/>
      <c r="F624" s="123"/>
      <c r="G624" s="123"/>
      <c r="H624" s="123"/>
      <c r="I624" s="123"/>
      <c r="J624" s="123"/>
      <c r="K624" s="123"/>
      <c r="L624" s="123"/>
      <c r="M624" s="123"/>
      <c r="N624" s="124"/>
      <c r="O624" s="123">
        <f t="shared" si="492"/>
        <v>0</v>
      </c>
      <c r="P624" s="124">
        <f t="shared" si="492"/>
        <v>0</v>
      </c>
    </row>
    <row r="625" spans="2:17" s="213" customFormat="1">
      <c r="B625" s="210" t="s">
        <v>771</v>
      </c>
      <c r="C625" s="211"/>
      <c r="D625" s="212" t="s">
        <v>240</v>
      </c>
      <c r="E625" s="197"/>
      <c r="F625" s="198"/>
      <c r="G625" s="199"/>
      <c r="H625" s="200">
        <v>668379.77</v>
      </c>
      <c r="I625" s="201"/>
      <c r="J625" s="200">
        <f>SUBTOTAL(9,J626:J660)</f>
        <v>220253.33000000002</v>
      </c>
      <c r="K625" s="201"/>
      <c r="L625" s="200">
        <f>SUBTOTAL(9,L626:L660)</f>
        <v>0</v>
      </c>
      <c r="M625" s="200"/>
      <c r="N625" s="200">
        <f>SUBTOTAL(9,N626:N660)</f>
        <v>220253.33000000002</v>
      </c>
      <c r="O625" s="200">
        <f t="shared" si="492"/>
        <v>0</v>
      </c>
      <c r="P625" s="200">
        <f t="shared" si="492"/>
        <v>448126.44</v>
      </c>
    </row>
    <row r="626" spans="2:17" s="131" customFormat="1">
      <c r="B626" s="137" t="s">
        <v>772</v>
      </c>
      <c r="C626" s="133"/>
      <c r="D626" s="125" t="s">
        <v>242</v>
      </c>
      <c r="E626" s="126"/>
      <c r="F626" s="127"/>
      <c r="G626" s="128"/>
      <c r="H626" s="129">
        <v>296584.23</v>
      </c>
      <c r="I626" s="130"/>
      <c r="J626" s="129">
        <f>SUBTOTAL(9,J627:J638)</f>
        <v>183897.07</v>
      </c>
      <c r="K626" s="130"/>
      <c r="L626" s="129">
        <f>SUBTOTAL(9,L627:L638)</f>
        <v>0</v>
      </c>
      <c r="M626" s="129"/>
      <c r="N626" s="129">
        <f>SUBTOTAL(9,N627:N638)</f>
        <v>183897.07</v>
      </c>
      <c r="O626" s="129">
        <f t="shared" si="492"/>
        <v>0</v>
      </c>
      <c r="P626" s="129">
        <f t="shared" si="492"/>
        <v>112687.15999999997</v>
      </c>
    </row>
    <row r="627" spans="2:17">
      <c r="B627" s="190" t="s">
        <v>773</v>
      </c>
      <c r="C627" s="191">
        <v>40405</v>
      </c>
      <c r="D627" s="575" t="s">
        <v>264</v>
      </c>
      <c r="E627" s="192" t="s">
        <v>57</v>
      </c>
      <c r="F627" s="193">
        <v>86.33</v>
      </c>
      <c r="G627" s="194">
        <v>341</v>
      </c>
      <c r="H627" s="193">
        <v>29438.53</v>
      </c>
      <c r="I627" s="194">
        <v>341</v>
      </c>
      <c r="J627" s="193">
        <f t="shared" ref="J627:J638" si="509">TRUNC(I627*F627,2)</f>
        <v>29438.53</v>
      </c>
      <c r="K627" s="194">
        <f>IFERROR(VLOOKUP(B627,'[35]5.4.1.1'!A:U,18,FALSE),)</f>
        <v>0</v>
      </c>
      <c r="L627" s="193">
        <f t="shared" ref="L627:L638" si="510">N627-J627</f>
        <v>0</v>
      </c>
      <c r="M627" s="194">
        <f t="shared" ref="M627:M638" si="511">K627+I627</f>
        <v>341</v>
      </c>
      <c r="N627" s="196">
        <f t="shared" ref="N627:N638" si="512">TRUNC(M627*F627,2)</f>
        <v>29438.53</v>
      </c>
      <c r="O627" s="194">
        <f t="shared" si="492"/>
        <v>0</v>
      </c>
      <c r="P627" s="196">
        <f t="shared" si="492"/>
        <v>0</v>
      </c>
    </row>
    <row r="628" spans="2:17">
      <c r="B628" s="190" t="s">
        <v>774</v>
      </c>
      <c r="C628" s="191" t="s">
        <v>255</v>
      </c>
      <c r="D628" s="575" t="s">
        <v>265</v>
      </c>
      <c r="E628" s="192" t="s">
        <v>29</v>
      </c>
      <c r="F628" s="193">
        <v>7.33</v>
      </c>
      <c r="G628" s="194">
        <v>3966.02</v>
      </c>
      <c r="H628" s="193">
        <v>29070.93</v>
      </c>
      <c r="I628" s="194">
        <f>3569.418+396.602</f>
        <v>3966.02</v>
      </c>
      <c r="J628" s="193">
        <f t="shared" si="509"/>
        <v>29070.92</v>
      </c>
      <c r="K628" s="194">
        <v>0</v>
      </c>
      <c r="L628" s="193">
        <f t="shared" si="510"/>
        <v>0</v>
      </c>
      <c r="M628" s="194">
        <f t="shared" si="511"/>
        <v>3966.02</v>
      </c>
      <c r="N628" s="196">
        <f t="shared" si="512"/>
        <v>29070.92</v>
      </c>
      <c r="O628" s="194">
        <f t="shared" si="492"/>
        <v>0</v>
      </c>
      <c r="P628" s="196">
        <f t="shared" si="492"/>
        <v>1.0000000002037268E-2</v>
      </c>
    </row>
    <row r="629" spans="2:17" ht="25.5">
      <c r="B629" s="190" t="s">
        <v>775</v>
      </c>
      <c r="C629" s="191">
        <v>40328</v>
      </c>
      <c r="D629" s="575" t="s">
        <v>147</v>
      </c>
      <c r="E629" s="192" t="s">
        <v>29</v>
      </c>
      <c r="F629" s="193">
        <v>7.98</v>
      </c>
      <c r="G629" s="194">
        <v>1880</v>
      </c>
      <c r="H629" s="193">
        <v>15002.4</v>
      </c>
      <c r="I629" s="194">
        <v>1880</v>
      </c>
      <c r="J629" s="193">
        <f t="shared" si="509"/>
        <v>15002.4</v>
      </c>
      <c r="K629" s="194">
        <f>IFERROR(VLOOKUP(B629,'[35]5.4.1.3'!A:U,18,FALSE),)</f>
        <v>0</v>
      </c>
      <c r="L629" s="193">
        <f t="shared" si="510"/>
        <v>0</v>
      </c>
      <c r="M629" s="194">
        <f t="shared" si="511"/>
        <v>1880</v>
      </c>
      <c r="N629" s="196">
        <f t="shared" si="512"/>
        <v>15002.4</v>
      </c>
      <c r="O629" s="194">
        <f t="shared" si="492"/>
        <v>0</v>
      </c>
      <c r="P629" s="196">
        <f t="shared" si="492"/>
        <v>0</v>
      </c>
    </row>
    <row r="630" spans="2:17">
      <c r="B630" s="190" t="s">
        <v>776</v>
      </c>
      <c r="C630" s="191" t="s">
        <v>256</v>
      </c>
      <c r="D630" s="575" t="s">
        <v>266</v>
      </c>
      <c r="E630" s="192" t="s">
        <v>29</v>
      </c>
      <c r="F630" s="193">
        <v>11.02</v>
      </c>
      <c r="G630" s="194">
        <v>73</v>
      </c>
      <c r="H630" s="193">
        <v>804.46</v>
      </c>
      <c r="I630" s="194">
        <v>73</v>
      </c>
      <c r="J630" s="193">
        <f t="shared" si="509"/>
        <v>804.46</v>
      </c>
      <c r="K630" s="194">
        <f>IFERROR(VLOOKUP(B630,'[35]5.4.1.4'!A:U,18,FALSE),)</f>
        <v>0</v>
      </c>
      <c r="L630" s="193">
        <f t="shared" si="510"/>
        <v>0</v>
      </c>
      <c r="M630" s="194">
        <f t="shared" si="511"/>
        <v>73</v>
      </c>
      <c r="N630" s="196">
        <f t="shared" si="512"/>
        <v>804.46</v>
      </c>
      <c r="O630" s="194">
        <f t="shared" si="492"/>
        <v>0</v>
      </c>
      <c r="P630" s="196">
        <f t="shared" si="492"/>
        <v>0</v>
      </c>
    </row>
    <row r="631" spans="2:17" ht="51">
      <c r="B631" s="190" t="s">
        <v>777</v>
      </c>
      <c r="C631" s="191" t="s">
        <v>257</v>
      </c>
      <c r="D631" s="575" t="s">
        <v>267</v>
      </c>
      <c r="E631" s="192" t="s">
        <v>58</v>
      </c>
      <c r="F631" s="193">
        <v>777.83</v>
      </c>
      <c r="G631" s="194">
        <v>28.05</v>
      </c>
      <c r="H631" s="193">
        <v>21818.13</v>
      </c>
      <c r="I631" s="194">
        <v>28.05</v>
      </c>
      <c r="J631" s="193">
        <f t="shared" si="509"/>
        <v>21818.13</v>
      </c>
      <c r="K631" s="264">
        <v>0</v>
      </c>
      <c r="L631" s="263">
        <f t="shared" si="510"/>
        <v>0</v>
      </c>
      <c r="M631" s="194">
        <f t="shared" si="511"/>
        <v>28.05</v>
      </c>
      <c r="N631" s="196">
        <f t="shared" si="512"/>
        <v>21818.13</v>
      </c>
      <c r="O631" s="194">
        <f t="shared" si="492"/>
        <v>0</v>
      </c>
      <c r="P631" s="196">
        <f t="shared" si="492"/>
        <v>0</v>
      </c>
    </row>
    <row r="632" spans="2:17">
      <c r="B632" s="190" t="s">
        <v>778</v>
      </c>
      <c r="C632" s="191" t="s">
        <v>258</v>
      </c>
      <c r="D632" s="575" t="s">
        <v>268</v>
      </c>
      <c r="E632" s="192" t="s">
        <v>49</v>
      </c>
      <c r="F632" s="193">
        <v>641.15</v>
      </c>
      <c r="G632" s="194">
        <v>113.84</v>
      </c>
      <c r="H632" s="193">
        <v>72988.52</v>
      </c>
      <c r="I632" s="194">
        <v>113.84</v>
      </c>
      <c r="J632" s="193">
        <f t="shared" si="509"/>
        <v>72988.509999999995</v>
      </c>
      <c r="K632" s="194">
        <v>0</v>
      </c>
      <c r="L632" s="193">
        <f>N632-J632</f>
        <v>0</v>
      </c>
      <c r="M632" s="194">
        <f t="shared" si="511"/>
        <v>113.84</v>
      </c>
      <c r="N632" s="196">
        <f t="shared" si="512"/>
        <v>72988.509999999995</v>
      </c>
      <c r="O632" s="194">
        <f t="shared" si="492"/>
        <v>0</v>
      </c>
      <c r="P632" s="196">
        <f t="shared" si="492"/>
        <v>1.0000000009313226E-2</v>
      </c>
    </row>
    <row r="633" spans="2:17">
      <c r="B633" s="190" t="s">
        <v>779</v>
      </c>
      <c r="C633" s="191" t="s">
        <v>259</v>
      </c>
      <c r="D633" s="575" t="s">
        <v>269</v>
      </c>
      <c r="E633" s="192" t="s">
        <v>72</v>
      </c>
      <c r="F633" s="193">
        <v>14345.61</v>
      </c>
      <c r="G633" s="194">
        <v>4</v>
      </c>
      <c r="H633" s="193">
        <v>57382.44</v>
      </c>
      <c r="I633" s="194">
        <v>0</v>
      </c>
      <c r="J633" s="193">
        <f t="shared" si="509"/>
        <v>0</v>
      </c>
      <c r="K633" s="194">
        <f>IFERROR(VLOOKUP(B633,#REF!,18,FALSE),)</f>
        <v>0</v>
      </c>
      <c r="L633" s="193">
        <f t="shared" si="510"/>
        <v>0</v>
      </c>
      <c r="M633" s="194">
        <f t="shared" si="511"/>
        <v>0</v>
      </c>
      <c r="N633" s="196">
        <f t="shared" si="512"/>
        <v>0</v>
      </c>
      <c r="O633" s="194">
        <f t="shared" si="492"/>
        <v>4</v>
      </c>
      <c r="P633" s="196">
        <f t="shared" si="492"/>
        <v>57382.44</v>
      </c>
    </row>
    <row r="634" spans="2:17">
      <c r="B634" s="190" t="s">
        <v>780</v>
      </c>
      <c r="C634" s="191" t="s">
        <v>260</v>
      </c>
      <c r="D634" s="575" t="s">
        <v>270</v>
      </c>
      <c r="E634" s="192" t="s">
        <v>72</v>
      </c>
      <c r="F634" s="193">
        <v>5478.19</v>
      </c>
      <c r="G634" s="194">
        <v>2</v>
      </c>
      <c r="H634" s="193">
        <v>10956.38</v>
      </c>
      <c r="I634" s="194">
        <v>0</v>
      </c>
      <c r="J634" s="193">
        <f t="shared" si="509"/>
        <v>0</v>
      </c>
      <c r="K634" s="194">
        <f>IFERROR(VLOOKUP(B634,#REF!,18,FALSE),)</f>
        <v>0</v>
      </c>
      <c r="L634" s="193">
        <f t="shared" si="510"/>
        <v>0</v>
      </c>
      <c r="M634" s="194">
        <f t="shared" si="511"/>
        <v>0</v>
      </c>
      <c r="N634" s="196">
        <f t="shared" si="512"/>
        <v>0</v>
      </c>
      <c r="O634" s="194">
        <f t="shared" si="492"/>
        <v>2</v>
      </c>
      <c r="P634" s="196">
        <f t="shared" si="492"/>
        <v>10956.38</v>
      </c>
      <c r="Q634" s="585"/>
    </row>
    <row r="635" spans="2:17" ht="25.5">
      <c r="B635" s="190" t="s">
        <v>781</v>
      </c>
      <c r="C635" s="191">
        <v>40817</v>
      </c>
      <c r="D635" s="575" t="s">
        <v>271</v>
      </c>
      <c r="E635" s="192" t="s">
        <v>58</v>
      </c>
      <c r="F635" s="193">
        <v>3001.6</v>
      </c>
      <c r="G635" s="194">
        <v>0.03</v>
      </c>
      <c r="H635" s="193">
        <v>90.05</v>
      </c>
      <c r="I635" s="194">
        <v>0</v>
      </c>
      <c r="J635" s="193">
        <f t="shared" si="509"/>
        <v>0</v>
      </c>
      <c r="K635" s="194">
        <f>IFERROR(VLOOKUP(B635,#REF!,18,FALSE),)</f>
        <v>0</v>
      </c>
      <c r="L635" s="193">
        <f t="shared" si="510"/>
        <v>0</v>
      </c>
      <c r="M635" s="194">
        <f t="shared" si="511"/>
        <v>0</v>
      </c>
      <c r="N635" s="196">
        <f t="shared" si="512"/>
        <v>0</v>
      </c>
      <c r="O635" s="194">
        <f t="shared" si="492"/>
        <v>0.03</v>
      </c>
      <c r="P635" s="196">
        <f t="shared" si="492"/>
        <v>90.05</v>
      </c>
    </row>
    <row r="636" spans="2:17">
      <c r="B636" s="190" t="s">
        <v>782</v>
      </c>
      <c r="C636" s="191" t="s">
        <v>261</v>
      </c>
      <c r="D636" s="575" t="s">
        <v>272</v>
      </c>
      <c r="E636" s="192" t="s">
        <v>72</v>
      </c>
      <c r="F636" s="193">
        <v>2011.04</v>
      </c>
      <c r="G636" s="194">
        <v>15</v>
      </c>
      <c r="H636" s="193">
        <v>30165.599999999999</v>
      </c>
      <c r="I636" s="194">
        <v>0</v>
      </c>
      <c r="J636" s="193">
        <f t="shared" si="509"/>
        <v>0</v>
      </c>
      <c r="K636" s="194">
        <f>IFERROR(VLOOKUP(B636,#REF!,18,FALSE),)</f>
        <v>0</v>
      </c>
      <c r="L636" s="193">
        <f t="shared" si="510"/>
        <v>0</v>
      </c>
      <c r="M636" s="194">
        <f t="shared" si="511"/>
        <v>0</v>
      </c>
      <c r="N636" s="196">
        <f t="shared" si="512"/>
        <v>0</v>
      </c>
      <c r="O636" s="194">
        <f t="shared" si="492"/>
        <v>15</v>
      </c>
      <c r="P636" s="196">
        <f t="shared" si="492"/>
        <v>30165.599999999999</v>
      </c>
    </row>
    <row r="637" spans="2:17" ht="25.5">
      <c r="B637" s="190" t="s">
        <v>783</v>
      </c>
      <c r="C637" s="191" t="s">
        <v>262</v>
      </c>
      <c r="D637" s="575" t="s">
        <v>273</v>
      </c>
      <c r="E637" s="192" t="s">
        <v>72</v>
      </c>
      <c r="F637" s="193">
        <v>28185.33</v>
      </c>
      <c r="G637" s="194">
        <v>1</v>
      </c>
      <c r="H637" s="193">
        <v>28185.33</v>
      </c>
      <c r="I637" s="194">
        <v>0.5</v>
      </c>
      <c r="J637" s="193">
        <f t="shared" si="509"/>
        <v>14092.66</v>
      </c>
      <c r="K637" s="194">
        <v>0</v>
      </c>
      <c r="L637" s="193">
        <f t="shared" si="510"/>
        <v>0</v>
      </c>
      <c r="M637" s="194">
        <f t="shared" si="511"/>
        <v>0.5</v>
      </c>
      <c r="N637" s="196">
        <f t="shared" si="512"/>
        <v>14092.66</v>
      </c>
      <c r="O637" s="194">
        <f t="shared" si="492"/>
        <v>0.5</v>
      </c>
      <c r="P637" s="196">
        <f t="shared" si="492"/>
        <v>14092.670000000002</v>
      </c>
    </row>
    <row r="638" spans="2:17">
      <c r="B638" s="190" t="s">
        <v>784</v>
      </c>
      <c r="C638" s="191" t="s">
        <v>263</v>
      </c>
      <c r="D638" s="575" t="s">
        <v>274</v>
      </c>
      <c r="E638" s="192" t="s">
        <v>72</v>
      </c>
      <c r="F638" s="193">
        <v>340.73</v>
      </c>
      <c r="G638" s="194">
        <v>2</v>
      </c>
      <c r="H638" s="193">
        <v>681.46</v>
      </c>
      <c r="I638" s="194">
        <v>2</v>
      </c>
      <c r="J638" s="193">
        <f t="shared" si="509"/>
        <v>681.46</v>
      </c>
      <c r="K638" s="264">
        <v>0</v>
      </c>
      <c r="L638" s="263">
        <f t="shared" si="510"/>
        <v>0</v>
      </c>
      <c r="M638" s="194">
        <f t="shared" si="511"/>
        <v>2</v>
      </c>
      <c r="N638" s="196">
        <f t="shared" si="512"/>
        <v>681.46</v>
      </c>
      <c r="O638" s="194">
        <f t="shared" si="492"/>
        <v>0</v>
      </c>
      <c r="P638" s="196">
        <f t="shared" si="492"/>
        <v>0</v>
      </c>
    </row>
    <row r="639" spans="2:17">
      <c r="B639" s="138"/>
      <c r="C639" s="132"/>
      <c r="D639" s="123"/>
      <c r="E639" s="123"/>
      <c r="F639" s="123"/>
      <c r="G639" s="123"/>
      <c r="H639" s="123"/>
      <c r="I639" s="123"/>
      <c r="J639" s="123"/>
      <c r="K639" s="123"/>
      <c r="L639" s="123"/>
      <c r="M639" s="123"/>
      <c r="N639" s="124"/>
      <c r="O639" s="123">
        <f t="shared" si="492"/>
        <v>0</v>
      </c>
      <c r="P639" s="124">
        <f t="shared" si="492"/>
        <v>0</v>
      </c>
    </row>
    <row r="640" spans="2:17" s="131" customFormat="1">
      <c r="B640" s="137" t="s">
        <v>785</v>
      </c>
      <c r="C640" s="133"/>
      <c r="D640" s="125" t="s">
        <v>276</v>
      </c>
      <c r="E640" s="126"/>
      <c r="F640" s="127"/>
      <c r="G640" s="128"/>
      <c r="H640" s="129">
        <v>1359.12</v>
      </c>
      <c r="I640" s="130"/>
      <c r="J640" s="129">
        <f>SUBTOTAL(9,J641:J641)</f>
        <v>0</v>
      </c>
      <c r="K640" s="130"/>
      <c r="L640" s="129">
        <f>SUBTOTAL(9,L641:L641)</f>
        <v>0</v>
      </c>
      <c r="M640" s="129"/>
      <c r="N640" s="129">
        <f>SUBTOTAL(9,N641:N641)</f>
        <v>0</v>
      </c>
      <c r="O640" s="129">
        <f t="shared" si="492"/>
        <v>0</v>
      </c>
      <c r="P640" s="129">
        <f t="shared" si="492"/>
        <v>1359.12</v>
      </c>
    </row>
    <row r="641" spans="2:16" ht="25.5">
      <c r="B641" s="190" t="s">
        <v>786</v>
      </c>
      <c r="C641" s="191" t="s">
        <v>787</v>
      </c>
      <c r="D641" s="575" t="s">
        <v>788</v>
      </c>
      <c r="E641" s="192" t="s">
        <v>72</v>
      </c>
      <c r="F641" s="193">
        <v>1359.12</v>
      </c>
      <c r="G641" s="194">
        <v>1</v>
      </c>
      <c r="H641" s="193">
        <v>1359.12</v>
      </c>
      <c r="I641" s="194">
        <v>0</v>
      </c>
      <c r="J641" s="193">
        <f t="shared" ref="J641" si="513">TRUNC(I641*F641,2)</f>
        <v>0</v>
      </c>
      <c r="K641" s="194">
        <f>IFERROR(VLOOKUP(B641,#REF!,18,FALSE),)</f>
        <v>0</v>
      </c>
      <c r="L641" s="193">
        <f t="shared" ref="L641" si="514">N641-J641</f>
        <v>0</v>
      </c>
      <c r="M641" s="194">
        <f t="shared" ref="M641" si="515">K641+I641</f>
        <v>0</v>
      </c>
      <c r="N641" s="196">
        <f t="shared" ref="N641" si="516">TRUNC(M641*F641,2)</f>
        <v>0</v>
      </c>
      <c r="O641" s="194">
        <f t="shared" si="492"/>
        <v>1</v>
      </c>
      <c r="P641" s="196">
        <f t="shared" si="492"/>
        <v>1359.12</v>
      </c>
    </row>
    <row r="642" spans="2:16">
      <c r="B642" s="138"/>
      <c r="C642" s="132"/>
      <c r="D642" s="123"/>
      <c r="E642" s="123"/>
      <c r="F642" s="123"/>
      <c r="G642" s="123"/>
      <c r="H642" s="123"/>
      <c r="I642" s="123"/>
      <c r="J642" s="123"/>
      <c r="K642" s="123"/>
      <c r="L642" s="123"/>
      <c r="M642" s="123"/>
      <c r="N642" s="124"/>
      <c r="O642" s="123">
        <f t="shared" si="492"/>
        <v>0</v>
      </c>
      <c r="P642" s="124">
        <f t="shared" si="492"/>
        <v>0</v>
      </c>
    </row>
    <row r="643" spans="2:16" s="131" customFormat="1">
      <c r="B643" s="137" t="s">
        <v>789</v>
      </c>
      <c r="C643" s="133"/>
      <c r="D643" s="125" t="s">
        <v>281</v>
      </c>
      <c r="E643" s="126"/>
      <c r="F643" s="127"/>
      <c r="G643" s="128"/>
      <c r="H643" s="129">
        <v>360780.76</v>
      </c>
      <c r="I643" s="130"/>
      <c r="J643" s="129">
        <f>SUBTOTAL(9,J644:J657)</f>
        <v>36356.26</v>
      </c>
      <c r="K643" s="130"/>
      <c r="L643" s="129">
        <f>SUBTOTAL(9,L644:L657)</f>
        <v>0</v>
      </c>
      <c r="M643" s="129"/>
      <c r="N643" s="129">
        <f>SUBTOTAL(9,N644:N657)</f>
        <v>36356.26</v>
      </c>
      <c r="O643" s="129">
        <f t="shared" si="492"/>
        <v>0</v>
      </c>
      <c r="P643" s="129">
        <f t="shared" si="492"/>
        <v>324424.5</v>
      </c>
    </row>
    <row r="644" spans="2:16" ht="25.5">
      <c r="B644" s="190" t="s">
        <v>790</v>
      </c>
      <c r="C644" s="191" t="s">
        <v>294</v>
      </c>
      <c r="D644" s="575" t="s">
        <v>304</v>
      </c>
      <c r="E644" s="192" t="s">
        <v>315</v>
      </c>
      <c r="F644" s="193">
        <v>18178.13</v>
      </c>
      <c r="G644" s="194">
        <v>2</v>
      </c>
      <c r="H644" s="193">
        <v>36356.26</v>
      </c>
      <c r="I644" s="194">
        <v>2</v>
      </c>
      <c r="J644" s="193">
        <f t="shared" ref="J644:J657" si="517">TRUNC(I644*F644,2)</f>
        <v>36356.26</v>
      </c>
      <c r="K644" s="194">
        <f>IFERROR(VLOOKUP(B644,'[35]5.4.3.1'!A:U,18,FALSE),)</f>
        <v>0</v>
      </c>
      <c r="L644" s="193">
        <f t="shared" ref="L644:L657" si="518">N644-J644</f>
        <v>0</v>
      </c>
      <c r="M644" s="194">
        <f t="shared" ref="M644:M657" si="519">K644+I644</f>
        <v>2</v>
      </c>
      <c r="N644" s="196">
        <f t="shared" ref="N644:N657" si="520">TRUNC(M644*F644,2)</f>
        <v>36356.26</v>
      </c>
      <c r="O644" s="194">
        <f t="shared" si="492"/>
        <v>0</v>
      </c>
      <c r="P644" s="196">
        <f t="shared" si="492"/>
        <v>0</v>
      </c>
    </row>
    <row r="645" spans="2:16" ht="25.5">
      <c r="B645" s="190" t="s">
        <v>791</v>
      </c>
      <c r="C645" s="191" t="s">
        <v>295</v>
      </c>
      <c r="D645" s="575" t="s">
        <v>305</v>
      </c>
      <c r="E645" s="192" t="s">
        <v>51</v>
      </c>
      <c r="F645" s="193">
        <v>1268.83</v>
      </c>
      <c r="G645" s="194">
        <v>92.4</v>
      </c>
      <c r="H645" s="193">
        <v>117239.89</v>
      </c>
      <c r="I645" s="194">
        <v>0</v>
      </c>
      <c r="J645" s="193">
        <f t="shared" si="517"/>
        <v>0</v>
      </c>
      <c r="K645" s="194">
        <f>IFERROR(VLOOKUP(B645,#REF!,18,FALSE),)</f>
        <v>0</v>
      </c>
      <c r="L645" s="193">
        <f t="shared" si="518"/>
        <v>0</v>
      </c>
      <c r="M645" s="194">
        <f t="shared" si="519"/>
        <v>0</v>
      </c>
      <c r="N645" s="196">
        <f t="shared" si="520"/>
        <v>0</v>
      </c>
      <c r="O645" s="194">
        <f t="shared" si="492"/>
        <v>92.4</v>
      </c>
      <c r="P645" s="196">
        <f t="shared" si="492"/>
        <v>117239.89</v>
      </c>
    </row>
    <row r="646" spans="2:16">
      <c r="B646" s="190" t="s">
        <v>792</v>
      </c>
      <c r="C646" s="191" t="s">
        <v>296</v>
      </c>
      <c r="D646" s="575" t="s">
        <v>306</v>
      </c>
      <c r="E646" s="192" t="s">
        <v>51</v>
      </c>
      <c r="F646" s="193">
        <v>294.97000000000003</v>
      </c>
      <c r="G646" s="194">
        <v>92.4</v>
      </c>
      <c r="H646" s="193">
        <v>27255.23</v>
      </c>
      <c r="I646" s="194">
        <v>0</v>
      </c>
      <c r="J646" s="193">
        <f t="shared" si="517"/>
        <v>0</v>
      </c>
      <c r="K646" s="194">
        <f>IFERROR(VLOOKUP(B646,#REF!,18,FALSE),)</f>
        <v>0</v>
      </c>
      <c r="L646" s="193">
        <f t="shared" si="518"/>
        <v>0</v>
      </c>
      <c r="M646" s="194">
        <f t="shared" si="519"/>
        <v>0</v>
      </c>
      <c r="N646" s="196">
        <f t="shared" si="520"/>
        <v>0</v>
      </c>
      <c r="O646" s="194">
        <f t="shared" si="492"/>
        <v>92.4</v>
      </c>
      <c r="P646" s="196">
        <f t="shared" si="492"/>
        <v>27255.23</v>
      </c>
    </row>
    <row r="647" spans="2:16">
      <c r="B647" s="190" t="s">
        <v>793</v>
      </c>
      <c r="C647" s="191" t="s">
        <v>297</v>
      </c>
      <c r="D647" s="575" t="s">
        <v>307</v>
      </c>
      <c r="E647" s="192" t="s">
        <v>51</v>
      </c>
      <c r="F647" s="193">
        <v>309.62</v>
      </c>
      <c r="G647" s="194">
        <v>66.599999999999994</v>
      </c>
      <c r="H647" s="193">
        <v>20620.689999999999</v>
      </c>
      <c r="I647" s="194">
        <v>0</v>
      </c>
      <c r="J647" s="193">
        <f t="shared" si="517"/>
        <v>0</v>
      </c>
      <c r="K647" s="194">
        <f>IFERROR(VLOOKUP(B647,#REF!,18,FALSE),)</f>
        <v>0</v>
      </c>
      <c r="L647" s="193">
        <f t="shared" si="518"/>
        <v>0</v>
      </c>
      <c r="M647" s="194">
        <f t="shared" si="519"/>
        <v>0</v>
      </c>
      <c r="N647" s="196">
        <f t="shared" si="520"/>
        <v>0</v>
      </c>
      <c r="O647" s="194">
        <f t="shared" si="492"/>
        <v>66.599999999999994</v>
      </c>
      <c r="P647" s="196">
        <f t="shared" si="492"/>
        <v>20620.689999999999</v>
      </c>
    </row>
    <row r="648" spans="2:16" ht="25.5">
      <c r="B648" s="190" t="s">
        <v>794</v>
      </c>
      <c r="C648" s="191" t="s">
        <v>298</v>
      </c>
      <c r="D648" s="575" t="s">
        <v>308</v>
      </c>
      <c r="E648" s="192" t="s">
        <v>51</v>
      </c>
      <c r="F648" s="193">
        <v>358.26</v>
      </c>
      <c r="G648" s="194">
        <v>66.599999999999994</v>
      </c>
      <c r="H648" s="193">
        <v>23860.12</v>
      </c>
      <c r="I648" s="194">
        <v>0</v>
      </c>
      <c r="J648" s="193">
        <f t="shared" si="517"/>
        <v>0</v>
      </c>
      <c r="K648" s="194">
        <f>IFERROR(VLOOKUP(B648,#REF!,18,FALSE),)</f>
        <v>0</v>
      </c>
      <c r="L648" s="193">
        <f t="shared" si="518"/>
        <v>0</v>
      </c>
      <c r="M648" s="194">
        <f t="shared" si="519"/>
        <v>0</v>
      </c>
      <c r="N648" s="196">
        <f t="shared" si="520"/>
        <v>0</v>
      </c>
      <c r="O648" s="194">
        <f t="shared" si="492"/>
        <v>66.599999999999994</v>
      </c>
      <c r="P648" s="196">
        <f t="shared" si="492"/>
        <v>23860.12</v>
      </c>
    </row>
    <row r="649" spans="2:16" ht="25.5">
      <c r="B649" s="190" t="s">
        <v>795</v>
      </c>
      <c r="C649" s="191" t="s">
        <v>497</v>
      </c>
      <c r="D649" s="575" t="s">
        <v>500</v>
      </c>
      <c r="E649" s="192" t="s">
        <v>51</v>
      </c>
      <c r="F649" s="193">
        <v>3440.35</v>
      </c>
      <c r="G649" s="194">
        <v>8</v>
      </c>
      <c r="H649" s="193">
        <v>27522.799999999999</v>
      </c>
      <c r="I649" s="194">
        <v>0</v>
      </c>
      <c r="J649" s="193">
        <f t="shared" si="517"/>
        <v>0</v>
      </c>
      <c r="K649" s="194">
        <f>IFERROR(VLOOKUP(B649,#REF!,18,FALSE),)</f>
        <v>0</v>
      </c>
      <c r="L649" s="193">
        <f t="shared" si="518"/>
        <v>0</v>
      </c>
      <c r="M649" s="194">
        <f t="shared" si="519"/>
        <v>0</v>
      </c>
      <c r="N649" s="196">
        <f t="shared" si="520"/>
        <v>0</v>
      </c>
      <c r="O649" s="194">
        <f t="shared" si="492"/>
        <v>8</v>
      </c>
      <c r="P649" s="196">
        <f t="shared" si="492"/>
        <v>27522.799999999999</v>
      </c>
    </row>
    <row r="650" spans="2:16" ht="25.5">
      <c r="B650" s="190" t="s">
        <v>796</v>
      </c>
      <c r="C650" s="191" t="s">
        <v>498</v>
      </c>
      <c r="D650" s="575" t="s">
        <v>501</v>
      </c>
      <c r="E650" s="192" t="s">
        <v>51</v>
      </c>
      <c r="F650" s="193">
        <v>2019.23</v>
      </c>
      <c r="G650" s="194">
        <v>8</v>
      </c>
      <c r="H650" s="193">
        <v>16153.84</v>
      </c>
      <c r="I650" s="194">
        <v>0</v>
      </c>
      <c r="J650" s="193">
        <f t="shared" si="517"/>
        <v>0</v>
      </c>
      <c r="K650" s="194">
        <f>IFERROR(VLOOKUP(B650,#REF!,18,FALSE),)</f>
        <v>0</v>
      </c>
      <c r="L650" s="193">
        <f t="shared" si="518"/>
        <v>0</v>
      </c>
      <c r="M650" s="194">
        <f t="shared" si="519"/>
        <v>0</v>
      </c>
      <c r="N650" s="196">
        <f t="shared" si="520"/>
        <v>0</v>
      </c>
      <c r="O650" s="194">
        <f t="shared" si="492"/>
        <v>8</v>
      </c>
      <c r="P650" s="196">
        <f t="shared" si="492"/>
        <v>16153.84</v>
      </c>
    </row>
    <row r="651" spans="2:16" ht="25.5">
      <c r="B651" s="190" t="s">
        <v>797</v>
      </c>
      <c r="C651" s="191" t="s">
        <v>299</v>
      </c>
      <c r="D651" s="575" t="s">
        <v>309</v>
      </c>
      <c r="E651" s="192" t="s">
        <v>29</v>
      </c>
      <c r="F651" s="193">
        <v>8.1199999999999992</v>
      </c>
      <c r="G651" s="194">
        <v>6521</v>
      </c>
      <c r="H651" s="193">
        <v>52950.52</v>
      </c>
      <c r="I651" s="194">
        <v>0</v>
      </c>
      <c r="J651" s="193">
        <f t="shared" si="517"/>
        <v>0</v>
      </c>
      <c r="K651" s="194">
        <f>IFERROR(VLOOKUP(B651,#REF!,18,FALSE),)</f>
        <v>0</v>
      </c>
      <c r="L651" s="193">
        <f t="shared" si="518"/>
        <v>0</v>
      </c>
      <c r="M651" s="194">
        <f t="shared" si="519"/>
        <v>0</v>
      </c>
      <c r="N651" s="196">
        <f t="shared" si="520"/>
        <v>0</v>
      </c>
      <c r="O651" s="194">
        <f t="shared" si="492"/>
        <v>6521</v>
      </c>
      <c r="P651" s="196">
        <f t="shared" si="492"/>
        <v>52950.52</v>
      </c>
    </row>
    <row r="652" spans="2:16">
      <c r="B652" s="190" t="s">
        <v>798</v>
      </c>
      <c r="C652" s="191" t="s">
        <v>300</v>
      </c>
      <c r="D652" s="575" t="s">
        <v>310</v>
      </c>
      <c r="E652" s="192" t="s">
        <v>29</v>
      </c>
      <c r="F652" s="193">
        <v>0.64</v>
      </c>
      <c r="G652" s="194">
        <v>6521</v>
      </c>
      <c r="H652" s="193">
        <v>4173.4399999999996</v>
      </c>
      <c r="I652" s="194">
        <v>0</v>
      </c>
      <c r="J652" s="193">
        <f t="shared" si="517"/>
        <v>0</v>
      </c>
      <c r="K652" s="194">
        <f>IFERROR(VLOOKUP(B652,#REF!,18,FALSE),)</f>
        <v>0</v>
      </c>
      <c r="L652" s="193">
        <f t="shared" si="518"/>
        <v>0</v>
      </c>
      <c r="M652" s="194">
        <f t="shared" si="519"/>
        <v>0</v>
      </c>
      <c r="N652" s="196">
        <f t="shared" si="520"/>
        <v>0</v>
      </c>
      <c r="O652" s="194">
        <f t="shared" si="492"/>
        <v>6521</v>
      </c>
      <c r="P652" s="196">
        <f t="shared" si="492"/>
        <v>4173.4399999999996</v>
      </c>
    </row>
    <row r="653" spans="2:16" ht="38.25">
      <c r="B653" s="190" t="s">
        <v>799</v>
      </c>
      <c r="C653" s="191" t="s">
        <v>140</v>
      </c>
      <c r="D653" s="575" t="s">
        <v>804</v>
      </c>
      <c r="E653" s="192" t="s">
        <v>58</v>
      </c>
      <c r="F653" s="193">
        <v>486.08</v>
      </c>
      <c r="G653" s="194">
        <v>36.89</v>
      </c>
      <c r="H653" s="193">
        <v>17931.490000000002</v>
      </c>
      <c r="I653" s="194">
        <v>0</v>
      </c>
      <c r="J653" s="193">
        <f t="shared" si="517"/>
        <v>0</v>
      </c>
      <c r="K653" s="194">
        <f>IFERROR(VLOOKUP(B653,#REF!,18,FALSE),)</f>
        <v>0</v>
      </c>
      <c r="L653" s="193">
        <f t="shared" si="518"/>
        <v>0</v>
      </c>
      <c r="M653" s="194">
        <f t="shared" si="519"/>
        <v>0</v>
      </c>
      <c r="N653" s="196">
        <f t="shared" si="520"/>
        <v>0</v>
      </c>
      <c r="O653" s="194">
        <f t="shared" si="492"/>
        <v>36.89</v>
      </c>
      <c r="P653" s="196">
        <f t="shared" si="492"/>
        <v>17931.490000000002</v>
      </c>
    </row>
    <row r="654" spans="2:16">
      <c r="B654" s="190" t="s">
        <v>800</v>
      </c>
      <c r="C654" s="191" t="s">
        <v>301</v>
      </c>
      <c r="D654" s="575" t="s">
        <v>311</v>
      </c>
      <c r="E654" s="192" t="s">
        <v>49</v>
      </c>
      <c r="F654" s="193">
        <v>105.97</v>
      </c>
      <c r="G654" s="194">
        <v>36.89</v>
      </c>
      <c r="H654" s="193">
        <v>3909.23</v>
      </c>
      <c r="I654" s="194">
        <v>0</v>
      </c>
      <c r="J654" s="193">
        <f t="shared" si="517"/>
        <v>0</v>
      </c>
      <c r="K654" s="194">
        <f>IFERROR(VLOOKUP(B654,#REF!,18,FALSE),)</f>
        <v>0</v>
      </c>
      <c r="L654" s="193">
        <f t="shared" si="518"/>
        <v>0</v>
      </c>
      <c r="M654" s="194">
        <f t="shared" si="519"/>
        <v>0</v>
      </c>
      <c r="N654" s="196">
        <f t="shared" si="520"/>
        <v>0</v>
      </c>
      <c r="O654" s="194">
        <f t="shared" si="492"/>
        <v>36.89</v>
      </c>
      <c r="P654" s="196">
        <f t="shared" si="492"/>
        <v>3909.23</v>
      </c>
    </row>
    <row r="655" spans="2:16">
      <c r="B655" s="190" t="s">
        <v>801</v>
      </c>
      <c r="C655" s="191" t="s">
        <v>302</v>
      </c>
      <c r="D655" s="575" t="s">
        <v>312</v>
      </c>
      <c r="E655" s="192" t="s">
        <v>72</v>
      </c>
      <c r="F655" s="193">
        <v>1.62</v>
      </c>
      <c r="G655" s="194">
        <v>4</v>
      </c>
      <c r="H655" s="193">
        <v>6.48</v>
      </c>
      <c r="I655" s="194">
        <v>0</v>
      </c>
      <c r="J655" s="193">
        <f t="shared" si="517"/>
        <v>0</v>
      </c>
      <c r="K655" s="194">
        <f>IFERROR(VLOOKUP(B655,#REF!,18,FALSE),)</f>
        <v>0</v>
      </c>
      <c r="L655" s="193">
        <f t="shared" si="518"/>
        <v>0</v>
      </c>
      <c r="M655" s="194">
        <f t="shared" si="519"/>
        <v>0</v>
      </c>
      <c r="N655" s="196">
        <f t="shared" si="520"/>
        <v>0</v>
      </c>
      <c r="O655" s="194">
        <f t="shared" si="492"/>
        <v>4</v>
      </c>
      <c r="P655" s="196">
        <f t="shared" si="492"/>
        <v>6.48</v>
      </c>
    </row>
    <row r="656" spans="2:16">
      <c r="B656" s="190" t="s">
        <v>802</v>
      </c>
      <c r="C656" s="191" t="s">
        <v>303</v>
      </c>
      <c r="D656" s="575" t="s">
        <v>313</v>
      </c>
      <c r="E656" s="192" t="s">
        <v>72</v>
      </c>
      <c r="F656" s="193">
        <v>5793.75</v>
      </c>
      <c r="G656" s="194">
        <v>2</v>
      </c>
      <c r="H656" s="193">
        <v>11587.5</v>
      </c>
      <c r="I656" s="194">
        <v>0</v>
      </c>
      <c r="J656" s="193">
        <f t="shared" si="517"/>
        <v>0</v>
      </c>
      <c r="K656" s="194">
        <f>IFERROR(VLOOKUP(B656,#REF!,18,FALSE),)</f>
        <v>0</v>
      </c>
      <c r="L656" s="193">
        <f t="shared" si="518"/>
        <v>0</v>
      </c>
      <c r="M656" s="194">
        <f t="shared" si="519"/>
        <v>0</v>
      </c>
      <c r="N656" s="196">
        <f t="shared" si="520"/>
        <v>0</v>
      </c>
      <c r="O656" s="194">
        <f t="shared" si="492"/>
        <v>2</v>
      </c>
      <c r="P656" s="196">
        <f t="shared" si="492"/>
        <v>11587.5</v>
      </c>
    </row>
    <row r="657" spans="2:16" ht="25.5">
      <c r="B657" s="190" t="s">
        <v>803</v>
      </c>
      <c r="C657" s="191">
        <v>190418</v>
      </c>
      <c r="D657" s="575" t="s">
        <v>314</v>
      </c>
      <c r="E657" s="192" t="s">
        <v>57</v>
      </c>
      <c r="F657" s="193">
        <v>33.049999999999997</v>
      </c>
      <c r="G657" s="194">
        <v>36.71</v>
      </c>
      <c r="H657" s="193">
        <v>1213.27</v>
      </c>
      <c r="I657" s="194">
        <v>0</v>
      </c>
      <c r="J657" s="193">
        <f t="shared" si="517"/>
        <v>0</v>
      </c>
      <c r="K657" s="194">
        <f>IFERROR(VLOOKUP(B657,#REF!,18,FALSE),)</f>
        <v>0</v>
      </c>
      <c r="L657" s="193">
        <f t="shared" si="518"/>
        <v>0</v>
      </c>
      <c r="M657" s="194">
        <f t="shared" si="519"/>
        <v>0</v>
      </c>
      <c r="N657" s="196">
        <f t="shared" si="520"/>
        <v>0</v>
      </c>
      <c r="O657" s="194">
        <f t="shared" si="492"/>
        <v>36.71</v>
      </c>
      <c r="P657" s="196">
        <f t="shared" si="492"/>
        <v>1213.27</v>
      </c>
    </row>
    <row r="658" spans="2:16">
      <c r="B658" s="138"/>
      <c r="C658" s="132"/>
      <c r="D658" s="123"/>
      <c r="E658" s="123"/>
      <c r="F658" s="123"/>
      <c r="G658" s="123"/>
      <c r="H658" s="123"/>
      <c r="I658" s="123"/>
      <c r="J658" s="123"/>
      <c r="K658" s="123"/>
      <c r="L658" s="123"/>
      <c r="M658" s="123"/>
      <c r="N658" s="124"/>
      <c r="O658" s="123">
        <f t="shared" si="492"/>
        <v>0</v>
      </c>
      <c r="P658" s="124">
        <f t="shared" si="492"/>
        <v>0</v>
      </c>
    </row>
    <row r="659" spans="2:16" s="131" customFormat="1">
      <c r="B659" s="137" t="s">
        <v>805</v>
      </c>
      <c r="C659" s="133"/>
      <c r="D659" s="125" t="s">
        <v>212</v>
      </c>
      <c r="E659" s="126"/>
      <c r="F659" s="127"/>
      <c r="G659" s="128"/>
      <c r="H659" s="129">
        <v>9655.66</v>
      </c>
      <c r="I659" s="130"/>
      <c r="J659" s="129">
        <f>SUBTOTAL(9,J660:J660)</f>
        <v>0</v>
      </c>
      <c r="K659" s="130"/>
      <c r="L659" s="129">
        <f>SUBTOTAL(9,L660:L660)</f>
        <v>0</v>
      </c>
      <c r="M659" s="129"/>
      <c r="N659" s="129">
        <f>SUBTOTAL(9,N660:N660)</f>
        <v>0</v>
      </c>
      <c r="O659" s="129">
        <f t="shared" si="492"/>
        <v>0</v>
      </c>
      <c r="P659" s="129">
        <f t="shared" si="492"/>
        <v>9655.66</v>
      </c>
    </row>
    <row r="660" spans="2:16" ht="25.5">
      <c r="B660" s="190" t="s">
        <v>806</v>
      </c>
      <c r="C660" s="191" t="s">
        <v>227</v>
      </c>
      <c r="D660" s="575" t="s">
        <v>233</v>
      </c>
      <c r="E660" s="192" t="s">
        <v>51</v>
      </c>
      <c r="F660" s="193">
        <v>366.23</v>
      </c>
      <c r="G660" s="194">
        <v>23.86</v>
      </c>
      <c r="H660" s="193">
        <v>9655.66</v>
      </c>
      <c r="I660" s="194">
        <v>0</v>
      </c>
      <c r="J660" s="193">
        <f t="shared" ref="J660" si="521">TRUNC(I660*F660,2)</f>
        <v>0</v>
      </c>
      <c r="K660" s="194">
        <f>IFERROR(VLOOKUP(B660,#REF!,18,FALSE),)</f>
        <v>0</v>
      </c>
      <c r="L660" s="193">
        <f t="shared" ref="L660" si="522">N660-J660</f>
        <v>0</v>
      </c>
      <c r="M660" s="194">
        <f t="shared" ref="M660" si="523">K660+I660</f>
        <v>0</v>
      </c>
      <c r="N660" s="196">
        <f t="shared" ref="N660" si="524">TRUNC(M660*F660,2)</f>
        <v>0</v>
      </c>
      <c r="O660" s="194">
        <f t="shared" si="492"/>
        <v>23.86</v>
      </c>
      <c r="P660" s="196">
        <f t="shared" si="492"/>
        <v>9655.66</v>
      </c>
    </row>
    <row r="661" spans="2:16">
      <c r="B661" s="138"/>
      <c r="C661" s="132"/>
      <c r="D661" s="123"/>
      <c r="E661" s="123"/>
      <c r="F661" s="123"/>
      <c r="G661" s="123"/>
      <c r="H661" s="123"/>
      <c r="I661" s="123"/>
      <c r="J661" s="123"/>
      <c r="K661" s="123"/>
      <c r="L661" s="123"/>
      <c r="M661" s="123"/>
      <c r="N661" s="124"/>
      <c r="O661" s="123">
        <f t="shared" si="492"/>
        <v>0</v>
      </c>
      <c r="P661" s="124">
        <f t="shared" si="492"/>
        <v>0</v>
      </c>
    </row>
    <row r="662" spans="2:16" s="213" customFormat="1">
      <c r="B662" s="210" t="s">
        <v>807</v>
      </c>
      <c r="C662" s="211"/>
      <c r="D662" s="212" t="s">
        <v>318</v>
      </c>
      <c r="E662" s="197"/>
      <c r="F662" s="198"/>
      <c r="G662" s="199"/>
      <c r="H662" s="200">
        <v>427452.38</v>
      </c>
      <c r="I662" s="201"/>
      <c r="J662" s="200">
        <f>SUBTOTAL(9,J663:J667)</f>
        <v>0</v>
      </c>
      <c r="K662" s="201"/>
      <c r="L662" s="200">
        <f>SUBTOTAL(9,L663:L667)</f>
        <v>0</v>
      </c>
      <c r="M662" s="200"/>
      <c r="N662" s="200">
        <f>SUBTOTAL(9,N663:N667)</f>
        <v>0</v>
      </c>
      <c r="O662" s="200">
        <f t="shared" si="492"/>
        <v>0</v>
      </c>
      <c r="P662" s="200">
        <f t="shared" si="492"/>
        <v>427452.38</v>
      </c>
    </row>
    <row r="663" spans="2:16" s="131" customFormat="1">
      <c r="B663" s="137" t="s">
        <v>808</v>
      </c>
      <c r="C663" s="133"/>
      <c r="D663" s="125" t="s">
        <v>318</v>
      </c>
      <c r="E663" s="126"/>
      <c r="F663" s="127"/>
      <c r="G663" s="128"/>
      <c r="H663" s="129">
        <v>427452.38</v>
      </c>
      <c r="I663" s="130"/>
      <c r="J663" s="129">
        <f>SUBTOTAL(9,J664:J667)</f>
        <v>0</v>
      </c>
      <c r="K663" s="130"/>
      <c r="L663" s="129">
        <f>SUBTOTAL(9,L664:L667)</f>
        <v>0</v>
      </c>
      <c r="M663" s="129"/>
      <c r="N663" s="129">
        <f>SUBTOTAL(9,N664:N667)</f>
        <v>0</v>
      </c>
      <c r="O663" s="129">
        <f t="shared" si="492"/>
        <v>0</v>
      </c>
      <c r="P663" s="129">
        <f t="shared" si="492"/>
        <v>427452.38</v>
      </c>
    </row>
    <row r="664" spans="2:16">
      <c r="B664" s="190" t="s">
        <v>809</v>
      </c>
      <c r="C664" s="191" t="s">
        <v>323</v>
      </c>
      <c r="D664" s="575" t="s">
        <v>326</v>
      </c>
      <c r="E664" s="192" t="s">
        <v>59</v>
      </c>
      <c r="F664" s="193">
        <v>409453.83</v>
      </c>
      <c r="G664" s="194">
        <v>1</v>
      </c>
      <c r="H664" s="193">
        <v>409453.83</v>
      </c>
      <c r="I664" s="194">
        <v>0</v>
      </c>
      <c r="J664" s="193">
        <f t="shared" ref="J664" si="525">TRUNC(I664*F664,2)</f>
        <v>0</v>
      </c>
      <c r="K664" s="194">
        <f>IFERROR(VLOOKUP(B664,'[35]5.5.1.1'!A:U,18,FALSE),)</f>
        <v>0</v>
      </c>
      <c r="L664" s="193">
        <f t="shared" ref="L664" si="526">N664-J664</f>
        <v>0</v>
      </c>
      <c r="M664" s="194">
        <f t="shared" ref="M664" si="527">K664+I664</f>
        <v>0</v>
      </c>
      <c r="N664" s="196">
        <f t="shared" ref="N664" si="528">TRUNC(M664*F664,2)</f>
        <v>0</v>
      </c>
      <c r="O664" s="194">
        <f t="shared" si="492"/>
        <v>1</v>
      </c>
      <c r="P664" s="196">
        <f t="shared" si="492"/>
        <v>409453.83</v>
      </c>
    </row>
    <row r="665" spans="2:16">
      <c r="B665" s="190" t="s">
        <v>810</v>
      </c>
      <c r="C665" s="191" t="s">
        <v>324</v>
      </c>
      <c r="D665" s="575" t="s">
        <v>327</v>
      </c>
      <c r="E665" s="192" t="s">
        <v>59</v>
      </c>
      <c r="F665" s="193">
        <v>3812.11</v>
      </c>
      <c r="G665" s="194">
        <v>1</v>
      </c>
      <c r="H665" s="193">
        <v>3812.11</v>
      </c>
      <c r="I665" s="194">
        <v>0</v>
      </c>
      <c r="J665" s="193">
        <f>TRUNC(I665*F665,2)</f>
        <v>0</v>
      </c>
      <c r="K665" s="194">
        <f>IFERROR(VLOOKUP(B665,#REF!,18,FALSE),)</f>
        <v>0</v>
      </c>
      <c r="L665" s="193">
        <f>N665-J665</f>
        <v>0</v>
      </c>
      <c r="M665" s="194">
        <f>K665+I665</f>
        <v>0</v>
      </c>
      <c r="N665" s="196">
        <f>TRUNC(M665*F665,2)</f>
        <v>0</v>
      </c>
      <c r="O665" s="194">
        <f t="shared" si="492"/>
        <v>1</v>
      </c>
      <c r="P665" s="196">
        <f t="shared" si="492"/>
        <v>3812.11</v>
      </c>
    </row>
    <row r="666" spans="2:16" ht="25.5">
      <c r="B666" s="190" t="s">
        <v>811</v>
      </c>
      <c r="C666" s="191" t="s">
        <v>813</v>
      </c>
      <c r="D666" s="575" t="s">
        <v>814</v>
      </c>
      <c r="E666" s="192" t="s">
        <v>72</v>
      </c>
      <c r="F666" s="193">
        <v>208.08</v>
      </c>
      <c r="G666" s="194">
        <v>1</v>
      </c>
      <c r="H666" s="193">
        <v>208.08</v>
      </c>
      <c r="I666" s="194">
        <v>0</v>
      </c>
      <c r="J666" s="193">
        <f>TRUNC(I666*F666,2)</f>
        <v>0</v>
      </c>
      <c r="K666" s="194">
        <f>IFERROR(VLOOKUP(B666,#REF!,18,FALSE),)</f>
        <v>0</v>
      </c>
      <c r="L666" s="193">
        <f>N666-J666</f>
        <v>0</v>
      </c>
      <c r="M666" s="194">
        <f>K666+I666</f>
        <v>0</v>
      </c>
      <c r="N666" s="196">
        <f>TRUNC(M666*F666,2)</f>
        <v>0</v>
      </c>
      <c r="O666" s="194">
        <f t="shared" si="492"/>
        <v>1</v>
      </c>
      <c r="P666" s="196">
        <f t="shared" si="492"/>
        <v>208.08</v>
      </c>
    </row>
    <row r="667" spans="2:16">
      <c r="B667" s="190" t="s">
        <v>812</v>
      </c>
      <c r="C667" s="191" t="s">
        <v>325</v>
      </c>
      <c r="D667" s="575" t="s">
        <v>328</v>
      </c>
      <c r="E667" s="192" t="s">
        <v>50</v>
      </c>
      <c r="F667" s="193">
        <v>115.83</v>
      </c>
      <c r="G667" s="194">
        <v>120.68</v>
      </c>
      <c r="H667" s="193">
        <v>13978.36</v>
      </c>
      <c r="I667" s="194">
        <v>0</v>
      </c>
      <c r="J667" s="193">
        <f t="shared" ref="J667" si="529">TRUNC(I667*F667,2)</f>
        <v>0</v>
      </c>
      <c r="K667" s="194">
        <f>IFERROR(VLOOKUP(B667,#REF!,18,FALSE),)</f>
        <v>0</v>
      </c>
      <c r="L667" s="193">
        <f t="shared" ref="L667" si="530">N667-J667</f>
        <v>0</v>
      </c>
      <c r="M667" s="194">
        <f t="shared" ref="M667" si="531">K667+I667</f>
        <v>0</v>
      </c>
      <c r="N667" s="196">
        <f t="shared" ref="N667" si="532">TRUNC(M667*F667,2)</f>
        <v>0</v>
      </c>
      <c r="O667" s="194">
        <f t="shared" si="492"/>
        <v>120.68</v>
      </c>
      <c r="P667" s="196">
        <f t="shared" si="492"/>
        <v>13978.36</v>
      </c>
    </row>
    <row r="668" spans="2:16">
      <c r="B668" s="138"/>
      <c r="C668" s="132"/>
      <c r="D668" s="123"/>
      <c r="E668" s="123"/>
      <c r="F668" s="123"/>
      <c r="G668" s="123"/>
      <c r="H668" s="123"/>
      <c r="I668" s="123"/>
      <c r="J668" s="123"/>
      <c r="K668" s="123"/>
      <c r="L668" s="123"/>
      <c r="M668" s="123"/>
      <c r="N668" s="124"/>
      <c r="O668" s="123">
        <f t="shared" si="492"/>
        <v>0</v>
      </c>
      <c r="P668" s="124">
        <f t="shared" si="492"/>
        <v>0</v>
      </c>
    </row>
    <row r="669" spans="2:16" s="213" customFormat="1">
      <c r="B669" s="210" t="s">
        <v>815</v>
      </c>
      <c r="C669" s="211"/>
      <c r="D669" s="212" t="s">
        <v>329</v>
      </c>
      <c r="E669" s="197"/>
      <c r="F669" s="198"/>
      <c r="G669" s="199"/>
      <c r="H669" s="200">
        <v>43372.77</v>
      </c>
      <c r="I669" s="201"/>
      <c r="J669" s="200">
        <f>SUBTOTAL(9,J671:J695)</f>
        <v>0</v>
      </c>
      <c r="K669" s="201"/>
      <c r="L669" s="200">
        <f>SUBTOTAL(9,L671:L695)</f>
        <v>0</v>
      </c>
      <c r="M669" s="200"/>
      <c r="N669" s="200">
        <f>SUBTOTAL(9,N671:N695)</f>
        <v>0</v>
      </c>
      <c r="O669" s="200">
        <f t="shared" si="492"/>
        <v>0</v>
      </c>
      <c r="P669" s="200">
        <f t="shared" si="492"/>
        <v>43372.77</v>
      </c>
    </row>
    <row r="670" spans="2:16" s="131" customFormat="1">
      <c r="B670" s="137" t="s">
        <v>816</v>
      </c>
      <c r="C670" s="133"/>
      <c r="D670" s="125" t="s">
        <v>329</v>
      </c>
      <c r="E670" s="126"/>
      <c r="F670" s="127"/>
      <c r="G670" s="128"/>
      <c r="H670" s="129">
        <v>39993.79</v>
      </c>
      <c r="I670" s="130"/>
      <c r="J670" s="129">
        <f>SUBTOTAL(9,J671:J689)</f>
        <v>0</v>
      </c>
      <c r="K670" s="130"/>
      <c r="L670" s="129">
        <f>SUBTOTAL(9,L671:L689)</f>
        <v>0</v>
      </c>
      <c r="M670" s="129"/>
      <c r="N670" s="129">
        <f>SUBTOTAL(9,N671:N689)</f>
        <v>0</v>
      </c>
      <c r="O670" s="129">
        <f t="shared" si="492"/>
        <v>0</v>
      </c>
      <c r="P670" s="129">
        <f t="shared" si="492"/>
        <v>39993.79</v>
      </c>
    </row>
    <row r="671" spans="2:16" ht="25.5">
      <c r="B671" s="190" t="s">
        <v>817</v>
      </c>
      <c r="C671" s="191">
        <v>151701</v>
      </c>
      <c r="D671" s="575" t="s">
        <v>685</v>
      </c>
      <c r="E671" s="192" t="s">
        <v>59</v>
      </c>
      <c r="F671" s="193">
        <v>1510.64</v>
      </c>
      <c r="G671" s="194">
        <v>1</v>
      </c>
      <c r="H671" s="193">
        <v>1510.64</v>
      </c>
      <c r="I671" s="194">
        <v>0</v>
      </c>
      <c r="J671" s="193">
        <f t="shared" ref="J671:J689" si="533">TRUNC(I671*F671,2)</f>
        <v>0</v>
      </c>
      <c r="K671" s="194">
        <f>IFERROR(VLOOKUP(B671,#REF!,18,FALSE),)</f>
        <v>0</v>
      </c>
      <c r="L671" s="193">
        <f t="shared" ref="L671:L689" si="534">N671-J671</f>
        <v>0</v>
      </c>
      <c r="M671" s="194">
        <f t="shared" ref="M671:M689" si="535">K671+I671</f>
        <v>0</v>
      </c>
      <c r="N671" s="196">
        <f t="shared" ref="N671:N689" si="536">TRUNC(M671*F671,2)</f>
        <v>0</v>
      </c>
      <c r="O671" s="194">
        <f t="shared" si="492"/>
        <v>1</v>
      </c>
      <c r="P671" s="196">
        <f t="shared" si="492"/>
        <v>1510.64</v>
      </c>
    </row>
    <row r="672" spans="2:16" ht="25.5">
      <c r="B672" s="190" t="s">
        <v>818</v>
      </c>
      <c r="C672" s="191">
        <v>150312</v>
      </c>
      <c r="D672" s="575" t="s">
        <v>350</v>
      </c>
      <c r="E672" s="192" t="s">
        <v>59</v>
      </c>
      <c r="F672" s="193">
        <v>103.79</v>
      </c>
      <c r="G672" s="194">
        <v>1</v>
      </c>
      <c r="H672" s="193">
        <v>103.79</v>
      </c>
      <c r="I672" s="194">
        <v>0</v>
      </c>
      <c r="J672" s="193">
        <f t="shared" si="533"/>
        <v>0</v>
      </c>
      <c r="K672" s="194">
        <f>IFERROR(VLOOKUP(B672,#REF!,18,FALSE),)</f>
        <v>0</v>
      </c>
      <c r="L672" s="193">
        <f t="shared" si="534"/>
        <v>0</v>
      </c>
      <c r="M672" s="194">
        <f t="shared" si="535"/>
        <v>0</v>
      </c>
      <c r="N672" s="196">
        <f t="shared" si="536"/>
        <v>0</v>
      </c>
      <c r="O672" s="194">
        <f t="shared" ref="O672:P704" si="537">G672-M672</f>
        <v>1</v>
      </c>
      <c r="P672" s="196">
        <f t="shared" si="537"/>
        <v>103.79</v>
      </c>
    </row>
    <row r="673" spans="2:16">
      <c r="B673" s="190" t="s">
        <v>819</v>
      </c>
      <c r="C673" s="191">
        <v>150628</v>
      </c>
      <c r="D673" s="575" t="s">
        <v>351</v>
      </c>
      <c r="E673" s="192" t="s">
        <v>59</v>
      </c>
      <c r="F673" s="193">
        <v>7.47</v>
      </c>
      <c r="G673" s="194">
        <v>20</v>
      </c>
      <c r="H673" s="193">
        <v>149.4</v>
      </c>
      <c r="I673" s="194">
        <v>0</v>
      </c>
      <c r="J673" s="193">
        <f t="shared" si="533"/>
        <v>0</v>
      </c>
      <c r="K673" s="194">
        <f>IFERROR(VLOOKUP(B673,#REF!,18,FALSE),)</f>
        <v>0</v>
      </c>
      <c r="L673" s="193">
        <f t="shared" si="534"/>
        <v>0</v>
      </c>
      <c r="M673" s="194">
        <f t="shared" si="535"/>
        <v>0</v>
      </c>
      <c r="N673" s="196">
        <f t="shared" si="536"/>
        <v>0</v>
      </c>
      <c r="O673" s="194">
        <f t="shared" si="537"/>
        <v>20</v>
      </c>
      <c r="P673" s="196">
        <f t="shared" si="537"/>
        <v>149.4</v>
      </c>
    </row>
    <row r="674" spans="2:16">
      <c r="B674" s="190" t="s">
        <v>820</v>
      </c>
      <c r="C674" s="191">
        <v>151417</v>
      </c>
      <c r="D674" s="575" t="s">
        <v>352</v>
      </c>
      <c r="E674" s="192" t="s">
        <v>51</v>
      </c>
      <c r="F674" s="193">
        <v>5.86</v>
      </c>
      <c r="G674" s="194">
        <v>169.2</v>
      </c>
      <c r="H674" s="193">
        <v>991.51</v>
      </c>
      <c r="I674" s="194">
        <v>0</v>
      </c>
      <c r="J674" s="193">
        <f t="shared" si="533"/>
        <v>0</v>
      </c>
      <c r="K674" s="194">
        <f>IFERROR(VLOOKUP(B674,#REF!,18,FALSE),)</f>
        <v>0</v>
      </c>
      <c r="L674" s="193">
        <f t="shared" si="534"/>
        <v>0</v>
      </c>
      <c r="M674" s="194">
        <f t="shared" si="535"/>
        <v>0</v>
      </c>
      <c r="N674" s="196">
        <f t="shared" si="536"/>
        <v>0</v>
      </c>
      <c r="O674" s="194">
        <f t="shared" si="537"/>
        <v>169.2</v>
      </c>
      <c r="P674" s="196">
        <f t="shared" si="537"/>
        <v>991.51</v>
      </c>
    </row>
    <row r="675" spans="2:16">
      <c r="B675" s="190" t="s">
        <v>821</v>
      </c>
      <c r="C675" s="191">
        <v>151418</v>
      </c>
      <c r="D675" s="575" t="s">
        <v>353</v>
      </c>
      <c r="E675" s="192" t="s">
        <v>51</v>
      </c>
      <c r="F675" s="193">
        <v>6.74</v>
      </c>
      <c r="G675" s="194">
        <v>333.8</v>
      </c>
      <c r="H675" s="193">
        <v>2249.81</v>
      </c>
      <c r="I675" s="194">
        <v>0</v>
      </c>
      <c r="J675" s="193">
        <f t="shared" si="533"/>
        <v>0</v>
      </c>
      <c r="K675" s="194">
        <f>IFERROR(VLOOKUP(B675,#REF!,18,FALSE),)</f>
        <v>0</v>
      </c>
      <c r="L675" s="193">
        <f t="shared" si="534"/>
        <v>0</v>
      </c>
      <c r="M675" s="194">
        <f t="shared" si="535"/>
        <v>0</v>
      </c>
      <c r="N675" s="196">
        <f t="shared" si="536"/>
        <v>0</v>
      </c>
      <c r="O675" s="194">
        <f t="shared" si="537"/>
        <v>333.8</v>
      </c>
      <c r="P675" s="196">
        <f t="shared" si="537"/>
        <v>2249.81</v>
      </c>
    </row>
    <row r="676" spans="2:16">
      <c r="B676" s="190" t="s">
        <v>822</v>
      </c>
      <c r="C676" s="191">
        <v>151420</v>
      </c>
      <c r="D676" s="575" t="s">
        <v>354</v>
      </c>
      <c r="E676" s="192" t="s">
        <v>51</v>
      </c>
      <c r="F676" s="193">
        <v>10.63</v>
      </c>
      <c r="G676" s="194">
        <v>60</v>
      </c>
      <c r="H676" s="193">
        <v>637.79999999999995</v>
      </c>
      <c r="I676" s="194">
        <v>0</v>
      </c>
      <c r="J676" s="193">
        <f t="shared" si="533"/>
        <v>0</v>
      </c>
      <c r="K676" s="194">
        <f>IFERROR(VLOOKUP(B676,#REF!,18,FALSE),)</f>
        <v>0</v>
      </c>
      <c r="L676" s="193">
        <f t="shared" si="534"/>
        <v>0</v>
      </c>
      <c r="M676" s="194">
        <f t="shared" si="535"/>
        <v>0</v>
      </c>
      <c r="N676" s="196">
        <f t="shared" si="536"/>
        <v>0</v>
      </c>
      <c r="O676" s="194">
        <f t="shared" si="537"/>
        <v>60</v>
      </c>
      <c r="P676" s="196">
        <f t="shared" si="537"/>
        <v>637.79999999999995</v>
      </c>
    </row>
    <row r="677" spans="2:16" ht="38.25">
      <c r="B677" s="190" t="s">
        <v>823</v>
      </c>
      <c r="C677" s="191">
        <v>151809</v>
      </c>
      <c r="D677" s="575" t="s">
        <v>355</v>
      </c>
      <c r="E677" s="192" t="s">
        <v>59</v>
      </c>
      <c r="F677" s="193">
        <v>150.13</v>
      </c>
      <c r="G677" s="194">
        <v>1</v>
      </c>
      <c r="H677" s="193">
        <v>150.13</v>
      </c>
      <c r="I677" s="194">
        <v>0</v>
      </c>
      <c r="J677" s="193">
        <f t="shared" si="533"/>
        <v>0</v>
      </c>
      <c r="K677" s="194">
        <f>IFERROR(VLOOKUP(B677,#REF!,18,FALSE),)</f>
        <v>0</v>
      </c>
      <c r="L677" s="193">
        <f t="shared" si="534"/>
        <v>0</v>
      </c>
      <c r="M677" s="194">
        <f t="shared" si="535"/>
        <v>0</v>
      </c>
      <c r="N677" s="196">
        <f t="shared" si="536"/>
        <v>0</v>
      </c>
      <c r="O677" s="194">
        <f t="shared" si="537"/>
        <v>1</v>
      </c>
      <c r="P677" s="196">
        <f t="shared" si="537"/>
        <v>150.13</v>
      </c>
    </row>
    <row r="678" spans="2:16" ht="38.25">
      <c r="B678" s="190" t="s">
        <v>824</v>
      </c>
      <c r="C678" s="191">
        <v>151803</v>
      </c>
      <c r="D678" s="575" t="s">
        <v>356</v>
      </c>
      <c r="E678" s="192" t="s">
        <v>59</v>
      </c>
      <c r="F678" s="193">
        <v>170.86</v>
      </c>
      <c r="G678" s="194">
        <v>11</v>
      </c>
      <c r="H678" s="193">
        <v>1879.46</v>
      </c>
      <c r="I678" s="194">
        <v>0</v>
      </c>
      <c r="J678" s="193">
        <f t="shared" si="533"/>
        <v>0</v>
      </c>
      <c r="K678" s="194">
        <f>IFERROR(VLOOKUP(B678,#REF!,18,FALSE),)</f>
        <v>0</v>
      </c>
      <c r="L678" s="193">
        <f t="shared" si="534"/>
        <v>0</v>
      </c>
      <c r="M678" s="194">
        <f t="shared" si="535"/>
        <v>0</v>
      </c>
      <c r="N678" s="196">
        <f t="shared" si="536"/>
        <v>0</v>
      </c>
      <c r="O678" s="194">
        <f t="shared" si="537"/>
        <v>11</v>
      </c>
      <c r="P678" s="196">
        <f t="shared" si="537"/>
        <v>1879.46</v>
      </c>
    </row>
    <row r="679" spans="2:16" ht="25.5">
      <c r="B679" s="190" t="s">
        <v>825</v>
      </c>
      <c r="C679" s="191">
        <v>151338</v>
      </c>
      <c r="D679" s="575" t="s">
        <v>357</v>
      </c>
      <c r="E679" s="192" t="s">
        <v>59</v>
      </c>
      <c r="F679" s="193">
        <v>18.14</v>
      </c>
      <c r="G679" s="194">
        <v>1</v>
      </c>
      <c r="H679" s="193">
        <v>18.14</v>
      </c>
      <c r="I679" s="194">
        <v>0</v>
      </c>
      <c r="J679" s="193">
        <f t="shared" si="533"/>
        <v>0</v>
      </c>
      <c r="K679" s="194">
        <f>IFERROR(VLOOKUP(B679,#REF!,18,FALSE),)</f>
        <v>0</v>
      </c>
      <c r="L679" s="193">
        <f t="shared" si="534"/>
        <v>0</v>
      </c>
      <c r="M679" s="194">
        <f t="shared" si="535"/>
        <v>0</v>
      </c>
      <c r="N679" s="196">
        <f t="shared" si="536"/>
        <v>0</v>
      </c>
      <c r="O679" s="194">
        <f t="shared" si="537"/>
        <v>1</v>
      </c>
      <c r="P679" s="196">
        <f t="shared" si="537"/>
        <v>18.14</v>
      </c>
    </row>
    <row r="680" spans="2:16" ht="25.5">
      <c r="B680" s="190" t="s">
        <v>826</v>
      </c>
      <c r="C680" s="191">
        <v>151301</v>
      </c>
      <c r="D680" s="575" t="s">
        <v>358</v>
      </c>
      <c r="E680" s="192" t="s">
        <v>59</v>
      </c>
      <c r="F680" s="193">
        <v>18.14</v>
      </c>
      <c r="G680" s="194">
        <v>1</v>
      </c>
      <c r="H680" s="193">
        <v>18.14</v>
      </c>
      <c r="I680" s="194">
        <v>0</v>
      </c>
      <c r="J680" s="193">
        <f t="shared" si="533"/>
        <v>0</v>
      </c>
      <c r="K680" s="194">
        <f>IFERROR(VLOOKUP(B680,#REF!,18,FALSE),)</f>
        <v>0</v>
      </c>
      <c r="L680" s="193">
        <f t="shared" si="534"/>
        <v>0</v>
      </c>
      <c r="M680" s="194">
        <f t="shared" si="535"/>
        <v>0</v>
      </c>
      <c r="N680" s="196">
        <f t="shared" si="536"/>
        <v>0</v>
      </c>
      <c r="O680" s="194">
        <f t="shared" si="537"/>
        <v>1</v>
      </c>
      <c r="P680" s="196">
        <f t="shared" si="537"/>
        <v>18.14</v>
      </c>
    </row>
    <row r="681" spans="2:16" ht="25.5">
      <c r="B681" s="190" t="s">
        <v>827</v>
      </c>
      <c r="C681" s="191">
        <v>151303</v>
      </c>
      <c r="D681" s="575" t="s">
        <v>359</v>
      </c>
      <c r="E681" s="192" t="s">
        <v>59</v>
      </c>
      <c r="F681" s="193">
        <v>18.14</v>
      </c>
      <c r="G681" s="194">
        <v>1</v>
      </c>
      <c r="H681" s="193">
        <v>18.14</v>
      </c>
      <c r="I681" s="194">
        <v>0</v>
      </c>
      <c r="J681" s="193">
        <f t="shared" si="533"/>
        <v>0</v>
      </c>
      <c r="K681" s="194">
        <f>IFERROR(VLOOKUP(B681,#REF!,18,FALSE),)</f>
        <v>0</v>
      </c>
      <c r="L681" s="193">
        <f t="shared" si="534"/>
        <v>0</v>
      </c>
      <c r="M681" s="194">
        <f t="shared" si="535"/>
        <v>0</v>
      </c>
      <c r="N681" s="196">
        <f t="shared" si="536"/>
        <v>0</v>
      </c>
      <c r="O681" s="194">
        <f t="shared" si="537"/>
        <v>1</v>
      </c>
      <c r="P681" s="196">
        <f t="shared" si="537"/>
        <v>18.14</v>
      </c>
    </row>
    <row r="682" spans="2:16" ht="25.5">
      <c r="B682" s="190" t="s">
        <v>828</v>
      </c>
      <c r="C682" s="191">
        <v>151318</v>
      </c>
      <c r="D682" s="575" t="s">
        <v>547</v>
      </c>
      <c r="E682" s="192" t="s">
        <v>59</v>
      </c>
      <c r="F682" s="193">
        <v>22.63</v>
      </c>
      <c r="G682" s="194">
        <v>1</v>
      </c>
      <c r="H682" s="193">
        <v>22.63</v>
      </c>
      <c r="I682" s="194">
        <v>0</v>
      </c>
      <c r="J682" s="193">
        <f t="shared" si="533"/>
        <v>0</v>
      </c>
      <c r="K682" s="194">
        <f>IFERROR(VLOOKUP(B682,#REF!,18,FALSE),)</f>
        <v>0</v>
      </c>
      <c r="L682" s="193">
        <f t="shared" si="534"/>
        <v>0</v>
      </c>
      <c r="M682" s="194">
        <f t="shared" si="535"/>
        <v>0</v>
      </c>
      <c r="N682" s="196">
        <f t="shared" si="536"/>
        <v>0</v>
      </c>
      <c r="O682" s="194">
        <f t="shared" si="537"/>
        <v>1</v>
      </c>
      <c r="P682" s="196">
        <f t="shared" si="537"/>
        <v>22.63</v>
      </c>
    </row>
    <row r="683" spans="2:16">
      <c r="B683" s="190" t="s">
        <v>829</v>
      </c>
      <c r="C683" s="191">
        <v>151350</v>
      </c>
      <c r="D683" s="575" t="s">
        <v>360</v>
      </c>
      <c r="E683" s="192" t="s">
        <v>59</v>
      </c>
      <c r="F683" s="193">
        <v>133.04</v>
      </c>
      <c r="G683" s="194">
        <v>1</v>
      </c>
      <c r="H683" s="193">
        <v>133.04</v>
      </c>
      <c r="I683" s="194">
        <v>0</v>
      </c>
      <c r="J683" s="193">
        <f t="shared" si="533"/>
        <v>0</v>
      </c>
      <c r="K683" s="194">
        <f>IFERROR(VLOOKUP(B683,#REF!,18,FALSE),)</f>
        <v>0</v>
      </c>
      <c r="L683" s="193">
        <f t="shared" si="534"/>
        <v>0</v>
      </c>
      <c r="M683" s="194">
        <f t="shared" si="535"/>
        <v>0</v>
      </c>
      <c r="N683" s="196">
        <f t="shared" si="536"/>
        <v>0</v>
      </c>
      <c r="O683" s="194">
        <f t="shared" si="537"/>
        <v>1</v>
      </c>
      <c r="P683" s="196">
        <f t="shared" si="537"/>
        <v>133.04</v>
      </c>
    </row>
    <row r="684" spans="2:16">
      <c r="B684" s="190" t="s">
        <v>830</v>
      </c>
      <c r="C684" s="191">
        <v>151132</v>
      </c>
      <c r="D684" s="575" t="s">
        <v>361</v>
      </c>
      <c r="E684" s="192" t="s">
        <v>51</v>
      </c>
      <c r="F684" s="193">
        <v>7.5</v>
      </c>
      <c r="G684" s="194">
        <v>78.400000000000006</v>
      </c>
      <c r="H684" s="193">
        <v>588</v>
      </c>
      <c r="I684" s="194">
        <v>0</v>
      </c>
      <c r="J684" s="193">
        <f t="shared" si="533"/>
        <v>0</v>
      </c>
      <c r="K684" s="194">
        <f>IFERROR(VLOOKUP(B684,#REF!,18,FALSE),)</f>
        <v>0</v>
      </c>
      <c r="L684" s="193">
        <f t="shared" si="534"/>
        <v>0</v>
      </c>
      <c r="M684" s="194">
        <f t="shared" si="535"/>
        <v>0</v>
      </c>
      <c r="N684" s="196">
        <f t="shared" si="536"/>
        <v>0</v>
      </c>
      <c r="O684" s="194">
        <f t="shared" si="537"/>
        <v>78.400000000000006</v>
      </c>
      <c r="P684" s="196">
        <f t="shared" si="537"/>
        <v>588</v>
      </c>
    </row>
    <row r="685" spans="2:16" ht="25.5">
      <c r="B685" s="190" t="s">
        <v>831</v>
      </c>
      <c r="C685" s="191">
        <v>150801</v>
      </c>
      <c r="D685" s="575" t="s">
        <v>362</v>
      </c>
      <c r="E685" s="192" t="s">
        <v>51</v>
      </c>
      <c r="F685" s="193">
        <v>12.67</v>
      </c>
      <c r="G685" s="194">
        <v>70</v>
      </c>
      <c r="H685" s="193">
        <v>886.9</v>
      </c>
      <c r="I685" s="194">
        <v>0</v>
      </c>
      <c r="J685" s="193">
        <f t="shared" si="533"/>
        <v>0</v>
      </c>
      <c r="K685" s="194">
        <f>IFERROR(VLOOKUP(B685,#REF!,18,FALSE),)</f>
        <v>0</v>
      </c>
      <c r="L685" s="193">
        <f t="shared" si="534"/>
        <v>0</v>
      </c>
      <c r="M685" s="194">
        <f t="shared" si="535"/>
        <v>0</v>
      </c>
      <c r="N685" s="196">
        <f t="shared" si="536"/>
        <v>0</v>
      </c>
      <c r="O685" s="194">
        <f t="shared" si="537"/>
        <v>70</v>
      </c>
      <c r="P685" s="196">
        <f t="shared" si="537"/>
        <v>886.9</v>
      </c>
    </row>
    <row r="686" spans="2:16">
      <c r="B686" s="190" t="s">
        <v>832</v>
      </c>
      <c r="C686" s="191">
        <v>180110</v>
      </c>
      <c r="D686" s="575" t="s">
        <v>363</v>
      </c>
      <c r="E686" s="192" t="s">
        <v>59</v>
      </c>
      <c r="F686" s="193">
        <v>106.15</v>
      </c>
      <c r="G686" s="194">
        <v>5</v>
      </c>
      <c r="H686" s="193">
        <v>530.75</v>
      </c>
      <c r="I686" s="194">
        <v>0</v>
      </c>
      <c r="J686" s="193">
        <f t="shared" si="533"/>
        <v>0</v>
      </c>
      <c r="K686" s="194">
        <f>IFERROR(VLOOKUP(B686,#REF!,18,FALSE),)</f>
        <v>0</v>
      </c>
      <c r="L686" s="193">
        <f t="shared" si="534"/>
        <v>0</v>
      </c>
      <c r="M686" s="194">
        <f t="shared" si="535"/>
        <v>0</v>
      </c>
      <c r="N686" s="196">
        <f t="shared" si="536"/>
        <v>0</v>
      </c>
      <c r="O686" s="194">
        <f t="shared" si="537"/>
        <v>5</v>
      </c>
      <c r="P686" s="196">
        <f t="shared" si="537"/>
        <v>530.75</v>
      </c>
    </row>
    <row r="687" spans="2:16">
      <c r="B687" s="190" t="s">
        <v>833</v>
      </c>
      <c r="C687" s="191" t="s">
        <v>367</v>
      </c>
      <c r="D687" s="575" t="s">
        <v>364</v>
      </c>
      <c r="E687" s="192" t="s">
        <v>72</v>
      </c>
      <c r="F687" s="193">
        <v>362.44</v>
      </c>
      <c r="G687" s="194">
        <v>20</v>
      </c>
      <c r="H687" s="193">
        <v>7248.8</v>
      </c>
      <c r="I687" s="194">
        <v>0</v>
      </c>
      <c r="J687" s="193">
        <f t="shared" si="533"/>
        <v>0</v>
      </c>
      <c r="K687" s="194">
        <f>IFERROR(VLOOKUP(B687,#REF!,18,FALSE),)</f>
        <v>0</v>
      </c>
      <c r="L687" s="193">
        <f t="shared" si="534"/>
        <v>0</v>
      </c>
      <c r="M687" s="194">
        <f t="shared" si="535"/>
        <v>0</v>
      </c>
      <c r="N687" s="196">
        <f t="shared" si="536"/>
        <v>0</v>
      </c>
      <c r="O687" s="194">
        <f t="shared" si="537"/>
        <v>20</v>
      </c>
      <c r="P687" s="196">
        <f t="shared" si="537"/>
        <v>7248.8</v>
      </c>
    </row>
    <row r="688" spans="2:16" ht="25.5">
      <c r="B688" s="190" t="s">
        <v>834</v>
      </c>
      <c r="C688" s="191" t="s">
        <v>368</v>
      </c>
      <c r="D688" s="575" t="s">
        <v>365</v>
      </c>
      <c r="E688" s="192" t="s">
        <v>72</v>
      </c>
      <c r="F688" s="193">
        <v>4976.67</v>
      </c>
      <c r="G688" s="194">
        <v>2</v>
      </c>
      <c r="H688" s="193">
        <v>9953.34</v>
      </c>
      <c r="I688" s="194">
        <v>0</v>
      </c>
      <c r="J688" s="193">
        <f t="shared" si="533"/>
        <v>0</v>
      </c>
      <c r="K688" s="194">
        <f>IFERROR(VLOOKUP(B688,#REF!,18,FALSE),)</f>
        <v>0</v>
      </c>
      <c r="L688" s="193">
        <f t="shared" si="534"/>
        <v>0</v>
      </c>
      <c r="M688" s="194">
        <f t="shared" si="535"/>
        <v>0</v>
      </c>
      <c r="N688" s="196">
        <f t="shared" si="536"/>
        <v>0</v>
      </c>
      <c r="O688" s="194">
        <f t="shared" si="537"/>
        <v>2</v>
      </c>
      <c r="P688" s="196">
        <f t="shared" si="537"/>
        <v>9953.34</v>
      </c>
    </row>
    <row r="689" spans="2:16" ht="25.5">
      <c r="B689" s="190" t="s">
        <v>835</v>
      </c>
      <c r="C689" s="191" t="s">
        <v>369</v>
      </c>
      <c r="D689" s="575" t="s">
        <v>366</v>
      </c>
      <c r="E689" s="192" t="s">
        <v>10</v>
      </c>
      <c r="F689" s="193">
        <v>12903.37</v>
      </c>
      <c r="G689" s="194">
        <v>1</v>
      </c>
      <c r="H689" s="193">
        <v>12903.37</v>
      </c>
      <c r="I689" s="194">
        <v>0</v>
      </c>
      <c r="J689" s="193">
        <f t="shared" si="533"/>
        <v>0</v>
      </c>
      <c r="K689" s="194">
        <f>IFERROR(VLOOKUP(B689,#REF!,18,FALSE),)</f>
        <v>0</v>
      </c>
      <c r="L689" s="193">
        <f t="shared" si="534"/>
        <v>0</v>
      </c>
      <c r="M689" s="194">
        <f t="shared" si="535"/>
        <v>0</v>
      </c>
      <c r="N689" s="196">
        <f t="shared" si="536"/>
        <v>0</v>
      </c>
      <c r="O689" s="194">
        <f t="shared" si="537"/>
        <v>1</v>
      </c>
      <c r="P689" s="196">
        <f t="shared" si="537"/>
        <v>12903.37</v>
      </c>
    </row>
    <row r="690" spans="2:16">
      <c r="B690" s="138"/>
      <c r="C690" s="132"/>
      <c r="D690" s="123"/>
      <c r="E690" s="123"/>
      <c r="F690" s="123"/>
      <c r="G690" s="123"/>
      <c r="H690" s="123"/>
      <c r="I690" s="123"/>
      <c r="J690" s="123"/>
      <c r="K690" s="123"/>
      <c r="L690" s="123"/>
      <c r="M690" s="123"/>
      <c r="N690" s="124"/>
      <c r="O690" s="123">
        <f t="shared" si="537"/>
        <v>0</v>
      </c>
      <c r="P690" s="124">
        <f t="shared" si="537"/>
        <v>0</v>
      </c>
    </row>
    <row r="691" spans="2:16" s="131" customFormat="1">
      <c r="B691" s="137" t="s">
        <v>836</v>
      </c>
      <c r="C691" s="133"/>
      <c r="D691" s="125" t="s">
        <v>371</v>
      </c>
      <c r="E691" s="126"/>
      <c r="F691" s="127"/>
      <c r="G691" s="128"/>
      <c r="H691" s="129">
        <v>3378.98</v>
      </c>
      <c r="I691" s="130"/>
      <c r="J691" s="129">
        <f>SUBTOTAL(9,J692:J695)</f>
        <v>0</v>
      </c>
      <c r="K691" s="130"/>
      <c r="L691" s="129">
        <f>SUBTOTAL(9,L692:L695)</f>
        <v>0</v>
      </c>
      <c r="M691" s="129"/>
      <c r="N691" s="129">
        <f>SUBTOTAL(9,N692:N695)</f>
        <v>0</v>
      </c>
      <c r="O691" s="129">
        <f t="shared" si="537"/>
        <v>0</v>
      </c>
      <c r="P691" s="129">
        <f t="shared" si="537"/>
        <v>3378.98</v>
      </c>
    </row>
    <row r="692" spans="2:16" ht="38.25">
      <c r="B692" s="190" t="s">
        <v>837</v>
      </c>
      <c r="C692" s="191">
        <v>150610</v>
      </c>
      <c r="D692" s="575" t="s">
        <v>376</v>
      </c>
      <c r="E692" s="192" t="s">
        <v>59</v>
      </c>
      <c r="F692" s="193">
        <v>188.46</v>
      </c>
      <c r="G692" s="194">
        <v>4</v>
      </c>
      <c r="H692" s="193">
        <v>753.84</v>
      </c>
      <c r="I692" s="194">
        <v>0</v>
      </c>
      <c r="J692" s="193">
        <f t="shared" ref="J692" si="538">TRUNC(I692*F692,2)</f>
        <v>0</v>
      </c>
      <c r="K692" s="194">
        <f>IFERROR(VLOOKUP(B692,#REF!,18,FALSE),)</f>
        <v>0</v>
      </c>
      <c r="L692" s="193">
        <f t="shared" ref="L692" si="539">N692-J692</f>
        <v>0</v>
      </c>
      <c r="M692" s="194">
        <f t="shared" ref="M692" si="540">K692+I692</f>
        <v>0</v>
      </c>
      <c r="N692" s="196">
        <f t="shared" ref="N692" si="541">TRUNC(M692*F692,2)</f>
        <v>0</v>
      </c>
      <c r="O692" s="194">
        <f t="shared" si="537"/>
        <v>4</v>
      </c>
      <c r="P692" s="196">
        <f t="shared" si="537"/>
        <v>753.84</v>
      </c>
    </row>
    <row r="693" spans="2:16" ht="38.25">
      <c r="B693" s="190" t="s">
        <v>838</v>
      </c>
      <c r="C693" s="191">
        <v>160324</v>
      </c>
      <c r="D693" s="575" t="s">
        <v>546</v>
      </c>
      <c r="E693" s="192" t="s">
        <v>59</v>
      </c>
      <c r="F693" s="193">
        <v>199.91</v>
      </c>
      <c r="G693" s="194">
        <v>1</v>
      </c>
      <c r="H693" s="193">
        <v>199.91</v>
      </c>
      <c r="I693" s="194">
        <v>0</v>
      </c>
      <c r="J693" s="193">
        <f>TRUNC(I693*F693,2)</f>
        <v>0</v>
      </c>
      <c r="K693" s="194">
        <f>IFERROR(VLOOKUP(B693,#REF!,18,FALSE),)</f>
        <v>0</v>
      </c>
      <c r="L693" s="193">
        <f>N693-J693</f>
        <v>0</v>
      </c>
      <c r="M693" s="194">
        <f>K693+I693</f>
        <v>0</v>
      </c>
      <c r="N693" s="196">
        <f>TRUNC(M693*F693,2)</f>
        <v>0</v>
      </c>
      <c r="O693" s="194">
        <f t="shared" si="537"/>
        <v>1</v>
      </c>
      <c r="P693" s="196">
        <f t="shared" si="537"/>
        <v>199.91</v>
      </c>
    </row>
    <row r="694" spans="2:16" ht="25.5">
      <c r="B694" s="190" t="s">
        <v>839</v>
      </c>
      <c r="C694" s="191">
        <v>160317</v>
      </c>
      <c r="D694" s="575" t="s">
        <v>377</v>
      </c>
      <c r="E694" s="192" t="s">
        <v>51</v>
      </c>
      <c r="F694" s="193">
        <v>33.369999999999997</v>
      </c>
      <c r="G694" s="194">
        <v>70.900000000000006</v>
      </c>
      <c r="H694" s="193">
        <v>2365.9299999999998</v>
      </c>
      <c r="I694" s="194">
        <v>0</v>
      </c>
      <c r="J694" s="193">
        <f t="shared" ref="J694:J695" si="542">TRUNC(I694*F694,2)</f>
        <v>0</v>
      </c>
      <c r="K694" s="194">
        <f>IFERROR(VLOOKUP(B694,#REF!,18,FALSE),)</f>
        <v>0</v>
      </c>
      <c r="L694" s="193">
        <f t="shared" ref="L694:L695" si="543">N694-J694</f>
        <v>0</v>
      </c>
      <c r="M694" s="194">
        <f t="shared" ref="M694:M695" si="544">K694+I694</f>
        <v>0</v>
      </c>
      <c r="N694" s="196">
        <f t="shared" ref="N694:N695" si="545">TRUNC(M694*F694,2)</f>
        <v>0</v>
      </c>
      <c r="O694" s="194">
        <f t="shared" si="537"/>
        <v>70.900000000000006</v>
      </c>
      <c r="P694" s="196">
        <f t="shared" si="537"/>
        <v>2365.9299999999998</v>
      </c>
    </row>
    <row r="695" spans="2:16" ht="25.5">
      <c r="B695" s="190" t="s">
        <v>840</v>
      </c>
      <c r="C695" s="191">
        <v>160334</v>
      </c>
      <c r="D695" s="575" t="s">
        <v>378</v>
      </c>
      <c r="E695" s="192" t="s">
        <v>59</v>
      </c>
      <c r="F695" s="193">
        <v>29.65</v>
      </c>
      <c r="G695" s="194">
        <v>2</v>
      </c>
      <c r="H695" s="193">
        <v>59.3</v>
      </c>
      <c r="I695" s="194">
        <v>0</v>
      </c>
      <c r="J695" s="193">
        <f t="shared" si="542"/>
        <v>0</v>
      </c>
      <c r="K695" s="194">
        <f>IFERROR(VLOOKUP(B695,#REF!,18,FALSE),)</f>
        <v>0</v>
      </c>
      <c r="L695" s="193">
        <f t="shared" si="543"/>
        <v>0</v>
      </c>
      <c r="M695" s="194">
        <f t="shared" si="544"/>
        <v>0</v>
      </c>
      <c r="N695" s="196">
        <f t="shared" si="545"/>
        <v>0</v>
      </c>
      <c r="O695" s="194">
        <f t="shared" si="537"/>
        <v>2</v>
      </c>
      <c r="P695" s="196">
        <f t="shared" si="537"/>
        <v>59.3</v>
      </c>
    </row>
    <row r="696" spans="2:16">
      <c r="B696" s="138"/>
      <c r="C696" s="132"/>
      <c r="D696" s="123"/>
      <c r="E696" s="123"/>
      <c r="F696" s="123"/>
      <c r="G696" s="123"/>
      <c r="H696" s="123"/>
      <c r="I696" s="123"/>
      <c r="J696" s="123"/>
      <c r="K696" s="123"/>
      <c r="L696" s="123"/>
      <c r="M696" s="123"/>
      <c r="N696" s="124"/>
      <c r="O696" s="123">
        <f t="shared" si="537"/>
        <v>0</v>
      </c>
      <c r="P696" s="124">
        <f t="shared" si="537"/>
        <v>0</v>
      </c>
    </row>
    <row r="697" spans="2:16" s="213" customFormat="1">
      <c r="B697" s="210" t="s">
        <v>841</v>
      </c>
      <c r="C697" s="211"/>
      <c r="D697" s="212" t="s">
        <v>380</v>
      </c>
      <c r="E697" s="197"/>
      <c r="F697" s="198"/>
      <c r="G697" s="199"/>
      <c r="H697" s="200">
        <v>2437.2800000000002</v>
      </c>
      <c r="I697" s="201"/>
      <c r="J697" s="200">
        <f>SUBTOTAL(9,J698:J703)</f>
        <v>0</v>
      </c>
      <c r="K697" s="201"/>
      <c r="L697" s="200">
        <f>SUBTOTAL(9,L698:L703)</f>
        <v>0</v>
      </c>
      <c r="M697" s="200"/>
      <c r="N697" s="200">
        <f>SUBTOTAL(9,N698:N703)</f>
        <v>0</v>
      </c>
      <c r="O697" s="200">
        <f t="shared" si="537"/>
        <v>0</v>
      </c>
      <c r="P697" s="200">
        <f t="shared" si="537"/>
        <v>2437.2800000000002</v>
      </c>
    </row>
    <row r="698" spans="2:16" s="131" customFormat="1">
      <c r="B698" s="137" t="s">
        <v>842</v>
      </c>
      <c r="C698" s="133"/>
      <c r="D698" s="125" t="s">
        <v>380</v>
      </c>
      <c r="E698" s="126"/>
      <c r="F698" s="127"/>
      <c r="G698" s="128"/>
      <c r="H698" s="129">
        <v>2437.2800000000002</v>
      </c>
      <c r="I698" s="130"/>
      <c r="J698" s="129">
        <f>SUBTOTAL(9,J699:J703)</f>
        <v>0</v>
      </c>
      <c r="K698" s="130"/>
      <c r="L698" s="129">
        <f>SUBTOTAL(9,L699:L703)</f>
        <v>0</v>
      </c>
      <c r="M698" s="129"/>
      <c r="N698" s="129">
        <f>SUBTOTAL(9,N699:N703)</f>
        <v>0</v>
      </c>
      <c r="O698" s="129">
        <f t="shared" si="537"/>
        <v>0</v>
      </c>
      <c r="P698" s="129">
        <f t="shared" si="537"/>
        <v>2437.2800000000002</v>
      </c>
    </row>
    <row r="699" spans="2:16" ht="25.5">
      <c r="B699" s="190" t="s">
        <v>843</v>
      </c>
      <c r="C699" s="191">
        <v>160612</v>
      </c>
      <c r="D699" s="575" t="s">
        <v>387</v>
      </c>
      <c r="E699" s="192" t="s">
        <v>59</v>
      </c>
      <c r="F699" s="193">
        <v>29.96</v>
      </c>
      <c r="G699" s="194">
        <v>2</v>
      </c>
      <c r="H699" s="193">
        <v>59.92</v>
      </c>
      <c r="I699" s="194">
        <v>0</v>
      </c>
      <c r="J699" s="193">
        <f t="shared" ref="J699" si="546">TRUNC(I699*F699,2)</f>
        <v>0</v>
      </c>
      <c r="K699" s="194">
        <f>IFERROR(VLOOKUP(B699,#REF!,18,FALSE),)</f>
        <v>0</v>
      </c>
      <c r="L699" s="193">
        <f t="shared" ref="L699" si="547">N699-J699</f>
        <v>0</v>
      </c>
      <c r="M699" s="194">
        <f t="shared" ref="M699" si="548">K699+I699</f>
        <v>0</v>
      </c>
      <c r="N699" s="196">
        <f t="shared" ref="N699" si="549">TRUNC(M699*F699,2)</f>
        <v>0</v>
      </c>
      <c r="O699" s="194">
        <f t="shared" si="537"/>
        <v>2</v>
      </c>
      <c r="P699" s="196">
        <f t="shared" si="537"/>
        <v>59.92</v>
      </c>
    </row>
    <row r="700" spans="2:16" ht="38.25">
      <c r="B700" s="190" t="s">
        <v>844</v>
      </c>
      <c r="C700" s="191">
        <v>160608</v>
      </c>
      <c r="D700" s="575" t="s">
        <v>545</v>
      </c>
      <c r="E700" s="192" t="s">
        <v>59</v>
      </c>
      <c r="F700" s="193">
        <v>320.60000000000002</v>
      </c>
      <c r="G700" s="194">
        <v>3</v>
      </c>
      <c r="H700" s="193">
        <v>961.8</v>
      </c>
      <c r="I700" s="194">
        <v>0</v>
      </c>
      <c r="J700" s="193">
        <f>TRUNC(I700*F700,2)</f>
        <v>0</v>
      </c>
      <c r="K700" s="194">
        <f>IFERROR(VLOOKUP(B700,#REF!,18,FALSE),)</f>
        <v>0</v>
      </c>
      <c r="L700" s="193">
        <f>N700-J700</f>
        <v>0</v>
      </c>
      <c r="M700" s="194">
        <f>K700+I700</f>
        <v>0</v>
      </c>
      <c r="N700" s="196">
        <f>TRUNC(M700*F700,2)</f>
        <v>0</v>
      </c>
      <c r="O700" s="194">
        <f t="shared" si="537"/>
        <v>3</v>
      </c>
      <c r="P700" s="196">
        <f t="shared" si="537"/>
        <v>961.8</v>
      </c>
    </row>
    <row r="701" spans="2:16" ht="25.5">
      <c r="B701" s="190" t="s">
        <v>845</v>
      </c>
      <c r="C701" s="191">
        <v>160613</v>
      </c>
      <c r="D701" s="575" t="s">
        <v>389</v>
      </c>
      <c r="E701" s="192" t="s">
        <v>59</v>
      </c>
      <c r="F701" s="193">
        <v>197.45</v>
      </c>
      <c r="G701" s="194">
        <v>4</v>
      </c>
      <c r="H701" s="193">
        <v>789.8</v>
      </c>
      <c r="I701" s="194">
        <v>0</v>
      </c>
      <c r="J701" s="193">
        <f t="shared" ref="J701:J703" si="550">TRUNC(I701*F701,2)</f>
        <v>0</v>
      </c>
      <c r="K701" s="194">
        <f>IFERROR(VLOOKUP(B701,#REF!,18,FALSE),)</f>
        <v>0</v>
      </c>
      <c r="L701" s="193">
        <f t="shared" ref="L701:L703" si="551">N701-J701</f>
        <v>0</v>
      </c>
      <c r="M701" s="194">
        <f t="shared" ref="M701:M703" si="552">K701+I701</f>
        <v>0</v>
      </c>
      <c r="N701" s="196">
        <f t="shared" ref="N701:N703" si="553">TRUNC(M701*F701,2)</f>
        <v>0</v>
      </c>
      <c r="O701" s="194">
        <f t="shared" si="537"/>
        <v>4</v>
      </c>
      <c r="P701" s="196">
        <f t="shared" si="537"/>
        <v>789.8</v>
      </c>
    </row>
    <row r="702" spans="2:16" ht="38.25">
      <c r="B702" s="190" t="s">
        <v>846</v>
      </c>
      <c r="C702" s="191">
        <v>160607</v>
      </c>
      <c r="D702" s="575" t="s">
        <v>390</v>
      </c>
      <c r="E702" s="192" t="s">
        <v>59</v>
      </c>
      <c r="F702" s="193">
        <v>178.48</v>
      </c>
      <c r="G702" s="194">
        <v>3</v>
      </c>
      <c r="H702" s="193">
        <v>535.44000000000005</v>
      </c>
      <c r="I702" s="194">
        <v>0</v>
      </c>
      <c r="J702" s="193">
        <f t="shared" si="550"/>
        <v>0</v>
      </c>
      <c r="K702" s="194">
        <f>IFERROR(VLOOKUP(B702,#REF!,18,FALSE),)</f>
        <v>0</v>
      </c>
      <c r="L702" s="193">
        <f t="shared" si="551"/>
        <v>0</v>
      </c>
      <c r="M702" s="194">
        <f t="shared" si="552"/>
        <v>0</v>
      </c>
      <c r="N702" s="196">
        <f t="shared" si="553"/>
        <v>0</v>
      </c>
      <c r="O702" s="194">
        <f t="shared" si="537"/>
        <v>3</v>
      </c>
      <c r="P702" s="196">
        <f t="shared" si="537"/>
        <v>535.44000000000005</v>
      </c>
    </row>
    <row r="703" spans="2:16" ht="38.25">
      <c r="B703" s="190" t="s">
        <v>847</v>
      </c>
      <c r="C703" s="191">
        <v>190605</v>
      </c>
      <c r="D703" s="575" t="s">
        <v>544</v>
      </c>
      <c r="E703" s="192" t="s">
        <v>57</v>
      </c>
      <c r="F703" s="193">
        <v>50.18</v>
      </c>
      <c r="G703" s="194">
        <v>1.8</v>
      </c>
      <c r="H703" s="193">
        <v>90.32</v>
      </c>
      <c r="I703" s="194">
        <v>0</v>
      </c>
      <c r="J703" s="193">
        <f t="shared" si="550"/>
        <v>0</v>
      </c>
      <c r="K703" s="194">
        <f>IFERROR(VLOOKUP(B703,#REF!,18,FALSE),)</f>
        <v>0</v>
      </c>
      <c r="L703" s="193">
        <f t="shared" si="551"/>
        <v>0</v>
      </c>
      <c r="M703" s="194">
        <f t="shared" si="552"/>
        <v>0</v>
      </c>
      <c r="N703" s="196">
        <f t="shared" si="553"/>
        <v>0</v>
      </c>
      <c r="O703" s="194">
        <f t="shared" si="537"/>
        <v>1.8</v>
      </c>
      <c r="P703" s="196">
        <f t="shared" si="537"/>
        <v>90.32</v>
      </c>
    </row>
    <row r="704" spans="2:16">
      <c r="B704" s="138"/>
      <c r="C704" s="132"/>
      <c r="D704" s="123"/>
      <c r="E704" s="123"/>
      <c r="F704" s="123"/>
      <c r="G704" s="123"/>
      <c r="H704" s="123"/>
      <c r="I704" s="123"/>
      <c r="J704" s="123"/>
      <c r="K704" s="123"/>
      <c r="L704" s="123"/>
      <c r="M704" s="123"/>
      <c r="N704" s="124"/>
      <c r="O704" s="123">
        <f t="shared" si="537"/>
        <v>0</v>
      </c>
      <c r="P704" s="124">
        <f t="shared" si="537"/>
        <v>0</v>
      </c>
    </row>
    <row r="705" spans="2:16">
      <c r="B705" s="139"/>
      <c r="C705" s="168"/>
      <c r="D705" s="169" t="s">
        <v>32</v>
      </c>
      <c r="E705" s="6"/>
      <c r="F705" s="7"/>
      <c r="G705" s="170"/>
      <c r="H705" s="8">
        <v>5997821.9000000004</v>
      </c>
      <c r="I705" s="46"/>
      <c r="J705" s="8">
        <f>SUBTOTAL(9,J15:J704)</f>
        <v>998853.59000000008</v>
      </c>
      <c r="K705" s="46"/>
      <c r="L705" s="8">
        <f>SUBTOTAL(9,L15:L704)</f>
        <v>247291.86000000002</v>
      </c>
      <c r="M705" s="9"/>
      <c r="N705" s="8">
        <f>SUBTOTAL(9,N15:N704)</f>
        <v>1246145.4499999997</v>
      </c>
      <c r="O705" s="9">
        <f t="shared" ref="O705" si="554">G705-M705</f>
        <v>0</v>
      </c>
      <c r="P705" s="8">
        <f>H705-N705</f>
        <v>4751676.4500000011</v>
      </c>
    </row>
    <row r="706" spans="2:16">
      <c r="B706" s="586"/>
      <c r="C706" s="171"/>
      <c r="D706" s="172"/>
      <c r="E706" s="173"/>
      <c r="F706" s="174"/>
      <c r="G706" s="174"/>
      <c r="H706" s="174"/>
      <c r="I706" s="175"/>
      <c r="J706" s="174"/>
      <c r="K706" s="175"/>
      <c r="L706" s="174"/>
      <c r="M706" s="174"/>
      <c r="N706" s="176"/>
    </row>
    <row r="707" spans="2:16">
      <c r="L707" s="113"/>
      <c r="N707" s="113"/>
    </row>
    <row r="708" spans="2:16">
      <c r="B708" s="917" t="s">
        <v>904</v>
      </c>
      <c r="C708" s="917"/>
      <c r="D708" s="917"/>
      <c r="E708" s="588" t="s">
        <v>1252</v>
      </c>
      <c r="F708" s="282" t="s">
        <v>980</v>
      </c>
      <c r="L708" s="113"/>
    </row>
    <row r="709" spans="2:16">
      <c r="B709" s="918" t="s">
        <v>907</v>
      </c>
      <c r="C709" s="918"/>
      <c r="D709" s="918"/>
      <c r="E709" s="262">
        <f>L538+L15</f>
        <v>41061.919999999991</v>
      </c>
      <c r="F709" s="261">
        <f>E709*24.29%</f>
        <v>9973.9403679999978</v>
      </c>
      <c r="L709" s="113"/>
    </row>
    <row r="710" spans="2:16">
      <c r="B710" s="918" t="s">
        <v>905</v>
      </c>
      <c r="C710" s="918"/>
      <c r="D710" s="918"/>
      <c r="E710" s="262">
        <f>L207</f>
        <v>142893.27000000002</v>
      </c>
      <c r="F710" s="261">
        <f>E710*24.29%</f>
        <v>34708.775283000003</v>
      </c>
      <c r="L710" s="113"/>
      <c r="P710" s="113">
        <f>H705-N705</f>
        <v>4751676.4500000011</v>
      </c>
    </row>
    <row r="711" spans="2:16">
      <c r="B711" s="918" t="s">
        <v>906</v>
      </c>
      <c r="C711" s="918"/>
      <c r="D711" s="918"/>
      <c r="E711" s="262">
        <f>L43+L372</f>
        <v>63336.67</v>
      </c>
      <c r="F711" s="261">
        <f>E711*24.29%</f>
        <v>15384.477143</v>
      </c>
      <c r="I711" s="272"/>
      <c r="J711" s="271"/>
      <c r="L711" s="113"/>
      <c r="N711" s="113">
        <f>J705+L705</f>
        <v>1246145.4500000002</v>
      </c>
    </row>
    <row r="712" spans="2:16">
      <c r="B712" s="918" t="s">
        <v>908</v>
      </c>
      <c r="C712" s="918"/>
      <c r="D712" s="918"/>
      <c r="E712" s="262">
        <f>SUM(E709:E711)</f>
        <v>247291.86</v>
      </c>
      <c r="F712" s="262">
        <f>SUM(F709:F711)</f>
        <v>60067.192794000002</v>
      </c>
      <c r="I712" s="272"/>
      <c r="J712" s="271"/>
      <c r="L712" s="113"/>
    </row>
    <row r="713" spans="2:16">
      <c r="B713" s="918" t="s">
        <v>981</v>
      </c>
      <c r="C713" s="918"/>
      <c r="D713" s="918"/>
      <c r="E713" s="919">
        <f>SUM(E712:F712)</f>
        <v>307359.05279400002</v>
      </c>
      <c r="F713" s="920"/>
      <c r="H713" s="271"/>
      <c r="I713" s="272"/>
      <c r="J713" s="271"/>
      <c r="L713" s="113"/>
    </row>
    <row r="714" spans="2:16">
      <c r="B714" s="140"/>
      <c r="H714" s="113"/>
      <c r="L714" s="113"/>
    </row>
    <row r="715" spans="2:16">
      <c r="H715" s="113"/>
      <c r="L715" s="113"/>
    </row>
    <row r="718" spans="2:16" ht="25.5">
      <c r="B718" s="921" t="s">
        <v>1024</v>
      </c>
      <c r="C718" s="922"/>
      <c r="D718" s="923"/>
      <c r="E718" s="282" t="s">
        <v>1022</v>
      </c>
      <c r="F718" s="286" t="s">
        <v>31</v>
      </c>
      <c r="G718" s="282" t="s">
        <v>1253</v>
      </c>
      <c r="H718" s="286" t="s">
        <v>36</v>
      </c>
      <c r="I718" s="287" t="s">
        <v>1023</v>
      </c>
    </row>
    <row r="719" spans="2:16">
      <c r="B719" s="908" t="s">
        <v>907</v>
      </c>
      <c r="C719" s="909"/>
      <c r="D719" s="910"/>
      <c r="E719" s="283">
        <v>1716877.15</v>
      </c>
      <c r="F719" s="262">
        <v>408983.44000000012</v>
      </c>
      <c r="G719" s="262">
        <f>E709</f>
        <v>41061.919999999991</v>
      </c>
      <c r="H719" s="284">
        <f>F719+G719</f>
        <v>450045.3600000001</v>
      </c>
      <c r="I719" s="288">
        <f>H719/E719</f>
        <v>0.26213020541394016</v>
      </c>
    </row>
    <row r="720" spans="2:16">
      <c r="B720" s="908" t="s">
        <v>905</v>
      </c>
      <c r="C720" s="909"/>
      <c r="D720" s="910"/>
      <c r="E720" s="283">
        <v>1365196.33</v>
      </c>
      <c r="F720" s="285">
        <f>J207</f>
        <v>367316.69999999995</v>
      </c>
      <c r="G720" s="284">
        <f>E710</f>
        <v>142893.27000000002</v>
      </c>
      <c r="H720" s="284">
        <f t="shared" ref="H720:H721" si="555">F720+G720</f>
        <v>510209.97</v>
      </c>
      <c r="I720" s="288">
        <f t="shared" ref="I720:I721" si="556">H720/E720</f>
        <v>0.37372644416645917</v>
      </c>
    </row>
    <row r="721" spans="2:14">
      <c r="B721" s="908" t="s">
        <v>906</v>
      </c>
      <c r="C721" s="909"/>
      <c r="D721" s="910"/>
      <c r="E721" s="283">
        <v>2915748.42</v>
      </c>
      <c r="F721" s="285">
        <f>J43+J372</f>
        <v>222553.45</v>
      </c>
      <c r="G721" s="284">
        <f>E711</f>
        <v>63336.67</v>
      </c>
      <c r="H721" s="284">
        <f t="shared" si="555"/>
        <v>285890.12</v>
      </c>
      <c r="I721" s="288">
        <f t="shared" si="556"/>
        <v>9.8050338650273544E-2</v>
      </c>
    </row>
    <row r="722" spans="2:14">
      <c r="B722" s="908" t="s">
        <v>981</v>
      </c>
      <c r="C722" s="909"/>
      <c r="D722" s="910" t="s">
        <v>981</v>
      </c>
      <c r="E722" s="285">
        <f>SUM(E719:E721)</f>
        <v>5997821.9000000004</v>
      </c>
      <c r="F722" s="285">
        <f>SUM(F719:F721)</f>
        <v>998853.59000000008</v>
      </c>
      <c r="G722" s="285">
        <f>SUM(G719:G721)</f>
        <v>247291.86</v>
      </c>
      <c r="H722" s="285">
        <f>SUM(H719:H721)</f>
        <v>1246145.4500000002</v>
      </c>
      <c r="I722" s="288">
        <f>H722/E722</f>
        <v>0.20776633097424918</v>
      </c>
    </row>
    <row r="723" spans="2:14">
      <c r="F723" s="113"/>
    </row>
    <row r="726" spans="2:14">
      <c r="E726" s="175"/>
      <c r="F726" s="589"/>
      <c r="G726" s="174"/>
      <c r="H726" s="589"/>
      <c r="J726" s="113"/>
      <c r="K726" s="175"/>
      <c r="L726" s="589"/>
      <c r="M726" s="174"/>
      <c r="N726" s="589"/>
    </row>
    <row r="727" spans="2:14">
      <c r="E727" s="924" t="s">
        <v>903</v>
      </c>
      <c r="F727" s="924"/>
      <c r="G727" s="924"/>
      <c r="H727" s="924"/>
      <c r="K727" s="924" t="s">
        <v>902</v>
      </c>
      <c r="L727" s="924"/>
      <c r="M727" s="924"/>
      <c r="N727" s="924"/>
    </row>
  </sheetData>
  <autoFilter ref="B13:P705" xr:uid="{00000000-0009-0000-0000-000002000000}">
    <filterColumn colId="4" showButton="0"/>
    <filterColumn colId="5" showButton="0"/>
    <filterColumn colId="7" showButton="0"/>
    <filterColumn colId="9" showButton="0"/>
    <filterColumn colId="11" showButton="0"/>
    <filterColumn colId="13" showButton="0"/>
  </autoFilter>
  <mergeCells count="27">
    <mergeCell ref="B720:D720"/>
    <mergeCell ref="B721:D721"/>
    <mergeCell ref="B722:D722"/>
    <mergeCell ref="E727:H727"/>
    <mergeCell ref="K727:N727"/>
    <mergeCell ref="B719:D719"/>
    <mergeCell ref="K13:L13"/>
    <mergeCell ref="M13:N13"/>
    <mergeCell ref="O13:P13"/>
    <mergeCell ref="B708:D708"/>
    <mergeCell ref="B709:D709"/>
    <mergeCell ref="B710:D710"/>
    <mergeCell ref="B711:D711"/>
    <mergeCell ref="B712:D712"/>
    <mergeCell ref="B713:D713"/>
    <mergeCell ref="E713:F713"/>
    <mergeCell ref="B718:D718"/>
    <mergeCell ref="B2:P5"/>
    <mergeCell ref="B6:D6"/>
    <mergeCell ref="L8:M9"/>
    <mergeCell ref="B11:P11"/>
    <mergeCell ref="B13:B14"/>
    <mergeCell ref="C13:C14"/>
    <mergeCell ref="D13:D14"/>
    <mergeCell ref="E13:E14"/>
    <mergeCell ref="F13:H13"/>
    <mergeCell ref="I13:J13"/>
  </mergeCells>
  <printOptions horizontalCentered="1"/>
  <pageMargins left="0.39370078740157483" right="0.39370078740157483" top="0.78740157480314965" bottom="0.78740157480314965" header="0" footer="0.19685039370078741"/>
  <pageSetup paperSize="9" scale="46" firstPageNumber="7" fitToHeight="0" orientation="landscape" r:id="rId1"/>
  <headerFooter>
    <oddFooter>Página &amp;P de &amp;N</oddFooter>
  </headerFooter>
  <rowBreaks count="12" manualBreakCount="12">
    <brk id="42" min="1" max="15" man="1"/>
    <brk id="162" min="1" max="15" man="1"/>
    <brk id="198" min="1" max="15" man="1"/>
    <brk id="206" min="1" max="15" man="1"/>
    <brk id="244" min="1" max="15" man="1"/>
    <brk id="272" min="1" max="15" man="1"/>
    <brk id="357" min="1" max="15" man="1"/>
    <brk id="432" min="1" max="15" man="1"/>
    <brk id="457" min="1" max="15" man="1"/>
    <brk id="503" min="1" max="15" man="1"/>
    <brk id="537" min="1" max="15" man="1"/>
    <brk id="696" min="1" max="15"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52A3C-6D99-43A1-A643-914BFC30671D}">
  <sheetPr codeName="Planilha25">
    <tabColor rgb="FF339933"/>
    <pageSetUpPr fitToPage="1"/>
  </sheetPr>
  <dimension ref="A1:AJ27"/>
  <sheetViews>
    <sheetView view="pageBreakPreview" topLeftCell="G7" zoomScale="60" zoomScaleNormal="55" workbookViewId="0">
      <selection activeCell="R25" sqref="R25"/>
    </sheetView>
  </sheetViews>
  <sheetFormatPr defaultColWidth="9.140625" defaultRowHeight="12.75"/>
  <cols>
    <col min="1" max="1" width="5.5703125" style="10" customWidth="1"/>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DEZ!A139</f>
        <v>2.4.1.1</v>
      </c>
      <c r="C10" s="845" t="str">
        <f>DEZ!C139</f>
        <v>Fôrma com chapa compensada plastificada esp. 12mm, utização 5 vezes</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1261</v>
      </c>
      <c r="D12" s="854"/>
      <c r="E12" s="855"/>
      <c r="F12" s="856"/>
      <c r="G12" s="77"/>
      <c r="H12" s="78"/>
      <c r="I12" s="79"/>
      <c r="J12" s="226"/>
      <c r="K12" s="81">
        <f>341/2</f>
        <v>170.5</v>
      </c>
      <c r="L12" s="82"/>
      <c r="M12" s="83"/>
      <c r="N12" s="105"/>
      <c r="O12" s="84"/>
      <c r="P12" s="82"/>
      <c r="Q12" s="93"/>
      <c r="R12" s="85">
        <f>PRODUCT(D12:L12)</f>
        <v>170.5</v>
      </c>
      <c r="S12" s="154" t="s">
        <v>57</v>
      </c>
      <c r="T12" s="215">
        <v>6</v>
      </c>
      <c r="U12" s="94"/>
      <c r="V12" s="71"/>
      <c r="W12" s="71"/>
      <c r="X12" s="152"/>
      <c r="Y12" s="153"/>
      <c r="Z12" s="72"/>
    </row>
    <row r="13" spans="1:36" s="73" customFormat="1" ht="21" customHeight="1">
      <c r="A13" s="64"/>
      <c r="B13" s="109"/>
      <c r="C13" s="76" t="s">
        <v>1260</v>
      </c>
      <c r="D13" s="77"/>
      <c r="E13" s="78"/>
      <c r="F13" s="79"/>
      <c r="G13" s="77"/>
      <c r="H13" s="78"/>
      <c r="I13" s="79"/>
      <c r="J13" s="66"/>
      <c r="K13" s="108">
        <v>170.5</v>
      </c>
      <c r="L13" s="67"/>
      <c r="M13" s="68"/>
      <c r="N13" s="110"/>
      <c r="O13" s="69"/>
      <c r="P13" s="67"/>
      <c r="Q13" s="106"/>
      <c r="R13" s="85">
        <f>PRODUCT(D13:L13)</f>
        <v>170.5</v>
      </c>
      <c r="S13" s="154" t="s">
        <v>57</v>
      </c>
      <c r="T13" s="215">
        <v>7</v>
      </c>
      <c r="U13" s="94"/>
      <c r="V13" s="71"/>
      <c r="W13" s="71"/>
      <c r="X13" s="152"/>
      <c r="Y13" s="153"/>
      <c r="Z13" s="72"/>
      <c r="AA13" s="71"/>
      <c r="AB13" s="74"/>
    </row>
    <row r="14" spans="1:36" s="73" customFormat="1" ht="21" customHeight="1">
      <c r="A14" s="64"/>
      <c r="B14" s="109"/>
      <c r="C14" s="76" t="s">
        <v>1262</v>
      </c>
      <c r="D14" s="854">
        <v>18</v>
      </c>
      <c r="E14" s="855"/>
      <c r="F14" s="856"/>
      <c r="G14" s="863">
        <v>5</v>
      </c>
      <c r="H14" s="864"/>
      <c r="I14" s="865"/>
      <c r="J14" s="66"/>
      <c r="K14" s="108">
        <f>D14*G14</f>
        <v>90</v>
      </c>
      <c r="L14" s="67"/>
      <c r="M14" s="68"/>
      <c r="N14" s="110"/>
      <c r="O14" s="69"/>
      <c r="P14" s="67"/>
      <c r="Q14" s="106"/>
      <c r="R14" s="85">
        <f>K14</f>
        <v>90</v>
      </c>
      <c r="S14" s="154" t="s">
        <v>57</v>
      </c>
      <c r="T14" s="215">
        <v>8</v>
      </c>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DEZ!I139</f>
        <v>431</v>
      </c>
      <c r="K23" s="810"/>
      <c r="L23" s="50" t="str">
        <f>VLOOKUP(A25,DEZ!$A$2:$S$731,4,FALSE)</f>
        <v>m2</v>
      </c>
      <c r="M23" s="803" t="s">
        <v>12</v>
      </c>
      <c r="N23" s="811"/>
      <c r="O23" s="811"/>
      <c r="P23" s="811"/>
      <c r="Q23" s="805"/>
      <c r="R23" s="61">
        <f>SUM(R12:R22)</f>
        <v>431</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SUM(R12:R14)</f>
        <v>431</v>
      </c>
      <c r="S24" s="52" t="str">
        <f>L23</f>
        <v>m2</v>
      </c>
      <c r="T24" s="22"/>
      <c r="U24" s="23"/>
    </row>
    <row r="25" spans="1:28" ht="21" customHeight="1">
      <c r="A25" s="10" t="s">
        <v>465</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VLOOKUP(A25,DEZ!$A$2:$S$731,5,FALSE)</f>
        <v>86.33</v>
      </c>
      <c r="S26" s="53"/>
      <c r="T26" s="54"/>
      <c r="U26" s="24"/>
    </row>
    <row r="27" spans="1:28" ht="21" customHeight="1">
      <c r="B27" s="163"/>
      <c r="C27" s="219"/>
      <c r="M27" s="803" t="s">
        <v>54</v>
      </c>
      <c r="N27" s="804"/>
      <c r="O27" s="804"/>
      <c r="P27" s="804"/>
      <c r="Q27" s="805"/>
      <c r="R27" s="62">
        <f>TRUNC(R26*R25,2)</f>
        <v>0</v>
      </c>
      <c r="S27" s="53" t="s">
        <v>55</v>
      </c>
      <c r="T27" s="54"/>
      <c r="U27" s="24"/>
    </row>
  </sheetData>
  <mergeCells count="37">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D14:F14"/>
    <mergeCell ref="G14:I14"/>
    <mergeCell ref="M27:Q27"/>
    <mergeCell ref="D24:I25"/>
    <mergeCell ref="J24:K25"/>
    <mergeCell ref="L24:L25"/>
    <mergeCell ref="M24:Q24"/>
    <mergeCell ref="M25:Q25"/>
    <mergeCell ref="M26:Q26"/>
  </mergeCells>
  <conditionalFormatting sqref="J24:K27">
    <cfRule type="cellIs" dxfId="349" priority="1" operator="greaterThanOrEqual">
      <formula>1</formula>
    </cfRule>
    <cfRule type="cellIs" dxfId="34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8BCD6-C302-45F5-8787-A8B338979153}">
  <sheetPr codeName="Planilha26">
    <tabColor rgb="FF339933"/>
    <pageSetUpPr fitToPage="1"/>
  </sheetPr>
  <dimension ref="A1:AJ28"/>
  <sheetViews>
    <sheetView view="pageBreakPreview" topLeftCell="C4" zoomScale="50" zoomScaleNormal="55" zoomScaleSheetLayoutView="50"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DEZ!A140</f>
        <v>2.4.1.2</v>
      </c>
      <c r="C10" s="845" t="str">
        <f>DEZ!C140</f>
        <v>ARMAÇÃO DO SISTEMA DE PAREDES DE CONCRETO COM TELA Q785</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1000</v>
      </c>
      <c r="D12" s="854">
        <f>J24*0.9</f>
        <v>3569.4180000000001</v>
      </c>
      <c r="E12" s="855"/>
      <c r="F12" s="856"/>
      <c r="G12" s="860"/>
      <c r="H12" s="861"/>
      <c r="I12" s="862"/>
      <c r="J12" s="80"/>
      <c r="K12" s="81"/>
      <c r="L12" s="82"/>
      <c r="M12" s="83"/>
      <c r="N12" s="105"/>
      <c r="O12" s="84"/>
      <c r="P12" s="82"/>
      <c r="Q12" s="93"/>
      <c r="R12" s="85">
        <f>D12</f>
        <v>3569.4180000000001</v>
      </c>
      <c r="S12" s="154" t="s">
        <v>29</v>
      </c>
      <c r="T12" s="215">
        <v>6</v>
      </c>
      <c r="U12" s="94"/>
      <c r="V12" s="71"/>
      <c r="W12" s="71"/>
      <c r="X12" s="152"/>
      <c r="Y12" s="153"/>
      <c r="Z12" s="72"/>
    </row>
    <row r="13" spans="1:36" s="73" customFormat="1" ht="21" customHeight="1">
      <c r="A13" s="64"/>
      <c r="B13" s="109"/>
      <c r="C13" s="76" t="s">
        <v>1000</v>
      </c>
      <c r="D13" s="854">
        <f>J24-D12-318.3</f>
        <v>78.30199999999985</v>
      </c>
      <c r="E13" s="855"/>
      <c r="F13" s="856"/>
      <c r="G13" s="77"/>
      <c r="H13" s="78"/>
      <c r="I13" s="79"/>
      <c r="J13" s="80"/>
      <c r="K13" s="81"/>
      <c r="L13" s="82"/>
      <c r="M13" s="83"/>
      <c r="N13" s="105"/>
      <c r="O13" s="84"/>
      <c r="P13" s="82"/>
      <c r="Q13" s="93"/>
      <c r="R13" s="85">
        <f>D13</f>
        <v>78.30199999999985</v>
      </c>
      <c r="S13" s="154" t="s">
        <v>29</v>
      </c>
      <c r="T13" s="215">
        <v>7</v>
      </c>
      <c r="U13" s="94"/>
      <c r="V13" s="71"/>
      <c r="W13" s="71"/>
      <c r="X13" s="152"/>
      <c r="Y13" s="153"/>
      <c r="Z13" s="72"/>
    </row>
    <row r="14" spans="1:36" s="73" customFormat="1" ht="21" customHeight="1">
      <c r="A14" s="64"/>
      <c r="B14" s="109"/>
      <c r="C14" s="76" t="s">
        <v>1026</v>
      </c>
      <c r="D14" s="854">
        <v>318.3</v>
      </c>
      <c r="E14" s="855"/>
      <c r="F14" s="856"/>
      <c r="G14" s="77"/>
      <c r="H14" s="78"/>
      <c r="I14" s="79"/>
      <c r="J14" s="66"/>
      <c r="K14" s="108"/>
      <c r="L14" s="67"/>
      <c r="M14" s="68"/>
      <c r="N14" s="110"/>
      <c r="O14" s="69"/>
      <c r="P14" s="67"/>
      <c r="Q14" s="106"/>
      <c r="R14" s="70">
        <f>D14</f>
        <v>318.3</v>
      </c>
      <c r="S14" s="154" t="s">
        <v>29</v>
      </c>
      <c r="T14" s="215">
        <v>8</v>
      </c>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DEZ!F140</f>
        <v>3966.02</v>
      </c>
      <c r="K24" s="810"/>
      <c r="L24" s="50" t="str">
        <f>VLOOKUP(A26,DEZ!$A$2:$S$731,4,FALSE)</f>
        <v>kg</v>
      </c>
      <c r="M24" s="803" t="s">
        <v>12</v>
      </c>
      <c r="N24" s="811"/>
      <c r="O24" s="811"/>
      <c r="P24" s="811"/>
      <c r="Q24" s="805"/>
      <c r="R24" s="61">
        <f>SUM(R12:R23)</f>
        <v>3966.02</v>
      </c>
      <c r="S24" s="51" t="str">
        <f>L24</f>
        <v>kg</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SUM(R12:R14)</f>
        <v>3966.02</v>
      </c>
      <c r="S25" s="52" t="str">
        <f>L24</f>
        <v>kg</v>
      </c>
      <c r="T25" s="22"/>
      <c r="U25" s="23"/>
    </row>
    <row r="26" spans="1:28" ht="21" customHeight="1">
      <c r="A26" s="10" t="s">
        <v>466</v>
      </c>
      <c r="B26" s="165"/>
      <c r="C26" s="164"/>
      <c r="D26" s="820"/>
      <c r="E26" s="821"/>
      <c r="F26" s="821"/>
      <c r="G26" s="821"/>
      <c r="H26" s="821"/>
      <c r="I26" s="822"/>
      <c r="J26" s="825"/>
      <c r="K26" s="826"/>
      <c r="L26" s="828"/>
      <c r="M26" s="803" t="s">
        <v>14</v>
      </c>
      <c r="N26" s="804"/>
      <c r="O26" s="804"/>
      <c r="P26" s="804"/>
      <c r="Q26" s="805"/>
      <c r="R26" s="62">
        <f>R24-R25</f>
        <v>0</v>
      </c>
      <c r="S26" s="53" t="str">
        <f>L24</f>
        <v>kg</v>
      </c>
      <c r="T26" s="54"/>
      <c r="U26" s="24"/>
    </row>
    <row r="27" spans="1:28" ht="21" customHeight="1">
      <c r="B27" s="218"/>
      <c r="C27" s="217"/>
      <c r="M27" s="803" t="s">
        <v>53</v>
      </c>
      <c r="N27" s="804"/>
      <c r="O27" s="804"/>
      <c r="P27" s="804"/>
      <c r="Q27" s="805"/>
      <c r="R27" s="62">
        <f>VLOOKUP(A26,DEZ!$A$2:$S$731,5,FALSE)</f>
        <v>7.33</v>
      </c>
      <c r="S27" s="53"/>
      <c r="T27" s="54"/>
      <c r="U27" s="24"/>
    </row>
    <row r="28" spans="1:28" ht="21" customHeight="1">
      <c r="B28" s="163"/>
      <c r="C28" s="219"/>
      <c r="M28" s="803" t="s">
        <v>54</v>
      </c>
      <c r="N28" s="804"/>
      <c r="O28" s="804"/>
      <c r="P28" s="804"/>
      <c r="Q28" s="805"/>
      <c r="R28" s="62">
        <f>TRUNC(R27*R26,2)</f>
        <v>0</v>
      </c>
      <c r="S28" s="53" t="s">
        <v>55</v>
      </c>
      <c r="T28" s="54"/>
      <c r="U28" s="24"/>
    </row>
  </sheetData>
  <mergeCells count="38">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24:I24"/>
    <mergeCell ref="J24:K24"/>
    <mergeCell ref="M24:Q24"/>
    <mergeCell ref="N10:N11"/>
    <mergeCell ref="O10:O11"/>
    <mergeCell ref="P10:P11"/>
    <mergeCell ref="Q10:Q11"/>
    <mergeCell ref="D12:F12"/>
    <mergeCell ref="G12:I12"/>
    <mergeCell ref="D13:F13"/>
    <mergeCell ref="D14:F14"/>
    <mergeCell ref="M28:Q28"/>
    <mergeCell ref="D25:I26"/>
    <mergeCell ref="J25:K26"/>
    <mergeCell ref="L25:L26"/>
    <mergeCell ref="M25:Q25"/>
    <mergeCell ref="M26:Q26"/>
    <mergeCell ref="M27:Q27"/>
  </mergeCells>
  <conditionalFormatting sqref="J25:K28">
    <cfRule type="cellIs" dxfId="347" priority="1" operator="greaterThanOrEqual">
      <formula>1</formula>
    </cfRule>
    <cfRule type="cellIs" dxfId="34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04E6C-D94E-42F8-941C-9AFE10BF5C81}">
  <sheetPr codeName="Planilha27">
    <tabColor rgb="FF339933"/>
    <pageSetUpPr fitToPage="1"/>
  </sheetPr>
  <dimension ref="A1:AJ28"/>
  <sheetViews>
    <sheetView view="pageBreakPreview" zoomScale="50" zoomScaleNormal="55" zoomScaleSheetLayoutView="50" workbookViewId="0">
      <selection activeCell="R26" sqref="R26"/>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DEZ!A141</f>
        <v>2.4.1.3</v>
      </c>
      <c r="C10" s="845" t="str">
        <f>CONCATENATE(VLOOKUP(A26,DEZ!$A$2:$S$731,2,FALSE)," - ",VLOOKUP(A26,DEZ!$A$2:$S$731,3,FALSE))</f>
        <v>40328 - Fornecimento, dobragem e colocação em fôrma, de armadura CA-50 A média, diâmetro de 6.3 a 10.0 mm</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918</v>
      </c>
      <c r="D12" s="854">
        <v>1880</v>
      </c>
      <c r="E12" s="855"/>
      <c r="F12" s="856"/>
      <c r="G12" s="860"/>
      <c r="H12" s="861"/>
      <c r="I12" s="862"/>
      <c r="J12" s="80"/>
      <c r="K12" s="81"/>
      <c r="L12" s="82"/>
      <c r="M12" s="83"/>
      <c r="N12" s="105"/>
      <c r="O12" s="84"/>
      <c r="P12" s="82"/>
      <c r="Q12" s="93"/>
      <c r="R12" s="85">
        <f>D12</f>
        <v>1880</v>
      </c>
      <c r="S12" s="154" t="s">
        <v>29</v>
      </c>
      <c r="T12" s="215">
        <v>6</v>
      </c>
      <c r="U12" s="94"/>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VLOOKUP(A26,DEZ!$A$2:$S$731,6,FALSE)</f>
        <v>1880</v>
      </c>
      <c r="K24" s="810"/>
      <c r="L24" s="50" t="str">
        <f>VLOOKUP(A26,DEZ!$A$2:$S$731,4,FALSE)</f>
        <v>kg</v>
      </c>
      <c r="M24" s="803" t="s">
        <v>12</v>
      </c>
      <c r="N24" s="811"/>
      <c r="O24" s="811"/>
      <c r="P24" s="811"/>
      <c r="Q24" s="805"/>
      <c r="R24" s="61">
        <f>SUM(R12:R23)</f>
        <v>1880</v>
      </c>
      <c r="S24" s="51" t="str">
        <f>L24</f>
        <v>kg</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R12</f>
        <v>1880</v>
      </c>
      <c r="S25" s="52" t="str">
        <f>L24</f>
        <v>kg</v>
      </c>
      <c r="T25" s="22"/>
      <c r="U25" s="23"/>
    </row>
    <row r="26" spans="1:28" ht="21" customHeight="1">
      <c r="A26" s="10" t="s">
        <v>467</v>
      </c>
      <c r="B26" s="165"/>
      <c r="C26" s="164"/>
      <c r="D26" s="820"/>
      <c r="E26" s="821"/>
      <c r="F26" s="821"/>
      <c r="G26" s="821"/>
      <c r="H26" s="821"/>
      <c r="I26" s="822"/>
      <c r="J26" s="825"/>
      <c r="K26" s="826"/>
      <c r="L26" s="828"/>
      <c r="M26" s="803" t="s">
        <v>14</v>
      </c>
      <c r="N26" s="804"/>
      <c r="O26" s="804"/>
      <c r="P26" s="804"/>
      <c r="Q26" s="805"/>
      <c r="R26" s="62">
        <f>R24-R25</f>
        <v>0</v>
      </c>
      <c r="S26" s="53" t="str">
        <f>L24</f>
        <v>kg</v>
      </c>
      <c r="T26" s="54"/>
      <c r="U26" s="24"/>
    </row>
    <row r="27" spans="1:28" ht="21" customHeight="1">
      <c r="B27" s="218"/>
      <c r="C27" s="217"/>
      <c r="M27" s="803" t="s">
        <v>53</v>
      </c>
      <c r="N27" s="804"/>
      <c r="O27" s="804"/>
      <c r="P27" s="804"/>
      <c r="Q27" s="805"/>
      <c r="R27" s="62">
        <f>VLOOKUP(A26,DEZ!$A$2:$S$731,5,FALSE)</f>
        <v>7.98</v>
      </c>
      <c r="S27" s="53"/>
      <c r="T27" s="54"/>
      <c r="U27" s="24"/>
    </row>
    <row r="28" spans="1:28" ht="21" customHeight="1">
      <c r="B28" s="163"/>
      <c r="C28" s="219"/>
      <c r="M28" s="803" t="s">
        <v>54</v>
      </c>
      <c r="N28" s="804"/>
      <c r="O28" s="804"/>
      <c r="P28" s="804"/>
      <c r="Q28" s="805"/>
      <c r="R28" s="62">
        <f>TRUNC(R27*R26,2)</f>
        <v>0</v>
      </c>
      <c r="S28" s="53" t="s">
        <v>55</v>
      </c>
      <c r="T28" s="54"/>
      <c r="U28" s="24"/>
    </row>
  </sheetData>
  <mergeCells count="37">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24:I24"/>
    <mergeCell ref="J24:K24"/>
    <mergeCell ref="M24:Q24"/>
    <mergeCell ref="N10:N11"/>
    <mergeCell ref="O10:O11"/>
    <mergeCell ref="P10:P11"/>
    <mergeCell ref="Q10:Q11"/>
    <mergeCell ref="D12:F12"/>
    <mergeCell ref="G12:I12"/>
    <mergeCell ref="D13:F13"/>
    <mergeCell ref="M28:Q28"/>
    <mergeCell ref="D25:I26"/>
    <mergeCell ref="J25:K26"/>
    <mergeCell ref="L25:L26"/>
    <mergeCell ref="M25:Q25"/>
    <mergeCell ref="M26:Q26"/>
    <mergeCell ref="M27:Q27"/>
  </mergeCells>
  <conditionalFormatting sqref="J25:K28">
    <cfRule type="cellIs" dxfId="345" priority="1" operator="greaterThanOrEqual">
      <formula>1</formula>
    </cfRule>
    <cfRule type="cellIs" dxfId="34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ilha28">
    <tabColor rgb="FF0000FF"/>
    <pageSetUpPr fitToPage="1"/>
  </sheetPr>
  <dimension ref="A1:AJ28"/>
  <sheetViews>
    <sheetView view="pageBreakPreview" zoomScale="60" zoomScaleNormal="55" workbookViewId="0">
      <selection activeCell="M27" sqref="M27:Q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A26</f>
        <v>3.4.1.3</v>
      </c>
      <c r="C10" s="845" t="str">
        <f>CONCATENATE(VLOOKUP(A26,DEZ!$A$2:$S$731,2,FALSE)," - ",VLOOKUP(A26,DEZ!$A$2:$S$731,3,FALSE))</f>
        <v>40328 - Fornecimento, dobragem e colocação em fôrma, de armadura CA-50 A média, diâmetro de 6.3 a 10.0 mm</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918</v>
      </c>
      <c r="D12" s="854">
        <v>1880</v>
      </c>
      <c r="E12" s="855"/>
      <c r="F12" s="856"/>
      <c r="G12" s="860"/>
      <c r="H12" s="861"/>
      <c r="I12" s="862"/>
      <c r="J12" s="80"/>
      <c r="K12" s="81"/>
      <c r="L12" s="82"/>
      <c r="M12" s="83"/>
      <c r="N12" s="105"/>
      <c r="O12" s="84"/>
      <c r="P12" s="82"/>
      <c r="Q12" s="93"/>
      <c r="R12" s="85">
        <f>D12</f>
        <v>1880</v>
      </c>
      <c r="S12" s="154" t="s">
        <v>29</v>
      </c>
      <c r="T12" s="215">
        <v>2</v>
      </c>
      <c r="U12" s="94"/>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VLOOKUP(A26,DEZ!$A$2:$S$731,6,FALSE)</f>
        <v>1880</v>
      </c>
      <c r="K24" s="810"/>
      <c r="L24" s="50" t="str">
        <f>VLOOKUP(A26,DEZ!$A$2:$S$731,4,FALSE)</f>
        <v>kg</v>
      </c>
      <c r="M24" s="803" t="s">
        <v>12</v>
      </c>
      <c r="N24" s="811"/>
      <c r="O24" s="811"/>
      <c r="P24" s="811"/>
      <c r="Q24" s="805"/>
      <c r="R24" s="61">
        <f>SUM(R12:R23)</f>
        <v>1880</v>
      </c>
      <c r="S24" s="51" t="str">
        <f>L24</f>
        <v>kg</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VLOOKUP(A26,DEZ!$A$2:$S$731,8,FALSE)</f>
        <v>0</v>
      </c>
      <c r="S25" s="52" t="str">
        <f>L24</f>
        <v>kg</v>
      </c>
      <c r="T25" s="22"/>
      <c r="U25" s="23"/>
    </row>
    <row r="26" spans="1:28" ht="21" customHeight="1">
      <c r="A26" s="10" t="s">
        <v>467</v>
      </c>
      <c r="B26" s="165"/>
      <c r="C26" s="164"/>
      <c r="D26" s="820"/>
      <c r="E26" s="821"/>
      <c r="F26" s="821"/>
      <c r="G26" s="821"/>
      <c r="H26" s="821"/>
      <c r="I26" s="822"/>
      <c r="J26" s="825"/>
      <c r="K26" s="826"/>
      <c r="L26" s="828"/>
      <c r="M26" s="803" t="s">
        <v>14</v>
      </c>
      <c r="N26" s="804"/>
      <c r="O26" s="804"/>
      <c r="P26" s="804"/>
      <c r="Q26" s="805"/>
      <c r="R26" s="62">
        <f>R24-R25</f>
        <v>1880</v>
      </c>
      <c r="S26" s="53" t="str">
        <f>L24</f>
        <v>kg</v>
      </c>
      <c r="T26" s="54"/>
      <c r="U26" s="24"/>
    </row>
    <row r="27" spans="1:28" ht="21" customHeight="1">
      <c r="B27" s="218"/>
      <c r="C27" s="217"/>
      <c r="M27" s="803" t="s">
        <v>53</v>
      </c>
      <c r="N27" s="804"/>
      <c r="O27" s="804"/>
      <c r="P27" s="804"/>
      <c r="Q27" s="805"/>
      <c r="R27" s="62">
        <f>VLOOKUP(A26,DEZ!$A$2:$S$731,5,FALSE)</f>
        <v>7.98</v>
      </c>
      <c r="S27" s="53"/>
      <c r="T27" s="54"/>
      <c r="U27" s="24"/>
    </row>
    <row r="28" spans="1:28" ht="21" customHeight="1">
      <c r="B28" s="163"/>
      <c r="C28" s="219"/>
      <c r="M28" s="803" t="s">
        <v>54</v>
      </c>
      <c r="N28" s="804"/>
      <c r="O28" s="804"/>
      <c r="P28" s="804"/>
      <c r="Q28" s="805"/>
      <c r="R28" s="62">
        <f>TRUNC(R27*R26,2)</f>
        <v>15002.4</v>
      </c>
      <c r="S28" s="53" t="s">
        <v>55</v>
      </c>
      <c r="T28" s="54"/>
      <c r="U28" s="24"/>
    </row>
  </sheetData>
  <mergeCells count="37">
    <mergeCell ref="R10:R11"/>
    <mergeCell ref="S10:S11"/>
    <mergeCell ref="M28:Q28"/>
    <mergeCell ref="G12:I12"/>
    <mergeCell ref="D25:I26"/>
    <mergeCell ref="J25:K26"/>
    <mergeCell ref="L25:L26"/>
    <mergeCell ref="M25:Q25"/>
    <mergeCell ref="M26:Q26"/>
    <mergeCell ref="M27:Q27"/>
    <mergeCell ref="D12:F12"/>
    <mergeCell ref="D13:F13"/>
    <mergeCell ref="D24:I24"/>
    <mergeCell ref="J24:K24"/>
    <mergeCell ref="M24:Q24"/>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5:K28">
    <cfRule type="cellIs" dxfId="343" priority="1" operator="greaterThanOrEqual">
      <formula>1</formula>
    </cfRule>
    <cfRule type="cellIs" dxfId="34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FEA3B-16FB-405E-8EDE-129285A5406B}">
  <sheetPr codeName="Planilha29">
    <tabColor rgb="FF339933"/>
    <pageSetUpPr fitToPage="1"/>
  </sheetPr>
  <dimension ref="A1:AJ28"/>
  <sheetViews>
    <sheetView view="pageBreakPreview" zoomScale="50" zoomScaleNormal="55" zoomScaleSheetLayoutView="50"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DEZ!A142</f>
        <v>2.4.1.4</v>
      </c>
      <c r="C10" s="845" t="str">
        <f>DEZ!C142</f>
        <v>Cordoalha CP 190 RB D = 15,2 mm - fornecimento, preparo e colocação</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1016</v>
      </c>
      <c r="D12" s="854">
        <v>73</v>
      </c>
      <c r="E12" s="855"/>
      <c r="F12" s="856"/>
      <c r="G12" s="860"/>
      <c r="H12" s="861"/>
      <c r="I12" s="862"/>
      <c r="J12" s="80"/>
      <c r="K12" s="81"/>
      <c r="L12" s="82"/>
      <c r="M12" s="83"/>
      <c r="N12" s="105"/>
      <c r="O12" s="84"/>
      <c r="P12" s="82"/>
      <c r="Q12" s="93"/>
      <c r="R12" s="85">
        <f>D12</f>
        <v>73</v>
      </c>
      <c r="S12" s="154" t="s">
        <v>29</v>
      </c>
      <c r="T12" s="215">
        <v>7</v>
      </c>
      <c r="U12" s="94"/>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DEZ!F142</f>
        <v>73</v>
      </c>
      <c r="K24" s="810"/>
      <c r="L24" s="50" t="str">
        <f>VLOOKUP(A26,DEZ!$A$2:$S$731,4,FALSE)</f>
        <v>kg</v>
      </c>
      <c r="M24" s="803" t="s">
        <v>12</v>
      </c>
      <c r="N24" s="811"/>
      <c r="O24" s="811"/>
      <c r="P24" s="811"/>
      <c r="Q24" s="805"/>
      <c r="R24" s="61">
        <f>SUM(R12:R23)</f>
        <v>73</v>
      </c>
      <c r="S24" s="51" t="str">
        <f>L24</f>
        <v>kg</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R12</f>
        <v>73</v>
      </c>
      <c r="S25" s="52" t="str">
        <f>L24</f>
        <v>kg</v>
      </c>
      <c r="T25" s="22"/>
      <c r="U25" s="23"/>
    </row>
    <row r="26" spans="1:28" ht="21" customHeight="1">
      <c r="A26" s="10" t="s">
        <v>466</v>
      </c>
      <c r="B26" s="165"/>
      <c r="C26" s="164"/>
      <c r="D26" s="820"/>
      <c r="E26" s="821"/>
      <c r="F26" s="821"/>
      <c r="G26" s="821"/>
      <c r="H26" s="821"/>
      <c r="I26" s="822"/>
      <c r="J26" s="825"/>
      <c r="K26" s="826"/>
      <c r="L26" s="828"/>
      <c r="M26" s="803" t="s">
        <v>14</v>
      </c>
      <c r="N26" s="804"/>
      <c r="O26" s="804"/>
      <c r="P26" s="804"/>
      <c r="Q26" s="805"/>
      <c r="R26" s="62">
        <f>R24-R25</f>
        <v>0</v>
      </c>
      <c r="S26" s="53" t="str">
        <f>L24</f>
        <v>kg</v>
      </c>
      <c r="T26" s="54"/>
      <c r="U26" s="24"/>
    </row>
    <row r="27" spans="1:28" ht="21" customHeight="1">
      <c r="B27" s="218"/>
      <c r="C27" s="217"/>
      <c r="M27" s="803" t="s">
        <v>53</v>
      </c>
      <c r="N27" s="804"/>
      <c r="O27" s="804"/>
      <c r="P27" s="804"/>
      <c r="Q27" s="805"/>
      <c r="R27" s="62">
        <f>DEZ!E142</f>
        <v>11.02</v>
      </c>
      <c r="S27" s="53"/>
      <c r="T27" s="54"/>
      <c r="U27" s="24"/>
    </row>
    <row r="28" spans="1:28" ht="21" customHeight="1">
      <c r="B28" s="163"/>
      <c r="C28" s="219"/>
      <c r="M28" s="803" t="s">
        <v>54</v>
      </c>
      <c r="N28" s="804"/>
      <c r="O28" s="804"/>
      <c r="P28" s="804"/>
      <c r="Q28" s="805"/>
      <c r="R28" s="62">
        <f>TRUNC(R27*R26,2)</f>
        <v>0</v>
      </c>
      <c r="S28" s="53" t="s">
        <v>55</v>
      </c>
      <c r="T28" s="54"/>
      <c r="U28" s="24"/>
    </row>
  </sheetData>
  <mergeCells count="37">
    <mergeCell ref="M28:Q28"/>
    <mergeCell ref="D25:I26"/>
    <mergeCell ref="J25:K26"/>
    <mergeCell ref="L25:L26"/>
    <mergeCell ref="M25:Q25"/>
    <mergeCell ref="M26:Q26"/>
    <mergeCell ref="M27:Q27"/>
    <mergeCell ref="D24:I24"/>
    <mergeCell ref="J24:K24"/>
    <mergeCell ref="M24:Q24"/>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5:K28">
    <cfRule type="cellIs" dxfId="341" priority="1" operator="greaterThanOrEqual">
      <formula>1</formula>
    </cfRule>
    <cfRule type="cellIs" dxfId="34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54D25-2BDC-49ED-ABFB-95208BF38DA1}">
  <sheetPr codeName="Planilha31">
    <tabColor rgb="FF339933"/>
    <pageSetUpPr fitToPage="1"/>
  </sheetPr>
  <dimension ref="A1:AJ23"/>
  <sheetViews>
    <sheetView view="pageBreakPreview" zoomScale="50" zoomScaleNormal="55" zoomScaleSheetLayoutView="50"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DEZ!A157</f>
        <v>2.4.3.1</v>
      </c>
      <c r="C10" s="845" t="str">
        <f>CONCATENATE(VLOOKUP(A21,DEZ!$A$2:$S$731,2,FALSE)," - ",VLOOKUP(A21,DEZ!$A$2:$S$731,3,FALSE))</f>
        <v>COT16 - SONDAGEM ROTATIVA EM LÂMINA D'ÁGUA (PRAINHA DE VILA VELHA) - INCLUSIVE MOBILIZAÇÃO E DESMOBILIZAÇÃO DE EQUIPAMENTO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220" t="s">
        <v>893</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887</v>
      </c>
      <c r="D13" s="854"/>
      <c r="E13" s="855"/>
      <c r="F13" s="856"/>
      <c r="G13" s="77"/>
      <c r="H13" s="78"/>
      <c r="I13" s="79"/>
      <c r="J13" s="80"/>
      <c r="K13" s="81"/>
      <c r="L13" s="82"/>
      <c r="M13" s="83">
        <v>1</v>
      </c>
      <c r="N13" s="105"/>
      <c r="O13" s="84"/>
      <c r="P13" s="82"/>
      <c r="Q13" s="93"/>
      <c r="R13" s="85">
        <f>M13</f>
        <v>1</v>
      </c>
      <c r="S13" s="154" t="s">
        <v>59</v>
      </c>
      <c r="T13" s="215">
        <v>6</v>
      </c>
      <c r="U13" s="94"/>
      <c r="V13" s="71"/>
      <c r="W13" s="71"/>
      <c r="X13" s="152"/>
      <c r="Y13" s="153"/>
      <c r="Z13" s="72"/>
    </row>
    <row r="14" spans="1:36" s="73" customFormat="1" ht="21" customHeight="1">
      <c r="A14" s="64"/>
      <c r="B14" s="109"/>
      <c r="C14" s="76" t="s">
        <v>888</v>
      </c>
      <c r="D14" s="854"/>
      <c r="E14" s="855"/>
      <c r="F14" s="856"/>
      <c r="G14" s="77"/>
      <c r="H14" s="78"/>
      <c r="I14" s="79"/>
      <c r="J14" s="80"/>
      <c r="K14" s="81"/>
      <c r="L14" s="82"/>
      <c r="M14" s="83">
        <v>1</v>
      </c>
      <c r="N14" s="105"/>
      <c r="O14" s="84"/>
      <c r="P14" s="82"/>
      <c r="Q14" s="93"/>
      <c r="R14" s="85">
        <f>M14</f>
        <v>1</v>
      </c>
      <c r="S14" s="154" t="s">
        <v>59</v>
      </c>
      <c r="T14" s="215">
        <v>6</v>
      </c>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ht="39.6" customHeight="1">
      <c r="B19" s="161"/>
      <c r="C19" s="162"/>
      <c r="D19" s="806" t="s">
        <v>11</v>
      </c>
      <c r="E19" s="807"/>
      <c r="F19" s="807"/>
      <c r="G19" s="807"/>
      <c r="H19" s="807"/>
      <c r="I19" s="808"/>
      <c r="J19" s="809">
        <f>VLOOKUP(A21,DEZ!$A$2:$S$731,6,FALSE)</f>
        <v>2</v>
      </c>
      <c r="K19" s="810"/>
      <c r="L19" s="50" t="str">
        <f>VLOOKUP(A21,DEZ!$A$2:$S$731,4,FALSE)</f>
        <v>UN</v>
      </c>
      <c r="M19" s="803" t="s">
        <v>12</v>
      </c>
      <c r="N19" s="811"/>
      <c r="O19" s="811"/>
      <c r="P19" s="811"/>
      <c r="Q19" s="805"/>
      <c r="R19" s="61">
        <f>SUM(R12:R18)</f>
        <v>2</v>
      </c>
      <c r="S19" s="51" t="str">
        <f>L19</f>
        <v>UN</v>
      </c>
      <c r="T19" s="22"/>
      <c r="U19" s="23"/>
    </row>
    <row r="20" spans="1:28" ht="21" customHeight="1">
      <c r="B20" s="163"/>
      <c r="C20" s="19"/>
      <c r="D20" s="817" t="s">
        <v>13</v>
      </c>
      <c r="E20" s="818"/>
      <c r="F20" s="818"/>
      <c r="G20" s="818"/>
      <c r="H20" s="818"/>
      <c r="I20" s="819"/>
      <c r="J20" s="823">
        <f>R19/J19</f>
        <v>1</v>
      </c>
      <c r="K20" s="824"/>
      <c r="L20" s="827"/>
      <c r="M20" s="803" t="s">
        <v>34</v>
      </c>
      <c r="N20" s="804"/>
      <c r="O20" s="804"/>
      <c r="P20" s="804"/>
      <c r="Q20" s="805"/>
      <c r="R20" s="61">
        <f>SUM(R13:R14)</f>
        <v>2</v>
      </c>
      <c r="S20" s="52" t="str">
        <f>L19</f>
        <v>UN</v>
      </c>
      <c r="T20" s="22"/>
      <c r="U20" s="23"/>
    </row>
    <row r="21" spans="1:28" ht="21" customHeight="1">
      <c r="A21" s="10" t="s">
        <v>790</v>
      </c>
      <c r="B21" s="165"/>
      <c r="C21" s="164"/>
      <c r="D21" s="820"/>
      <c r="E21" s="821"/>
      <c r="F21" s="821"/>
      <c r="G21" s="821"/>
      <c r="H21" s="821"/>
      <c r="I21" s="822"/>
      <c r="J21" s="825"/>
      <c r="K21" s="826"/>
      <c r="L21" s="828"/>
      <c r="M21" s="803" t="s">
        <v>14</v>
      </c>
      <c r="N21" s="804"/>
      <c r="O21" s="804"/>
      <c r="P21" s="804"/>
      <c r="Q21" s="805"/>
      <c r="R21" s="62">
        <f>R19-R20</f>
        <v>0</v>
      </c>
      <c r="S21" s="53" t="str">
        <f>L19</f>
        <v>UN</v>
      </c>
      <c r="T21" s="54"/>
      <c r="U21" s="24"/>
    </row>
    <row r="22" spans="1:28" ht="21" customHeight="1">
      <c r="B22" s="218"/>
      <c r="C22" s="217"/>
      <c r="M22" s="803" t="s">
        <v>53</v>
      </c>
      <c r="N22" s="804"/>
      <c r="O22" s="804"/>
      <c r="P22" s="804"/>
      <c r="Q22" s="805"/>
      <c r="R22" s="62">
        <f>VLOOKUP(A21,DEZ!$A$2:$S$731,5,FALSE)</f>
        <v>18178.13</v>
      </c>
      <c r="S22" s="53"/>
      <c r="T22" s="54"/>
      <c r="U22" s="24"/>
    </row>
    <row r="23" spans="1:28" ht="21" customHeight="1">
      <c r="B23" s="163"/>
      <c r="C23" s="219"/>
      <c r="M23" s="803" t="s">
        <v>54</v>
      </c>
      <c r="N23" s="804"/>
      <c r="O23" s="804"/>
      <c r="P23" s="804"/>
      <c r="Q23" s="805"/>
      <c r="R23" s="62">
        <f>TRUNC(R22*R21,2)</f>
        <v>0</v>
      </c>
      <c r="S23" s="53" t="s">
        <v>55</v>
      </c>
      <c r="T23" s="54"/>
      <c r="U23"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3:Q23"/>
    <mergeCell ref="D20:I21"/>
    <mergeCell ref="J20:K21"/>
    <mergeCell ref="L20:L21"/>
    <mergeCell ref="M20:Q20"/>
    <mergeCell ref="M21:Q21"/>
    <mergeCell ref="M22:Q22"/>
    <mergeCell ref="D13:F13"/>
    <mergeCell ref="D14:F14"/>
    <mergeCell ref="D19:I19"/>
    <mergeCell ref="J19:K19"/>
    <mergeCell ref="M19:Q19"/>
  </mergeCells>
  <conditionalFormatting sqref="J20:K23">
    <cfRule type="cellIs" dxfId="339" priority="1" operator="greaterThanOrEqual">
      <formula>1</formula>
    </cfRule>
    <cfRule type="cellIs" dxfId="33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9">
    <tabColor rgb="FF339933"/>
    <pageSetUpPr fitToPage="1"/>
  </sheetPr>
  <dimension ref="A1:AJ32"/>
  <sheetViews>
    <sheetView view="pageBreakPreview" zoomScale="60" zoomScaleNormal="55" workbookViewId="0">
      <selection activeCell="C14" sqref="C1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A30</f>
        <v>1.1.2.8</v>
      </c>
      <c r="C10" s="845" t="str">
        <f>CONCATENATE(VLOOKUP(A30,DEZ!$A$2:$S$731,2,FALSE)," - ",VLOOKUP(A30,DEZ!$A$2:$S$731,3,FALSE))</f>
        <v>20708 - Galpão para serraria e carpintaria área 12.00m2, em peça de madeira 8x8cm e contraventamento de 5x7cm, cobertura de telha de fibroc. de 6mm, inclusive ponto e cabo de alimentação da máquina, conf. projeto (1 utilização)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872</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876</v>
      </c>
      <c r="D13" s="854">
        <v>4</v>
      </c>
      <c r="E13" s="855"/>
      <c r="F13" s="856"/>
      <c r="G13" s="854">
        <v>3</v>
      </c>
      <c r="H13" s="855"/>
      <c r="I13" s="856"/>
      <c r="J13" s="80"/>
      <c r="K13" s="81">
        <f>D13*G13</f>
        <v>12</v>
      </c>
      <c r="L13" s="82"/>
      <c r="M13" s="83"/>
      <c r="N13" s="105"/>
      <c r="O13" s="84"/>
      <c r="P13" s="82"/>
      <c r="Q13" s="93"/>
      <c r="R13" s="85">
        <f>K13</f>
        <v>12</v>
      </c>
      <c r="S13" s="221" t="s">
        <v>57</v>
      </c>
      <c r="T13" s="215">
        <v>1</v>
      </c>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07"/>
      <c r="C20" s="104"/>
      <c r="D20" s="77"/>
      <c r="E20" s="78"/>
      <c r="F20" s="79"/>
      <c r="G20" s="77"/>
      <c r="H20" s="78"/>
      <c r="I20" s="79"/>
      <c r="J20" s="80"/>
      <c r="K20" s="81"/>
      <c r="L20" s="82"/>
      <c r="M20" s="83"/>
      <c r="N20" s="84"/>
      <c r="O20" s="155"/>
      <c r="P20" s="156"/>
      <c r="Q20" s="85"/>
      <c r="R20" s="85"/>
      <c r="S20" s="154"/>
      <c r="T20" s="215"/>
      <c r="U20" s="92"/>
      <c r="V20" s="86"/>
      <c r="W20" s="86"/>
      <c r="X20" s="86"/>
      <c r="Y20" s="151"/>
      <c r="Z20" s="87"/>
      <c r="AA20" s="88"/>
      <c r="AB20" s="89"/>
    </row>
    <row r="21" spans="1:28" s="90" customFormat="1" ht="21" customHeight="1">
      <c r="A21" s="75"/>
      <c r="B21" s="107"/>
      <c r="C21" s="104"/>
      <c r="D21" s="77"/>
      <c r="E21" s="78"/>
      <c r="F21" s="79"/>
      <c r="G21" s="77"/>
      <c r="H21" s="78"/>
      <c r="I21" s="79"/>
      <c r="J21" s="80"/>
      <c r="K21" s="81"/>
      <c r="L21" s="82"/>
      <c r="M21" s="83"/>
      <c r="N21" s="84"/>
      <c r="O21" s="155"/>
      <c r="P21" s="156"/>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90" customFormat="1" ht="21" customHeight="1">
      <c r="A25" s="75"/>
      <c r="B25" s="157"/>
      <c r="C25" s="76"/>
      <c r="D25" s="77"/>
      <c r="E25" s="78"/>
      <c r="F25" s="79"/>
      <c r="G25" s="77"/>
      <c r="H25" s="78"/>
      <c r="I25" s="79"/>
      <c r="J25" s="80"/>
      <c r="K25" s="81"/>
      <c r="L25" s="82"/>
      <c r="M25" s="83"/>
      <c r="N25" s="84"/>
      <c r="O25" s="84"/>
      <c r="P25" s="82"/>
      <c r="Q25" s="85"/>
      <c r="R25" s="85"/>
      <c r="S25" s="154"/>
      <c r="T25" s="215"/>
      <c r="U25" s="92"/>
      <c r="V25" s="86"/>
      <c r="W25" s="86"/>
      <c r="X25" s="86"/>
      <c r="Y25" s="151"/>
      <c r="Z25" s="87"/>
      <c r="AA25" s="88"/>
      <c r="AB25" s="89"/>
    </row>
    <row r="26" spans="1:28" s="1" customFormat="1" ht="21" customHeight="1">
      <c r="A26" s="11"/>
      <c r="B26" s="25"/>
      <c r="C26" s="20"/>
      <c r="D26" s="26"/>
      <c r="E26" s="159"/>
      <c r="F26" s="27"/>
      <c r="G26" s="26"/>
      <c r="H26" s="159"/>
      <c r="I26" s="27"/>
      <c r="J26" s="28"/>
      <c r="K26" s="49"/>
      <c r="L26" s="40"/>
      <c r="M26" s="41"/>
      <c r="N26" s="160"/>
      <c r="O26" s="160"/>
      <c r="P26" s="40"/>
      <c r="Q26" s="42"/>
      <c r="R26" s="60"/>
      <c r="S26" s="43"/>
      <c r="T26" s="215"/>
      <c r="U26" s="48"/>
      <c r="V26" s="120"/>
      <c r="W26" s="120"/>
      <c r="X26" s="120"/>
      <c r="Y26" s="142"/>
      <c r="Z26" s="15"/>
      <c r="AA26" s="17"/>
      <c r="AB26" s="44"/>
    </row>
    <row r="27" spans="1:28" ht="21" customHeight="1">
      <c r="B27" s="118"/>
      <c r="C27" s="119"/>
      <c r="D27" s="26"/>
      <c r="E27" s="159"/>
      <c r="F27" s="27"/>
      <c r="G27" s="26"/>
      <c r="H27" s="159"/>
      <c r="I27" s="27"/>
      <c r="J27" s="28"/>
      <c r="K27" s="49"/>
      <c r="L27" s="40"/>
      <c r="M27" s="41"/>
      <c r="N27" s="160"/>
      <c r="O27" s="160"/>
      <c r="P27" s="40"/>
      <c r="Q27" s="42"/>
      <c r="R27" s="60"/>
      <c r="S27" s="43"/>
      <c r="T27" s="216"/>
      <c r="U27" s="117"/>
    </row>
    <row r="28" spans="1:28" ht="39.6" customHeight="1">
      <c r="B28" s="161"/>
      <c r="C28" s="162"/>
      <c r="D28" s="806" t="s">
        <v>11</v>
      </c>
      <c r="E28" s="807"/>
      <c r="F28" s="807"/>
      <c r="G28" s="807"/>
      <c r="H28" s="807"/>
      <c r="I28" s="808"/>
      <c r="J28" s="809">
        <f>VLOOKUP(A30,DEZ!$A$2:$S$731,6,FALSE)</f>
        <v>12</v>
      </c>
      <c r="K28" s="810"/>
      <c r="L28" s="50" t="str">
        <f>VLOOKUP(A30,DEZ!$A$2:$S$731,4,FALSE)</f>
        <v>m2</v>
      </c>
      <c r="M28" s="803" t="s">
        <v>12</v>
      </c>
      <c r="N28" s="811"/>
      <c r="O28" s="811"/>
      <c r="P28" s="811"/>
      <c r="Q28" s="805"/>
      <c r="R28" s="61">
        <f>SUM(R12:R27)</f>
        <v>12</v>
      </c>
      <c r="S28" s="51" t="str">
        <f>L28</f>
        <v>m2</v>
      </c>
      <c r="T28" s="22"/>
      <c r="U28" s="23"/>
    </row>
    <row r="29" spans="1:28" ht="21" customHeight="1">
      <c r="B29" s="163"/>
      <c r="C29" s="19"/>
      <c r="D29" s="817" t="s">
        <v>13</v>
      </c>
      <c r="E29" s="818"/>
      <c r="F29" s="818"/>
      <c r="G29" s="818"/>
      <c r="H29" s="818"/>
      <c r="I29" s="819"/>
      <c r="J29" s="823">
        <f>R28/J28</f>
        <v>1</v>
      </c>
      <c r="K29" s="824"/>
      <c r="L29" s="827"/>
      <c r="M29" s="803" t="s">
        <v>34</v>
      </c>
      <c r="N29" s="804"/>
      <c r="O29" s="804"/>
      <c r="P29" s="804"/>
      <c r="Q29" s="805"/>
      <c r="R29" s="61">
        <f>VLOOKUP(A30,DEZ!$A$2:$S$731,8,FALSE)</f>
        <v>0</v>
      </c>
      <c r="S29" s="52" t="str">
        <f>L28</f>
        <v>m2</v>
      </c>
      <c r="T29" s="22"/>
      <c r="U29" s="23"/>
    </row>
    <row r="30" spans="1:28" ht="21" customHeight="1">
      <c r="A30" s="10" t="s">
        <v>81</v>
      </c>
      <c r="B30" s="165"/>
      <c r="C30" s="164"/>
      <c r="D30" s="820"/>
      <c r="E30" s="821"/>
      <c r="F30" s="821"/>
      <c r="G30" s="821"/>
      <c r="H30" s="821"/>
      <c r="I30" s="822"/>
      <c r="J30" s="825"/>
      <c r="K30" s="826"/>
      <c r="L30" s="828"/>
      <c r="M30" s="803" t="s">
        <v>14</v>
      </c>
      <c r="N30" s="804"/>
      <c r="O30" s="804"/>
      <c r="P30" s="804"/>
      <c r="Q30" s="805"/>
      <c r="R30" s="62">
        <f>R28-R29</f>
        <v>12</v>
      </c>
      <c r="S30" s="53" t="str">
        <f>L28</f>
        <v>m2</v>
      </c>
      <c r="T30" s="54"/>
      <c r="U30" s="24"/>
    </row>
    <row r="31" spans="1:28" ht="21" customHeight="1">
      <c r="B31" s="218"/>
      <c r="C31" s="217"/>
      <c r="M31" s="803" t="s">
        <v>53</v>
      </c>
      <c r="N31" s="804"/>
      <c r="O31" s="804"/>
      <c r="P31" s="804"/>
      <c r="Q31" s="805"/>
      <c r="R31" s="62">
        <f>VLOOKUP(A30,DEZ!$A$2:$S$731,5,FALSE)</f>
        <v>160.19999999999999</v>
      </c>
      <c r="S31" s="53"/>
      <c r="T31" s="54"/>
      <c r="U31" s="24"/>
    </row>
    <row r="32" spans="1:28" ht="21" customHeight="1">
      <c r="B32" s="163"/>
      <c r="C32" s="219"/>
      <c r="M32" s="803" t="s">
        <v>54</v>
      </c>
      <c r="N32" s="804"/>
      <c r="O32" s="804"/>
      <c r="P32" s="804"/>
      <c r="Q32" s="805"/>
      <c r="R32" s="62">
        <f>TRUNC(R31*R30,2)</f>
        <v>1922.4</v>
      </c>
      <c r="S32" s="53" t="s">
        <v>55</v>
      </c>
      <c r="T32" s="54"/>
      <c r="U32" s="24"/>
    </row>
  </sheetData>
  <mergeCells count="36">
    <mergeCell ref="B10:B11"/>
    <mergeCell ref="C10:C11"/>
    <mergeCell ref="D10:F11"/>
    <mergeCell ref="G10:I11"/>
    <mergeCell ref="K10:K11"/>
    <mergeCell ref="J10:J11"/>
    <mergeCell ref="B1:U4"/>
    <mergeCell ref="V4:AA4"/>
    <mergeCell ref="B5:I5"/>
    <mergeCell ref="J5:O5"/>
    <mergeCell ref="P5:U5"/>
    <mergeCell ref="M31:Q31"/>
    <mergeCell ref="T7:U7"/>
    <mergeCell ref="M32:Q32"/>
    <mergeCell ref="T10:T11"/>
    <mergeCell ref="U10:U11"/>
    <mergeCell ref="N10:N11"/>
    <mergeCell ref="O10:O11"/>
    <mergeCell ref="P10:P11"/>
    <mergeCell ref="Q10:Q11"/>
    <mergeCell ref="R10:R11"/>
    <mergeCell ref="S10:S11"/>
    <mergeCell ref="T8:U8"/>
    <mergeCell ref="T9:U9"/>
    <mergeCell ref="D29:I30"/>
    <mergeCell ref="J29:K30"/>
    <mergeCell ref="L29:L30"/>
    <mergeCell ref="M29:Q29"/>
    <mergeCell ref="M30:Q30"/>
    <mergeCell ref="L10:L11"/>
    <mergeCell ref="M10:M11"/>
    <mergeCell ref="D13:F13"/>
    <mergeCell ref="G13:I13"/>
    <mergeCell ref="D28:I28"/>
    <mergeCell ref="J28:K28"/>
    <mergeCell ref="M28:Q28"/>
  </mergeCells>
  <conditionalFormatting sqref="J29:K32">
    <cfRule type="cellIs" dxfId="423" priority="1" operator="greaterThanOrEqual">
      <formula>1</formula>
    </cfRule>
    <cfRule type="cellIs" dxfId="42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2F1FF-3C7C-4918-9BCD-0E143CD1C8A8}">
  <sheetPr codeName="Planilha32">
    <tabColor rgb="FF339933"/>
    <pageSetUpPr fitToPage="1"/>
  </sheetPr>
  <dimension ref="A1:AJ30"/>
  <sheetViews>
    <sheetView view="pageBreakPreview" topLeftCell="H5" zoomScale="60" zoomScaleNormal="55" workbookViewId="0">
      <selection activeCell="M26" sqref="M26:Q26"/>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DEZ!A269</f>
        <v>3.3.6.5</v>
      </c>
      <c r="C10" s="845" t="str">
        <f>DEZ!C269</f>
        <v>FORNECIMENTO E APLICAÇÃO DE CONCRETO USINADO FCK=40 MPA - CONSIDERANDO BOMBEAMENTO (5% DE PERDAS JÁ INCLUÍDO NO CUSTO) (6% DE TAXA P/CONCR.
BOMBEAVEL)</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887</v>
      </c>
      <c r="D12" s="854"/>
      <c r="E12" s="855"/>
      <c r="F12" s="856"/>
      <c r="G12" s="77"/>
      <c r="H12" s="78"/>
      <c r="I12" s="79"/>
      <c r="J12" s="80"/>
      <c r="K12" s="81"/>
      <c r="L12" s="82">
        <v>10.199999999999999</v>
      </c>
      <c r="M12" s="83"/>
      <c r="N12" s="105"/>
      <c r="O12" s="84"/>
      <c r="P12" s="82"/>
      <c r="Q12" s="93"/>
      <c r="R12" s="85">
        <f>L12</f>
        <v>10.199999999999999</v>
      </c>
      <c r="S12" s="154" t="s">
        <v>59</v>
      </c>
      <c r="T12" s="215">
        <v>6</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70"/>
      <c r="S13" s="111"/>
      <c r="T13" s="215"/>
      <c r="U13" s="94"/>
      <c r="V13" s="71"/>
      <c r="W13" s="71"/>
      <c r="X13" s="152"/>
      <c r="Y13" s="153"/>
      <c r="Z13" s="72"/>
      <c r="AA13" s="71"/>
      <c r="AB13" s="74"/>
    </row>
    <row r="14" spans="1:36" s="73" customFormat="1" ht="21" customHeight="1">
      <c r="A14" s="64"/>
      <c r="B14" s="109"/>
      <c r="C14" s="65"/>
      <c r="D14" s="77"/>
      <c r="E14" s="78"/>
      <c r="F14" s="79"/>
      <c r="G14" s="77"/>
      <c r="H14" s="78"/>
      <c r="I14" s="79"/>
      <c r="J14" s="66"/>
      <c r="K14" s="108"/>
      <c r="L14" s="67"/>
      <c r="M14" s="68"/>
      <c r="N14" s="110"/>
      <c r="O14" s="69"/>
      <c r="P14" s="67"/>
      <c r="Q14" s="106"/>
      <c r="R14" s="70"/>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1" customFormat="1" ht="21" customHeight="1">
      <c r="A24" s="11"/>
      <c r="B24" s="25"/>
      <c r="C24" s="20"/>
      <c r="D24" s="26"/>
      <c r="E24" s="159"/>
      <c r="F24" s="27"/>
      <c r="G24" s="26"/>
      <c r="H24" s="159"/>
      <c r="I24" s="27"/>
      <c r="J24" s="28"/>
      <c r="K24" s="49"/>
      <c r="L24" s="40"/>
      <c r="M24" s="41"/>
      <c r="N24" s="160"/>
      <c r="O24" s="160"/>
      <c r="P24" s="40"/>
      <c r="Q24" s="42"/>
      <c r="R24" s="60"/>
      <c r="S24" s="43"/>
      <c r="T24" s="215"/>
      <c r="U24" s="48"/>
      <c r="V24" s="120"/>
      <c r="W24" s="120"/>
      <c r="X24" s="120"/>
      <c r="Y24" s="142"/>
      <c r="Z24" s="15"/>
      <c r="AA24" s="17"/>
      <c r="AB24" s="44"/>
    </row>
    <row r="25" spans="1:28" ht="21" customHeight="1">
      <c r="B25" s="118"/>
      <c r="C25" s="119"/>
      <c r="D25" s="26"/>
      <c r="E25" s="159"/>
      <c r="F25" s="27"/>
      <c r="G25" s="26"/>
      <c r="H25" s="159"/>
      <c r="I25" s="27"/>
      <c r="J25" s="28"/>
      <c r="K25" s="49"/>
      <c r="L25" s="40"/>
      <c r="M25" s="41"/>
      <c r="N25" s="160"/>
      <c r="O25" s="160"/>
      <c r="P25" s="40"/>
      <c r="Q25" s="42"/>
      <c r="R25" s="60"/>
      <c r="S25" s="43"/>
      <c r="T25" s="216"/>
      <c r="U25" s="117"/>
    </row>
    <row r="26" spans="1:28" ht="39.6" customHeight="1">
      <c r="B26" s="161"/>
      <c r="C26" s="162"/>
      <c r="D26" s="806" t="s">
        <v>11</v>
      </c>
      <c r="E26" s="807"/>
      <c r="F26" s="807"/>
      <c r="G26" s="807"/>
      <c r="H26" s="807"/>
      <c r="I26" s="808"/>
      <c r="J26" s="809">
        <f>DEZ!F269</f>
        <v>10.199999999999999</v>
      </c>
      <c r="K26" s="810"/>
      <c r="L26" s="50" t="str">
        <f>VLOOKUP(A28,DEZ!$A$2:$S$731,4,FALSE)</f>
        <v>UN</v>
      </c>
      <c r="M26" s="803" t="s">
        <v>12</v>
      </c>
      <c r="N26" s="811"/>
      <c r="O26" s="811"/>
      <c r="P26" s="811"/>
      <c r="Q26" s="805"/>
      <c r="R26" s="61">
        <f>SUM(R12:R25)</f>
        <v>10.199999999999999</v>
      </c>
      <c r="S26" s="51" t="str">
        <f>L26</f>
        <v>UN</v>
      </c>
      <c r="T26" s="22"/>
      <c r="U26" s="23"/>
    </row>
    <row r="27" spans="1:28" ht="21" customHeight="1">
      <c r="B27" s="163"/>
      <c r="C27" s="19"/>
      <c r="D27" s="817" t="s">
        <v>13</v>
      </c>
      <c r="E27" s="818"/>
      <c r="F27" s="818"/>
      <c r="G27" s="818"/>
      <c r="H27" s="818"/>
      <c r="I27" s="819"/>
      <c r="J27" s="823">
        <f>R26/J26</f>
        <v>1</v>
      </c>
      <c r="K27" s="824"/>
      <c r="L27" s="827"/>
      <c r="M27" s="803" t="s">
        <v>34</v>
      </c>
      <c r="N27" s="804"/>
      <c r="O27" s="804"/>
      <c r="P27" s="804"/>
      <c r="Q27" s="805"/>
      <c r="R27" s="61">
        <f>R12</f>
        <v>10.199999999999999</v>
      </c>
      <c r="S27" s="52" t="str">
        <f>L26</f>
        <v>UN</v>
      </c>
      <c r="T27" s="22"/>
      <c r="U27" s="23"/>
    </row>
    <row r="28" spans="1:28" ht="21" customHeight="1">
      <c r="A28" s="10" t="s">
        <v>790</v>
      </c>
      <c r="B28" s="165"/>
      <c r="C28" s="164"/>
      <c r="D28" s="820"/>
      <c r="E28" s="821"/>
      <c r="F28" s="821"/>
      <c r="G28" s="821"/>
      <c r="H28" s="821"/>
      <c r="I28" s="822"/>
      <c r="J28" s="825"/>
      <c r="K28" s="826"/>
      <c r="L28" s="828"/>
      <c r="M28" s="803" t="s">
        <v>14</v>
      </c>
      <c r="N28" s="804"/>
      <c r="O28" s="804"/>
      <c r="P28" s="804"/>
      <c r="Q28" s="805"/>
      <c r="R28" s="62">
        <f>R26-R27</f>
        <v>0</v>
      </c>
      <c r="S28" s="53" t="str">
        <f>L26</f>
        <v>UN</v>
      </c>
      <c r="T28" s="54"/>
      <c r="U28" s="24"/>
    </row>
    <row r="29" spans="1:28" ht="21" customHeight="1">
      <c r="B29" s="218"/>
      <c r="C29" s="217"/>
      <c r="M29" s="803" t="s">
        <v>53</v>
      </c>
      <c r="N29" s="804"/>
      <c r="O29" s="804"/>
      <c r="P29" s="804"/>
      <c r="Q29" s="805"/>
      <c r="R29" s="62">
        <f>DEZ!E269</f>
        <v>486.08</v>
      </c>
      <c r="S29" s="53"/>
      <c r="T29" s="54"/>
      <c r="U29" s="24"/>
    </row>
    <row r="30" spans="1:28" ht="21" customHeight="1">
      <c r="B30" s="163"/>
      <c r="C30" s="219"/>
      <c r="M30" s="803" t="s">
        <v>54</v>
      </c>
      <c r="N30" s="804"/>
      <c r="O30" s="804"/>
      <c r="P30" s="804"/>
      <c r="Q30" s="805"/>
      <c r="R30" s="62">
        <f>TRUNC(R29*R28,2)</f>
        <v>0</v>
      </c>
      <c r="S30" s="53" t="s">
        <v>55</v>
      </c>
      <c r="T30" s="54"/>
      <c r="U30"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6:I26"/>
    <mergeCell ref="J26:K26"/>
    <mergeCell ref="M26:Q26"/>
    <mergeCell ref="N10:N11"/>
    <mergeCell ref="O10:O11"/>
    <mergeCell ref="P10:P11"/>
    <mergeCell ref="Q10:Q11"/>
    <mergeCell ref="M30:Q30"/>
    <mergeCell ref="D27:I28"/>
    <mergeCell ref="J27:K28"/>
    <mergeCell ref="L27:L28"/>
    <mergeCell ref="M27:Q27"/>
    <mergeCell ref="M28:Q28"/>
    <mergeCell ref="M29:Q29"/>
  </mergeCells>
  <conditionalFormatting sqref="J27:K30">
    <cfRule type="cellIs" dxfId="337" priority="1" operator="greaterThanOrEqual">
      <formula>1</formula>
    </cfRule>
    <cfRule type="cellIs" dxfId="33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6813C-3635-499F-B0F6-2FA934457C87}">
  <sheetPr codeName="Planilha33">
    <tabColor rgb="FF339933"/>
    <pageSetUpPr fitToPage="1"/>
  </sheetPr>
  <dimension ref="A1:AJ29"/>
  <sheetViews>
    <sheetView view="pageBreakPreview" topLeftCell="A8" zoomScale="60" zoomScaleNormal="55" workbookViewId="0">
      <selection activeCell="C13" sqref="C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DEZ!A272</f>
        <v>3.3.7.1</v>
      </c>
      <c r="C10" s="845" t="str">
        <f>DEZ!C272</f>
        <v>Forma de chapas madeira compensada resinada, esp. 12mm, levando-se em conta a utilização 3 vezes, reforçadas com sarrafos de madeira de 2.5 x 10.0cm (incl material, corte, montagem, escoras em eucalipto e desforma)</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ustomHeight="1">
      <c r="A12" s="64"/>
      <c r="B12" s="112"/>
      <c r="C12" s="65" t="s">
        <v>986</v>
      </c>
      <c r="D12" s="77"/>
      <c r="E12" s="78"/>
      <c r="F12" s="79"/>
      <c r="G12" s="77"/>
      <c r="H12" s="78"/>
      <c r="I12" s="79"/>
      <c r="J12" s="80"/>
      <c r="K12" s="81">
        <v>33</v>
      </c>
      <c r="L12" s="82"/>
      <c r="M12" s="83"/>
      <c r="N12" s="105"/>
      <c r="O12" s="84"/>
      <c r="P12" s="82"/>
      <c r="Q12" s="93"/>
      <c r="R12" s="85">
        <f>K12</f>
        <v>33</v>
      </c>
      <c r="S12" s="111" t="str">
        <f>DEZ!D240</f>
        <v>m2</v>
      </c>
      <c r="T12" s="215">
        <v>4</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DEZ!F272</f>
        <v>33</v>
      </c>
      <c r="K25" s="810"/>
      <c r="L25" s="50" t="str">
        <f>DEZ!D240</f>
        <v>m2</v>
      </c>
      <c r="M25" s="803" t="s">
        <v>12</v>
      </c>
      <c r="N25" s="811"/>
      <c r="O25" s="811"/>
      <c r="P25" s="811"/>
      <c r="Q25" s="805"/>
      <c r="R25" s="61">
        <f>SUM(R12:R24)</f>
        <v>33</v>
      </c>
      <c r="S25" s="51" t="str">
        <f>L25</f>
        <v>m2</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v>0</v>
      </c>
      <c r="S26" s="52" t="str">
        <f>L25</f>
        <v>m2</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33</v>
      </c>
      <c r="S27" s="53" t="str">
        <f>L25</f>
        <v>m2</v>
      </c>
      <c r="T27" s="54"/>
      <c r="U27" s="24"/>
    </row>
    <row r="28" spans="1:28" ht="21" customHeight="1">
      <c r="B28" s="218"/>
      <c r="C28" s="217"/>
      <c r="M28" s="803" t="s">
        <v>53</v>
      </c>
      <c r="N28" s="804"/>
      <c r="O28" s="804"/>
      <c r="P28" s="804"/>
      <c r="Q28" s="805"/>
      <c r="R28" s="62">
        <f>DEZ!E272</f>
        <v>91.04</v>
      </c>
      <c r="S28" s="53"/>
      <c r="T28" s="54"/>
      <c r="U28" s="24"/>
    </row>
    <row r="29" spans="1:28" ht="21" customHeight="1">
      <c r="B29" s="163"/>
      <c r="C29" s="219"/>
      <c r="M29" s="803" t="s">
        <v>54</v>
      </c>
      <c r="N29" s="804"/>
      <c r="O29" s="804"/>
      <c r="P29" s="804"/>
      <c r="Q29" s="805"/>
      <c r="R29" s="62">
        <f>TRUNC(R28*R27,2)</f>
        <v>3004.32</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35" priority="1" operator="greaterThanOrEqual">
      <formula>1</formula>
    </cfRule>
    <cfRule type="cellIs" dxfId="33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Planilha34">
    <tabColor rgb="FF339933"/>
    <pageSetUpPr fitToPage="1"/>
  </sheetPr>
  <dimension ref="A1:AJ32"/>
  <sheetViews>
    <sheetView view="pageBreakPreview" zoomScale="60" zoomScaleNormal="55" workbookViewId="0">
      <selection activeCell="W21" sqref="W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A30</f>
        <v>5.4.3.1</v>
      </c>
      <c r="C10" s="845" t="str">
        <f>CONCATENATE(VLOOKUP(A30,DEZ!$A$2:$S$731,2,FALSE)," - ",VLOOKUP(A30,DEZ!$A$2:$S$731,3,FALSE))</f>
        <v>COT16 - SONDAGEM ROTATIVA EM LÂMINA D'ÁGUA (PRAINHA DE VILA VELHA) - INCLUSIVE MOBILIZAÇÃO E DESMOBILIZAÇÃO DE EQUIPAMENTO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220" t="s">
        <v>893</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887</v>
      </c>
      <c r="D13" s="854"/>
      <c r="E13" s="855"/>
      <c r="F13" s="856"/>
      <c r="G13" s="77"/>
      <c r="H13" s="78"/>
      <c r="I13" s="79"/>
      <c r="J13" s="80"/>
      <c r="K13" s="81"/>
      <c r="L13" s="82"/>
      <c r="M13" s="83">
        <v>1</v>
      </c>
      <c r="N13" s="105"/>
      <c r="O13" s="84"/>
      <c r="P13" s="82"/>
      <c r="Q13" s="93"/>
      <c r="R13" s="85">
        <f>M13</f>
        <v>1</v>
      </c>
      <c r="S13" s="154" t="s">
        <v>59</v>
      </c>
      <c r="T13" s="215">
        <v>1</v>
      </c>
      <c r="U13" s="94"/>
      <c r="V13" s="71"/>
      <c r="W13" s="71"/>
      <c r="X13" s="152"/>
      <c r="Y13" s="153"/>
      <c r="Z13" s="72"/>
    </row>
    <row r="14" spans="1:36" s="73" customFormat="1" ht="21" customHeight="1">
      <c r="A14" s="64"/>
      <c r="B14" s="109"/>
      <c r="C14" s="76" t="s">
        <v>888</v>
      </c>
      <c r="D14" s="854"/>
      <c r="E14" s="855"/>
      <c r="F14" s="856"/>
      <c r="G14" s="77"/>
      <c r="H14" s="78"/>
      <c r="I14" s="79"/>
      <c r="J14" s="80"/>
      <c r="K14" s="81"/>
      <c r="L14" s="82"/>
      <c r="M14" s="83">
        <v>1</v>
      </c>
      <c r="N14" s="105"/>
      <c r="O14" s="84"/>
      <c r="P14" s="82"/>
      <c r="Q14" s="93"/>
      <c r="R14" s="85">
        <f>M14</f>
        <v>1</v>
      </c>
      <c r="S14" s="154" t="s">
        <v>59</v>
      </c>
      <c r="T14" s="215">
        <v>1</v>
      </c>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07"/>
      <c r="C20" s="104"/>
      <c r="D20" s="77"/>
      <c r="E20" s="78"/>
      <c r="F20" s="79"/>
      <c r="G20" s="77"/>
      <c r="H20" s="78"/>
      <c r="I20" s="79"/>
      <c r="J20" s="80"/>
      <c r="K20" s="81"/>
      <c r="L20" s="82"/>
      <c r="M20" s="83"/>
      <c r="N20" s="84"/>
      <c r="O20" s="155"/>
      <c r="P20" s="156"/>
      <c r="Q20" s="85"/>
      <c r="R20" s="85"/>
      <c r="S20" s="154"/>
      <c r="T20" s="215"/>
      <c r="U20" s="92"/>
      <c r="V20" s="86"/>
      <c r="W20" s="86"/>
      <c r="X20" s="86"/>
      <c r="Y20" s="151"/>
      <c r="Z20" s="87"/>
      <c r="AA20" s="88"/>
      <c r="AB20" s="89"/>
    </row>
    <row r="21" spans="1:28" s="90" customFormat="1" ht="21" customHeight="1">
      <c r="A21" s="75"/>
      <c r="B21" s="107"/>
      <c r="C21" s="104"/>
      <c r="D21" s="77"/>
      <c r="E21" s="78"/>
      <c r="F21" s="79"/>
      <c r="G21" s="77"/>
      <c r="H21" s="78"/>
      <c r="I21" s="79"/>
      <c r="J21" s="80"/>
      <c r="K21" s="81"/>
      <c r="L21" s="82"/>
      <c r="M21" s="83"/>
      <c r="N21" s="84"/>
      <c r="O21" s="155"/>
      <c r="P21" s="156"/>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90" customFormat="1" ht="21" customHeight="1">
      <c r="A25" s="75"/>
      <c r="B25" s="157"/>
      <c r="C25" s="76"/>
      <c r="D25" s="77"/>
      <c r="E25" s="78"/>
      <c r="F25" s="79"/>
      <c r="G25" s="77"/>
      <c r="H25" s="78"/>
      <c r="I25" s="79"/>
      <c r="J25" s="80"/>
      <c r="K25" s="81"/>
      <c r="L25" s="82"/>
      <c r="M25" s="83"/>
      <c r="N25" s="84"/>
      <c r="O25" s="84"/>
      <c r="P25" s="82"/>
      <c r="Q25" s="85"/>
      <c r="R25" s="85"/>
      <c r="S25" s="154"/>
      <c r="T25" s="215"/>
      <c r="U25" s="92"/>
      <c r="V25" s="86"/>
      <c r="W25" s="86"/>
      <c r="X25" s="86"/>
      <c r="Y25" s="151"/>
      <c r="Z25" s="87"/>
      <c r="AA25" s="88"/>
      <c r="AB25" s="89"/>
    </row>
    <row r="26" spans="1:28" s="1" customFormat="1" ht="21" customHeight="1">
      <c r="A26" s="11"/>
      <c r="B26" s="25"/>
      <c r="C26" s="20"/>
      <c r="D26" s="26"/>
      <c r="E26" s="159"/>
      <c r="F26" s="27"/>
      <c r="G26" s="26"/>
      <c r="H26" s="159"/>
      <c r="I26" s="27"/>
      <c r="J26" s="28"/>
      <c r="K26" s="49"/>
      <c r="L26" s="40"/>
      <c r="M26" s="41"/>
      <c r="N26" s="160"/>
      <c r="O26" s="160"/>
      <c r="P26" s="40"/>
      <c r="Q26" s="42"/>
      <c r="R26" s="60"/>
      <c r="S26" s="43"/>
      <c r="T26" s="215"/>
      <c r="U26" s="48"/>
      <c r="V26" s="120"/>
      <c r="W26" s="120"/>
      <c r="X26" s="120"/>
      <c r="Y26" s="142"/>
      <c r="Z26" s="15"/>
      <c r="AA26" s="17"/>
      <c r="AB26" s="44"/>
    </row>
    <row r="27" spans="1:28" ht="21" customHeight="1">
      <c r="B27" s="118"/>
      <c r="C27" s="119"/>
      <c r="D27" s="26"/>
      <c r="E27" s="159"/>
      <c r="F27" s="27"/>
      <c r="G27" s="26"/>
      <c r="H27" s="159"/>
      <c r="I27" s="27"/>
      <c r="J27" s="28"/>
      <c r="K27" s="49"/>
      <c r="L27" s="40"/>
      <c r="M27" s="41"/>
      <c r="N27" s="160"/>
      <c r="O27" s="160"/>
      <c r="P27" s="40"/>
      <c r="Q27" s="42"/>
      <c r="R27" s="60"/>
      <c r="S27" s="43"/>
      <c r="T27" s="216"/>
      <c r="U27" s="117"/>
    </row>
    <row r="28" spans="1:28" ht="39.6" customHeight="1">
      <c r="B28" s="161"/>
      <c r="C28" s="162"/>
      <c r="D28" s="806" t="s">
        <v>11</v>
      </c>
      <c r="E28" s="807"/>
      <c r="F28" s="807"/>
      <c r="G28" s="807"/>
      <c r="H28" s="807"/>
      <c r="I28" s="808"/>
      <c r="J28" s="809">
        <f>VLOOKUP(A30,DEZ!$A$2:$S$731,6,FALSE)</f>
        <v>2</v>
      </c>
      <c r="K28" s="810"/>
      <c r="L28" s="50" t="str">
        <f>VLOOKUP(A30,DEZ!$A$2:$S$731,4,FALSE)</f>
        <v>UN</v>
      </c>
      <c r="M28" s="803" t="s">
        <v>12</v>
      </c>
      <c r="N28" s="811"/>
      <c r="O28" s="811"/>
      <c r="P28" s="811"/>
      <c r="Q28" s="805"/>
      <c r="R28" s="61">
        <f>SUM(R12:R27)</f>
        <v>2</v>
      </c>
      <c r="S28" s="51" t="str">
        <f>L28</f>
        <v>UN</v>
      </c>
      <c r="T28" s="22"/>
      <c r="U28" s="23"/>
    </row>
    <row r="29" spans="1:28" ht="21" customHeight="1">
      <c r="B29" s="163"/>
      <c r="C29" s="19"/>
      <c r="D29" s="817" t="s">
        <v>13</v>
      </c>
      <c r="E29" s="818"/>
      <c r="F29" s="818"/>
      <c r="G29" s="818"/>
      <c r="H29" s="818"/>
      <c r="I29" s="819"/>
      <c r="J29" s="823">
        <f>R28/J28</f>
        <v>1</v>
      </c>
      <c r="K29" s="824"/>
      <c r="L29" s="827"/>
      <c r="M29" s="803" t="s">
        <v>34</v>
      </c>
      <c r="N29" s="804"/>
      <c r="O29" s="804"/>
      <c r="P29" s="804"/>
      <c r="Q29" s="805"/>
      <c r="R29" s="61">
        <f>VLOOKUP(A30,DEZ!$A$2:$S$731,8,FALSE)</f>
        <v>0</v>
      </c>
      <c r="S29" s="52" t="str">
        <f>L28</f>
        <v>UN</v>
      </c>
      <c r="T29" s="22"/>
      <c r="U29" s="23"/>
    </row>
    <row r="30" spans="1:28" ht="21" customHeight="1">
      <c r="A30" s="10" t="s">
        <v>790</v>
      </c>
      <c r="B30" s="165"/>
      <c r="C30" s="164"/>
      <c r="D30" s="820"/>
      <c r="E30" s="821"/>
      <c r="F30" s="821"/>
      <c r="G30" s="821"/>
      <c r="H30" s="821"/>
      <c r="I30" s="822"/>
      <c r="J30" s="825"/>
      <c r="K30" s="826"/>
      <c r="L30" s="828"/>
      <c r="M30" s="803" t="s">
        <v>14</v>
      </c>
      <c r="N30" s="804"/>
      <c r="O30" s="804"/>
      <c r="P30" s="804"/>
      <c r="Q30" s="805"/>
      <c r="R30" s="62">
        <f>R28-R29</f>
        <v>2</v>
      </c>
      <c r="S30" s="53" t="str">
        <f>L28</f>
        <v>UN</v>
      </c>
      <c r="T30" s="54"/>
      <c r="U30" s="24"/>
    </row>
    <row r="31" spans="1:28" ht="21" customHeight="1">
      <c r="B31" s="218"/>
      <c r="C31" s="217"/>
      <c r="M31" s="803" t="s">
        <v>53</v>
      </c>
      <c r="N31" s="804"/>
      <c r="O31" s="804"/>
      <c r="P31" s="804"/>
      <c r="Q31" s="805"/>
      <c r="R31" s="62">
        <f>VLOOKUP(A30,DEZ!$A$2:$S$731,5,FALSE)</f>
        <v>18178.13</v>
      </c>
      <c r="S31" s="53"/>
      <c r="T31" s="54"/>
      <c r="U31" s="24"/>
    </row>
    <row r="32" spans="1:28" ht="21" customHeight="1">
      <c r="B32" s="163"/>
      <c r="C32" s="219"/>
      <c r="M32" s="803" t="s">
        <v>54</v>
      </c>
      <c r="N32" s="804"/>
      <c r="O32" s="804"/>
      <c r="P32" s="804"/>
      <c r="Q32" s="805"/>
      <c r="R32" s="62">
        <f>TRUNC(R31*R30,2)</f>
        <v>36356.26</v>
      </c>
      <c r="S32" s="53" t="s">
        <v>55</v>
      </c>
      <c r="T32" s="54"/>
      <c r="U32" s="24"/>
    </row>
  </sheetData>
  <mergeCells count="36">
    <mergeCell ref="B10:B11"/>
    <mergeCell ref="C10:C11"/>
    <mergeCell ref="D10:F11"/>
    <mergeCell ref="G10:I11"/>
    <mergeCell ref="K10:K11"/>
    <mergeCell ref="J10:J11"/>
    <mergeCell ref="B1:U4"/>
    <mergeCell ref="V4:AA4"/>
    <mergeCell ref="B5:I5"/>
    <mergeCell ref="J5:O5"/>
    <mergeCell ref="P5:U5"/>
    <mergeCell ref="M31:Q31"/>
    <mergeCell ref="T7:U7"/>
    <mergeCell ref="M32:Q32"/>
    <mergeCell ref="T10:T11"/>
    <mergeCell ref="U10:U11"/>
    <mergeCell ref="N10:N11"/>
    <mergeCell ref="O10:O11"/>
    <mergeCell ref="P10:P11"/>
    <mergeCell ref="Q10:Q11"/>
    <mergeCell ref="R10:R11"/>
    <mergeCell ref="S10:S11"/>
    <mergeCell ref="T8:U8"/>
    <mergeCell ref="T9:U9"/>
    <mergeCell ref="D29:I30"/>
    <mergeCell ref="J29:K30"/>
    <mergeCell ref="L29:L30"/>
    <mergeCell ref="M29:Q29"/>
    <mergeCell ref="M30:Q30"/>
    <mergeCell ref="L10:L11"/>
    <mergeCell ref="M10:M11"/>
    <mergeCell ref="D13:F13"/>
    <mergeCell ref="D14:F14"/>
    <mergeCell ref="D28:I28"/>
    <mergeCell ref="J28:K28"/>
    <mergeCell ref="M28:Q28"/>
  </mergeCells>
  <conditionalFormatting sqref="J29:K32">
    <cfRule type="cellIs" dxfId="333" priority="1" operator="greaterThanOrEqual">
      <formula>1</formula>
    </cfRule>
    <cfRule type="cellIs" dxfId="33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35">
    <tabColor rgb="FF339933"/>
    <pageSetUpPr fitToPage="1"/>
  </sheetPr>
  <dimension ref="A1:AJ30"/>
  <sheetViews>
    <sheetView view="pageBreakPreview" topLeftCell="A7" zoomScale="55" zoomScaleNormal="55" zoomScaleSheetLayoutView="55" workbookViewId="0">
      <selection activeCell="M28" sqref="M28:Q2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9.8554687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A28</f>
        <v>3.2.1.1</v>
      </c>
      <c r="C10" s="845" t="str">
        <f>CONCATENATE(VLOOKUP(A28,DEZ!$A$2:$S$731,2,FALSE)," - ",VLOOKUP(A28,DEZ!$A$2:$S$731,3,FALSE))</f>
        <v>30103 - Escavação mecânica em material de 1a. categoria</v>
      </c>
      <c r="D10" s="816" t="s">
        <v>854</v>
      </c>
      <c r="E10" s="816"/>
      <c r="F10" s="816"/>
      <c r="G10" s="816" t="s">
        <v>33</v>
      </c>
      <c r="H10" s="816"/>
      <c r="I10" s="816"/>
      <c r="J10" s="812" t="s">
        <v>897</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220" t="s">
        <v>896</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898</v>
      </c>
      <c r="D13" s="854">
        <v>30</v>
      </c>
      <c r="E13" s="855"/>
      <c r="F13" s="856"/>
      <c r="G13" s="854">
        <v>20</v>
      </c>
      <c r="H13" s="855"/>
      <c r="I13" s="856"/>
      <c r="J13" s="226">
        <v>0.2</v>
      </c>
      <c r="K13" s="81">
        <f>D13*G13</f>
        <v>600</v>
      </c>
      <c r="L13" s="82">
        <f>J13*G13*D13</f>
        <v>120</v>
      </c>
      <c r="M13" s="83"/>
      <c r="N13" s="105"/>
      <c r="O13" s="84"/>
      <c r="P13" s="82"/>
      <c r="Q13" s="93"/>
      <c r="R13" s="85">
        <f>L13</f>
        <v>120</v>
      </c>
      <c r="S13" s="154" t="s">
        <v>58</v>
      </c>
      <c r="T13" s="215">
        <v>1</v>
      </c>
      <c r="U13" s="94"/>
      <c r="V13" s="71"/>
      <c r="W13" s="71"/>
      <c r="X13" s="152"/>
      <c r="Y13" s="153"/>
      <c r="Z13" s="72"/>
    </row>
    <row r="14" spans="1:36" s="73" customFormat="1" ht="21" customHeight="1">
      <c r="A14" s="64"/>
      <c r="B14" s="109"/>
      <c r="C14" s="76" t="s">
        <v>899</v>
      </c>
      <c r="D14" s="854">
        <v>30</v>
      </c>
      <c r="E14" s="855"/>
      <c r="F14" s="856"/>
      <c r="G14" s="854">
        <v>4</v>
      </c>
      <c r="H14" s="855"/>
      <c r="I14" s="856"/>
      <c r="J14" s="226">
        <v>0.2</v>
      </c>
      <c r="K14" s="81">
        <f>D14*G14</f>
        <v>120</v>
      </c>
      <c r="L14" s="82">
        <f>J14*G14*D14</f>
        <v>24</v>
      </c>
      <c r="M14" s="83"/>
      <c r="N14" s="105"/>
      <c r="O14" s="84"/>
      <c r="P14" s="82"/>
      <c r="Q14" s="93"/>
      <c r="R14" s="85">
        <f>L14</f>
        <v>24</v>
      </c>
      <c r="S14" s="154" t="s">
        <v>58</v>
      </c>
      <c r="T14" s="215">
        <v>1</v>
      </c>
      <c r="U14" s="94"/>
      <c r="V14" s="71"/>
      <c r="W14" s="71"/>
      <c r="X14" s="152"/>
      <c r="Y14" s="153"/>
      <c r="Z14" s="72"/>
    </row>
    <row r="15" spans="1:36" s="73" customFormat="1" ht="42" customHeight="1">
      <c r="A15" s="64"/>
      <c r="B15" s="112"/>
      <c r="C15" s="220" t="s">
        <v>948</v>
      </c>
      <c r="D15" s="77"/>
      <c r="E15" s="78"/>
      <c r="F15" s="79"/>
      <c r="G15" s="77"/>
      <c r="H15" s="78"/>
      <c r="I15" s="79"/>
      <c r="J15" s="80"/>
      <c r="K15" s="81"/>
      <c r="L15" s="82"/>
      <c r="M15" s="83"/>
      <c r="N15" s="105"/>
      <c r="O15" s="84"/>
      <c r="P15" s="82"/>
      <c r="Q15" s="93"/>
      <c r="R15" s="85"/>
      <c r="S15" s="111"/>
      <c r="T15" s="215"/>
      <c r="U15" s="91"/>
      <c r="V15" s="71"/>
      <c r="W15" s="71"/>
      <c r="X15" s="152"/>
      <c r="Y15" s="153"/>
      <c r="Z15" s="72"/>
    </row>
    <row r="16" spans="1:36" s="73" customFormat="1" ht="21" customHeight="1">
      <c r="A16" s="64"/>
      <c r="B16" s="109"/>
      <c r="C16" s="76" t="s">
        <v>949</v>
      </c>
      <c r="D16" s="77"/>
      <c r="E16" s="78"/>
      <c r="F16" s="79"/>
      <c r="G16" s="77"/>
      <c r="H16" s="78"/>
      <c r="I16" s="79"/>
      <c r="J16" s="66"/>
      <c r="K16" s="108"/>
      <c r="L16" s="67">
        <v>205.44</v>
      </c>
      <c r="M16" s="68"/>
      <c r="N16" s="110"/>
      <c r="O16" s="69"/>
      <c r="P16" s="67"/>
      <c r="Q16" s="106"/>
      <c r="R16" s="70">
        <f>L16</f>
        <v>205.44</v>
      </c>
      <c r="S16" s="154" t="s">
        <v>58</v>
      </c>
      <c r="T16" s="215">
        <v>4</v>
      </c>
      <c r="U16" s="94"/>
      <c r="V16" s="71"/>
      <c r="W16" s="71"/>
      <c r="X16" s="152"/>
      <c r="Y16" s="153"/>
      <c r="Z16" s="72"/>
      <c r="AA16" s="71"/>
      <c r="AB16" s="74"/>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1" customFormat="1" ht="21" customHeight="1">
      <c r="A24" s="11"/>
      <c r="B24" s="25"/>
      <c r="C24" s="20"/>
      <c r="D24" s="26"/>
      <c r="E24" s="159"/>
      <c r="F24" s="27"/>
      <c r="G24" s="26"/>
      <c r="H24" s="159"/>
      <c r="I24" s="27"/>
      <c r="J24" s="28"/>
      <c r="K24" s="49"/>
      <c r="L24" s="40"/>
      <c r="M24" s="41"/>
      <c r="N24" s="160"/>
      <c r="O24" s="160"/>
      <c r="P24" s="40"/>
      <c r="Q24" s="42"/>
      <c r="R24" s="60"/>
      <c r="S24" s="43"/>
      <c r="T24" s="215"/>
      <c r="U24" s="48"/>
      <c r="V24" s="120"/>
      <c r="W24" s="120"/>
      <c r="X24" s="120"/>
      <c r="Y24" s="142"/>
      <c r="Z24" s="15"/>
      <c r="AA24" s="17"/>
      <c r="AB24" s="44"/>
    </row>
    <row r="25" spans="1:28" ht="21" customHeight="1">
      <c r="B25" s="118"/>
      <c r="C25" s="119"/>
      <c r="D25" s="26"/>
      <c r="E25" s="159"/>
      <c r="F25" s="27"/>
      <c r="G25" s="26"/>
      <c r="H25" s="159"/>
      <c r="I25" s="27"/>
      <c r="J25" s="28"/>
      <c r="K25" s="49"/>
      <c r="L25" s="40"/>
      <c r="M25" s="41"/>
      <c r="N25" s="160"/>
      <c r="O25" s="160"/>
      <c r="P25" s="40"/>
      <c r="Q25" s="42"/>
      <c r="R25" s="60"/>
      <c r="S25" s="43"/>
      <c r="T25" s="216"/>
      <c r="U25" s="117"/>
    </row>
    <row r="26" spans="1:28" ht="39.6" customHeight="1">
      <c r="B26" s="161"/>
      <c r="C26" s="162"/>
      <c r="D26" s="806" t="s">
        <v>11</v>
      </c>
      <c r="E26" s="807"/>
      <c r="F26" s="807"/>
      <c r="G26" s="807"/>
      <c r="H26" s="807"/>
      <c r="I26" s="808"/>
      <c r="J26" s="809">
        <f>VLOOKUP(A28,DEZ!$A$2:$S$731,6,FALSE)</f>
        <v>349.44</v>
      </c>
      <c r="K26" s="810"/>
      <c r="L26" s="50" t="str">
        <f>VLOOKUP(A28,DEZ!$A$2:$S$731,4,FALSE)</f>
        <v>m3</v>
      </c>
      <c r="M26" s="803" t="s">
        <v>12</v>
      </c>
      <c r="N26" s="811"/>
      <c r="O26" s="811"/>
      <c r="P26" s="811"/>
      <c r="Q26" s="805"/>
      <c r="R26" s="61">
        <f>SUM(R12:R25)</f>
        <v>349.44</v>
      </c>
      <c r="S26" s="51" t="str">
        <f>L26</f>
        <v>m3</v>
      </c>
      <c r="T26" s="22"/>
      <c r="U26" s="23"/>
    </row>
    <row r="27" spans="1:28" ht="21" customHeight="1">
      <c r="B27" s="163"/>
      <c r="C27" s="19"/>
      <c r="D27" s="817" t="s">
        <v>13</v>
      </c>
      <c r="E27" s="818"/>
      <c r="F27" s="818"/>
      <c r="G27" s="818"/>
      <c r="H27" s="818"/>
      <c r="I27" s="819"/>
      <c r="J27" s="823">
        <f>R26/J26</f>
        <v>1</v>
      </c>
      <c r="K27" s="824"/>
      <c r="L27" s="827"/>
      <c r="M27" s="803" t="s">
        <v>34</v>
      </c>
      <c r="N27" s="804"/>
      <c r="O27" s="804"/>
      <c r="P27" s="804"/>
      <c r="Q27" s="805"/>
      <c r="R27" s="61">
        <f>VLOOKUP(A28,DEZ!$A$2:$S$731,8,FALSE)</f>
        <v>0</v>
      </c>
      <c r="S27" s="52" t="str">
        <f>L26</f>
        <v>m3</v>
      </c>
      <c r="T27" s="22"/>
      <c r="U27" s="23"/>
    </row>
    <row r="28" spans="1:28" ht="21" customHeight="1">
      <c r="A28" s="10" t="s">
        <v>400</v>
      </c>
      <c r="B28" s="165"/>
      <c r="C28" s="164"/>
      <c r="D28" s="820"/>
      <c r="E28" s="821"/>
      <c r="F28" s="821"/>
      <c r="G28" s="821"/>
      <c r="H28" s="821"/>
      <c r="I28" s="822"/>
      <c r="J28" s="825"/>
      <c r="K28" s="826"/>
      <c r="L28" s="828"/>
      <c r="M28" s="803" t="s">
        <v>14</v>
      </c>
      <c r="N28" s="804"/>
      <c r="O28" s="804"/>
      <c r="P28" s="804"/>
      <c r="Q28" s="805"/>
      <c r="R28" s="62">
        <f>R26-R27</f>
        <v>349.44</v>
      </c>
      <c r="S28" s="53" t="str">
        <f>L26</f>
        <v>m3</v>
      </c>
      <c r="T28" s="54"/>
      <c r="U28" s="24"/>
    </row>
    <row r="29" spans="1:28" ht="21" customHeight="1">
      <c r="B29" s="218"/>
      <c r="C29" s="217"/>
      <c r="M29" s="803" t="s">
        <v>53</v>
      </c>
      <c r="N29" s="804"/>
      <c r="O29" s="804"/>
      <c r="P29" s="804"/>
      <c r="Q29" s="805"/>
      <c r="R29" s="62">
        <f>VLOOKUP(A28,DEZ!$A$2:$S$731,5,FALSE)</f>
        <v>9.81</v>
      </c>
      <c r="S29" s="53"/>
      <c r="T29" s="54"/>
      <c r="U29" s="24"/>
    </row>
    <row r="30" spans="1:28" ht="21" customHeight="1">
      <c r="B30" s="163"/>
      <c r="C30" s="219"/>
      <c r="M30" s="803" t="s">
        <v>54</v>
      </c>
      <c r="N30" s="804"/>
      <c r="O30" s="804"/>
      <c r="P30" s="804"/>
      <c r="Q30" s="805"/>
      <c r="R30" s="62">
        <f>TRUNC(R29*R28,2)</f>
        <v>3428</v>
      </c>
      <c r="S30" s="53" t="s">
        <v>55</v>
      </c>
      <c r="T30" s="54"/>
      <c r="U30" s="24"/>
    </row>
  </sheetData>
  <mergeCells count="38">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30:Q30"/>
    <mergeCell ref="G13:I13"/>
    <mergeCell ref="G14:I14"/>
    <mergeCell ref="D27:I28"/>
    <mergeCell ref="J27:K28"/>
    <mergeCell ref="L27:L28"/>
    <mergeCell ref="M27:Q27"/>
    <mergeCell ref="M28:Q28"/>
    <mergeCell ref="M29:Q29"/>
    <mergeCell ref="D13:F13"/>
    <mergeCell ref="D14:F14"/>
    <mergeCell ref="D26:I26"/>
    <mergeCell ref="J26:K26"/>
    <mergeCell ref="M26:Q26"/>
  </mergeCells>
  <conditionalFormatting sqref="J27:K30">
    <cfRule type="cellIs" dxfId="331" priority="1" operator="greaterThanOrEqual">
      <formula>1</formula>
    </cfRule>
    <cfRule type="cellIs" dxfId="330"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36">
    <tabColor rgb="FF339933"/>
    <pageSetUpPr fitToPage="1"/>
  </sheetPr>
  <dimension ref="A1:AJ29"/>
  <sheetViews>
    <sheetView view="pageBreakPreview" topLeftCell="A10" zoomScale="60" zoomScaleNormal="55" workbookViewId="0">
      <selection activeCell="R20" sqref="R2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A27</f>
        <v>3.2.1.2</v>
      </c>
      <c r="C10" s="845" t="str">
        <f>CONCATENATE(VLOOKUP(A27,DEZ!$A$2:$S$731,2,FALSE)," - ",VLOOKUP(A27,DEZ!$A$2:$S$731,3,FALSE))</f>
        <v>30304 - Índice de preço para remoção de entulho decorrente da execução de obras (Classe A CONAMA - NBR 10.004 - Classe II-B), incluindo aluguel da caçamba, carga, transporte e descarga em área licenciada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220" t="s">
        <v>896</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898</v>
      </c>
      <c r="D13" s="854">
        <v>30</v>
      </c>
      <c r="E13" s="855"/>
      <c r="F13" s="856"/>
      <c r="G13" s="854">
        <v>20</v>
      </c>
      <c r="H13" s="855"/>
      <c r="I13" s="856"/>
      <c r="J13" s="226">
        <v>0.2</v>
      </c>
      <c r="K13" s="81">
        <f>D13*G13</f>
        <v>600</v>
      </c>
      <c r="L13" s="82">
        <f>J13*G13*D13</f>
        <v>120</v>
      </c>
      <c r="M13" s="83"/>
      <c r="N13" s="105"/>
      <c r="O13" s="84"/>
      <c r="P13" s="82"/>
      <c r="Q13" s="93"/>
      <c r="R13" s="85">
        <f>L13</f>
        <v>120</v>
      </c>
      <c r="S13" s="154" t="s">
        <v>58</v>
      </c>
      <c r="T13" s="215">
        <v>1</v>
      </c>
      <c r="U13" s="94"/>
      <c r="V13" s="71"/>
      <c r="W13" s="71"/>
      <c r="X13" s="152"/>
      <c r="Y13" s="153"/>
      <c r="Z13" s="72"/>
    </row>
    <row r="14" spans="1:36" s="73" customFormat="1" ht="21" customHeight="1">
      <c r="A14" s="64"/>
      <c r="B14" s="109"/>
      <c r="C14" s="76" t="s">
        <v>899</v>
      </c>
      <c r="D14" s="854">
        <v>30</v>
      </c>
      <c r="E14" s="855"/>
      <c r="F14" s="856"/>
      <c r="G14" s="854">
        <v>4</v>
      </c>
      <c r="H14" s="855"/>
      <c r="I14" s="856"/>
      <c r="J14" s="226">
        <v>0.2</v>
      </c>
      <c r="K14" s="81">
        <f>D14*G14</f>
        <v>120</v>
      </c>
      <c r="L14" s="82">
        <f>J14*G14*D14</f>
        <v>24</v>
      </c>
      <c r="M14" s="83"/>
      <c r="N14" s="105"/>
      <c r="O14" s="84"/>
      <c r="P14" s="82"/>
      <c r="Q14" s="93"/>
      <c r="R14" s="85">
        <f>L14</f>
        <v>24</v>
      </c>
      <c r="S14" s="154" t="s">
        <v>58</v>
      </c>
      <c r="T14" s="215">
        <v>1</v>
      </c>
      <c r="U14" s="94"/>
      <c r="V14" s="71"/>
      <c r="W14" s="71"/>
      <c r="X14" s="152"/>
      <c r="Y14" s="153"/>
      <c r="Z14" s="72"/>
    </row>
    <row r="15" spans="1:36" s="73" customFormat="1" ht="21" customHeight="1">
      <c r="A15" s="64"/>
      <c r="B15" s="109"/>
      <c r="C15" s="65" t="s">
        <v>950</v>
      </c>
      <c r="D15" s="77"/>
      <c r="E15" s="78"/>
      <c r="F15" s="79"/>
      <c r="G15" s="77"/>
      <c r="H15" s="78"/>
      <c r="I15" s="79"/>
      <c r="J15" s="66"/>
      <c r="K15" s="108"/>
      <c r="L15" s="67">
        <v>205.44</v>
      </c>
      <c r="M15" s="68"/>
      <c r="N15" s="110"/>
      <c r="O15" s="69"/>
      <c r="P15" s="67"/>
      <c r="Q15" s="106"/>
      <c r="R15" s="70">
        <f>L15</f>
        <v>205.44</v>
      </c>
      <c r="S15" s="154" t="s">
        <v>58</v>
      </c>
      <c r="T15" s="215">
        <v>4</v>
      </c>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VLOOKUP(A27,DEZ!$A$2:$S$731,6,FALSE)</f>
        <v>349.44</v>
      </c>
      <c r="K25" s="810"/>
      <c r="L25" s="50" t="str">
        <f>VLOOKUP(A27,DEZ!$A$2:$S$731,4,FALSE)</f>
        <v>m3</v>
      </c>
      <c r="M25" s="803" t="s">
        <v>12</v>
      </c>
      <c r="N25" s="811"/>
      <c r="O25" s="811"/>
      <c r="P25" s="811"/>
      <c r="Q25" s="805"/>
      <c r="R25" s="61">
        <f>SUM(R12:R24)</f>
        <v>349.44</v>
      </c>
      <c r="S25" s="51" t="str">
        <f>L25</f>
        <v>m3</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VLOOKUP(A27,DEZ!$A$2:$S$731,8,FALSE)</f>
        <v>0</v>
      </c>
      <c r="S26" s="52" t="str">
        <f>L25</f>
        <v>m3</v>
      </c>
      <c r="T26" s="22"/>
      <c r="U26" s="23"/>
    </row>
    <row r="27" spans="1:28" ht="21" customHeight="1">
      <c r="A27" s="10" t="s">
        <v>401</v>
      </c>
      <c r="B27" s="165"/>
      <c r="C27" s="164"/>
      <c r="D27" s="820"/>
      <c r="E27" s="821"/>
      <c r="F27" s="821"/>
      <c r="G27" s="821"/>
      <c r="H27" s="821"/>
      <c r="I27" s="822"/>
      <c r="J27" s="825"/>
      <c r="K27" s="826"/>
      <c r="L27" s="828"/>
      <c r="M27" s="803" t="s">
        <v>14</v>
      </c>
      <c r="N27" s="804"/>
      <c r="O27" s="804"/>
      <c r="P27" s="804"/>
      <c r="Q27" s="805"/>
      <c r="R27" s="62">
        <f>R25-R26</f>
        <v>349.44</v>
      </c>
      <c r="S27" s="53" t="str">
        <f>L25</f>
        <v>m3</v>
      </c>
      <c r="T27" s="54"/>
      <c r="U27" s="24"/>
    </row>
    <row r="28" spans="1:28" ht="21" customHeight="1">
      <c r="B28" s="218"/>
      <c r="C28" s="217"/>
      <c r="M28" s="803" t="s">
        <v>53</v>
      </c>
      <c r="N28" s="804"/>
      <c r="O28" s="804"/>
      <c r="P28" s="804"/>
      <c r="Q28" s="805"/>
      <c r="R28" s="62">
        <f>VLOOKUP(A27,DEZ!$A$2:$S$731,5,FALSE)</f>
        <v>56.45</v>
      </c>
      <c r="S28" s="53"/>
      <c r="T28" s="54"/>
      <c r="U28" s="24"/>
    </row>
    <row r="29" spans="1:28" ht="21" customHeight="1">
      <c r="B29" s="163"/>
      <c r="C29" s="219"/>
      <c r="M29" s="803" t="s">
        <v>54</v>
      </c>
      <c r="N29" s="804"/>
      <c r="O29" s="804"/>
      <c r="P29" s="804"/>
      <c r="Q29" s="805"/>
      <c r="R29" s="62">
        <f>TRUNC(R28*R27,2)</f>
        <v>19725.88</v>
      </c>
      <c r="S29" s="53" t="s">
        <v>55</v>
      </c>
      <c r="T29" s="54"/>
      <c r="U29" s="24"/>
    </row>
  </sheetData>
  <mergeCells count="38">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G13:I13"/>
    <mergeCell ref="G14:I14"/>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29" priority="1" operator="greaterThanOrEqual">
      <formula>1</formula>
    </cfRule>
    <cfRule type="cellIs" dxfId="328" priority="2" operator="greaterThan">
      <formula>100%</formula>
    </cfRule>
  </conditionalFormatting>
  <pageMargins left="0.511811024" right="0.511811024" top="0.78740157499999996" bottom="0.78740157499999996" header="0.31496062000000002" footer="0.31496062000000002"/>
  <pageSetup paperSize="9" scale="44" fitToHeight="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ilha38">
    <tabColor rgb="FF339933"/>
    <pageSetUpPr fitToPage="1"/>
  </sheetPr>
  <dimension ref="A1:AJ29"/>
  <sheetViews>
    <sheetView view="pageBreakPreview" zoomScale="60" zoomScaleNormal="55" workbookViewId="0">
      <selection activeCell="K24" sqref="K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A27</f>
        <v>3.4.3.1</v>
      </c>
      <c r="C10" s="845" t="str">
        <f>CONCATENATE(VLOOKUP(A27,DEZ!$A$2:$S$731,2,FALSE)," - ",VLOOKUP(A27,DEZ!$A$2:$S$731,3,FALSE))</f>
        <v>COT15 - SONDAGEM ROTATIVA EM LÂMINA D'ÁGUA (PORTO DE SANTANA CARIACICA) - INCLUSIVE MOBILIZAÇÃO E DESMOBILIZAÇÃO DE EQUIPAMENTO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220" t="s">
        <v>886</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887</v>
      </c>
      <c r="D13" s="854"/>
      <c r="E13" s="855"/>
      <c r="F13" s="856"/>
      <c r="G13" s="77"/>
      <c r="H13" s="78"/>
      <c r="I13" s="79"/>
      <c r="J13" s="80"/>
      <c r="K13" s="81"/>
      <c r="L13" s="82"/>
      <c r="M13" s="83">
        <v>1</v>
      </c>
      <c r="N13" s="105"/>
      <c r="O13" s="84"/>
      <c r="P13" s="82"/>
      <c r="Q13" s="93"/>
      <c r="R13" s="85">
        <f>M13</f>
        <v>1</v>
      </c>
      <c r="S13" s="154" t="s">
        <v>59</v>
      </c>
      <c r="T13" s="215">
        <v>1</v>
      </c>
      <c r="U13" s="94"/>
      <c r="V13" s="71"/>
      <c r="W13" s="71"/>
      <c r="X13" s="152"/>
      <c r="Y13" s="153"/>
      <c r="Z13" s="72"/>
    </row>
    <row r="14" spans="1:36" s="73" customFormat="1" ht="21" customHeight="1">
      <c r="A14" s="64"/>
      <c r="B14" s="109"/>
      <c r="C14" s="76" t="s">
        <v>888</v>
      </c>
      <c r="D14" s="854"/>
      <c r="E14" s="855"/>
      <c r="F14" s="856"/>
      <c r="G14" s="77"/>
      <c r="H14" s="78"/>
      <c r="I14" s="79"/>
      <c r="J14" s="80"/>
      <c r="K14" s="81"/>
      <c r="L14" s="82"/>
      <c r="M14" s="83">
        <v>1</v>
      </c>
      <c r="N14" s="105"/>
      <c r="O14" s="84"/>
      <c r="P14" s="82"/>
      <c r="Q14" s="93"/>
      <c r="R14" s="85">
        <f>M14</f>
        <v>1</v>
      </c>
      <c r="S14" s="154" t="s">
        <v>59</v>
      </c>
      <c r="T14" s="215">
        <v>1</v>
      </c>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VLOOKUP(A27,DEZ!$A$2:$S$731,6,FALSE)</f>
        <v>2</v>
      </c>
      <c r="K25" s="810"/>
      <c r="L25" s="50" t="str">
        <f>VLOOKUP(A27,DEZ!$A$2:$S$731,4,FALSE)</f>
        <v>UN</v>
      </c>
      <c r="M25" s="803" t="s">
        <v>12</v>
      </c>
      <c r="N25" s="811"/>
      <c r="O25" s="811"/>
      <c r="P25" s="811"/>
      <c r="Q25" s="805"/>
      <c r="R25" s="61">
        <f>SUM(R12:R24)</f>
        <v>2</v>
      </c>
      <c r="S25" s="51" t="str">
        <f>L25</f>
        <v>UN</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VLOOKUP(A27,DEZ!$A$2:$S$731,8,FALSE)</f>
        <v>0</v>
      </c>
      <c r="S26" s="52" t="str">
        <f>L25</f>
        <v>UN</v>
      </c>
      <c r="T26" s="22"/>
      <c r="U26" s="23"/>
    </row>
    <row r="27" spans="1:28" ht="21" customHeight="1">
      <c r="A27" s="10" t="s">
        <v>482</v>
      </c>
      <c r="B27" s="165"/>
      <c r="C27" s="164"/>
      <c r="D27" s="820"/>
      <c r="E27" s="821"/>
      <c r="F27" s="821"/>
      <c r="G27" s="821"/>
      <c r="H27" s="821"/>
      <c r="I27" s="822"/>
      <c r="J27" s="825"/>
      <c r="K27" s="826"/>
      <c r="L27" s="828"/>
      <c r="M27" s="803" t="s">
        <v>14</v>
      </c>
      <c r="N27" s="804"/>
      <c r="O27" s="804"/>
      <c r="P27" s="804"/>
      <c r="Q27" s="805"/>
      <c r="R27" s="62">
        <f>R25-R26</f>
        <v>2</v>
      </c>
      <c r="S27" s="53" t="str">
        <f>L25</f>
        <v>UN</v>
      </c>
      <c r="T27" s="54"/>
      <c r="U27" s="24"/>
    </row>
    <row r="28" spans="1:28" ht="21" customHeight="1">
      <c r="B28" s="218"/>
      <c r="C28" s="217"/>
      <c r="M28" s="803" t="s">
        <v>53</v>
      </c>
      <c r="N28" s="804"/>
      <c r="O28" s="804"/>
      <c r="P28" s="804"/>
      <c r="Q28" s="805"/>
      <c r="R28" s="62">
        <f>VLOOKUP(A27,DEZ!$A$2:$S$731,5,FALSE)</f>
        <v>11945.63</v>
      </c>
      <c r="S28" s="53"/>
      <c r="T28" s="54"/>
      <c r="U28" s="24"/>
    </row>
    <row r="29" spans="1:28" ht="21" customHeight="1">
      <c r="B29" s="163"/>
      <c r="C29" s="219"/>
      <c r="M29" s="803" t="s">
        <v>54</v>
      </c>
      <c r="N29" s="804"/>
      <c r="O29" s="804"/>
      <c r="P29" s="804"/>
      <c r="Q29" s="805"/>
      <c r="R29" s="62">
        <f>TRUNC(R28*R27,2)</f>
        <v>23891.26</v>
      </c>
      <c r="S29" s="53" t="s">
        <v>55</v>
      </c>
      <c r="T29" s="54"/>
      <c r="U29" s="24"/>
    </row>
  </sheetData>
  <mergeCells count="36">
    <mergeCell ref="B10:B11"/>
    <mergeCell ref="C10:C11"/>
    <mergeCell ref="D10:F11"/>
    <mergeCell ref="G10:I11"/>
    <mergeCell ref="K10:K11"/>
    <mergeCell ref="J10:J11"/>
    <mergeCell ref="B1:U4"/>
    <mergeCell ref="V4:AA4"/>
    <mergeCell ref="B5:I5"/>
    <mergeCell ref="J5:O5"/>
    <mergeCell ref="P5:U5"/>
    <mergeCell ref="M28:Q28"/>
    <mergeCell ref="T7:U7"/>
    <mergeCell ref="M29:Q29"/>
    <mergeCell ref="T10:T11"/>
    <mergeCell ref="U10:U11"/>
    <mergeCell ref="N10:N11"/>
    <mergeCell ref="O10:O11"/>
    <mergeCell ref="P10:P11"/>
    <mergeCell ref="Q10:Q11"/>
    <mergeCell ref="R10:R11"/>
    <mergeCell ref="S10:S11"/>
    <mergeCell ref="T8:U8"/>
    <mergeCell ref="T9:U9"/>
    <mergeCell ref="D26:I27"/>
    <mergeCell ref="J26:K27"/>
    <mergeCell ref="L26:L27"/>
    <mergeCell ref="M26:Q26"/>
    <mergeCell ref="M27:Q27"/>
    <mergeCell ref="L10:L11"/>
    <mergeCell ref="M10:M11"/>
    <mergeCell ref="D13:F13"/>
    <mergeCell ref="D14:F14"/>
    <mergeCell ref="D25:I25"/>
    <mergeCell ref="J25:K25"/>
    <mergeCell ref="M25:Q25"/>
  </mergeCells>
  <conditionalFormatting sqref="J26:K29">
    <cfRule type="cellIs" dxfId="327" priority="1" operator="greaterThanOrEqual">
      <formula>1</formula>
    </cfRule>
    <cfRule type="cellIs" dxfId="32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ilha39">
    <tabColor rgb="FF339933"/>
    <pageSetUpPr fitToPage="1"/>
  </sheetPr>
  <dimension ref="A1:AJ29"/>
  <sheetViews>
    <sheetView view="pageBreakPreview" topLeftCell="A7" zoomScale="60" zoomScaleNormal="55" workbookViewId="0">
      <selection activeCell="C13" sqref="C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A27</f>
        <v>3.1.2.2</v>
      </c>
      <c r="C10" s="845" t="str">
        <f>DEZ!C231</f>
        <v>Locação de obra com gabarito de madeira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951</v>
      </c>
      <c r="D12" s="77"/>
      <c r="E12" s="78"/>
      <c r="F12" s="79"/>
      <c r="G12" s="77"/>
      <c r="H12" s="78"/>
      <c r="I12" s="79"/>
      <c r="J12" s="80"/>
      <c r="K12" s="81">
        <v>200.9</v>
      </c>
      <c r="L12" s="82"/>
      <c r="M12" s="83"/>
      <c r="N12" s="105"/>
      <c r="O12" s="84"/>
      <c r="P12" s="82"/>
      <c r="Q12" s="93"/>
      <c r="R12" s="85">
        <f>K12</f>
        <v>200.9</v>
      </c>
      <c r="S12" s="111"/>
      <c r="T12" s="215">
        <v>4</v>
      </c>
      <c r="U12" s="91"/>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76"/>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DEZ!F231</f>
        <v>200.9</v>
      </c>
      <c r="K25" s="810"/>
      <c r="L25" s="50" t="str">
        <f>DEZ!D231</f>
        <v>m2</v>
      </c>
      <c r="M25" s="803" t="s">
        <v>12</v>
      </c>
      <c r="N25" s="811"/>
      <c r="O25" s="811"/>
      <c r="P25" s="811"/>
      <c r="Q25" s="805"/>
      <c r="R25" s="61">
        <f>SUM(R12:R24)</f>
        <v>200.9</v>
      </c>
      <c r="S25" s="51" t="str">
        <f>L25</f>
        <v>m2</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VLOOKUP(A27,DEZ!$A$2:$S$731,8,FALSE)</f>
        <v>0</v>
      </c>
      <c r="S26" s="52" t="str">
        <f>L25</f>
        <v>m2</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200.9</v>
      </c>
      <c r="S27" s="53" t="str">
        <f>L25</f>
        <v>m2</v>
      </c>
      <c r="T27" s="54"/>
      <c r="U27" s="24"/>
    </row>
    <row r="28" spans="1:28" ht="21" customHeight="1">
      <c r="B28" s="218"/>
      <c r="C28" s="217"/>
      <c r="M28" s="803" t="s">
        <v>53</v>
      </c>
      <c r="N28" s="804"/>
      <c r="O28" s="804"/>
      <c r="P28" s="804"/>
      <c r="Q28" s="805"/>
      <c r="R28" s="62">
        <f>VLOOKUP(A27,DEZ!$A$2:$S$731,5,FALSE)</f>
        <v>56.45</v>
      </c>
      <c r="S28" s="53"/>
      <c r="T28" s="54"/>
      <c r="U28" s="24"/>
    </row>
    <row r="29" spans="1:28" ht="21" customHeight="1">
      <c r="B29" s="163"/>
      <c r="C29" s="219"/>
      <c r="M29" s="803" t="s">
        <v>54</v>
      </c>
      <c r="N29" s="804"/>
      <c r="O29" s="804"/>
      <c r="P29" s="804"/>
      <c r="Q29" s="805"/>
      <c r="R29" s="62">
        <f>TRUNC(R28*R27,2)</f>
        <v>11340.8</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25" priority="1" operator="greaterThanOrEqual">
      <formula>1</formula>
    </cfRule>
    <cfRule type="cellIs" dxfId="32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ilha45">
    <tabColor rgb="FF339933"/>
    <pageSetUpPr fitToPage="1"/>
  </sheetPr>
  <dimension ref="A1:AJ29"/>
  <sheetViews>
    <sheetView view="pageBreakPreview" topLeftCell="A5" zoomScale="60" zoomScaleNormal="55" workbookViewId="0">
      <selection activeCell="K13" sqref="K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DEZ!A245</f>
        <v>3.3.2.11</v>
      </c>
      <c r="C10" s="845" t="str">
        <f>DEZ!C245</f>
        <v>Impermeabilização de estrutura com Sika Top 107 ou equivalente</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c r="D12" s="77"/>
      <c r="E12" s="78"/>
      <c r="F12" s="79"/>
      <c r="G12" s="77"/>
      <c r="H12" s="78"/>
      <c r="I12" s="79"/>
      <c r="J12" s="80"/>
      <c r="K12" s="81">
        <v>134.87</v>
      </c>
      <c r="L12" s="82"/>
      <c r="M12" s="83"/>
      <c r="N12" s="105"/>
      <c r="O12" s="84"/>
      <c r="P12" s="82"/>
      <c r="Q12" s="93"/>
      <c r="R12" s="85">
        <f>K12</f>
        <v>134.87</v>
      </c>
      <c r="S12" s="111" t="s">
        <v>57</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DEZ!F245</f>
        <v>134.87</v>
      </c>
      <c r="K25" s="810"/>
      <c r="L25" s="50" t="str">
        <f>DEZ!D245</f>
        <v>m2</v>
      </c>
      <c r="M25" s="803" t="s">
        <v>12</v>
      </c>
      <c r="N25" s="811"/>
      <c r="O25" s="811"/>
      <c r="P25" s="811"/>
      <c r="Q25" s="805"/>
      <c r="R25" s="61">
        <f>R12</f>
        <v>134.87</v>
      </c>
      <c r="S25" s="51" t="str">
        <f>L25</f>
        <v>m2</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VLOOKUP(A27,DEZ!$A$2:$S$731,8,FALSE)</f>
        <v>0</v>
      </c>
      <c r="S26" s="52" t="str">
        <f>L25</f>
        <v>m2</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134.87</v>
      </c>
      <c r="S27" s="53" t="str">
        <f>L25</f>
        <v>m2</v>
      </c>
      <c r="T27" s="54"/>
      <c r="U27" s="24"/>
    </row>
    <row r="28" spans="1:28" ht="21" customHeight="1">
      <c r="B28" s="218"/>
      <c r="C28" s="217"/>
      <c r="M28" s="803" t="s">
        <v>53</v>
      </c>
      <c r="N28" s="804"/>
      <c r="O28" s="804"/>
      <c r="P28" s="804"/>
      <c r="Q28" s="805"/>
      <c r="R28" s="62">
        <f>DEZ!E245</f>
        <v>64.3</v>
      </c>
      <c r="S28" s="53"/>
      <c r="T28" s="54"/>
      <c r="U28" s="24"/>
    </row>
    <row r="29" spans="1:28" ht="21" customHeight="1">
      <c r="B29" s="163"/>
      <c r="C29" s="219"/>
      <c r="M29" s="803" t="s">
        <v>54</v>
      </c>
      <c r="N29" s="804"/>
      <c r="O29" s="804"/>
      <c r="P29" s="804"/>
      <c r="Q29" s="805"/>
      <c r="R29" s="62">
        <f>TRUNC(R28*R27,2)</f>
        <v>8672.14</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23" priority="1" operator="greaterThanOrEqual">
      <formula>1</formula>
    </cfRule>
    <cfRule type="cellIs" dxfId="32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Planilha47">
    <tabColor rgb="FF339933"/>
    <pageSetUpPr fitToPage="1"/>
  </sheetPr>
  <dimension ref="A1:AJ29"/>
  <sheetViews>
    <sheetView view="pageBreakPreview" topLeftCell="A5" zoomScale="60" zoomScaleNormal="55" workbookViewId="0">
      <selection activeCell="K13" sqref="K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DEZ!A259</f>
        <v>3.3.5.2</v>
      </c>
      <c r="C10" s="845" t="str">
        <f>DEZ!C259</f>
        <v>Fornecimento, dobragem e colocação em fôrma, de armadura CA-50 A média, diâmetro de 6.3 a 10.0 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c r="D12" s="77"/>
      <c r="E12" s="78"/>
      <c r="F12" s="79"/>
      <c r="G12" s="77"/>
      <c r="H12" s="78"/>
      <c r="I12" s="79"/>
      <c r="J12" s="80"/>
      <c r="K12" s="81">
        <v>160</v>
      </c>
      <c r="L12" s="82"/>
      <c r="M12" s="83"/>
      <c r="N12" s="105"/>
      <c r="O12" s="84"/>
      <c r="P12" s="82"/>
      <c r="Q12" s="93"/>
      <c r="R12" s="85">
        <f>K12</f>
        <v>160</v>
      </c>
      <c r="S12" s="111" t="s">
        <v>57</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DEZ!F259</f>
        <v>160</v>
      </c>
      <c r="K25" s="810"/>
      <c r="L25" s="50" t="str">
        <f>DEZ!D259</f>
        <v>kg</v>
      </c>
      <c r="M25" s="803" t="s">
        <v>12</v>
      </c>
      <c r="N25" s="811"/>
      <c r="O25" s="811"/>
      <c r="P25" s="811"/>
      <c r="Q25" s="805"/>
      <c r="R25" s="61">
        <f>R12</f>
        <v>160</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v>0</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160</v>
      </c>
      <c r="S27" s="53" t="str">
        <f>L25</f>
        <v>kg</v>
      </c>
      <c r="T27" s="54"/>
      <c r="U27" s="24"/>
    </row>
    <row r="28" spans="1:28" ht="21" customHeight="1">
      <c r="B28" s="218"/>
      <c r="C28" s="217"/>
      <c r="M28" s="803" t="s">
        <v>53</v>
      </c>
      <c r="N28" s="804"/>
      <c r="O28" s="804"/>
      <c r="P28" s="804"/>
      <c r="Q28" s="805"/>
      <c r="R28" s="62">
        <f>DEZ!E259</f>
        <v>7.98</v>
      </c>
      <c r="S28" s="53"/>
      <c r="T28" s="54"/>
      <c r="U28" s="24"/>
    </row>
    <row r="29" spans="1:28" ht="21" customHeight="1">
      <c r="B29" s="163"/>
      <c r="C29" s="219"/>
      <c r="M29" s="803" t="s">
        <v>54</v>
      </c>
      <c r="N29" s="804"/>
      <c r="O29" s="804"/>
      <c r="P29" s="804"/>
      <c r="Q29" s="805"/>
      <c r="R29" s="62">
        <f>TRUNC(R28*R27,2)</f>
        <v>1276.8</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21" priority="1" operator="greaterThanOrEqual">
      <formula>1</formula>
    </cfRule>
    <cfRule type="cellIs" dxfId="32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ilha48">
    <tabColor rgb="FF339933"/>
    <pageSetUpPr fitToPage="1"/>
  </sheetPr>
  <dimension ref="A1:AJ29"/>
  <sheetViews>
    <sheetView view="pageBreakPreview" topLeftCell="A5" zoomScale="60" zoomScaleNormal="55" workbookViewId="0">
      <selection activeCell="K13" sqref="K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DEZ!A260</f>
        <v>3.3.5.3</v>
      </c>
      <c r="C10" s="845" t="str">
        <f>DEZ!C260</f>
        <v>Fornecimento, dobragem e colocação em fôrma, de armadura CA-50 A grossa diâmetro de 12.5 a 25.0 mm (1/2 a 1")</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c r="D12" s="77"/>
      <c r="E12" s="78"/>
      <c r="F12" s="79"/>
      <c r="G12" s="77"/>
      <c r="H12" s="78"/>
      <c r="I12" s="79"/>
      <c r="J12" s="80"/>
      <c r="K12" s="81">
        <v>199</v>
      </c>
      <c r="L12" s="82"/>
      <c r="M12" s="83"/>
      <c r="N12" s="105"/>
      <c r="O12" s="84"/>
      <c r="P12" s="82"/>
      <c r="Q12" s="93"/>
      <c r="R12" s="85">
        <f>K12</f>
        <v>199</v>
      </c>
      <c r="S12" s="111" t="s">
        <v>57</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DEZ!F260</f>
        <v>199</v>
      </c>
      <c r="K25" s="810"/>
      <c r="L25" s="50" t="str">
        <f>DEZ!D259</f>
        <v>kg</v>
      </c>
      <c r="M25" s="803" t="s">
        <v>12</v>
      </c>
      <c r="N25" s="811"/>
      <c r="O25" s="811"/>
      <c r="P25" s="811"/>
      <c r="Q25" s="805"/>
      <c r="R25" s="61">
        <f>R12</f>
        <v>199</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v>0</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199</v>
      </c>
      <c r="S27" s="53" t="str">
        <f>L25</f>
        <v>kg</v>
      </c>
      <c r="T27" s="54"/>
      <c r="U27" s="24"/>
    </row>
    <row r="28" spans="1:28" ht="21" customHeight="1">
      <c r="B28" s="218"/>
      <c r="C28" s="217"/>
      <c r="M28" s="803" t="s">
        <v>53</v>
      </c>
      <c r="N28" s="804"/>
      <c r="O28" s="804"/>
      <c r="P28" s="804"/>
      <c r="Q28" s="805"/>
      <c r="R28" s="62">
        <f>DEZ!E260</f>
        <v>8.41</v>
      </c>
      <c r="S28" s="53"/>
      <c r="T28" s="54"/>
      <c r="U28" s="24"/>
    </row>
    <row r="29" spans="1:28" ht="21" customHeight="1">
      <c r="B29" s="163"/>
      <c r="C29" s="219"/>
      <c r="M29" s="803" t="s">
        <v>54</v>
      </c>
      <c r="N29" s="804"/>
      <c r="O29" s="804"/>
      <c r="P29" s="804"/>
      <c r="Q29" s="805"/>
      <c r="R29" s="62">
        <f>TRUNC(R28*R27,2)</f>
        <v>1673.59</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19" priority="1" operator="greaterThanOrEqual">
      <formula>1</formula>
    </cfRule>
    <cfRule type="cellIs" dxfId="31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0">
    <tabColor rgb="FF339933"/>
    <pageSetUpPr fitToPage="1"/>
  </sheetPr>
  <dimension ref="A1:AJ32"/>
  <sheetViews>
    <sheetView view="pageBreakPreview" topLeftCell="A2" zoomScale="60" zoomScaleNormal="55" workbookViewId="0">
      <selection activeCell="D13" sqref="D13:F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A30</f>
        <v>1.1.2.9</v>
      </c>
      <c r="C10" s="845" t="str">
        <f>CONCATENATE(VLOOKUP(A30,DEZ!$A$2:$S$731,2,FALSE)," - ",VLOOKUP(A30,DEZ!$A$2:$S$731,3,FALSE))</f>
        <v>20709 - Galpão para corte e armação com área de 6.00m2, em peças de madeira 8x8cm e contraventamento de 5x7cm, cobertura de telhas de fibroc. de 6mm, inclusive ponto e cabo de alimentação da máquina, conf. projeto (1 utilização)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12"/>
      <c r="C12" s="220" t="s">
        <v>872</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877</v>
      </c>
      <c r="D13" s="854">
        <v>3</v>
      </c>
      <c r="E13" s="855"/>
      <c r="F13" s="856"/>
      <c r="G13" s="854">
        <v>2</v>
      </c>
      <c r="H13" s="855"/>
      <c r="I13" s="856"/>
      <c r="J13" s="80"/>
      <c r="K13" s="81">
        <f>D13*G13</f>
        <v>6</v>
      </c>
      <c r="L13" s="82"/>
      <c r="M13" s="83"/>
      <c r="N13" s="105"/>
      <c r="O13" s="84"/>
      <c r="P13" s="82"/>
      <c r="Q13" s="93"/>
      <c r="R13" s="85">
        <f>K13</f>
        <v>6</v>
      </c>
      <c r="S13" s="221" t="s">
        <v>57</v>
      </c>
      <c r="T13" s="215">
        <v>1</v>
      </c>
      <c r="U13" s="94"/>
      <c r="V13" s="71"/>
      <c r="W13" s="71"/>
      <c r="X13" s="152"/>
      <c r="Y13" s="153"/>
      <c r="Z13" s="72"/>
    </row>
    <row r="14" spans="1:36" s="73" customFormat="1" ht="21" customHeight="1">
      <c r="A14" s="64"/>
      <c r="B14" s="109"/>
      <c r="C14" s="76"/>
      <c r="D14" s="77"/>
      <c r="E14" s="78"/>
      <c r="F14" s="79"/>
      <c r="G14" s="77"/>
      <c r="H14" s="78"/>
      <c r="I14" s="79"/>
      <c r="J14" s="80"/>
      <c r="K14" s="81"/>
      <c r="L14" s="82"/>
      <c r="M14" s="83"/>
      <c r="N14" s="105"/>
      <c r="O14" s="84"/>
      <c r="P14" s="82"/>
      <c r="Q14" s="93"/>
      <c r="R14" s="85"/>
      <c r="S14" s="111"/>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73" customFormat="1" ht="21" customHeight="1">
      <c r="A18" s="64"/>
      <c r="B18" s="109"/>
      <c r="C18" s="65"/>
      <c r="D18" s="77"/>
      <c r="E18" s="78"/>
      <c r="F18" s="79"/>
      <c r="G18" s="77"/>
      <c r="H18" s="78"/>
      <c r="I18" s="79"/>
      <c r="J18" s="66"/>
      <c r="K18" s="108"/>
      <c r="L18" s="67"/>
      <c r="M18" s="68"/>
      <c r="N18" s="110"/>
      <c r="O18" s="69"/>
      <c r="P18" s="67"/>
      <c r="Q18" s="106"/>
      <c r="R18" s="70"/>
      <c r="S18" s="111"/>
      <c r="T18" s="215"/>
      <c r="U18" s="94"/>
      <c r="V18" s="71"/>
      <c r="W18" s="71"/>
      <c r="X18" s="152"/>
      <c r="Y18" s="153"/>
      <c r="Z18" s="72"/>
      <c r="AA18" s="71"/>
      <c r="AB18" s="74"/>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07"/>
      <c r="C20" s="104"/>
      <c r="D20" s="77"/>
      <c r="E20" s="78"/>
      <c r="F20" s="79"/>
      <c r="G20" s="77"/>
      <c r="H20" s="78"/>
      <c r="I20" s="79"/>
      <c r="J20" s="80"/>
      <c r="K20" s="81"/>
      <c r="L20" s="82"/>
      <c r="M20" s="83"/>
      <c r="N20" s="84"/>
      <c r="O20" s="155"/>
      <c r="P20" s="156"/>
      <c r="Q20" s="85"/>
      <c r="R20" s="85"/>
      <c r="S20" s="154"/>
      <c r="T20" s="215"/>
      <c r="U20" s="92"/>
      <c r="V20" s="86"/>
      <c r="W20" s="86"/>
      <c r="X20" s="86"/>
      <c r="Y20" s="151"/>
      <c r="Z20" s="87"/>
      <c r="AA20" s="88"/>
      <c r="AB20" s="89"/>
    </row>
    <row r="21" spans="1:28" s="90" customFormat="1" ht="21" customHeight="1">
      <c r="A21" s="75"/>
      <c r="B21" s="107"/>
      <c r="C21" s="104"/>
      <c r="D21" s="77"/>
      <c r="E21" s="78"/>
      <c r="F21" s="79"/>
      <c r="G21" s="77"/>
      <c r="H21" s="78"/>
      <c r="I21" s="79"/>
      <c r="J21" s="80"/>
      <c r="K21" s="81"/>
      <c r="L21" s="82"/>
      <c r="M21" s="83"/>
      <c r="N21" s="84"/>
      <c r="O21" s="155"/>
      <c r="P21" s="156"/>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90" customFormat="1" ht="21" customHeight="1">
      <c r="A24" s="75"/>
      <c r="B24" s="157"/>
      <c r="C24" s="76"/>
      <c r="D24" s="77"/>
      <c r="E24" s="78"/>
      <c r="F24" s="79"/>
      <c r="G24" s="77"/>
      <c r="H24" s="78"/>
      <c r="I24" s="79"/>
      <c r="J24" s="80"/>
      <c r="K24" s="81"/>
      <c r="L24" s="82"/>
      <c r="M24" s="83"/>
      <c r="N24" s="84"/>
      <c r="O24" s="84"/>
      <c r="P24" s="82"/>
      <c r="Q24" s="85"/>
      <c r="R24" s="85"/>
      <c r="S24" s="154"/>
      <c r="T24" s="215"/>
      <c r="U24" s="92"/>
      <c r="V24" s="86"/>
      <c r="W24" s="86"/>
      <c r="X24" s="86"/>
      <c r="Y24" s="151"/>
      <c r="Z24" s="87"/>
      <c r="AA24" s="88"/>
      <c r="AB24" s="89"/>
    </row>
    <row r="25" spans="1:28" s="90" customFormat="1" ht="21" customHeight="1">
      <c r="A25" s="75"/>
      <c r="B25" s="157"/>
      <c r="C25" s="76"/>
      <c r="D25" s="77"/>
      <c r="E25" s="78"/>
      <c r="F25" s="79"/>
      <c r="G25" s="77"/>
      <c r="H25" s="78"/>
      <c r="I25" s="79"/>
      <c r="J25" s="80"/>
      <c r="K25" s="81"/>
      <c r="L25" s="82"/>
      <c r="M25" s="83"/>
      <c r="N25" s="84"/>
      <c r="O25" s="84"/>
      <c r="P25" s="82"/>
      <c r="Q25" s="85"/>
      <c r="R25" s="85"/>
      <c r="S25" s="154"/>
      <c r="T25" s="215"/>
      <c r="U25" s="92"/>
      <c r="V25" s="86"/>
      <c r="W25" s="86"/>
      <c r="X25" s="86"/>
      <c r="Y25" s="151"/>
      <c r="Z25" s="87"/>
      <c r="AA25" s="88"/>
      <c r="AB25" s="89"/>
    </row>
    <row r="26" spans="1:28" s="1" customFormat="1" ht="21" customHeight="1">
      <c r="A26" s="11"/>
      <c r="B26" s="25"/>
      <c r="C26" s="20"/>
      <c r="D26" s="26"/>
      <c r="E26" s="159"/>
      <c r="F26" s="27"/>
      <c r="G26" s="26"/>
      <c r="H26" s="159"/>
      <c r="I26" s="27"/>
      <c r="J26" s="28"/>
      <c r="K26" s="49"/>
      <c r="L26" s="40"/>
      <c r="M26" s="41"/>
      <c r="N26" s="160"/>
      <c r="O26" s="160"/>
      <c r="P26" s="40"/>
      <c r="Q26" s="42"/>
      <c r="R26" s="60"/>
      <c r="S26" s="43"/>
      <c r="T26" s="215"/>
      <c r="U26" s="48"/>
      <c r="V26" s="120"/>
      <c r="W26" s="120"/>
      <c r="X26" s="120"/>
      <c r="Y26" s="142"/>
      <c r="Z26" s="15"/>
      <c r="AA26" s="17"/>
      <c r="AB26" s="44"/>
    </row>
    <row r="27" spans="1:28" ht="21" customHeight="1">
      <c r="B27" s="118"/>
      <c r="C27" s="119"/>
      <c r="D27" s="26"/>
      <c r="E27" s="159"/>
      <c r="F27" s="27"/>
      <c r="G27" s="26"/>
      <c r="H27" s="159"/>
      <c r="I27" s="27"/>
      <c r="J27" s="28"/>
      <c r="K27" s="49"/>
      <c r="L27" s="40"/>
      <c r="M27" s="41"/>
      <c r="N27" s="160"/>
      <c r="O27" s="160"/>
      <c r="P27" s="40"/>
      <c r="Q27" s="42"/>
      <c r="R27" s="60"/>
      <c r="S27" s="43"/>
      <c r="T27" s="216"/>
      <c r="U27" s="117"/>
    </row>
    <row r="28" spans="1:28" ht="39.6" customHeight="1">
      <c r="B28" s="161"/>
      <c r="C28" s="162"/>
      <c r="D28" s="806" t="s">
        <v>11</v>
      </c>
      <c r="E28" s="807"/>
      <c r="F28" s="807"/>
      <c r="G28" s="807"/>
      <c r="H28" s="807"/>
      <c r="I28" s="808"/>
      <c r="J28" s="809">
        <f>VLOOKUP(A30,DEZ!$A$2:$S$731,6,FALSE)</f>
        <v>6</v>
      </c>
      <c r="K28" s="810"/>
      <c r="L28" s="50" t="str">
        <f>VLOOKUP(A30,DEZ!$A$2:$S$731,4,FALSE)</f>
        <v>m2</v>
      </c>
      <c r="M28" s="803" t="s">
        <v>12</v>
      </c>
      <c r="N28" s="811"/>
      <c r="O28" s="811"/>
      <c r="P28" s="811"/>
      <c r="Q28" s="805"/>
      <c r="R28" s="61">
        <f>SUM(R12:R27)</f>
        <v>6</v>
      </c>
      <c r="S28" s="51" t="str">
        <f>L28</f>
        <v>m2</v>
      </c>
      <c r="T28" s="22"/>
      <c r="U28" s="23"/>
    </row>
    <row r="29" spans="1:28" ht="21" customHeight="1">
      <c r="B29" s="163"/>
      <c r="C29" s="19"/>
      <c r="D29" s="817" t="s">
        <v>13</v>
      </c>
      <c r="E29" s="818"/>
      <c r="F29" s="818"/>
      <c r="G29" s="818"/>
      <c r="H29" s="818"/>
      <c r="I29" s="819"/>
      <c r="J29" s="823">
        <f>R28/J28</f>
        <v>1</v>
      </c>
      <c r="K29" s="824"/>
      <c r="L29" s="827"/>
      <c r="M29" s="803" t="s">
        <v>34</v>
      </c>
      <c r="N29" s="804"/>
      <c r="O29" s="804"/>
      <c r="P29" s="804"/>
      <c r="Q29" s="805"/>
      <c r="R29" s="61">
        <f>VLOOKUP(A30,DEZ!$A$2:$S$731,8,FALSE)</f>
        <v>0</v>
      </c>
      <c r="S29" s="52" t="str">
        <f>L28</f>
        <v>m2</v>
      </c>
      <c r="T29" s="22"/>
      <c r="U29" s="23"/>
    </row>
    <row r="30" spans="1:28" ht="21" customHeight="1">
      <c r="A30" s="10" t="s">
        <v>82</v>
      </c>
      <c r="B30" s="165"/>
      <c r="C30" s="164"/>
      <c r="D30" s="820"/>
      <c r="E30" s="821"/>
      <c r="F30" s="821"/>
      <c r="G30" s="821"/>
      <c r="H30" s="821"/>
      <c r="I30" s="822"/>
      <c r="J30" s="825"/>
      <c r="K30" s="826"/>
      <c r="L30" s="828"/>
      <c r="M30" s="803" t="s">
        <v>14</v>
      </c>
      <c r="N30" s="804"/>
      <c r="O30" s="804"/>
      <c r="P30" s="804"/>
      <c r="Q30" s="805"/>
      <c r="R30" s="62">
        <f>R28-R29</f>
        <v>6</v>
      </c>
      <c r="S30" s="53" t="str">
        <f>L28</f>
        <v>m2</v>
      </c>
      <c r="T30" s="54"/>
      <c r="U30" s="24"/>
    </row>
    <row r="31" spans="1:28" ht="21" customHeight="1">
      <c r="B31" s="218"/>
      <c r="C31" s="217"/>
      <c r="M31" s="803" t="s">
        <v>53</v>
      </c>
      <c r="N31" s="804"/>
      <c r="O31" s="804"/>
      <c r="P31" s="804"/>
      <c r="Q31" s="805"/>
      <c r="R31" s="62">
        <f>VLOOKUP(A30,DEZ!$A$2:$S$731,5,FALSE)</f>
        <v>216.68</v>
      </c>
      <c r="S31" s="53"/>
      <c r="T31" s="54"/>
      <c r="U31" s="24"/>
    </row>
    <row r="32" spans="1:28" ht="21" customHeight="1">
      <c r="B32" s="163"/>
      <c r="C32" s="219"/>
      <c r="M32" s="803" t="s">
        <v>54</v>
      </c>
      <c r="N32" s="804"/>
      <c r="O32" s="804"/>
      <c r="P32" s="804"/>
      <c r="Q32" s="805"/>
      <c r="R32" s="62">
        <f>TRUNC(R31*R30,2)</f>
        <v>1300.08</v>
      </c>
      <c r="S32" s="53" t="s">
        <v>55</v>
      </c>
      <c r="T32" s="54"/>
      <c r="U32" s="24"/>
    </row>
  </sheetData>
  <mergeCells count="36">
    <mergeCell ref="B10:B11"/>
    <mergeCell ref="C10:C11"/>
    <mergeCell ref="D10:F11"/>
    <mergeCell ref="G10:I11"/>
    <mergeCell ref="K10:K11"/>
    <mergeCell ref="J10:J11"/>
    <mergeCell ref="B1:U4"/>
    <mergeCell ref="V4:AA4"/>
    <mergeCell ref="B5:I5"/>
    <mergeCell ref="J5:O5"/>
    <mergeCell ref="P5:U5"/>
    <mergeCell ref="M31:Q31"/>
    <mergeCell ref="T7:U7"/>
    <mergeCell ref="M32:Q32"/>
    <mergeCell ref="T10:T11"/>
    <mergeCell ref="U10:U11"/>
    <mergeCell ref="N10:N11"/>
    <mergeCell ref="O10:O11"/>
    <mergeCell ref="P10:P11"/>
    <mergeCell ref="Q10:Q11"/>
    <mergeCell ref="R10:R11"/>
    <mergeCell ref="S10:S11"/>
    <mergeCell ref="T8:U8"/>
    <mergeCell ref="T9:U9"/>
    <mergeCell ref="D29:I30"/>
    <mergeCell ref="J29:K30"/>
    <mergeCell ref="L29:L30"/>
    <mergeCell ref="M29:Q29"/>
    <mergeCell ref="M30:Q30"/>
    <mergeCell ref="L10:L11"/>
    <mergeCell ref="M10:M11"/>
    <mergeCell ref="D13:F13"/>
    <mergeCell ref="G13:I13"/>
    <mergeCell ref="D28:I28"/>
    <mergeCell ref="J28:K28"/>
    <mergeCell ref="M28:Q28"/>
  </mergeCells>
  <conditionalFormatting sqref="J29:K32">
    <cfRule type="cellIs" dxfId="421" priority="1" operator="greaterThanOrEqual">
      <formula>1</formula>
    </cfRule>
    <cfRule type="cellIs" dxfId="42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ilha49">
    <tabColor rgb="FF339933"/>
    <pageSetUpPr fitToPage="1"/>
  </sheetPr>
  <dimension ref="A1:AJ29"/>
  <sheetViews>
    <sheetView view="pageBreakPreview" topLeftCell="A5" zoomScale="60" zoomScaleNormal="55" workbookViewId="0">
      <selection activeCell="K13" sqref="K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DEZ!A261</f>
        <v>3.3.5.4</v>
      </c>
      <c r="C10" s="845" t="str">
        <f>DEZ!C261</f>
        <v>Fornecimento, dobragem e colocação em fôrma, de armadura CA-60 B fina, diâmetro de 4.0 a 7.0mm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c r="D12" s="77"/>
      <c r="E12" s="78"/>
      <c r="F12" s="79"/>
      <c r="G12" s="77"/>
      <c r="H12" s="78"/>
      <c r="I12" s="79"/>
      <c r="J12" s="80"/>
      <c r="K12" s="81">
        <v>50</v>
      </c>
      <c r="L12" s="82"/>
      <c r="M12" s="83"/>
      <c r="N12" s="105"/>
      <c r="O12" s="84"/>
      <c r="P12" s="82"/>
      <c r="Q12" s="93"/>
      <c r="R12" s="85">
        <f>K12</f>
        <v>50</v>
      </c>
      <c r="S12" s="111" t="s">
        <v>57</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DEZ!F261</f>
        <v>50</v>
      </c>
      <c r="K25" s="810"/>
      <c r="L25" s="50" t="str">
        <f>DEZ!D259</f>
        <v>kg</v>
      </c>
      <c r="M25" s="803" t="s">
        <v>12</v>
      </c>
      <c r="N25" s="811"/>
      <c r="O25" s="811"/>
      <c r="P25" s="811"/>
      <c r="Q25" s="805"/>
      <c r="R25" s="61">
        <f>R12</f>
        <v>50</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v>0</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50</v>
      </c>
      <c r="S27" s="53" t="str">
        <f>L25</f>
        <v>kg</v>
      </c>
      <c r="T27" s="54"/>
      <c r="U27" s="24"/>
    </row>
    <row r="28" spans="1:28" ht="21" customHeight="1">
      <c r="B28" s="218"/>
      <c r="C28" s="217"/>
      <c r="M28" s="803" t="s">
        <v>53</v>
      </c>
      <c r="N28" s="804"/>
      <c r="O28" s="804"/>
      <c r="P28" s="804"/>
      <c r="Q28" s="805"/>
      <c r="R28" s="62">
        <f>DEZ!E261</f>
        <v>8.08</v>
      </c>
      <c r="S28" s="53"/>
      <c r="T28" s="54"/>
      <c r="U28" s="24"/>
    </row>
    <row r="29" spans="1:28" ht="21" customHeight="1">
      <c r="B29" s="163"/>
      <c r="C29" s="219"/>
      <c r="M29" s="803" t="s">
        <v>54</v>
      </c>
      <c r="N29" s="804"/>
      <c r="O29" s="804"/>
      <c r="P29" s="804"/>
      <c r="Q29" s="805"/>
      <c r="R29" s="62">
        <f>TRUNC(R28*R27,2)</f>
        <v>404</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17" priority="1" operator="greaterThanOrEqual">
      <formula>1</formula>
    </cfRule>
    <cfRule type="cellIs" dxfId="31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ilha50">
    <tabColor rgb="FF339933"/>
    <pageSetUpPr fitToPage="1"/>
  </sheetPr>
  <dimension ref="A1:AJ29"/>
  <sheetViews>
    <sheetView view="pageBreakPreview" topLeftCell="E5" zoomScale="60" zoomScaleNormal="55"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DEZ!A262</f>
        <v>3.3.5.5</v>
      </c>
      <c r="C10" s="845" t="str">
        <f>DEZ!C262</f>
        <v>FORNECIMENTO E APLICAÇÃO DE CONCRETO USINADO FCK=40 MPA - CONSIDERANDO BOMBEAMENTO (5% DE PERDAS JÁ INCLUÍDO NO CUSTO) (6% DE TAXA P/CONCR. BOMBEAVEL)</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965</v>
      </c>
      <c r="D12" s="77"/>
      <c r="E12" s="78"/>
      <c r="F12" s="79"/>
      <c r="G12" s="77"/>
      <c r="H12" s="78"/>
      <c r="I12" s="79"/>
      <c r="J12" s="80"/>
      <c r="K12" s="81"/>
      <c r="L12" s="82">
        <v>3.3</v>
      </c>
      <c r="M12" s="83"/>
      <c r="N12" s="105"/>
      <c r="O12" s="84"/>
      <c r="P12" s="82"/>
      <c r="Q12" s="93"/>
      <c r="R12" s="85">
        <f>L12</f>
        <v>3.3</v>
      </c>
      <c r="S12" s="111" t="s">
        <v>58</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DEZ!F262</f>
        <v>3.3</v>
      </c>
      <c r="K25" s="810"/>
      <c r="L25" s="50" t="str">
        <f>DEZ!D262</f>
        <v>m3</v>
      </c>
      <c r="M25" s="803" t="s">
        <v>12</v>
      </c>
      <c r="N25" s="811"/>
      <c r="O25" s="811"/>
      <c r="P25" s="811"/>
      <c r="Q25" s="805"/>
      <c r="R25" s="61">
        <f>R12</f>
        <v>3.3</v>
      </c>
      <c r="S25" s="51" t="str">
        <f>L25</f>
        <v>m3</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3.3</v>
      </c>
      <c r="S26" s="52" t="str">
        <f>L25</f>
        <v>m3</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m3</v>
      </c>
      <c r="T27" s="54"/>
      <c r="U27" s="24"/>
    </row>
    <row r="28" spans="1:28" ht="21" customHeight="1">
      <c r="B28" s="218"/>
      <c r="C28" s="217"/>
      <c r="M28" s="803" t="s">
        <v>53</v>
      </c>
      <c r="N28" s="804"/>
      <c r="O28" s="804"/>
      <c r="P28" s="804"/>
      <c r="Q28" s="805"/>
      <c r="R28" s="62">
        <f>DEZ!E262</f>
        <v>486.08</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15" priority="1" operator="greaterThanOrEqual">
      <formula>1</formula>
    </cfRule>
    <cfRule type="cellIs" dxfId="31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ilha51">
    <tabColor rgb="FF339933"/>
    <pageSetUpPr fitToPage="1"/>
  </sheetPr>
  <dimension ref="A1:AJ29"/>
  <sheetViews>
    <sheetView view="pageBreakPreview" topLeftCell="A5" zoomScale="60" zoomScaleNormal="55" workbookViewId="0">
      <selection activeCell="C13" sqref="C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DEZ!A261</f>
        <v>3.3.5.4</v>
      </c>
      <c r="C10" s="845" t="str">
        <f>DEZ!C265</f>
        <v>Forma de chapas madeira compensada resinada, esp. 12mm, levando-se em conta a utilização 3 vezes, reforçadas com sarrafos de madeira de 2.5 x 10.0cm (incl material, corte, montagem, escoras em eucalipto e desforma)</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970</v>
      </c>
      <c r="D12" s="77"/>
      <c r="E12" s="78"/>
      <c r="F12" s="79"/>
      <c r="G12" s="77"/>
      <c r="H12" s="78"/>
      <c r="I12" s="79"/>
      <c r="J12" s="80"/>
      <c r="K12" s="81">
        <v>100</v>
      </c>
      <c r="L12" s="82"/>
      <c r="M12" s="83"/>
      <c r="N12" s="105"/>
      <c r="O12" s="84"/>
      <c r="P12" s="82"/>
      <c r="Q12" s="93"/>
      <c r="R12" s="85">
        <f>K12</f>
        <v>100</v>
      </c>
      <c r="S12" s="111" t="s">
        <v>57</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DEZ!F265</f>
        <v>100</v>
      </c>
      <c r="K25" s="810"/>
      <c r="L25" s="50" t="str">
        <f>DEZ!D265</f>
        <v>m2</v>
      </c>
      <c r="M25" s="803" t="s">
        <v>12</v>
      </c>
      <c r="N25" s="811"/>
      <c r="O25" s="811"/>
      <c r="P25" s="811"/>
      <c r="Q25" s="805"/>
      <c r="R25" s="61">
        <f>R12</f>
        <v>100</v>
      </c>
      <c r="S25" s="51" t="str">
        <f>L25</f>
        <v>m2</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v>0</v>
      </c>
      <c r="S26" s="52" t="str">
        <f>L25</f>
        <v>m2</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100</v>
      </c>
      <c r="S27" s="53" t="str">
        <f>L25</f>
        <v>m2</v>
      </c>
      <c r="T27" s="54"/>
      <c r="U27" s="24"/>
    </row>
    <row r="28" spans="1:28" ht="21" customHeight="1">
      <c r="B28" s="218"/>
      <c r="C28" s="217"/>
      <c r="M28" s="803" t="s">
        <v>53</v>
      </c>
      <c r="N28" s="804"/>
      <c r="O28" s="804"/>
      <c r="P28" s="804"/>
      <c r="Q28" s="805"/>
      <c r="R28" s="62">
        <f>DEZ!E265</f>
        <v>91.04</v>
      </c>
      <c r="S28" s="53"/>
      <c r="T28" s="54"/>
      <c r="U28" s="24"/>
    </row>
    <row r="29" spans="1:28" ht="21" customHeight="1">
      <c r="B29" s="163"/>
      <c r="C29" s="219"/>
      <c r="M29" s="803" t="s">
        <v>54</v>
      </c>
      <c r="N29" s="804"/>
      <c r="O29" s="804"/>
      <c r="P29" s="804"/>
      <c r="Q29" s="805"/>
      <c r="R29" s="62">
        <f>TRUNC(R28*R27,2)</f>
        <v>9104</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13" priority="1" operator="greaterThanOrEqual">
      <formula>1</formula>
    </cfRule>
    <cfRule type="cellIs" dxfId="31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ilha52">
    <tabColor rgb="FF339933"/>
    <pageSetUpPr fitToPage="1"/>
  </sheetPr>
  <dimension ref="A1:AJ29"/>
  <sheetViews>
    <sheetView view="pageBreakPreview" topLeftCell="A5" zoomScale="60" zoomScaleNormal="55" workbookViewId="0">
      <selection activeCell="R13" sqref="R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DEZ!A266</f>
        <v>3.3.6.2</v>
      </c>
      <c r="C10" s="845" t="str">
        <f>DEZ!C266</f>
        <v>Fornecimento, dobragem e colocação em fôrma, de armadura CA-50 A média, diâmetro de 6.3 a 10.0 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971</v>
      </c>
      <c r="D12" s="77"/>
      <c r="E12" s="78"/>
      <c r="F12" s="79"/>
      <c r="G12" s="77"/>
      <c r="H12" s="78"/>
      <c r="I12" s="79"/>
      <c r="J12" s="80"/>
      <c r="K12" s="81"/>
      <c r="L12" s="82"/>
      <c r="M12" s="83">
        <v>481</v>
      </c>
      <c r="N12" s="105"/>
      <c r="O12" s="84"/>
      <c r="P12" s="82"/>
      <c r="Q12" s="93"/>
      <c r="R12" s="85">
        <f>M12</f>
        <v>481</v>
      </c>
      <c r="S12" s="111" t="s">
        <v>29</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DEZ!F266</f>
        <v>481</v>
      </c>
      <c r="K25" s="810"/>
      <c r="L25" s="50" t="str">
        <f>DEZ!D266</f>
        <v>kg</v>
      </c>
      <c r="M25" s="803" t="s">
        <v>12</v>
      </c>
      <c r="N25" s="811"/>
      <c r="O25" s="811"/>
      <c r="P25" s="811"/>
      <c r="Q25" s="805"/>
      <c r="R25" s="61">
        <f>R12</f>
        <v>481</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v>0</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481</v>
      </c>
      <c r="S27" s="53" t="str">
        <f>L25</f>
        <v>kg</v>
      </c>
      <c r="T27" s="54"/>
      <c r="U27" s="24"/>
    </row>
    <row r="28" spans="1:28" ht="21" customHeight="1">
      <c r="B28" s="218"/>
      <c r="C28" s="217"/>
      <c r="M28" s="803" t="s">
        <v>53</v>
      </c>
      <c r="N28" s="804"/>
      <c r="O28" s="804"/>
      <c r="P28" s="804"/>
      <c r="Q28" s="805"/>
      <c r="R28" s="62">
        <f>DEZ!E266</f>
        <v>7.98</v>
      </c>
      <c r="S28" s="53"/>
      <c r="T28" s="54"/>
      <c r="U28" s="24"/>
    </row>
    <row r="29" spans="1:28" ht="21" customHeight="1">
      <c r="B29" s="163"/>
      <c r="C29" s="219"/>
      <c r="M29" s="803" t="s">
        <v>54</v>
      </c>
      <c r="N29" s="804"/>
      <c r="O29" s="804"/>
      <c r="P29" s="804"/>
      <c r="Q29" s="805"/>
      <c r="R29" s="62">
        <f>TRUNC(R28*R27,2)</f>
        <v>3838.38</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11" priority="1" operator="greaterThanOrEqual">
      <formula>1</formula>
    </cfRule>
    <cfRule type="cellIs" dxfId="31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ilha53">
    <tabColor rgb="FF339933"/>
    <pageSetUpPr fitToPage="1"/>
  </sheetPr>
  <dimension ref="A1:AJ29"/>
  <sheetViews>
    <sheetView view="pageBreakPreview" topLeftCell="A5" zoomScale="60" zoomScaleNormal="55" workbookViewId="0">
      <selection activeCell="A12" sqref="A12:XFD1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DEZ!A267</f>
        <v>3.3.6.3</v>
      </c>
      <c r="C10" s="845" t="str">
        <f>DEZ!C267</f>
        <v>Fornecimento, dobragem e colocação em fôrma, de armadura CA-50 A grossa diâmetro de 12.5 a 25.0 mm (1/2 a 1")</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DEZ!F267</f>
        <v>287</v>
      </c>
      <c r="K25" s="810"/>
      <c r="L25" s="50" t="str">
        <f>DEZ!D266</f>
        <v>kg</v>
      </c>
      <c r="M25" s="803" t="s">
        <v>12</v>
      </c>
      <c r="N25" s="811"/>
      <c r="O25" s="811"/>
      <c r="P25" s="811"/>
      <c r="Q25" s="805"/>
      <c r="R25" s="61">
        <f>R12</f>
        <v>0</v>
      </c>
      <c r="S25" s="51" t="str">
        <f>L25</f>
        <v>kg</v>
      </c>
      <c r="T25" s="22"/>
      <c r="U25" s="23"/>
    </row>
    <row r="26" spans="1:28" ht="21" customHeight="1">
      <c r="B26" s="163"/>
      <c r="C26" s="19"/>
      <c r="D26" s="817" t="s">
        <v>13</v>
      </c>
      <c r="E26" s="818"/>
      <c r="F26" s="818"/>
      <c r="G26" s="818"/>
      <c r="H26" s="818"/>
      <c r="I26" s="819"/>
      <c r="J26" s="823">
        <f>R25/J25</f>
        <v>0</v>
      </c>
      <c r="K26" s="824"/>
      <c r="L26" s="827"/>
      <c r="M26" s="803" t="s">
        <v>34</v>
      </c>
      <c r="N26" s="804"/>
      <c r="O26" s="804"/>
      <c r="P26" s="804"/>
      <c r="Q26" s="805"/>
      <c r="R26" s="61">
        <v>0</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kg</v>
      </c>
      <c r="T27" s="54"/>
      <c r="U27" s="24"/>
    </row>
    <row r="28" spans="1:28" ht="21" customHeight="1">
      <c r="B28" s="218"/>
      <c r="C28" s="217"/>
      <c r="M28" s="803" t="s">
        <v>53</v>
      </c>
      <c r="N28" s="804"/>
      <c r="O28" s="804"/>
      <c r="P28" s="804"/>
      <c r="Q28" s="805"/>
      <c r="R28" s="62">
        <f>DEZ!E267</f>
        <v>8.41</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09" priority="1" operator="greaterThanOrEqual">
      <formula>1</formula>
    </cfRule>
    <cfRule type="cellIs" dxfId="30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ilha54">
    <tabColor rgb="FF339933"/>
    <pageSetUpPr fitToPage="1"/>
  </sheetPr>
  <dimension ref="A1:AJ29"/>
  <sheetViews>
    <sheetView view="pageBreakPreview" topLeftCell="A5" zoomScale="60" zoomScaleNormal="55" workbookViewId="0">
      <selection activeCell="M13" sqref="M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DEZ!A268</f>
        <v>3.3.6.4</v>
      </c>
      <c r="C10" s="845" t="str">
        <f>DEZ!C268</f>
        <v>Fornecimento, dobragem e colocação em fôrma, de armadura CA-60 B fina, diâmetro de 4.0 a 7.0mm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971</v>
      </c>
      <c r="D12" s="77"/>
      <c r="E12" s="78"/>
      <c r="F12" s="79"/>
      <c r="G12" s="77"/>
      <c r="H12" s="78"/>
      <c r="I12" s="79"/>
      <c r="J12" s="80"/>
      <c r="K12" s="81"/>
      <c r="L12" s="82"/>
      <c r="M12" s="83">
        <v>33</v>
      </c>
      <c r="N12" s="105"/>
      <c r="O12" s="84"/>
      <c r="P12" s="82"/>
      <c r="Q12" s="93"/>
      <c r="R12" s="85">
        <f>M12</f>
        <v>33</v>
      </c>
      <c r="S12" s="111" t="s">
        <v>29</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DEZ!F268</f>
        <v>33</v>
      </c>
      <c r="K25" s="810"/>
      <c r="L25" s="50" t="str">
        <f>DEZ!D266</f>
        <v>kg</v>
      </c>
      <c r="M25" s="803" t="s">
        <v>12</v>
      </c>
      <c r="N25" s="811"/>
      <c r="O25" s="811"/>
      <c r="P25" s="811"/>
      <c r="Q25" s="805"/>
      <c r="R25" s="61">
        <f>R12</f>
        <v>33</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v>0</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33</v>
      </c>
      <c r="S27" s="53" t="str">
        <f>L25</f>
        <v>kg</v>
      </c>
      <c r="T27" s="54"/>
      <c r="U27" s="24"/>
    </row>
    <row r="28" spans="1:28" ht="21" customHeight="1">
      <c r="B28" s="218"/>
      <c r="C28" s="217"/>
      <c r="M28" s="803" t="s">
        <v>53</v>
      </c>
      <c r="N28" s="804"/>
      <c r="O28" s="804"/>
      <c r="P28" s="804"/>
      <c r="Q28" s="805"/>
      <c r="R28" s="62">
        <f>DEZ!E268</f>
        <v>8.08</v>
      </c>
      <c r="S28" s="53"/>
      <c r="T28" s="54"/>
      <c r="U28" s="24"/>
    </row>
    <row r="29" spans="1:28" ht="21" customHeight="1">
      <c r="B29" s="163"/>
      <c r="C29" s="219"/>
      <c r="M29" s="803" t="s">
        <v>54</v>
      </c>
      <c r="N29" s="804"/>
      <c r="O29" s="804"/>
      <c r="P29" s="804"/>
      <c r="Q29" s="805"/>
      <c r="R29" s="62">
        <f>TRUNC(R28*R27,2)</f>
        <v>266.64</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s>
  <conditionalFormatting sqref="J26:K29">
    <cfRule type="cellIs" dxfId="307" priority="1" operator="greaterThanOrEqual">
      <formula>1</formula>
    </cfRule>
    <cfRule type="cellIs" dxfId="30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ilha55">
    <tabColor rgb="FF339933"/>
    <pageSetUpPr fitToPage="1"/>
  </sheetPr>
  <dimension ref="A1:AJ29"/>
  <sheetViews>
    <sheetView view="pageBreakPreview" topLeftCell="A5" zoomScale="60" zoomScaleNormal="55" workbookViewId="0">
      <selection activeCell="L26" sqref="L26:L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DEZ!A269</f>
        <v>3.3.6.5</v>
      </c>
      <c r="C10" s="845" t="str">
        <f>DEZ!C269</f>
        <v>FORNECIMENTO E APLICAÇÃO DE CONCRETO USINADO FCK=40 MPA - CONSIDERANDO BOMBEAMENTO (5% DE PERDAS JÁ INCLUÍDO NO CUSTO) (6% DE TAXA P/CONCR.
BOMBEAVEL)</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971</v>
      </c>
      <c r="D12" s="77"/>
      <c r="E12" s="78"/>
      <c r="F12" s="79"/>
      <c r="G12" s="77"/>
      <c r="H12" s="78"/>
      <c r="I12" s="79"/>
      <c r="J12" s="80"/>
      <c r="K12" s="81"/>
      <c r="L12" s="82">
        <v>10.199999999999999</v>
      </c>
      <c r="M12" s="83"/>
      <c r="N12" s="105"/>
      <c r="O12" s="84"/>
      <c r="P12" s="82"/>
      <c r="Q12" s="93"/>
      <c r="R12" s="85">
        <f>L12</f>
        <v>10.199999999999999</v>
      </c>
      <c r="S12" s="111" t="s">
        <v>58</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DEZ!F269</f>
        <v>10.199999999999999</v>
      </c>
      <c r="K25" s="810"/>
      <c r="L25" s="50" t="s">
        <v>58</v>
      </c>
      <c r="M25" s="803" t="s">
        <v>12</v>
      </c>
      <c r="N25" s="811"/>
      <c r="O25" s="811"/>
      <c r="P25" s="811"/>
      <c r="Q25" s="805"/>
      <c r="R25" s="61">
        <f>R12</f>
        <v>10.199999999999999</v>
      </c>
      <c r="S25" s="51" t="str">
        <f>L25</f>
        <v>m3</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v>0</v>
      </c>
      <c r="S26" s="52" t="str">
        <f>L25</f>
        <v>m3</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10.199999999999999</v>
      </c>
      <c r="S27" s="53" t="str">
        <f>L25</f>
        <v>m3</v>
      </c>
      <c r="T27" s="54"/>
      <c r="U27" s="24"/>
    </row>
    <row r="28" spans="1:28" ht="21" customHeight="1">
      <c r="B28" s="218"/>
      <c r="C28" s="217"/>
      <c r="M28" s="803" t="s">
        <v>53</v>
      </c>
      <c r="N28" s="804"/>
      <c r="O28" s="804"/>
      <c r="P28" s="804"/>
      <c r="Q28" s="805"/>
      <c r="R28" s="62">
        <f>DEZ!E269</f>
        <v>486.08</v>
      </c>
      <c r="S28" s="53"/>
      <c r="T28" s="54"/>
      <c r="U28" s="24"/>
    </row>
    <row r="29" spans="1:28" ht="21" customHeight="1">
      <c r="B29" s="163"/>
      <c r="C29" s="219"/>
      <c r="M29" s="803" t="s">
        <v>54</v>
      </c>
      <c r="N29" s="804"/>
      <c r="O29" s="804"/>
      <c r="P29" s="804"/>
      <c r="Q29" s="805"/>
      <c r="R29" s="62">
        <f>TRUNC(R28*R27,2)</f>
        <v>4958.01</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305" priority="1" operator="greaterThanOrEqual">
      <formula>1</formula>
    </cfRule>
    <cfRule type="cellIs" dxfId="30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ilha56">
    <tabColor rgb="FF339933"/>
    <pageSetUpPr fitToPage="1"/>
  </sheetPr>
  <dimension ref="A1:AJ29"/>
  <sheetViews>
    <sheetView view="pageBreakPreview" topLeftCell="F5" zoomScale="60" zoomScaleNormal="55"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DEZ!A272</f>
        <v>3.3.7.1</v>
      </c>
      <c r="C10" s="845" t="str">
        <f>DEZ!C272</f>
        <v>Forma de chapas madeira compensada resinada, esp. 12mm, levando-se em conta a utilização 3 vezes, reforçadas com sarrafos de madeira de 2.5 x 10.0cm (incl material, corte, montagem, escoras em eucalipto e desforma)</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974</v>
      </c>
      <c r="D12" s="77"/>
      <c r="E12" s="78"/>
      <c r="F12" s="79"/>
      <c r="G12" s="77"/>
      <c r="H12" s="78"/>
      <c r="I12" s="79"/>
      <c r="J12" s="80"/>
      <c r="K12" s="81">
        <v>33</v>
      </c>
      <c r="L12" s="82"/>
      <c r="M12" s="83"/>
      <c r="N12" s="105"/>
      <c r="O12" s="84"/>
      <c r="P12" s="82"/>
      <c r="Q12" s="93"/>
      <c r="R12" s="85">
        <f>K12</f>
        <v>33</v>
      </c>
      <c r="S12" s="111" t="s">
        <v>57</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DEZ!F272</f>
        <v>33</v>
      </c>
      <c r="K25" s="810"/>
      <c r="L25" s="50" t="s">
        <v>57</v>
      </c>
      <c r="M25" s="803" t="s">
        <v>12</v>
      </c>
      <c r="N25" s="811"/>
      <c r="O25" s="811"/>
      <c r="P25" s="811"/>
      <c r="Q25" s="805"/>
      <c r="R25" s="61">
        <f>R12</f>
        <v>33</v>
      </c>
      <c r="S25" s="51" t="str">
        <f>L25</f>
        <v>m2</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33</v>
      </c>
      <c r="S26" s="52" t="str">
        <f>L25</f>
        <v>m2</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m2</v>
      </c>
      <c r="T27" s="54"/>
      <c r="U27" s="24"/>
    </row>
    <row r="28" spans="1:28" ht="21" customHeight="1">
      <c r="B28" s="218"/>
      <c r="C28" s="217"/>
      <c r="M28" s="803" t="s">
        <v>53</v>
      </c>
      <c r="N28" s="804"/>
      <c r="O28" s="804"/>
      <c r="P28" s="804"/>
      <c r="Q28" s="805"/>
      <c r="R28" s="62">
        <f>DEZ!E272</f>
        <v>91.04</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303" priority="1" operator="greaterThanOrEqual">
      <formula>1</formula>
    </cfRule>
    <cfRule type="cellIs" dxfId="30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ilha57">
    <tabColor rgb="FF339933"/>
    <pageSetUpPr fitToPage="1"/>
  </sheetPr>
  <dimension ref="A1:AJ29"/>
  <sheetViews>
    <sheetView view="pageBreakPreview" topLeftCell="A5" zoomScale="60" zoomScaleNormal="55" workbookViewId="0">
      <selection activeCell="D32" sqref="D3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DEZ!A273</f>
        <v>3.3.7.2</v>
      </c>
      <c r="C10" s="845" t="str">
        <f>DEZ!C273</f>
        <v>Fornecimento, dobragem e colocação em fôrma, de armadura CA-50 A média, diâmetro de 6.3 a 10.0 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975</v>
      </c>
      <c r="D12" s="77"/>
      <c r="E12" s="78"/>
      <c r="F12" s="79"/>
      <c r="G12" s="77"/>
      <c r="H12" s="78"/>
      <c r="I12" s="79"/>
      <c r="J12" s="80"/>
      <c r="K12" s="81"/>
      <c r="L12" s="82"/>
      <c r="M12" s="83">
        <v>344</v>
      </c>
      <c r="N12" s="105"/>
      <c r="O12" s="84"/>
      <c r="P12" s="82"/>
      <c r="Q12" s="93"/>
      <c r="R12" s="85">
        <f>M12</f>
        <v>344</v>
      </c>
      <c r="S12" s="111" t="s">
        <v>29</v>
      </c>
      <c r="T12" s="215">
        <v>5</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DEZ!F273</f>
        <v>344</v>
      </c>
      <c r="K25" s="810"/>
      <c r="L25" s="50" t="s">
        <v>29</v>
      </c>
      <c r="M25" s="803" t="s">
        <v>12</v>
      </c>
      <c r="N25" s="811"/>
      <c r="O25" s="811"/>
      <c r="P25" s="811"/>
      <c r="Q25" s="805"/>
      <c r="R25" s="61">
        <f>R12</f>
        <v>344</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v>0</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344</v>
      </c>
      <c r="S27" s="53" t="str">
        <f>L25</f>
        <v>kg</v>
      </c>
      <c r="T27" s="54"/>
      <c r="U27" s="24"/>
    </row>
    <row r="28" spans="1:28" ht="21" customHeight="1">
      <c r="B28" s="218"/>
      <c r="C28" s="217"/>
      <c r="M28" s="803" t="s">
        <v>53</v>
      </c>
      <c r="N28" s="804"/>
      <c r="O28" s="804"/>
      <c r="P28" s="804"/>
      <c r="Q28" s="805"/>
      <c r="R28" s="62">
        <f>DEZ!E273</f>
        <v>7.98</v>
      </c>
      <c r="S28" s="53"/>
      <c r="T28" s="54"/>
      <c r="U28" s="24"/>
    </row>
    <row r="29" spans="1:28" ht="21" customHeight="1">
      <c r="B29" s="163"/>
      <c r="C29" s="219"/>
      <c r="M29" s="803" t="s">
        <v>54</v>
      </c>
      <c r="N29" s="804"/>
      <c r="O29" s="804"/>
      <c r="P29" s="804"/>
      <c r="Q29" s="805"/>
      <c r="R29" s="62">
        <f>TRUNC(R28*R27,2)</f>
        <v>2745.12</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301" priority="1" operator="greaterThanOrEqual">
      <formula>1</formula>
    </cfRule>
    <cfRule type="cellIs" dxfId="30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8D715-0A0D-48A4-A893-8188267CB5AD}">
  <sheetPr codeName="Planilha58">
    <tabColor rgb="FF339933"/>
    <pageSetUpPr fitToPage="1"/>
  </sheetPr>
  <dimension ref="A1:AJ29"/>
  <sheetViews>
    <sheetView view="pageBreakPreview" topLeftCell="E5" zoomScale="60" zoomScaleNormal="55"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DEZ!A274</f>
        <v>3.3.7.3</v>
      </c>
      <c r="C10" s="845" t="str">
        <f>DEZ!C274</f>
        <v>FORNECIMENTO E APLICAÇÃO DE CONCRETO USINADO FCK=40 MPA - CONSIDERANDO BOMBEAMENTO (5% DE PERDAS JÁ INCLUÍDO NO CUSTO) (6% DE TAXA P/CONCR.
BOMBEAVEL)</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987</v>
      </c>
      <c r="D12" s="77"/>
      <c r="E12" s="78"/>
      <c r="F12" s="79"/>
      <c r="G12" s="77"/>
      <c r="H12" s="78"/>
      <c r="I12" s="79"/>
      <c r="J12" s="80"/>
      <c r="K12" s="81"/>
      <c r="L12" s="82">
        <v>7.34</v>
      </c>
      <c r="M12" s="83"/>
      <c r="N12" s="105"/>
      <c r="O12" s="84"/>
      <c r="P12" s="82"/>
      <c r="Q12" s="93"/>
      <c r="R12" s="85">
        <f>L12</f>
        <v>7.34</v>
      </c>
      <c r="S12" s="111" t="s">
        <v>58</v>
      </c>
      <c r="T12" s="215">
        <v>6</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DEZ!F274</f>
        <v>7.34</v>
      </c>
      <c r="K25" s="810"/>
      <c r="L25" s="50" t="str">
        <f>DEZ!D274</f>
        <v>m3</v>
      </c>
      <c r="M25" s="803" t="s">
        <v>12</v>
      </c>
      <c r="N25" s="811"/>
      <c r="O25" s="811"/>
      <c r="P25" s="811"/>
      <c r="Q25" s="805"/>
      <c r="R25" s="61">
        <f>R12</f>
        <v>7.34</v>
      </c>
      <c r="S25" s="51" t="str">
        <f>L25</f>
        <v>m3</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7.34</v>
      </c>
      <c r="S26" s="52" t="str">
        <f>L25</f>
        <v>m3</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m3</v>
      </c>
      <c r="T27" s="54"/>
      <c r="U27" s="24"/>
    </row>
    <row r="28" spans="1:28" ht="21" customHeight="1">
      <c r="B28" s="218"/>
      <c r="C28" s="217"/>
      <c r="M28" s="803" t="s">
        <v>53</v>
      </c>
      <c r="N28" s="804"/>
      <c r="O28" s="804"/>
      <c r="P28" s="804"/>
      <c r="Q28" s="805"/>
      <c r="R28" s="62">
        <f>DEZ!E274</f>
        <v>486.08</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299" priority="1" operator="greaterThanOrEqual">
      <formula>1</formula>
    </cfRule>
    <cfRule type="cellIs" dxfId="29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2">
    <tabColor rgb="FFFFFF66"/>
    <pageSetUpPr fitToPage="1"/>
  </sheetPr>
  <dimension ref="A1:AJ29"/>
  <sheetViews>
    <sheetView view="pageBreakPreview" zoomScale="55" zoomScaleNormal="55" zoomScaleSheetLayoutView="55" workbookViewId="0">
      <selection activeCell="C17" sqref="C1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A27</f>
        <v>2.4.3.1</v>
      </c>
      <c r="C10" s="845" t="str">
        <f>CONCATENATE(VLOOKUP(A27,DEZ!$A$2:$S$731,2,FALSE)," - ",VLOOKUP(A27,DEZ!$A$2:$S$731,3,FALSE))</f>
        <v>COT16 - SONDAGEM ROTATIVA EM LÂMINA D'ÁGUA (PRAÇA DO PAPA) - INCLUSIVE MOBILIZAÇÃO E DESMOBILIZAÇÃO DE EQUIPAMENTO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220" t="s">
        <v>920</v>
      </c>
      <c r="D12" s="77"/>
      <c r="E12" s="78"/>
      <c r="F12" s="79"/>
      <c r="G12" s="77"/>
      <c r="H12" s="78"/>
      <c r="I12" s="79"/>
      <c r="J12" s="80"/>
      <c r="K12" s="81"/>
      <c r="L12" s="82"/>
      <c r="M12" s="83"/>
      <c r="N12" s="105"/>
      <c r="O12" s="84"/>
      <c r="P12" s="82"/>
      <c r="Q12" s="93"/>
      <c r="R12" s="85"/>
      <c r="S12" s="111"/>
      <c r="T12" s="215"/>
      <c r="U12" s="91"/>
      <c r="V12" s="71"/>
      <c r="W12" s="71"/>
      <c r="X12" s="152"/>
      <c r="Y12" s="153"/>
      <c r="Z12" s="72"/>
    </row>
    <row r="13" spans="1:36" s="73" customFormat="1" ht="21" customHeight="1">
      <c r="A13" s="64"/>
      <c r="B13" s="109"/>
      <c r="C13" s="76" t="s">
        <v>887</v>
      </c>
      <c r="D13" s="854"/>
      <c r="E13" s="855"/>
      <c r="F13" s="856"/>
      <c r="G13" s="77"/>
      <c r="H13" s="78"/>
      <c r="I13" s="79"/>
      <c r="J13" s="80"/>
      <c r="K13" s="81"/>
      <c r="L13" s="82"/>
      <c r="M13" s="83"/>
      <c r="N13" s="105"/>
      <c r="O13" s="84"/>
      <c r="P13" s="82"/>
      <c r="Q13" s="93"/>
      <c r="R13" s="85">
        <f>M13</f>
        <v>0</v>
      </c>
      <c r="S13" s="154" t="s">
        <v>59</v>
      </c>
      <c r="T13" s="215">
        <v>1</v>
      </c>
      <c r="U13" s="94"/>
      <c r="V13" s="71"/>
      <c r="W13" s="71"/>
      <c r="X13" s="152"/>
      <c r="Y13" s="153"/>
      <c r="Z13" s="72"/>
    </row>
    <row r="14" spans="1:36" s="73" customFormat="1" ht="21" customHeight="1">
      <c r="A14" s="64"/>
      <c r="B14" s="109"/>
      <c r="C14" s="76" t="s">
        <v>888</v>
      </c>
      <c r="D14" s="854"/>
      <c r="E14" s="855"/>
      <c r="F14" s="856"/>
      <c r="G14" s="77"/>
      <c r="H14" s="78"/>
      <c r="I14" s="79"/>
      <c r="J14" s="80"/>
      <c r="K14" s="81"/>
      <c r="L14" s="82"/>
      <c r="M14" s="83"/>
      <c r="N14" s="105"/>
      <c r="O14" s="84"/>
      <c r="P14" s="82"/>
      <c r="Q14" s="93"/>
      <c r="R14" s="85">
        <f>M14</f>
        <v>0</v>
      </c>
      <c r="S14" s="154" t="s">
        <v>59</v>
      </c>
      <c r="T14" s="215">
        <v>1</v>
      </c>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VLOOKUP(A27,DEZ!$A$2:$S$731,6,FALSE)</f>
        <v>2</v>
      </c>
      <c r="K25" s="810"/>
      <c r="L25" s="50" t="str">
        <f>VLOOKUP(A27,DEZ!$A$2:$S$731,4,FALSE)</f>
        <v>UN</v>
      </c>
      <c r="M25" s="803" t="s">
        <v>12</v>
      </c>
      <c r="N25" s="811"/>
      <c r="O25" s="811"/>
      <c r="P25" s="811"/>
      <c r="Q25" s="805"/>
      <c r="R25" s="61">
        <f>SUM(R12:R24)</f>
        <v>0</v>
      </c>
      <c r="S25" s="51" t="str">
        <f>L25</f>
        <v>UN</v>
      </c>
      <c r="T25" s="22"/>
      <c r="U25" s="23"/>
    </row>
    <row r="26" spans="1:28" ht="21" customHeight="1">
      <c r="B26" s="163"/>
      <c r="C26" s="19"/>
      <c r="D26" s="817" t="s">
        <v>13</v>
      </c>
      <c r="E26" s="818"/>
      <c r="F26" s="818"/>
      <c r="G26" s="818"/>
      <c r="H26" s="818"/>
      <c r="I26" s="819"/>
      <c r="J26" s="823">
        <f>R25/J25</f>
        <v>0</v>
      </c>
      <c r="K26" s="824"/>
      <c r="L26" s="827"/>
      <c r="M26" s="803" t="s">
        <v>34</v>
      </c>
      <c r="N26" s="804"/>
      <c r="O26" s="804"/>
      <c r="P26" s="804"/>
      <c r="Q26" s="805"/>
      <c r="R26" s="61">
        <f>VLOOKUP(A27,DEZ!$A$2:$S$731,8,FALSE)</f>
        <v>0</v>
      </c>
      <c r="S26" s="52" t="str">
        <f>L25</f>
        <v>UN</v>
      </c>
      <c r="T26" s="22"/>
      <c r="U26" s="23"/>
    </row>
    <row r="27" spans="1:28" ht="21" customHeight="1">
      <c r="A27" s="10" t="s">
        <v>282</v>
      </c>
      <c r="B27" s="165"/>
      <c r="C27" s="164"/>
      <c r="D27" s="820"/>
      <c r="E27" s="821"/>
      <c r="F27" s="821"/>
      <c r="G27" s="821"/>
      <c r="H27" s="821"/>
      <c r="I27" s="822"/>
      <c r="J27" s="825"/>
      <c r="K27" s="826"/>
      <c r="L27" s="828"/>
      <c r="M27" s="803" t="s">
        <v>14</v>
      </c>
      <c r="N27" s="804"/>
      <c r="O27" s="804"/>
      <c r="P27" s="804"/>
      <c r="Q27" s="805"/>
      <c r="R27" s="62">
        <f>R25-R26</f>
        <v>0</v>
      </c>
      <c r="S27" s="53" t="str">
        <f>L25</f>
        <v>UN</v>
      </c>
      <c r="T27" s="54"/>
      <c r="U27" s="24"/>
    </row>
    <row r="28" spans="1:28" ht="21" customHeight="1">
      <c r="B28" s="218"/>
      <c r="C28" s="217"/>
      <c r="M28" s="803" t="s">
        <v>53</v>
      </c>
      <c r="N28" s="804"/>
      <c r="O28" s="804"/>
      <c r="P28" s="804"/>
      <c r="Q28" s="805"/>
      <c r="R28" s="62">
        <f>VLOOKUP(A27,DEZ!$A$2:$S$731,5,FALSE)</f>
        <v>18178.13</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M25:Q25"/>
    <mergeCell ref="M28:Q28"/>
    <mergeCell ref="M29:Q29"/>
    <mergeCell ref="N10:N11"/>
    <mergeCell ref="O10:O11"/>
    <mergeCell ref="P10:P11"/>
    <mergeCell ref="Q10:Q11"/>
    <mergeCell ref="M26:Q26"/>
    <mergeCell ref="M27:Q27"/>
    <mergeCell ref="D26:I27"/>
    <mergeCell ref="J26:K27"/>
    <mergeCell ref="L26:L27"/>
    <mergeCell ref="D13:F13"/>
    <mergeCell ref="D14:F14"/>
    <mergeCell ref="D25:I25"/>
    <mergeCell ref="J25:K25"/>
  </mergeCells>
  <conditionalFormatting sqref="J26:K29">
    <cfRule type="cellIs" dxfId="419" priority="1" operator="greaterThanOrEqual">
      <formula>1</formula>
    </cfRule>
    <cfRule type="cellIs" dxfId="41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FB990-77B3-4EEE-9387-F3A11B33B932}">
  <sheetPr codeName="Planilha59">
    <tabColor rgb="FF339933"/>
    <pageSetUpPr fitToPage="1"/>
  </sheetPr>
  <dimension ref="A1:AJ29"/>
  <sheetViews>
    <sheetView view="pageBreakPreview" topLeftCell="H5" zoomScale="60" zoomScaleNormal="55"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DEZ!A275</f>
        <v>3.3.7.4</v>
      </c>
      <c r="C10" s="845" t="str">
        <f>DEZ!C275</f>
        <v>Laje pré-fabricada treliçada, sobrecarga 300 Kg/m2, vão de 3.5m a 4.3m, capeamento 4cm, esp. 12cm, Fck = 150 Kg/cm2</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987</v>
      </c>
      <c r="D12" s="77"/>
      <c r="E12" s="78"/>
      <c r="F12" s="79"/>
      <c r="G12" s="77"/>
      <c r="H12" s="78"/>
      <c r="I12" s="79"/>
      <c r="J12" s="80"/>
      <c r="K12" s="81">
        <v>184</v>
      </c>
      <c r="L12" s="82"/>
      <c r="M12" s="83"/>
      <c r="N12" s="105"/>
      <c r="O12" s="84"/>
      <c r="P12" s="82"/>
      <c r="Q12" s="93"/>
      <c r="R12" s="85">
        <f>K12</f>
        <v>184</v>
      </c>
      <c r="S12" s="111" t="s">
        <v>57</v>
      </c>
      <c r="T12" s="215">
        <v>6</v>
      </c>
      <c r="U12" s="91"/>
      <c r="V12" s="71"/>
      <c r="W12" s="71"/>
      <c r="X12" s="152"/>
      <c r="Y12" s="153"/>
      <c r="Z12" s="72"/>
    </row>
    <row r="13" spans="1:36" s="73" customFormat="1" ht="21" customHeight="1">
      <c r="A13" s="64"/>
      <c r="B13" s="109"/>
      <c r="C13" s="65"/>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DEZ!F275</f>
        <v>184</v>
      </c>
      <c r="K25" s="810"/>
      <c r="L25" s="50" t="s">
        <v>57</v>
      </c>
      <c r="M25" s="803" t="s">
        <v>12</v>
      </c>
      <c r="N25" s="811"/>
      <c r="O25" s="811"/>
      <c r="P25" s="811"/>
      <c r="Q25" s="805"/>
      <c r="R25" s="61">
        <f>R12</f>
        <v>184</v>
      </c>
      <c r="S25" s="51" t="str">
        <f>L25</f>
        <v>m2</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R12</f>
        <v>184</v>
      </c>
      <c r="S26" s="52" t="str">
        <f>L25</f>
        <v>m2</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m2</v>
      </c>
      <c r="T27" s="54"/>
      <c r="U27" s="24"/>
    </row>
    <row r="28" spans="1:28" ht="21" customHeight="1">
      <c r="B28" s="218"/>
      <c r="C28" s="217"/>
      <c r="M28" s="803" t="s">
        <v>53</v>
      </c>
      <c r="N28" s="804"/>
      <c r="O28" s="804"/>
      <c r="P28" s="804"/>
      <c r="Q28" s="805"/>
      <c r="R28" s="62">
        <f>DEZ!E275</f>
        <v>79.41</v>
      </c>
      <c r="S28" s="53"/>
      <c r="T28" s="54"/>
      <c r="U28" s="24"/>
    </row>
    <row r="29" spans="1:28" ht="21" customHeight="1">
      <c r="B29" s="163"/>
      <c r="C29" s="219"/>
      <c r="M29" s="803" t="s">
        <v>54</v>
      </c>
      <c r="N29" s="804"/>
      <c r="O29" s="804"/>
      <c r="P29" s="804"/>
      <c r="Q29" s="805"/>
      <c r="R29" s="62">
        <f>TRUNC(R28*R27,2)</f>
        <v>0</v>
      </c>
      <c r="S29" s="53" t="s">
        <v>55</v>
      </c>
      <c r="T29" s="54"/>
      <c r="U29" s="24"/>
    </row>
  </sheetData>
  <mergeCells count="36">
    <mergeCell ref="R10:R11"/>
    <mergeCell ref="S10:S11"/>
    <mergeCell ref="M29:Q29"/>
    <mergeCell ref="D26:I27"/>
    <mergeCell ref="J26:K27"/>
    <mergeCell ref="L26:L27"/>
    <mergeCell ref="M26:Q26"/>
    <mergeCell ref="M27:Q27"/>
    <mergeCell ref="M28:Q28"/>
    <mergeCell ref="D13:F13"/>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297" priority="1" operator="greaterThanOrEqual">
      <formula>1</formula>
    </cfRule>
    <cfRule type="cellIs" dxfId="29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ilha60">
    <tabColor rgb="FF339933"/>
    <pageSetUpPr fitToPage="1"/>
  </sheetPr>
  <dimension ref="A1:AJ31"/>
  <sheetViews>
    <sheetView view="pageBreakPreview" topLeftCell="A2" zoomScale="60" zoomScaleNormal="55" workbookViewId="0">
      <selection activeCell="R26" sqref="R26"/>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A25</f>
        <v>3.4.1.5</v>
      </c>
      <c r="C10" s="845" t="str">
        <f>CONCATENATE(VLOOKUP(A25,DEZ!$A$2:$S$731,2,FALSE)," - ",VLOOKUP(A25,DEZ!$A$2:$S$731,3,FALSE))</f>
        <v>COMP6 - FORNECIMENTO E APLICAÇÃO DE CONCRETO USINADO FCK=50 MPA COM ADITIVO LIQUIDO IMPERMEABILIZANTE E SÍLICA ATIVA - CONSIDERANDO BOMBEAMENTO (5% DE PERDAS JÁ INCLUÍDO NO CUSTO) (6% DE TAXA P/CONCR. BOMBEAVEL)</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0">
      <c r="A12" s="64"/>
      <c r="B12" s="109"/>
      <c r="C12" s="237" t="s">
        <v>932</v>
      </c>
      <c r="D12" s="854"/>
      <c r="E12" s="855"/>
      <c r="F12" s="856"/>
      <c r="G12" s="77"/>
      <c r="H12" s="78"/>
      <c r="I12" s="79"/>
      <c r="J12" s="226"/>
      <c r="K12" s="81"/>
      <c r="L12" s="82">
        <f>28.05-8.1</f>
        <v>19.950000000000003</v>
      </c>
      <c r="M12" s="83"/>
      <c r="N12" s="105"/>
      <c r="O12" s="84"/>
      <c r="P12" s="82"/>
      <c r="Q12" s="93"/>
      <c r="R12" s="85">
        <f>PRODUCT(D12:L12)</f>
        <v>19.950000000000003</v>
      </c>
      <c r="S12" s="154" t="s">
        <v>58</v>
      </c>
      <c r="T12" s="215">
        <v>3</v>
      </c>
      <c r="U12" s="94"/>
      <c r="V12" s="71"/>
      <c r="W12" s="71"/>
      <c r="X12" s="152"/>
      <c r="Y12" s="153"/>
      <c r="Z12" s="72"/>
    </row>
    <row r="13" spans="1:36" s="73" customFormat="1" ht="21" customHeight="1">
      <c r="A13" s="64"/>
      <c r="B13" s="109"/>
      <c r="C13" s="65" t="s">
        <v>966</v>
      </c>
      <c r="D13" s="77"/>
      <c r="E13" s="78"/>
      <c r="F13" s="79"/>
      <c r="G13" s="77"/>
      <c r="H13" s="78"/>
      <c r="I13" s="79"/>
      <c r="J13" s="66"/>
      <c r="K13" s="108"/>
      <c r="L13" s="67">
        <v>8.1</v>
      </c>
      <c r="M13" s="68"/>
      <c r="N13" s="110"/>
      <c r="O13" s="69"/>
      <c r="P13" s="67"/>
      <c r="Q13" s="106"/>
      <c r="R13" s="85">
        <f>PRODUCT(D13:L13)</f>
        <v>8.1</v>
      </c>
      <c r="S13" s="111" t="s">
        <v>58</v>
      </c>
      <c r="T13" s="215">
        <v>5</v>
      </c>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VLOOKUP(A25,DEZ!$A$2:$S$731,6,FALSE)</f>
        <v>28.05</v>
      </c>
      <c r="K23" s="810"/>
      <c r="L23" s="50" t="str">
        <f>VLOOKUP(A25,DEZ!$A$2:$S$731,4,FALSE)</f>
        <v>m3</v>
      </c>
      <c r="M23" s="803" t="s">
        <v>12</v>
      </c>
      <c r="N23" s="811"/>
      <c r="O23" s="811"/>
      <c r="P23" s="811"/>
      <c r="Q23" s="805"/>
      <c r="R23" s="61">
        <f>SUM(R12:R22)</f>
        <v>28.050000000000004</v>
      </c>
      <c r="S23" s="51" t="str">
        <f>L23</f>
        <v>m3</v>
      </c>
      <c r="T23" s="22"/>
      <c r="U23" s="23"/>
    </row>
    <row r="24" spans="1:28" ht="21" customHeight="1">
      <c r="B24" s="163"/>
      <c r="C24" s="19"/>
      <c r="D24" s="817" t="s">
        <v>13</v>
      </c>
      <c r="E24" s="818"/>
      <c r="F24" s="818"/>
      <c r="G24" s="818"/>
      <c r="H24" s="818"/>
      <c r="I24" s="819"/>
      <c r="J24" s="823">
        <f>R23/J23</f>
        <v>1.0000000000000002</v>
      </c>
      <c r="K24" s="824"/>
      <c r="L24" s="827"/>
      <c r="M24" s="803" t="s">
        <v>34</v>
      </c>
      <c r="N24" s="804"/>
      <c r="O24" s="804"/>
      <c r="P24" s="804"/>
      <c r="Q24" s="805"/>
      <c r="R24" s="61">
        <f>VLOOKUP(A25,DEZ!$A$2:$S$731,8,FALSE)</f>
        <v>0</v>
      </c>
      <c r="S24" s="52" t="str">
        <f>L23</f>
        <v>m3</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28.050000000000004</v>
      </c>
      <c r="S25" s="53" t="str">
        <f>L23</f>
        <v>m3</v>
      </c>
      <c r="T25" s="54"/>
      <c r="U25" s="24"/>
    </row>
    <row r="26" spans="1:28" ht="21" customHeight="1">
      <c r="B26" s="218"/>
      <c r="C26" s="217"/>
      <c r="M26" s="803" t="s">
        <v>53</v>
      </c>
      <c r="N26" s="804"/>
      <c r="O26" s="804"/>
      <c r="P26" s="804"/>
      <c r="Q26" s="805"/>
      <c r="R26" s="62">
        <f>VLOOKUP(A25,DEZ!$A$2:$S$731,5,FALSE)</f>
        <v>777.83</v>
      </c>
      <c r="S26" s="53"/>
      <c r="T26" s="54"/>
      <c r="U26" s="24"/>
    </row>
    <row r="27" spans="1:28" ht="21" customHeight="1">
      <c r="B27" s="163"/>
      <c r="C27" s="219"/>
      <c r="M27" s="803" t="s">
        <v>54</v>
      </c>
      <c r="N27" s="804"/>
      <c r="O27" s="804"/>
      <c r="P27" s="804"/>
      <c r="Q27" s="805"/>
      <c r="R27" s="62">
        <f>TRUNC(R26*R25,2)</f>
        <v>21818.13</v>
      </c>
      <c r="S27" s="53" t="s">
        <v>55</v>
      </c>
      <c r="T27" s="54"/>
      <c r="U27" s="24"/>
    </row>
    <row r="30" spans="1:28">
      <c r="C30" s="2">
        <f>18*5</f>
        <v>90</v>
      </c>
    </row>
    <row r="31" spans="1:28">
      <c r="C31" s="2">
        <f>C30*0.09</f>
        <v>8.1</v>
      </c>
    </row>
  </sheetData>
  <mergeCells count="35">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295" priority="1" operator="greaterThanOrEqual">
      <formula>1</formula>
    </cfRule>
    <cfRule type="cellIs" dxfId="29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ilha61">
    <tabColor rgb="FF339933"/>
    <pageSetUpPr fitToPage="1"/>
  </sheetPr>
  <dimension ref="A1:AJ31"/>
  <sheetViews>
    <sheetView view="pageBreakPreview" topLeftCell="A2" zoomScale="60" zoomScaleNormal="55" workbookViewId="0">
      <selection activeCell="K28" sqref="K28"/>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DEZ!A316</f>
        <v>3.4.1.11</v>
      </c>
      <c r="C10" s="845" t="str">
        <f>DEZ!C316</f>
        <v>Içamento de flutuante para a água com guindaste rodoviário de 500t - incluso mobilização e desmobilização de equipamento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0">
      <c r="A12" s="64"/>
      <c r="B12" s="109"/>
      <c r="C12" s="237" t="s">
        <v>932</v>
      </c>
      <c r="D12" s="854"/>
      <c r="E12" s="855"/>
      <c r="F12" s="856"/>
      <c r="G12" s="77"/>
      <c r="H12" s="78"/>
      <c r="I12" s="79"/>
      <c r="J12" s="226"/>
      <c r="K12" s="81"/>
      <c r="L12" s="82"/>
      <c r="M12" s="83">
        <v>1</v>
      </c>
      <c r="N12" s="105"/>
      <c r="O12" s="84"/>
      <c r="P12" s="82"/>
      <c r="Q12" s="93"/>
      <c r="R12" s="85">
        <f>M12</f>
        <v>1</v>
      </c>
      <c r="S12" s="154" t="s">
        <v>59</v>
      </c>
      <c r="T12" s="215">
        <v>5</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v>1</v>
      </c>
      <c r="K23" s="810"/>
      <c r="L23" s="50" t="s">
        <v>59</v>
      </c>
      <c r="M23" s="803" t="s">
        <v>12</v>
      </c>
      <c r="N23" s="811"/>
      <c r="O23" s="811"/>
      <c r="P23" s="811"/>
      <c r="Q23" s="805"/>
      <c r="R23" s="61">
        <f>SUM(R12:R22)</f>
        <v>1</v>
      </c>
      <c r="S23" s="51" t="str">
        <f>L23</f>
        <v>und</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v>0</v>
      </c>
      <c r="S24" s="52" t="str">
        <f>L23</f>
        <v>und</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1</v>
      </c>
      <c r="S25" s="53" t="str">
        <f>L23</f>
        <v>und</v>
      </c>
      <c r="T25" s="54"/>
      <c r="U25" s="24"/>
    </row>
    <row r="26" spans="1:28" ht="21" customHeight="1">
      <c r="B26" s="218"/>
      <c r="C26" s="217"/>
      <c r="M26" s="803" t="s">
        <v>53</v>
      </c>
      <c r="N26" s="804"/>
      <c r="O26" s="804"/>
      <c r="P26" s="804"/>
      <c r="Q26" s="805"/>
      <c r="R26" s="62">
        <f>DEZ!E316</f>
        <v>28185.33</v>
      </c>
      <c r="S26" s="53"/>
      <c r="T26" s="54"/>
      <c r="U26" s="24"/>
    </row>
    <row r="27" spans="1:28" ht="21" customHeight="1">
      <c r="B27" s="163"/>
      <c r="C27" s="219"/>
      <c r="M27" s="803" t="s">
        <v>54</v>
      </c>
      <c r="N27" s="804"/>
      <c r="O27" s="804"/>
      <c r="P27" s="804"/>
      <c r="Q27" s="805"/>
      <c r="R27" s="62">
        <f>TRUNC(R26*R25,2)</f>
        <v>28185.33</v>
      </c>
      <c r="S27" s="53" t="s">
        <v>55</v>
      </c>
      <c r="T27" s="54"/>
      <c r="U27" s="24"/>
    </row>
    <row r="30" spans="1:28">
      <c r="C30" s="2">
        <f>18*5</f>
        <v>90</v>
      </c>
    </row>
    <row r="31" spans="1:28">
      <c r="C31" s="2">
        <f>C30*0.09</f>
        <v>8.1</v>
      </c>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M27:Q27"/>
    <mergeCell ref="D24:I25"/>
    <mergeCell ref="J24:K25"/>
    <mergeCell ref="L24:L25"/>
    <mergeCell ref="M24:Q24"/>
    <mergeCell ref="M25:Q25"/>
    <mergeCell ref="M26:Q26"/>
  </mergeCells>
  <conditionalFormatting sqref="J24:K27">
    <cfRule type="cellIs" dxfId="293" priority="1" operator="greaterThanOrEqual">
      <formula>1</formula>
    </cfRule>
    <cfRule type="cellIs" dxfId="29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ilha62">
    <tabColor rgb="FF339933"/>
    <pageSetUpPr fitToPage="1"/>
  </sheetPr>
  <dimension ref="A1:AJ31"/>
  <sheetViews>
    <sheetView view="pageBreakPreview" topLeftCell="A2" zoomScale="60" zoomScaleNormal="55" workbookViewId="0">
      <selection activeCell="C13" sqref="C1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DEZ!A317</f>
        <v>3.4.1.12</v>
      </c>
      <c r="C10" s="845" t="str">
        <f>DEZ!C317</f>
        <v>Chapa dobrada #8 400x700 mm, incl. chumbadores e solda.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972</v>
      </c>
      <c r="D12" s="854"/>
      <c r="E12" s="855"/>
      <c r="F12" s="856"/>
      <c r="G12" s="77"/>
      <c r="H12" s="78"/>
      <c r="I12" s="79"/>
      <c r="J12" s="226"/>
      <c r="K12" s="81"/>
      <c r="L12" s="82"/>
      <c r="M12" s="83">
        <v>2</v>
      </c>
      <c r="N12" s="105"/>
      <c r="O12" s="84"/>
      <c r="P12" s="82"/>
      <c r="Q12" s="93"/>
      <c r="R12" s="85">
        <f>M12</f>
        <v>2</v>
      </c>
      <c r="S12" s="154" t="s">
        <v>59</v>
      </c>
      <c r="T12" s="215">
        <v>5</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DEZ!F317</f>
        <v>2</v>
      </c>
      <c r="K23" s="810"/>
      <c r="L23" s="50" t="s">
        <v>59</v>
      </c>
      <c r="M23" s="803" t="s">
        <v>12</v>
      </c>
      <c r="N23" s="811"/>
      <c r="O23" s="811"/>
      <c r="P23" s="811"/>
      <c r="Q23" s="805"/>
      <c r="R23" s="61">
        <f>SUM(R12:R22)</f>
        <v>2</v>
      </c>
      <c r="S23" s="51" t="str">
        <f>L23</f>
        <v>und</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v>0</v>
      </c>
      <c r="S24" s="52" t="str">
        <f>L23</f>
        <v>und</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2</v>
      </c>
      <c r="S25" s="53" t="str">
        <f>L23</f>
        <v>und</v>
      </c>
      <c r="T25" s="54"/>
      <c r="U25" s="24"/>
    </row>
    <row r="26" spans="1:28" ht="21" customHeight="1">
      <c r="B26" s="218"/>
      <c r="C26" s="217"/>
      <c r="M26" s="803" t="s">
        <v>53</v>
      </c>
      <c r="N26" s="804"/>
      <c r="O26" s="804"/>
      <c r="P26" s="804"/>
      <c r="Q26" s="805"/>
      <c r="R26" s="62">
        <f>DEZ!E317</f>
        <v>340.73</v>
      </c>
      <c r="S26" s="53"/>
      <c r="T26" s="54"/>
      <c r="U26" s="24"/>
    </row>
    <row r="27" spans="1:28" ht="21" customHeight="1">
      <c r="B27" s="163"/>
      <c r="C27" s="219"/>
      <c r="M27" s="803" t="s">
        <v>54</v>
      </c>
      <c r="N27" s="804"/>
      <c r="O27" s="804"/>
      <c r="P27" s="804"/>
      <c r="Q27" s="805"/>
      <c r="R27" s="62">
        <f>TRUNC(R26*R25,2)</f>
        <v>681.46</v>
      </c>
      <c r="S27" s="53" t="s">
        <v>55</v>
      </c>
      <c r="T27" s="54"/>
      <c r="U27" s="24"/>
    </row>
    <row r="30" spans="1:28">
      <c r="C30" s="2">
        <f>18*5</f>
        <v>90</v>
      </c>
    </row>
    <row r="31" spans="1:28">
      <c r="C31" s="2">
        <f>C30*0.09</f>
        <v>8.1</v>
      </c>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M27:Q27"/>
    <mergeCell ref="D24:I25"/>
    <mergeCell ref="J24:K25"/>
    <mergeCell ref="L24:L25"/>
    <mergeCell ref="M24:Q24"/>
    <mergeCell ref="M25:Q25"/>
    <mergeCell ref="M26:Q26"/>
  </mergeCells>
  <conditionalFormatting sqref="J24:K27">
    <cfRule type="cellIs" dxfId="291" priority="1" operator="greaterThanOrEqual">
      <formula>1</formula>
    </cfRule>
    <cfRule type="cellIs" dxfId="29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B103A-36A0-4EBD-B979-E2C03AAA150F}">
  <sheetPr codeName="Planilha63">
    <tabColor rgb="FF339933"/>
    <pageSetUpPr fitToPage="1"/>
  </sheetPr>
  <dimension ref="A1:AJ27"/>
  <sheetViews>
    <sheetView view="pageBreakPreview" topLeftCell="F4"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DEZ!A280</f>
        <v>3.3.8.3</v>
      </c>
      <c r="C10" s="845" t="str">
        <f>DEZ!C280</f>
        <v>Forma de chapas madeira compensada resinada, esp. 12mm, levando-se em conta a utilização 3 vezes, reforçadas com sarrafos de madeira de 2.5 x 10.0cm (incl material, corte, montagem,
escoras em eucalipto e desforma) (Platibanda)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930</v>
      </c>
      <c r="D12" s="854"/>
      <c r="E12" s="855"/>
      <c r="F12" s="856"/>
      <c r="G12" s="77"/>
      <c r="H12" s="78"/>
      <c r="I12" s="79"/>
      <c r="J12" s="226"/>
      <c r="K12" s="81">
        <v>23.5</v>
      </c>
      <c r="L12" s="82"/>
      <c r="M12" s="83"/>
      <c r="N12" s="105"/>
      <c r="O12" s="84"/>
      <c r="P12" s="82"/>
      <c r="Q12" s="93"/>
      <c r="R12" s="85">
        <f>PRODUCT(D12:L12)</f>
        <v>23.5</v>
      </c>
      <c r="S12" s="154" t="s">
        <v>57</v>
      </c>
      <c r="T12" s="215">
        <v>6</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70"/>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DEZ!F280</f>
        <v>23.5</v>
      </c>
      <c r="K23" s="810"/>
      <c r="L23" s="50" t="str">
        <f>VLOOKUP(A25,DEZ!$A$2:$S$731,4,FALSE)</f>
        <v>m2</v>
      </c>
      <c r="M23" s="803" t="s">
        <v>12</v>
      </c>
      <c r="N23" s="811"/>
      <c r="O23" s="811"/>
      <c r="P23" s="811"/>
      <c r="Q23" s="805"/>
      <c r="R23" s="61">
        <f>SUM(R12:R22)</f>
        <v>23.5</v>
      </c>
      <c r="S23" s="51" t="str">
        <f>L23</f>
        <v>m2</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23.5</v>
      </c>
      <c r="S24" s="52" t="str">
        <f>L23</f>
        <v>m2</v>
      </c>
      <c r="T24" s="22"/>
      <c r="U24" s="23"/>
    </row>
    <row r="25" spans="1:28" ht="21" customHeight="1">
      <c r="A25" s="10" t="s">
        <v>465</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VLOOKUP(A25,DEZ!$A$2:$S$731,5,FALSE)</f>
        <v>86.33</v>
      </c>
      <c r="S26" s="53"/>
      <c r="T26" s="54"/>
      <c r="U26" s="24"/>
    </row>
    <row r="27" spans="1:28" ht="21" customHeight="1">
      <c r="B27" s="163"/>
      <c r="C27" s="219"/>
      <c r="M27" s="803" t="s">
        <v>54</v>
      </c>
      <c r="N27" s="804"/>
      <c r="O27" s="804"/>
      <c r="P27" s="804"/>
      <c r="Q27" s="805"/>
      <c r="R27" s="62">
        <f>TRUNC(R26*R25,2)</f>
        <v>0</v>
      </c>
      <c r="S27" s="53" t="s">
        <v>55</v>
      </c>
      <c r="T27" s="54"/>
      <c r="U27"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M27:Q27"/>
    <mergeCell ref="D24:I25"/>
    <mergeCell ref="J24:K25"/>
    <mergeCell ref="L24:L25"/>
    <mergeCell ref="M24:Q24"/>
    <mergeCell ref="M25:Q25"/>
    <mergeCell ref="M26:Q26"/>
  </mergeCells>
  <conditionalFormatting sqref="J24:K27">
    <cfRule type="cellIs" dxfId="289" priority="1" operator="greaterThanOrEqual">
      <formula>1</formula>
    </cfRule>
    <cfRule type="cellIs" dxfId="28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0CF7B-01AA-42E7-A7B1-AACB2A175721}">
  <sheetPr codeName="Planilha64">
    <tabColor rgb="FF339933"/>
    <pageSetUpPr fitToPage="1"/>
  </sheetPr>
  <dimension ref="A1:AJ27"/>
  <sheetViews>
    <sheetView view="pageBreakPreview" topLeftCell="F4"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DEZ!A280</f>
        <v>3.3.8.3</v>
      </c>
      <c r="C10" s="845" t="str">
        <f>DEZ!C282</f>
        <v>FORNECIMENTO E APLICAÇÃO DE CONCRETO USINADO FCK=40 MPA - CONSIDERANDO BOMBEAMENTO (5% DE PERDAS JÁ INCLUÍDO NO CUSTO) (6% DE TAXA P/CONCR. BOMBEAVEL) (Platibanda)</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9" customHeight="1">
      <c r="A12" s="64"/>
      <c r="B12" s="109"/>
      <c r="C12" s="76" t="s">
        <v>995</v>
      </c>
      <c r="D12" s="854"/>
      <c r="E12" s="855"/>
      <c r="F12" s="856"/>
      <c r="G12" s="77"/>
      <c r="H12" s="78"/>
      <c r="I12" s="79"/>
      <c r="J12" s="226"/>
      <c r="K12" s="81"/>
      <c r="L12" s="82">
        <v>1.2</v>
      </c>
      <c r="M12" s="83"/>
      <c r="N12" s="105"/>
      <c r="O12" s="84"/>
      <c r="P12" s="82"/>
      <c r="Q12" s="93"/>
      <c r="R12" s="85">
        <f>PRODUCT(D12:L12)</f>
        <v>1.2</v>
      </c>
      <c r="S12" s="154" t="s">
        <v>58</v>
      </c>
      <c r="T12" s="215">
        <v>6</v>
      </c>
      <c r="U12" s="94"/>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70"/>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DEZ!F282</f>
        <v>1.2</v>
      </c>
      <c r="K23" s="810"/>
      <c r="L23" s="50" t="s">
        <v>58</v>
      </c>
      <c r="M23" s="803" t="s">
        <v>12</v>
      </c>
      <c r="N23" s="811"/>
      <c r="O23" s="811"/>
      <c r="P23" s="811"/>
      <c r="Q23" s="805"/>
      <c r="R23" s="61">
        <f>SUM(R12:R22)</f>
        <v>1.2</v>
      </c>
      <c r="S23" s="51" t="str">
        <f>L23</f>
        <v>m3</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1.2</v>
      </c>
      <c r="S24" s="52" t="str">
        <f>L23</f>
        <v>m3</v>
      </c>
      <c r="T24" s="22"/>
      <c r="U24" s="23"/>
    </row>
    <row r="25" spans="1:28" ht="21" customHeight="1">
      <c r="A25" s="10" t="s">
        <v>465</v>
      </c>
      <c r="B25" s="165"/>
      <c r="C25" s="164"/>
      <c r="D25" s="820"/>
      <c r="E25" s="821"/>
      <c r="F25" s="821"/>
      <c r="G25" s="821"/>
      <c r="H25" s="821"/>
      <c r="I25" s="822"/>
      <c r="J25" s="825"/>
      <c r="K25" s="826"/>
      <c r="L25" s="828"/>
      <c r="M25" s="803" t="s">
        <v>14</v>
      </c>
      <c r="N25" s="804"/>
      <c r="O25" s="804"/>
      <c r="P25" s="804"/>
      <c r="Q25" s="805"/>
      <c r="R25" s="62">
        <f>R23-R24</f>
        <v>0</v>
      </c>
      <c r="S25" s="53" t="str">
        <f>L23</f>
        <v>m3</v>
      </c>
      <c r="T25" s="54"/>
      <c r="U25" s="24"/>
    </row>
    <row r="26" spans="1:28" ht="21" customHeight="1">
      <c r="B26" s="218"/>
      <c r="C26" s="217"/>
      <c r="M26" s="803" t="s">
        <v>53</v>
      </c>
      <c r="N26" s="804"/>
      <c r="O26" s="804"/>
      <c r="P26" s="804"/>
      <c r="Q26" s="805"/>
      <c r="R26" s="62">
        <f>DEZ!E282</f>
        <v>486.08</v>
      </c>
      <c r="S26" s="53"/>
      <c r="T26" s="54"/>
      <c r="U26" s="24"/>
    </row>
    <row r="27" spans="1:28" ht="21" customHeight="1">
      <c r="B27" s="163"/>
      <c r="C27" s="219"/>
      <c r="M27" s="803" t="s">
        <v>54</v>
      </c>
      <c r="N27" s="804"/>
      <c r="O27" s="804"/>
      <c r="P27" s="804"/>
      <c r="Q27" s="805"/>
      <c r="R27" s="62">
        <f>TRUNC(R26*R25,2)</f>
        <v>0</v>
      </c>
      <c r="S27" s="53" t="s">
        <v>55</v>
      </c>
      <c r="T27" s="54"/>
      <c r="U27"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D12:F12"/>
    <mergeCell ref="D23:I23"/>
    <mergeCell ref="J23:K23"/>
    <mergeCell ref="M23:Q23"/>
    <mergeCell ref="N10:N11"/>
    <mergeCell ref="O10:O11"/>
    <mergeCell ref="P10:P11"/>
    <mergeCell ref="Q10:Q11"/>
    <mergeCell ref="M27:Q27"/>
    <mergeCell ref="D24:I25"/>
    <mergeCell ref="J24:K25"/>
    <mergeCell ref="L24:L25"/>
    <mergeCell ref="M24:Q24"/>
    <mergeCell ref="M25:Q25"/>
    <mergeCell ref="M26:Q26"/>
  </mergeCells>
  <conditionalFormatting sqref="J24:K27">
    <cfRule type="cellIs" dxfId="287" priority="1" operator="greaterThanOrEqual">
      <formula>1</formula>
    </cfRule>
    <cfRule type="cellIs" dxfId="28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24CEA-451B-4EFE-8526-3EF097D2E047}">
  <sheetPr codeName="Planilha65">
    <tabColor rgb="FF339933"/>
    <pageSetUpPr fitToPage="1"/>
  </sheetPr>
  <dimension ref="A1:AJ31"/>
  <sheetViews>
    <sheetView view="pageBreakPreview" topLeftCell="I2"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20.5703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DEZ!A250</f>
        <v>3.3.3.1</v>
      </c>
      <c r="C10" s="845" t="str">
        <f>DEZ!C250</f>
        <v>Lastro regularizado e impermeabilizado de concreto, espessura de 10 cm , com armação em tela Q-61</v>
      </c>
      <c r="D10" s="816" t="s">
        <v>854</v>
      </c>
      <c r="E10" s="816"/>
      <c r="F10" s="816"/>
      <c r="G10" s="816" t="s">
        <v>33</v>
      </c>
      <c r="H10" s="816"/>
      <c r="I10" s="816"/>
      <c r="J10" s="812" t="s">
        <v>897</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0.25" customHeight="1">
      <c r="A12" s="64"/>
      <c r="B12" s="109"/>
      <c r="C12" s="273" t="s">
        <v>1013</v>
      </c>
      <c r="D12" s="854">
        <v>18.5</v>
      </c>
      <c r="E12" s="855"/>
      <c r="F12" s="856"/>
      <c r="G12" s="851">
        <f>165.9/18.5</f>
        <v>8.967567567567567</v>
      </c>
      <c r="H12" s="852"/>
      <c r="I12" s="853"/>
      <c r="J12" s="226">
        <v>0.1</v>
      </c>
      <c r="K12" s="81">
        <f>D12*G12</f>
        <v>165.89999999999998</v>
      </c>
      <c r="L12" s="82">
        <f>K12*J12</f>
        <v>16.59</v>
      </c>
      <c r="M12" s="83"/>
      <c r="N12" s="105"/>
      <c r="O12" s="84"/>
      <c r="P12" s="82"/>
      <c r="Q12" s="93"/>
      <c r="R12" s="85">
        <f>K12</f>
        <v>165.89999999999998</v>
      </c>
      <c r="S12" s="154" t="s">
        <v>57</v>
      </c>
      <c r="T12" s="215">
        <v>7</v>
      </c>
      <c r="U12" s="94"/>
      <c r="V12" s="71"/>
      <c r="W12" s="71"/>
      <c r="X12" s="152"/>
      <c r="Y12" s="153"/>
      <c r="Z12" s="72"/>
    </row>
    <row r="13" spans="1:36" s="73" customFormat="1" ht="21" customHeight="1">
      <c r="A13" s="64"/>
      <c r="B13" s="109"/>
      <c r="C13" s="65"/>
      <c r="D13" s="77"/>
      <c r="E13" s="78"/>
      <c r="F13" s="79"/>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f>DEZ!F250</f>
        <v>165.9</v>
      </c>
      <c r="K23" s="810"/>
      <c r="L23" s="50" t="s">
        <v>57</v>
      </c>
      <c r="M23" s="803" t="s">
        <v>12</v>
      </c>
      <c r="N23" s="811"/>
      <c r="O23" s="811"/>
      <c r="P23" s="811"/>
      <c r="Q23" s="805"/>
      <c r="R23" s="61">
        <f>SUM(R12:R22)</f>
        <v>165.89999999999998</v>
      </c>
      <c r="S23" s="51" t="str">
        <f>L23</f>
        <v>m2</v>
      </c>
      <c r="T23" s="22"/>
      <c r="U23" s="23"/>
    </row>
    <row r="24" spans="1:28" ht="21" customHeight="1">
      <c r="B24" s="163"/>
      <c r="C24" s="19"/>
      <c r="D24" s="817" t="s">
        <v>13</v>
      </c>
      <c r="E24" s="818"/>
      <c r="F24" s="818"/>
      <c r="G24" s="818"/>
      <c r="H24" s="818"/>
      <c r="I24" s="819"/>
      <c r="J24" s="823">
        <f>R23/J23</f>
        <v>0.99999999999999978</v>
      </c>
      <c r="K24" s="824"/>
      <c r="L24" s="827"/>
      <c r="M24" s="803" t="s">
        <v>34</v>
      </c>
      <c r="N24" s="804"/>
      <c r="O24" s="804"/>
      <c r="P24" s="804"/>
      <c r="Q24" s="805"/>
      <c r="R24" s="61">
        <f>R12</f>
        <v>165.89999999999998</v>
      </c>
      <c r="S24" s="52" t="str">
        <f>L23</f>
        <v>m2</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m2</v>
      </c>
      <c r="T25" s="54"/>
      <c r="U25" s="24"/>
    </row>
    <row r="26" spans="1:28" ht="21" customHeight="1">
      <c r="B26" s="218"/>
      <c r="C26" s="217"/>
      <c r="M26" s="803" t="s">
        <v>53</v>
      </c>
      <c r="N26" s="804"/>
      <c r="O26" s="804"/>
      <c r="P26" s="804"/>
      <c r="Q26" s="805"/>
      <c r="R26" s="62">
        <f>DEZ!E250</f>
        <v>91.41</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6">
    <mergeCell ref="R10:R11"/>
    <mergeCell ref="S10:S11"/>
    <mergeCell ref="M27:Q27"/>
    <mergeCell ref="D24:I25"/>
    <mergeCell ref="J24:K25"/>
    <mergeCell ref="L24:L25"/>
    <mergeCell ref="M24:Q24"/>
    <mergeCell ref="M25:Q25"/>
    <mergeCell ref="M26:Q26"/>
    <mergeCell ref="D12:F12"/>
    <mergeCell ref="G12:I12"/>
    <mergeCell ref="D23:I23"/>
    <mergeCell ref="J23:K23"/>
    <mergeCell ref="M23:Q23"/>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4:K27">
    <cfRule type="cellIs" dxfId="285" priority="1" operator="greaterThanOrEqual">
      <formula>1</formula>
    </cfRule>
    <cfRule type="cellIs" dxfId="284"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2A3E0-48C4-48FD-8650-9F6B03B8E82E}">
  <sheetPr codeName="Planilha110">
    <tabColor rgb="FF339933"/>
    <pageSetUpPr fitToPage="1"/>
  </sheetPr>
  <dimension ref="A1:AJ28"/>
  <sheetViews>
    <sheetView view="pageBreakPreview" topLeftCell="B4" zoomScale="50" zoomScaleNormal="55" zoomScaleSheetLayoutView="50"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DEZ!A144</f>
        <v>2.4.1.6</v>
      </c>
      <c r="C10" s="845" t="str">
        <f>DEZ!C144</f>
        <v>Poliestireno espandido (EPS) de alta densidade - fornecimento e instalação</v>
      </c>
      <c r="D10" s="816" t="s">
        <v>900</v>
      </c>
      <c r="E10" s="816"/>
      <c r="F10" s="816"/>
      <c r="G10" s="816" t="s">
        <v>901</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76" t="s">
        <v>1028</v>
      </c>
      <c r="D12" s="854"/>
      <c r="E12" s="855"/>
      <c r="F12" s="856"/>
      <c r="G12" s="860"/>
      <c r="H12" s="861"/>
      <c r="I12" s="862"/>
      <c r="J12" s="80"/>
      <c r="K12" s="81"/>
      <c r="L12" s="82">
        <v>113.84</v>
      </c>
      <c r="M12" s="83"/>
      <c r="N12" s="105"/>
      <c r="O12" s="84"/>
      <c r="P12" s="82"/>
      <c r="Q12" s="93"/>
      <c r="R12" s="85">
        <f>L12</f>
        <v>113.84</v>
      </c>
      <c r="S12" s="154" t="s">
        <v>58</v>
      </c>
      <c r="T12" s="215">
        <v>8</v>
      </c>
      <c r="U12" s="94"/>
      <c r="V12" s="71"/>
      <c r="W12" s="71"/>
      <c r="X12" s="152"/>
      <c r="Y12" s="153"/>
      <c r="Z12" s="72"/>
    </row>
    <row r="13" spans="1:36" s="73" customFormat="1" ht="21" customHeight="1">
      <c r="A13" s="64"/>
      <c r="B13" s="109"/>
      <c r="C13" s="76"/>
      <c r="D13" s="854"/>
      <c r="E13" s="855"/>
      <c r="F13" s="856"/>
      <c r="G13" s="77"/>
      <c r="H13" s="78"/>
      <c r="I13" s="79"/>
      <c r="J13" s="80"/>
      <c r="K13" s="81"/>
      <c r="L13" s="82"/>
      <c r="M13" s="83"/>
      <c r="N13" s="105"/>
      <c r="O13" s="84"/>
      <c r="P13" s="82"/>
      <c r="Q13" s="93"/>
      <c r="R13" s="85"/>
      <c r="S13" s="154"/>
      <c r="T13" s="215"/>
      <c r="U13" s="94"/>
      <c r="V13" s="71"/>
      <c r="W13" s="71"/>
      <c r="X13" s="152"/>
      <c r="Y13" s="153"/>
      <c r="Z13" s="72"/>
    </row>
    <row r="14" spans="1:36" s="73" customFormat="1" ht="21" customHeight="1">
      <c r="A14" s="64"/>
      <c r="B14" s="109"/>
      <c r="C14" s="76"/>
      <c r="D14" s="854"/>
      <c r="E14" s="855"/>
      <c r="F14" s="856"/>
      <c r="G14" s="77"/>
      <c r="H14" s="78"/>
      <c r="I14" s="79"/>
      <c r="J14" s="66"/>
      <c r="K14" s="108"/>
      <c r="L14" s="67"/>
      <c r="M14" s="68"/>
      <c r="N14" s="110"/>
      <c r="O14" s="69"/>
      <c r="P14" s="67"/>
      <c r="Q14" s="106"/>
      <c r="R14" s="70"/>
      <c r="S14" s="154"/>
      <c r="T14" s="215"/>
      <c r="U14" s="94"/>
      <c r="V14" s="71"/>
      <c r="W14" s="71"/>
      <c r="X14" s="152"/>
      <c r="Y14" s="153"/>
      <c r="Z14" s="72"/>
      <c r="AA14" s="71"/>
      <c r="AB14" s="74"/>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DEZ!F144</f>
        <v>113.84</v>
      </c>
      <c r="K24" s="810"/>
      <c r="L24" s="50" t="s">
        <v>58</v>
      </c>
      <c r="M24" s="803" t="s">
        <v>12</v>
      </c>
      <c r="N24" s="811"/>
      <c r="O24" s="811"/>
      <c r="P24" s="811"/>
      <c r="Q24" s="805"/>
      <c r="R24" s="61">
        <f>SUM(R12:R23)</f>
        <v>113.84</v>
      </c>
      <c r="S24" s="51" t="str">
        <f>L24</f>
        <v>m3</v>
      </c>
      <c r="T24" s="22"/>
      <c r="U24" s="23"/>
    </row>
    <row r="25" spans="1:28" ht="21" customHeight="1">
      <c r="B25" s="163"/>
      <c r="C25" s="19"/>
      <c r="D25" s="817" t="s">
        <v>13</v>
      </c>
      <c r="E25" s="818"/>
      <c r="F25" s="818"/>
      <c r="G25" s="818"/>
      <c r="H25" s="818"/>
      <c r="I25" s="819"/>
      <c r="J25" s="823">
        <f>R24/J24</f>
        <v>1</v>
      </c>
      <c r="K25" s="824"/>
      <c r="L25" s="827"/>
      <c r="M25" s="803" t="s">
        <v>34</v>
      </c>
      <c r="N25" s="804"/>
      <c r="O25" s="804"/>
      <c r="P25" s="804"/>
      <c r="Q25" s="805"/>
      <c r="R25" s="61">
        <f>SUM(R12:R13)</f>
        <v>113.84</v>
      </c>
      <c r="S25" s="52" t="str">
        <f>L24</f>
        <v>m3</v>
      </c>
      <c r="T25" s="22"/>
      <c r="U25" s="23"/>
    </row>
    <row r="26" spans="1:28" ht="21" customHeight="1">
      <c r="A26" s="10" t="s">
        <v>466</v>
      </c>
      <c r="B26" s="165"/>
      <c r="C26" s="164"/>
      <c r="D26" s="820"/>
      <c r="E26" s="821"/>
      <c r="F26" s="821"/>
      <c r="G26" s="821"/>
      <c r="H26" s="821"/>
      <c r="I26" s="822"/>
      <c r="J26" s="825"/>
      <c r="K26" s="826"/>
      <c r="L26" s="828"/>
      <c r="M26" s="803" t="s">
        <v>14</v>
      </c>
      <c r="N26" s="804"/>
      <c r="O26" s="804"/>
      <c r="P26" s="804"/>
      <c r="Q26" s="805"/>
      <c r="R26" s="62">
        <f>R24-R25</f>
        <v>0</v>
      </c>
      <c r="S26" s="53" t="str">
        <f>L24</f>
        <v>m3</v>
      </c>
      <c r="T26" s="54"/>
      <c r="U26" s="24"/>
    </row>
    <row r="27" spans="1:28" ht="21" customHeight="1">
      <c r="B27" s="218"/>
      <c r="C27" s="217"/>
      <c r="M27" s="803" t="s">
        <v>53</v>
      </c>
      <c r="N27" s="804"/>
      <c r="O27" s="804"/>
      <c r="P27" s="804"/>
      <c r="Q27" s="805"/>
      <c r="R27" s="62">
        <f>DEZ!E144</f>
        <v>641.15</v>
      </c>
      <c r="S27" s="53"/>
      <c r="T27" s="54"/>
      <c r="U27" s="24"/>
    </row>
    <row r="28" spans="1:28" ht="21" customHeight="1">
      <c r="B28" s="163"/>
      <c r="C28" s="219"/>
      <c r="M28" s="803" t="s">
        <v>54</v>
      </c>
      <c r="N28" s="804"/>
      <c r="O28" s="804"/>
      <c r="P28" s="804"/>
      <c r="Q28" s="805"/>
      <c r="R28" s="62">
        <f>TRUNC(R27*R26,2)</f>
        <v>0</v>
      </c>
      <c r="S28" s="53" t="s">
        <v>55</v>
      </c>
      <c r="T28" s="54"/>
      <c r="U28" s="24"/>
    </row>
  </sheetData>
  <mergeCells count="38">
    <mergeCell ref="M27:Q27"/>
    <mergeCell ref="M28:Q28"/>
    <mergeCell ref="D24:I24"/>
    <mergeCell ref="J24:K24"/>
    <mergeCell ref="M24:Q24"/>
    <mergeCell ref="D25:I26"/>
    <mergeCell ref="J25:K26"/>
    <mergeCell ref="L25:L26"/>
    <mergeCell ref="M25:Q25"/>
    <mergeCell ref="M26:Q26"/>
    <mergeCell ref="D14:F14"/>
    <mergeCell ref="N10:N11"/>
    <mergeCell ref="O10:O11"/>
    <mergeCell ref="P10:P11"/>
    <mergeCell ref="Q10:Q11"/>
    <mergeCell ref="D12:F12"/>
    <mergeCell ref="G12:I12"/>
    <mergeCell ref="D13:F13"/>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5:K28">
    <cfRule type="cellIs" dxfId="283" priority="1" operator="greaterThanOrEqual">
      <formula>1</formula>
    </cfRule>
    <cfRule type="cellIs" dxfId="282"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5086A-86E7-438E-A54C-3AE47AC5B854}">
  <sheetPr codeName="Planilha129">
    <tabColor rgb="FF339933"/>
    <pageSetUpPr fitToPage="1"/>
  </sheetPr>
  <dimension ref="A1:AJ31"/>
  <sheetViews>
    <sheetView view="pageBreakPreview" topLeftCell="A8" zoomScale="60" zoomScaleNormal="55" workbookViewId="0">
      <selection activeCell="R25" sqref="R25"/>
    </sheetView>
  </sheetViews>
  <sheetFormatPr defaultColWidth="9.140625" defaultRowHeight="12.75"/>
  <cols>
    <col min="1" max="1" width="9.140625" style="10"/>
    <col min="2" max="2" width="18.42578125" style="18" bestFit="1" customWidth="1"/>
    <col min="3" max="3" width="75.7109375" style="2" customWidth="1"/>
    <col min="4" max="4" width="12.14062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DEZ!A151</f>
        <v>2.4.1.13</v>
      </c>
      <c r="C10" s="845" t="str">
        <f>DEZ!C151</f>
        <v>Pranchões e Roletes para apoio da plataforma flutuante</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09"/>
      <c r="C12" s="237" t="s">
        <v>1304</v>
      </c>
      <c r="D12" s="854"/>
      <c r="E12" s="855"/>
      <c r="F12" s="856"/>
      <c r="G12" s="77"/>
      <c r="H12" s="78"/>
      <c r="I12" s="79"/>
      <c r="J12" s="226"/>
      <c r="K12" s="81"/>
      <c r="L12" s="82"/>
      <c r="M12" s="83">
        <v>1</v>
      </c>
      <c r="N12" s="105"/>
      <c r="O12" s="84"/>
      <c r="P12" s="82"/>
      <c r="Q12" s="93"/>
      <c r="R12" s="85">
        <f>M12</f>
        <v>1</v>
      </c>
      <c r="S12" s="154" t="s">
        <v>59</v>
      </c>
      <c r="T12" s="215">
        <v>8</v>
      </c>
      <c r="U12" s="94"/>
      <c r="V12" s="71"/>
      <c r="W12" s="71"/>
      <c r="X12" s="152"/>
      <c r="Y12" s="153"/>
      <c r="Z12" s="72"/>
    </row>
    <row r="13" spans="1:36" s="73" customFormat="1" ht="21" customHeight="1">
      <c r="A13" s="64"/>
      <c r="B13" s="109"/>
      <c r="C13" s="237"/>
      <c r="D13" s="77"/>
      <c r="E13" s="78"/>
      <c r="F13" s="79"/>
      <c r="G13" s="77"/>
      <c r="H13" s="78"/>
      <c r="I13" s="79"/>
      <c r="J13" s="66"/>
      <c r="K13" s="108"/>
      <c r="L13" s="67"/>
      <c r="M13" s="68"/>
      <c r="N13" s="110"/>
      <c r="O13" s="69"/>
      <c r="P13" s="67"/>
      <c r="Q13" s="106"/>
      <c r="R13" s="85"/>
      <c r="S13" s="111"/>
      <c r="T13" s="215"/>
      <c r="U13" s="94"/>
      <c r="V13" s="71"/>
      <c r="W13" s="71"/>
      <c r="X13" s="152"/>
      <c r="Y13" s="153"/>
      <c r="Z13" s="72"/>
      <c r="AA13" s="71"/>
      <c r="AB13" s="74"/>
    </row>
    <row r="14" spans="1:36" s="90" customFormat="1" ht="21" customHeight="1">
      <c r="A14" s="75"/>
      <c r="B14" s="107"/>
      <c r="C14" s="104"/>
      <c r="D14" s="612"/>
      <c r="E14" s="78"/>
      <c r="F14" s="79"/>
      <c r="G14" s="77"/>
      <c r="H14" s="78"/>
      <c r="I14" s="79"/>
      <c r="J14" s="80"/>
      <c r="K14" s="81"/>
      <c r="L14" s="82"/>
      <c r="M14" s="83"/>
      <c r="N14" s="84"/>
      <c r="O14" s="155"/>
      <c r="P14" s="156"/>
      <c r="Q14" s="85"/>
      <c r="R14" s="85"/>
      <c r="S14" s="111"/>
      <c r="T14" s="215"/>
      <c r="U14" s="92"/>
      <c r="V14" s="86"/>
      <c r="W14" s="86"/>
      <c r="X14" s="86"/>
      <c r="Y14" s="151"/>
      <c r="Z14" s="87"/>
      <c r="AA14" s="88"/>
      <c r="AB14" s="89"/>
    </row>
    <row r="15" spans="1:36" s="90" customFormat="1" ht="21" customHeight="1">
      <c r="A15" s="75"/>
      <c r="B15" s="107"/>
      <c r="C15" s="104"/>
      <c r="D15" s="612"/>
      <c r="E15" s="78"/>
      <c r="F15" s="79"/>
      <c r="G15" s="77"/>
      <c r="H15" s="78"/>
      <c r="I15" s="79"/>
      <c r="J15" s="80"/>
      <c r="K15" s="81"/>
      <c r="L15" s="82"/>
      <c r="M15" s="83"/>
      <c r="N15" s="84"/>
      <c r="O15" s="155"/>
      <c r="P15" s="156"/>
      <c r="Q15" s="85"/>
      <c r="R15" s="85"/>
      <c r="S15" s="111"/>
      <c r="T15" s="215"/>
      <c r="U15" s="92"/>
      <c r="V15" s="86"/>
      <c r="W15" s="86"/>
      <c r="X15" s="86"/>
      <c r="Y15" s="151"/>
      <c r="Z15" s="87"/>
      <c r="AA15" s="88"/>
      <c r="AB15" s="89"/>
    </row>
    <row r="16" spans="1:36" s="90" customFormat="1" ht="21" customHeight="1">
      <c r="A16" s="75"/>
      <c r="B16" s="107"/>
      <c r="C16" s="104"/>
      <c r="D16" s="612"/>
      <c r="E16" s="78"/>
      <c r="F16" s="79"/>
      <c r="G16" s="77"/>
      <c r="H16" s="78"/>
      <c r="I16" s="79"/>
      <c r="J16" s="80"/>
      <c r="K16" s="81"/>
      <c r="L16" s="82"/>
      <c r="M16" s="83"/>
      <c r="N16" s="84"/>
      <c r="O16" s="155"/>
      <c r="P16" s="156"/>
      <c r="Q16" s="85"/>
      <c r="R16" s="85"/>
      <c r="S16" s="111"/>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1" customFormat="1" ht="21" customHeight="1">
      <c r="A21" s="11"/>
      <c r="B21" s="25"/>
      <c r="C21" s="20"/>
      <c r="D21" s="26"/>
      <c r="E21" s="159"/>
      <c r="F21" s="27"/>
      <c r="G21" s="26"/>
      <c r="H21" s="159"/>
      <c r="I21" s="27"/>
      <c r="J21" s="28"/>
      <c r="K21" s="49"/>
      <c r="L21" s="40"/>
      <c r="M21" s="41"/>
      <c r="N21" s="160"/>
      <c r="O21" s="160"/>
      <c r="P21" s="40"/>
      <c r="Q21" s="42"/>
      <c r="R21" s="60"/>
      <c r="S21" s="43"/>
      <c r="T21" s="215"/>
      <c r="U21" s="48"/>
      <c r="V21" s="120"/>
      <c r="W21" s="120"/>
      <c r="X21" s="120"/>
      <c r="Y21" s="142"/>
      <c r="Z21" s="15"/>
      <c r="AA21" s="17"/>
      <c r="AB21" s="44"/>
    </row>
    <row r="22" spans="1:28" ht="21" customHeight="1">
      <c r="B22" s="118"/>
      <c r="C22" s="119"/>
      <c r="D22" s="26"/>
      <c r="E22" s="159"/>
      <c r="F22" s="27"/>
      <c r="G22" s="26"/>
      <c r="H22" s="159"/>
      <c r="I22" s="27"/>
      <c r="J22" s="28"/>
      <c r="K22" s="49"/>
      <c r="L22" s="40"/>
      <c r="M22" s="41"/>
      <c r="N22" s="160"/>
      <c r="O22" s="160"/>
      <c r="P22" s="40"/>
      <c r="Q22" s="42"/>
      <c r="R22" s="60"/>
      <c r="S22" s="43"/>
      <c r="T22" s="216"/>
      <c r="U22" s="117"/>
    </row>
    <row r="23" spans="1:28" ht="39.6" customHeight="1">
      <c r="B23" s="161"/>
      <c r="C23" s="162"/>
      <c r="D23" s="806" t="s">
        <v>11</v>
      </c>
      <c r="E23" s="807"/>
      <c r="F23" s="807"/>
      <c r="G23" s="807"/>
      <c r="H23" s="807"/>
      <c r="I23" s="808"/>
      <c r="J23" s="809">
        <v>1</v>
      </c>
      <c r="K23" s="810"/>
      <c r="L23" s="50" t="s">
        <v>59</v>
      </c>
      <c r="M23" s="803" t="s">
        <v>12</v>
      </c>
      <c r="N23" s="811"/>
      <c r="O23" s="811"/>
      <c r="P23" s="811"/>
      <c r="Q23" s="805"/>
      <c r="R23" s="61">
        <f>SUM(R12:R22)</f>
        <v>1</v>
      </c>
      <c r="S23" s="51" t="str">
        <f>L23</f>
        <v>und</v>
      </c>
      <c r="T23" s="22"/>
      <c r="U23" s="23"/>
    </row>
    <row r="24" spans="1:28" ht="21" customHeight="1">
      <c r="B24" s="163"/>
      <c r="C24" s="19"/>
      <c r="D24" s="817" t="s">
        <v>13</v>
      </c>
      <c r="E24" s="818"/>
      <c r="F24" s="818"/>
      <c r="G24" s="818"/>
      <c r="H24" s="818"/>
      <c r="I24" s="819"/>
      <c r="J24" s="823">
        <f>R23/J23</f>
        <v>1</v>
      </c>
      <c r="K24" s="824"/>
      <c r="L24" s="827"/>
      <c r="M24" s="803" t="s">
        <v>34</v>
      </c>
      <c r="N24" s="804"/>
      <c r="O24" s="804"/>
      <c r="P24" s="804"/>
      <c r="Q24" s="805"/>
      <c r="R24" s="61">
        <f>R12</f>
        <v>1</v>
      </c>
      <c r="S24" s="52" t="str">
        <f>L23</f>
        <v>und</v>
      </c>
      <c r="T24" s="22"/>
      <c r="U24" s="23"/>
    </row>
    <row r="25" spans="1:28" ht="21" customHeight="1">
      <c r="A25" s="10" t="s">
        <v>469</v>
      </c>
      <c r="B25" s="165"/>
      <c r="C25" s="164"/>
      <c r="D25" s="820"/>
      <c r="E25" s="821"/>
      <c r="F25" s="821"/>
      <c r="G25" s="821"/>
      <c r="H25" s="821"/>
      <c r="I25" s="822"/>
      <c r="J25" s="825"/>
      <c r="K25" s="826"/>
      <c r="L25" s="828"/>
      <c r="M25" s="803" t="s">
        <v>14</v>
      </c>
      <c r="N25" s="804"/>
      <c r="O25" s="804"/>
      <c r="P25" s="804"/>
      <c r="Q25" s="805"/>
      <c r="R25" s="62">
        <f>R23-R24</f>
        <v>0</v>
      </c>
      <c r="S25" s="53" t="str">
        <f>L23</f>
        <v>und</v>
      </c>
      <c r="T25" s="54"/>
      <c r="U25" s="24"/>
    </row>
    <row r="26" spans="1:28" ht="21" customHeight="1">
      <c r="B26" s="218"/>
      <c r="C26" s="217"/>
      <c r="M26" s="803" t="s">
        <v>53</v>
      </c>
      <c r="N26" s="804"/>
      <c r="O26" s="804"/>
      <c r="P26" s="804"/>
      <c r="Q26" s="805"/>
      <c r="R26" s="62">
        <f>DEZ!E151</f>
        <v>13295.45</v>
      </c>
      <c r="S26" s="53"/>
      <c r="T26" s="54"/>
      <c r="U26" s="24"/>
    </row>
    <row r="27" spans="1:28" ht="21" customHeight="1">
      <c r="B27" s="163"/>
      <c r="C27" s="219"/>
      <c r="M27" s="803" t="s">
        <v>54</v>
      </c>
      <c r="N27" s="804"/>
      <c r="O27" s="804"/>
      <c r="P27" s="804"/>
      <c r="Q27" s="805"/>
      <c r="R27" s="62">
        <f>TRUNC(R26*R25,2)</f>
        <v>0</v>
      </c>
      <c r="S27" s="53" t="s">
        <v>55</v>
      </c>
      <c r="T27" s="54"/>
      <c r="U27" s="24"/>
    </row>
    <row r="30" spans="1:28">
      <c r="C30" s="2">
        <f>18*5</f>
        <v>90</v>
      </c>
    </row>
    <row r="31" spans="1:28">
      <c r="C31" s="2">
        <f>C30*0.09</f>
        <v>8.1</v>
      </c>
    </row>
  </sheetData>
  <mergeCells count="35">
    <mergeCell ref="M27:Q27"/>
    <mergeCell ref="D24:I25"/>
    <mergeCell ref="J24:K25"/>
    <mergeCell ref="L24:L25"/>
    <mergeCell ref="M24:Q24"/>
    <mergeCell ref="M25:Q25"/>
    <mergeCell ref="M26:Q26"/>
    <mergeCell ref="D12:F12"/>
    <mergeCell ref="D23:I23"/>
    <mergeCell ref="J23:K23"/>
    <mergeCell ref="M23:Q23"/>
    <mergeCell ref="N10:N11"/>
    <mergeCell ref="O10:O11"/>
    <mergeCell ref="P10:P11"/>
    <mergeCell ref="Q10:Q11"/>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4:K27">
    <cfRule type="cellIs" dxfId="281" priority="1" operator="greaterThanOrEqual">
      <formula>1</formula>
    </cfRule>
    <cfRule type="cellIs" dxfId="280"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0">
    <tabColor rgb="FF339933"/>
    <pageSetUpPr fitToPage="1"/>
  </sheetPr>
  <dimension ref="A1:AJ30"/>
  <sheetViews>
    <sheetView view="pageBreakPreview" topLeftCell="G12" zoomScale="60" zoomScaleNormal="55" workbookViewId="0">
      <selection activeCell="R12" sqref="R12:R1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9" style="2" customWidth="1"/>
    <col min="11" max="12" width="13.5703125" style="2" customWidth="1"/>
    <col min="13" max="13" width="15.425781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A28</f>
        <v>3.1.2.2</v>
      </c>
      <c r="C10" s="845" t="str">
        <f>CONCATENATE(VLOOKUP(A28,DEZ!$A$2:$S$731,2,FALSE)," - ",VLOOKUP(A28,DEZ!$A$2:$S$731,3,FALSE))</f>
        <v>30304 - Índice de preço para remoção de entulho decorrente da execução de obras (Classe A CONAMA - NBR 10.004 - Classe II-B), incluindo aluguel da caçamba, carga, transporte e descarga em área licenciada</v>
      </c>
      <c r="D10" s="816" t="s">
        <v>854</v>
      </c>
      <c r="E10" s="816"/>
      <c r="F10" s="816"/>
      <c r="G10" s="816" t="s">
        <v>33</v>
      </c>
      <c r="H10" s="816"/>
      <c r="I10" s="816"/>
      <c r="J10" s="812" t="s">
        <v>897</v>
      </c>
      <c r="K10" s="812" t="s">
        <v>855</v>
      </c>
      <c r="L10" s="812" t="s">
        <v>856</v>
      </c>
      <c r="M10" s="812" t="s">
        <v>1266</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65" t="s">
        <v>1265</v>
      </c>
      <c r="D12" s="77"/>
      <c r="E12" s="78"/>
      <c r="F12" s="79"/>
      <c r="G12" s="77"/>
      <c r="H12" s="78"/>
      <c r="I12" s="79"/>
      <c r="J12" s="66">
        <v>0.15</v>
      </c>
      <c r="K12" s="108">
        <v>268.29000000000002</v>
      </c>
      <c r="L12" s="67">
        <f>J12*K12</f>
        <v>40.243500000000004</v>
      </c>
      <c r="M12" s="83">
        <v>1.3</v>
      </c>
      <c r="N12" s="105"/>
      <c r="O12" s="84"/>
      <c r="P12" s="82"/>
      <c r="Q12" s="93"/>
      <c r="R12" s="85">
        <f>L12</f>
        <v>40.243500000000004</v>
      </c>
      <c r="S12" s="111"/>
      <c r="T12" s="215">
        <v>4</v>
      </c>
      <c r="U12" s="91"/>
      <c r="V12" s="71"/>
      <c r="W12" s="71"/>
      <c r="X12" s="152"/>
      <c r="Y12" s="153"/>
      <c r="Z12" s="72"/>
    </row>
    <row r="13" spans="1:36" s="73" customFormat="1" ht="42" customHeight="1">
      <c r="A13" s="64"/>
      <c r="B13" s="112"/>
      <c r="C13" s="65" t="s">
        <v>1267</v>
      </c>
      <c r="D13" s="77"/>
      <c r="E13" s="78"/>
      <c r="F13" s="79"/>
      <c r="G13" s="77"/>
      <c r="H13" s="78"/>
      <c r="I13" s="79"/>
      <c r="J13" s="66">
        <v>0.15</v>
      </c>
      <c r="K13" s="108">
        <v>268.29000000000002</v>
      </c>
      <c r="L13" s="67">
        <f>J13*K13</f>
        <v>40.243500000000004</v>
      </c>
      <c r="M13" s="83">
        <v>1.3</v>
      </c>
      <c r="N13" s="105"/>
      <c r="O13" s="84"/>
      <c r="P13" s="82"/>
      <c r="Q13" s="93"/>
      <c r="R13" s="85">
        <f>L13*M13</f>
        <v>52.316550000000007</v>
      </c>
      <c r="S13" s="111"/>
      <c r="T13" s="215">
        <v>8</v>
      </c>
      <c r="U13" s="91"/>
      <c r="V13" s="71"/>
      <c r="W13" s="71"/>
      <c r="X13" s="152"/>
      <c r="Y13" s="153"/>
      <c r="Z13" s="72"/>
    </row>
    <row r="14" spans="1:36" s="73" customFormat="1" ht="21" customHeight="1">
      <c r="A14" s="64"/>
      <c r="B14" s="109"/>
      <c r="C14" s="65" t="s">
        <v>1268</v>
      </c>
      <c r="D14" s="854"/>
      <c r="E14" s="855"/>
      <c r="F14" s="856"/>
      <c r="G14" s="77"/>
      <c r="H14" s="78"/>
      <c r="I14" s="79"/>
      <c r="J14" s="66">
        <v>0.15</v>
      </c>
      <c r="K14" s="108">
        <v>61.9</v>
      </c>
      <c r="L14" s="67">
        <f>J14*K14</f>
        <v>9.2850000000000001</v>
      </c>
      <c r="M14" s="83">
        <v>1.3</v>
      </c>
      <c r="N14" s="105"/>
      <c r="O14" s="84"/>
      <c r="P14" s="82"/>
      <c r="Q14" s="93"/>
      <c r="R14" s="85">
        <f>L14*M14</f>
        <v>12.070500000000001</v>
      </c>
      <c r="S14" s="154"/>
      <c r="T14" s="215">
        <v>8</v>
      </c>
      <c r="U14" s="94"/>
      <c r="V14" s="71"/>
      <c r="W14" s="71"/>
      <c r="X14" s="152"/>
      <c r="Y14" s="153"/>
      <c r="Z14" s="72"/>
    </row>
    <row r="15" spans="1:36" s="73" customFormat="1" ht="21" customHeight="1">
      <c r="A15" s="64"/>
      <c r="B15" s="109"/>
      <c r="C15" s="76"/>
      <c r="D15" s="854"/>
      <c r="E15" s="855"/>
      <c r="F15" s="856"/>
      <c r="G15" s="77"/>
      <c r="H15" s="78"/>
      <c r="I15" s="79"/>
      <c r="J15" s="80"/>
      <c r="K15" s="81"/>
      <c r="L15" s="82"/>
      <c r="M15" s="83"/>
      <c r="N15" s="105"/>
      <c r="O15" s="84"/>
      <c r="P15" s="82"/>
      <c r="Q15" s="93"/>
      <c r="R15" s="85"/>
      <c r="S15" s="154"/>
      <c r="T15" s="215"/>
      <c r="U15" s="94"/>
      <c r="V15" s="71"/>
      <c r="W15" s="71"/>
      <c r="X15" s="152"/>
      <c r="Y15" s="153"/>
      <c r="Z15" s="72"/>
    </row>
    <row r="16" spans="1:36" s="73" customFormat="1" ht="21" customHeight="1">
      <c r="A16" s="64"/>
      <c r="B16" s="109"/>
      <c r="C16" s="65"/>
      <c r="D16" s="77"/>
      <c r="E16" s="78"/>
      <c r="F16" s="79"/>
      <c r="G16" s="77"/>
      <c r="H16" s="78"/>
      <c r="I16" s="79"/>
      <c r="J16" s="66"/>
      <c r="K16" s="108"/>
      <c r="L16" s="67"/>
      <c r="M16" s="68"/>
      <c r="N16" s="110"/>
      <c r="O16" s="69"/>
      <c r="P16" s="67"/>
      <c r="Q16" s="106"/>
      <c r="R16" s="70"/>
      <c r="S16" s="111"/>
      <c r="T16" s="215"/>
      <c r="U16" s="94"/>
      <c r="V16" s="71"/>
      <c r="W16" s="71"/>
      <c r="X16" s="152"/>
      <c r="Y16" s="153"/>
      <c r="Z16" s="72"/>
      <c r="AA16" s="71"/>
      <c r="AB16" s="74"/>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07"/>
      <c r="C19" s="104"/>
      <c r="D19" s="77"/>
      <c r="E19" s="78"/>
      <c r="F19" s="79"/>
      <c r="G19" s="77"/>
      <c r="H19" s="78"/>
      <c r="I19" s="79"/>
      <c r="J19" s="80"/>
      <c r="K19" s="81"/>
      <c r="L19" s="82"/>
      <c r="M19" s="83"/>
      <c r="N19" s="84"/>
      <c r="O19" s="155"/>
      <c r="P19" s="156"/>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611"/>
      <c r="V22" s="86"/>
      <c r="W22" s="86"/>
      <c r="X22" s="86"/>
      <c r="Y22" s="151"/>
      <c r="Z22" s="87"/>
      <c r="AA22" s="88"/>
      <c r="AB22" s="89"/>
    </row>
    <row r="23" spans="1:28" s="90" customFormat="1" ht="21" customHeight="1">
      <c r="A23" s="75"/>
      <c r="B23" s="157"/>
      <c r="C23" s="76"/>
      <c r="D23" s="77"/>
      <c r="E23" s="78"/>
      <c r="F23" s="79"/>
      <c r="G23" s="77"/>
      <c r="H23" s="78"/>
      <c r="I23" s="79"/>
      <c r="J23" s="80"/>
      <c r="K23" s="81"/>
      <c r="L23" s="82"/>
      <c r="M23" s="83"/>
      <c r="N23" s="84"/>
      <c r="O23" s="84"/>
      <c r="P23" s="82"/>
      <c r="Q23" s="85"/>
      <c r="R23" s="85"/>
      <c r="S23" s="154"/>
      <c r="T23" s="215"/>
      <c r="U23" s="92"/>
      <c r="V23" s="86"/>
      <c r="W23" s="86"/>
      <c r="X23" s="86"/>
      <c r="Y23" s="151"/>
      <c r="Z23" s="87"/>
      <c r="AA23" s="88"/>
      <c r="AB23" s="89"/>
    </row>
    <row r="24" spans="1:28" s="1" customFormat="1" ht="21" customHeight="1">
      <c r="A24" s="11"/>
      <c r="B24" s="25"/>
      <c r="C24" s="20"/>
      <c r="D24" s="26"/>
      <c r="E24" s="159"/>
      <c r="F24" s="27"/>
      <c r="G24" s="26"/>
      <c r="H24" s="159"/>
      <c r="I24" s="27"/>
      <c r="J24" s="28"/>
      <c r="K24" s="49"/>
      <c r="L24" s="40"/>
      <c r="M24" s="41"/>
      <c r="N24" s="160"/>
      <c r="O24" s="160"/>
      <c r="P24" s="40"/>
      <c r="Q24" s="42"/>
      <c r="R24" s="60"/>
      <c r="S24" s="43"/>
      <c r="T24" s="215"/>
      <c r="U24" s="48"/>
      <c r="V24" s="120"/>
      <c r="W24" s="120"/>
      <c r="X24" s="120"/>
      <c r="Y24" s="142"/>
      <c r="Z24" s="15"/>
      <c r="AA24" s="17"/>
      <c r="AB24" s="44"/>
    </row>
    <row r="25" spans="1:28" ht="21" customHeight="1">
      <c r="B25" s="118"/>
      <c r="C25" s="119"/>
      <c r="D25" s="26"/>
      <c r="E25" s="159"/>
      <c r="F25" s="27"/>
      <c r="G25" s="26"/>
      <c r="H25" s="159"/>
      <c r="I25" s="27"/>
      <c r="J25" s="28"/>
      <c r="K25" s="49"/>
      <c r="L25" s="40"/>
      <c r="M25" s="41"/>
      <c r="N25" s="160"/>
      <c r="O25" s="160"/>
      <c r="P25" s="40"/>
      <c r="Q25" s="42"/>
      <c r="R25" s="60"/>
      <c r="S25" s="43"/>
      <c r="T25" s="216"/>
      <c r="U25" s="117"/>
    </row>
    <row r="26" spans="1:28" ht="39.6" customHeight="1">
      <c r="B26" s="161"/>
      <c r="C26" s="162"/>
      <c r="D26" s="806" t="s">
        <v>11</v>
      </c>
      <c r="E26" s="807"/>
      <c r="F26" s="807"/>
      <c r="G26" s="807"/>
      <c r="H26" s="807"/>
      <c r="I26" s="808"/>
      <c r="J26" s="809">
        <f>DEZ!I222</f>
        <v>104.63</v>
      </c>
      <c r="K26" s="810"/>
      <c r="L26" s="50" t="str">
        <f>VLOOKUP(A28,DEZ!$A$2:$S$731,4,FALSE)</f>
        <v>m3</v>
      </c>
      <c r="M26" s="803" t="s">
        <v>12</v>
      </c>
      <c r="N26" s="811"/>
      <c r="O26" s="811"/>
      <c r="P26" s="811"/>
      <c r="Q26" s="805"/>
      <c r="R26" s="61">
        <f>SUM(R12:R25)</f>
        <v>104.63055000000001</v>
      </c>
      <c r="S26" s="51" t="str">
        <f>L26</f>
        <v>m3</v>
      </c>
      <c r="T26" s="22"/>
      <c r="U26" s="23"/>
    </row>
    <row r="27" spans="1:28" ht="21" customHeight="1">
      <c r="B27" s="163"/>
      <c r="C27" s="19"/>
      <c r="D27" s="817" t="s">
        <v>13</v>
      </c>
      <c r="E27" s="818"/>
      <c r="F27" s="818"/>
      <c r="G27" s="818"/>
      <c r="H27" s="818"/>
      <c r="I27" s="819"/>
      <c r="J27" s="823">
        <f>R26/J26</f>
        <v>1.0000052566185609</v>
      </c>
      <c r="K27" s="824"/>
      <c r="L27" s="827"/>
      <c r="M27" s="803" t="s">
        <v>34</v>
      </c>
      <c r="N27" s="804"/>
      <c r="O27" s="804"/>
      <c r="P27" s="804"/>
      <c r="Q27" s="805"/>
      <c r="R27" s="61">
        <f>SUM(R12:R15)</f>
        <v>104.63055000000001</v>
      </c>
      <c r="S27" s="52" t="str">
        <f>L26</f>
        <v>m3</v>
      </c>
      <c r="T27" s="22"/>
      <c r="U27" s="23"/>
    </row>
    <row r="28" spans="1:28" ht="21" customHeight="1">
      <c r="A28" s="10" t="s">
        <v>396</v>
      </c>
      <c r="B28" s="165"/>
      <c r="C28" s="164"/>
      <c r="D28" s="820"/>
      <c r="E28" s="821"/>
      <c r="F28" s="821"/>
      <c r="G28" s="821"/>
      <c r="H28" s="821"/>
      <c r="I28" s="822"/>
      <c r="J28" s="825"/>
      <c r="K28" s="826"/>
      <c r="L28" s="828"/>
      <c r="M28" s="803" t="s">
        <v>14</v>
      </c>
      <c r="N28" s="804"/>
      <c r="O28" s="804"/>
      <c r="P28" s="804"/>
      <c r="Q28" s="805"/>
      <c r="R28" s="62">
        <f>R26-R27</f>
        <v>0</v>
      </c>
      <c r="S28" s="53" t="str">
        <f>L26</f>
        <v>m3</v>
      </c>
      <c r="T28" s="54"/>
      <c r="U28" s="24"/>
    </row>
    <row r="29" spans="1:28" ht="21" customHeight="1">
      <c r="B29" s="218"/>
      <c r="C29" s="217"/>
      <c r="M29" s="803" t="s">
        <v>53</v>
      </c>
      <c r="N29" s="804"/>
      <c r="O29" s="804"/>
      <c r="P29" s="804"/>
      <c r="Q29" s="805"/>
      <c r="R29" s="62">
        <f>VLOOKUP(A28,DEZ!$A$2:$S$731,5,FALSE)</f>
        <v>56.45</v>
      </c>
      <c r="S29" s="53"/>
      <c r="T29" s="54"/>
      <c r="U29" s="24"/>
    </row>
    <row r="30" spans="1:28" ht="21" customHeight="1">
      <c r="B30" s="163"/>
      <c r="C30" s="219"/>
      <c r="M30" s="803" t="s">
        <v>54</v>
      </c>
      <c r="N30" s="804"/>
      <c r="O30" s="804"/>
      <c r="P30" s="804"/>
      <c r="Q30" s="805"/>
      <c r="R30" s="62">
        <f>TRUNC(R29*R28,2)</f>
        <v>0</v>
      </c>
      <c r="S30" s="53" t="s">
        <v>55</v>
      </c>
      <c r="T30" s="54"/>
      <c r="U30"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30:Q30"/>
    <mergeCell ref="D27:I28"/>
    <mergeCell ref="J27:K28"/>
    <mergeCell ref="L27:L28"/>
    <mergeCell ref="M27:Q27"/>
    <mergeCell ref="M28:Q28"/>
    <mergeCell ref="M29:Q29"/>
    <mergeCell ref="D14:F14"/>
    <mergeCell ref="D15:F15"/>
    <mergeCell ref="D26:I26"/>
    <mergeCell ref="J26:K26"/>
    <mergeCell ref="M26:Q26"/>
  </mergeCells>
  <conditionalFormatting sqref="J27:K30">
    <cfRule type="cellIs" dxfId="279" priority="1" operator="greaterThanOrEqual">
      <formula>1</formula>
    </cfRule>
    <cfRule type="cellIs" dxfId="278"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F86E4-3EB2-4382-A7D2-D48E35CD51FD}">
  <sheetPr codeName="Planilha116">
    <tabColor rgb="FF339933"/>
    <pageSetUpPr fitToPage="1"/>
  </sheetPr>
  <dimension ref="A1:AJ24"/>
  <sheetViews>
    <sheetView view="pageBreakPreview" topLeftCell="J7" zoomScale="60" zoomScaleNormal="55"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0.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DEZ!A31</f>
        <v>1.1.2.10</v>
      </c>
      <c r="C10" s="845" t="str">
        <f>DEZ!C31</f>
        <v>Base solo brita, 50% em peso, inclusive fornecimento e transporte da brita</v>
      </c>
      <c r="D10" s="816" t="s">
        <v>854</v>
      </c>
      <c r="E10" s="816"/>
      <c r="F10" s="816"/>
      <c r="G10" s="816" t="s">
        <v>33</v>
      </c>
      <c r="H10" s="816"/>
      <c r="I10" s="816"/>
      <c r="J10" s="812" t="s">
        <v>897</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90" customFormat="1" ht="21" customHeight="1">
      <c r="A12" s="75"/>
      <c r="B12" s="107"/>
      <c r="C12" s="104" t="s">
        <v>1300</v>
      </c>
      <c r="D12" s="857">
        <v>60</v>
      </c>
      <c r="E12" s="858"/>
      <c r="F12" s="859"/>
      <c r="G12" s="857">
        <v>15</v>
      </c>
      <c r="H12" s="858"/>
      <c r="I12" s="859"/>
      <c r="J12" s="80">
        <v>0.2</v>
      </c>
      <c r="K12" s="81"/>
      <c r="L12" s="82">
        <f>D12*G12*J12</f>
        <v>180</v>
      </c>
      <c r="M12" s="68"/>
      <c r="N12" s="84"/>
      <c r="O12" s="155"/>
      <c r="P12" s="156"/>
      <c r="Q12" s="85"/>
      <c r="R12" s="70">
        <f>L12</f>
        <v>180</v>
      </c>
      <c r="S12" s="111" t="s">
        <v>58</v>
      </c>
      <c r="T12" s="215">
        <v>8</v>
      </c>
      <c r="U12" s="92"/>
      <c r="V12" s="86"/>
      <c r="W12" s="86"/>
      <c r="X12" s="86"/>
      <c r="Y12" s="151"/>
      <c r="Z12" s="87"/>
      <c r="AA12" s="88"/>
      <c r="AB12" s="89"/>
    </row>
    <row r="13" spans="1:36" s="90" customFormat="1" ht="21" customHeight="1">
      <c r="A13" s="75"/>
      <c r="B13" s="107"/>
      <c r="C13" s="104"/>
      <c r="D13" s="77"/>
      <c r="E13" s="78"/>
      <c r="F13" s="79"/>
      <c r="G13" s="77"/>
      <c r="H13" s="78"/>
      <c r="I13" s="79"/>
      <c r="J13" s="80"/>
      <c r="K13" s="81"/>
      <c r="L13" s="82"/>
      <c r="M13" s="83"/>
      <c r="N13" s="84"/>
      <c r="O13" s="155"/>
      <c r="P13" s="156"/>
      <c r="Q13" s="85"/>
      <c r="R13" s="85"/>
      <c r="S13" s="154"/>
      <c r="T13" s="215"/>
      <c r="U13" s="92"/>
      <c r="V13" s="86"/>
      <c r="W13" s="86"/>
      <c r="X13" s="86"/>
      <c r="Y13" s="151"/>
      <c r="Z13" s="87"/>
      <c r="AA13" s="88"/>
      <c r="AB13" s="89"/>
    </row>
    <row r="14" spans="1:36" s="90" customFormat="1" ht="21" customHeight="1">
      <c r="A14" s="75"/>
      <c r="B14" s="157"/>
      <c r="C14" s="76"/>
      <c r="D14" s="77"/>
      <c r="E14" s="78"/>
      <c r="F14" s="79"/>
      <c r="G14" s="77"/>
      <c r="H14" s="78"/>
      <c r="I14" s="79"/>
      <c r="J14" s="80"/>
      <c r="K14" s="81"/>
      <c r="L14" s="82"/>
      <c r="M14" s="83"/>
      <c r="N14" s="84"/>
      <c r="O14" s="84"/>
      <c r="P14" s="82"/>
      <c r="Q14" s="85"/>
      <c r="R14" s="85"/>
      <c r="S14" s="154"/>
      <c r="T14" s="215"/>
      <c r="U14" s="92"/>
      <c r="V14" s="86"/>
      <c r="W14" s="86"/>
      <c r="X14" s="86"/>
      <c r="Y14" s="151"/>
      <c r="Z14" s="87"/>
      <c r="AA14" s="88"/>
      <c r="AB14" s="89"/>
    </row>
    <row r="15" spans="1:36" s="90" customFormat="1" ht="21" customHeight="1">
      <c r="A15" s="75"/>
      <c r="B15" s="157"/>
      <c r="C15" s="76"/>
      <c r="D15" s="77"/>
      <c r="E15" s="78"/>
      <c r="F15" s="79"/>
      <c r="G15" s="77"/>
      <c r="H15" s="78"/>
      <c r="I15" s="79"/>
      <c r="J15" s="80"/>
      <c r="K15" s="81"/>
      <c r="L15" s="82"/>
      <c r="M15" s="83"/>
      <c r="N15" s="84"/>
      <c r="O15" s="84"/>
      <c r="P15" s="82"/>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1" customFormat="1" ht="21" customHeight="1">
      <c r="A18" s="11"/>
      <c r="B18" s="25"/>
      <c r="C18" s="20"/>
      <c r="D18" s="26"/>
      <c r="E18" s="159"/>
      <c r="F18" s="27"/>
      <c r="G18" s="26"/>
      <c r="H18" s="159"/>
      <c r="I18" s="27"/>
      <c r="J18" s="28"/>
      <c r="K18" s="49"/>
      <c r="L18" s="40"/>
      <c r="M18" s="41"/>
      <c r="N18" s="160"/>
      <c r="O18" s="160"/>
      <c r="P18" s="40"/>
      <c r="Q18" s="42"/>
      <c r="R18" s="60"/>
      <c r="S18" s="43"/>
      <c r="T18" s="215"/>
      <c r="U18" s="48"/>
      <c r="V18" s="120"/>
      <c r="W18" s="120"/>
      <c r="X18" s="120"/>
      <c r="Y18" s="142"/>
      <c r="Z18" s="15"/>
      <c r="AA18" s="17"/>
      <c r="AB18" s="44"/>
    </row>
    <row r="19" spans="1:28" ht="21" customHeight="1">
      <c r="B19" s="118"/>
      <c r="C19" s="119"/>
      <c r="D19" s="26"/>
      <c r="E19" s="159"/>
      <c r="F19" s="27"/>
      <c r="G19" s="26"/>
      <c r="H19" s="159"/>
      <c r="I19" s="27"/>
      <c r="J19" s="28"/>
      <c r="K19" s="49"/>
      <c r="L19" s="40"/>
      <c r="M19" s="41"/>
      <c r="N19" s="160"/>
      <c r="O19" s="160"/>
      <c r="P19" s="40"/>
      <c r="Q19" s="42"/>
      <c r="R19" s="60"/>
      <c r="S19" s="43"/>
      <c r="T19" s="216"/>
      <c r="U19" s="117"/>
    </row>
    <row r="20" spans="1:28" ht="39.6" customHeight="1">
      <c r="B20" s="161"/>
      <c r="C20" s="162"/>
      <c r="D20" s="806" t="s">
        <v>11</v>
      </c>
      <c r="E20" s="807"/>
      <c r="F20" s="807"/>
      <c r="G20" s="807"/>
      <c r="H20" s="807"/>
      <c r="I20" s="808"/>
      <c r="J20" s="809">
        <f>DEZ!I31</f>
        <v>180</v>
      </c>
      <c r="K20" s="810"/>
      <c r="L20" s="50" t="s">
        <v>58</v>
      </c>
      <c r="M20" s="803" t="s">
        <v>12</v>
      </c>
      <c r="N20" s="811"/>
      <c r="O20" s="811"/>
      <c r="P20" s="811"/>
      <c r="Q20" s="805"/>
      <c r="R20" s="61">
        <f>SUM(R12:R19)</f>
        <v>180</v>
      </c>
      <c r="S20" s="51" t="str">
        <f>L20</f>
        <v>m3</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180</v>
      </c>
      <c r="S21" s="52" t="str">
        <f>L20</f>
        <v>m3</v>
      </c>
      <c r="T21" s="22"/>
      <c r="U21" s="23"/>
    </row>
    <row r="22" spans="1:28" ht="21" customHeight="1">
      <c r="A22" s="10" t="s">
        <v>79</v>
      </c>
      <c r="B22" s="165"/>
      <c r="C22" s="164"/>
      <c r="D22" s="820"/>
      <c r="E22" s="821"/>
      <c r="F22" s="821"/>
      <c r="G22" s="821"/>
      <c r="H22" s="821"/>
      <c r="I22" s="822"/>
      <c r="J22" s="825"/>
      <c r="K22" s="826"/>
      <c r="L22" s="828"/>
      <c r="M22" s="803" t="s">
        <v>14</v>
      </c>
      <c r="N22" s="804"/>
      <c r="O22" s="804"/>
      <c r="P22" s="804"/>
      <c r="Q22" s="805"/>
      <c r="R22" s="62">
        <f>R20-R21</f>
        <v>0</v>
      </c>
      <c r="S22" s="53" t="str">
        <f>L20</f>
        <v>m3</v>
      </c>
      <c r="T22" s="54"/>
      <c r="U22" s="24"/>
    </row>
    <row r="23" spans="1:28" ht="21" customHeight="1">
      <c r="B23" s="218"/>
      <c r="C23" s="217"/>
      <c r="M23" s="803" t="s">
        <v>53</v>
      </c>
      <c r="N23" s="804"/>
      <c r="O23" s="804"/>
      <c r="P23" s="804"/>
      <c r="Q23" s="805"/>
      <c r="R23" s="62">
        <f>DEZ!E31</f>
        <v>56.22</v>
      </c>
      <c r="S23" s="53"/>
      <c r="T23" s="54"/>
      <c r="U23" s="24"/>
    </row>
    <row r="24" spans="1:28" ht="21" customHeight="1">
      <c r="B24" s="163"/>
      <c r="C24" s="219"/>
      <c r="M24" s="803" t="s">
        <v>54</v>
      </c>
      <c r="N24" s="804"/>
      <c r="O24" s="804"/>
      <c r="P24" s="804"/>
      <c r="Q24" s="805"/>
      <c r="R24" s="62">
        <f>TRUNC(R23*R22,2)</f>
        <v>0</v>
      </c>
      <c r="S24" s="53" t="s">
        <v>55</v>
      </c>
      <c r="T24" s="54"/>
      <c r="U24" s="24"/>
    </row>
  </sheetData>
  <mergeCells count="36">
    <mergeCell ref="T10:T11"/>
    <mergeCell ref="S10:S11"/>
    <mergeCell ref="M23:Q23"/>
    <mergeCell ref="M24:Q24"/>
    <mergeCell ref="D12:F12"/>
    <mergeCell ref="G12:I12"/>
    <mergeCell ref="D20:I20"/>
    <mergeCell ref="J20:K20"/>
    <mergeCell ref="M20:Q20"/>
    <mergeCell ref="D21:I22"/>
    <mergeCell ref="J21:K22"/>
    <mergeCell ref="L21:L22"/>
    <mergeCell ref="M21:Q21"/>
    <mergeCell ref="M22:Q22"/>
    <mergeCell ref="T8:U8"/>
    <mergeCell ref="T9:U9"/>
    <mergeCell ref="B10:B11"/>
    <mergeCell ref="C10:C11"/>
    <mergeCell ref="D10:F11"/>
    <mergeCell ref="G10:I11"/>
    <mergeCell ref="J10:J11"/>
    <mergeCell ref="K10:K11"/>
    <mergeCell ref="L10:L11"/>
    <mergeCell ref="M10:M11"/>
    <mergeCell ref="U10:U11"/>
    <mergeCell ref="N10:N11"/>
    <mergeCell ref="O10:O11"/>
    <mergeCell ref="P10:P11"/>
    <mergeCell ref="Q10:Q11"/>
    <mergeCell ref="R10:R11"/>
    <mergeCell ref="T7:U7"/>
    <mergeCell ref="B1:U4"/>
    <mergeCell ref="V4:AA4"/>
    <mergeCell ref="B5:I5"/>
    <mergeCell ref="J5:O5"/>
    <mergeCell ref="P5:U5"/>
  </mergeCells>
  <conditionalFormatting sqref="J21:K24">
    <cfRule type="cellIs" dxfId="417" priority="1" operator="greaterThanOrEqual">
      <formula>1</formula>
    </cfRule>
    <cfRule type="cellIs" dxfId="416"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2E6E-9F43-48E6-98B7-AC66A6A4B4F2}">
  <sheetPr codeName="Planilha130">
    <tabColor rgb="FF339933"/>
    <pageSetUpPr fitToPage="1"/>
  </sheetPr>
  <dimension ref="A1:AJ30"/>
  <sheetViews>
    <sheetView view="pageBreakPreview" topLeftCell="F5" zoomScale="60" zoomScaleNormal="55"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8.710937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DEZ!A223</f>
        <v>3.1.2.3</v>
      </c>
      <c r="C10" s="845" t="str">
        <f>DEZ!C223</f>
        <v xml:space="preserve">Demolição manual de concreto armado </v>
      </c>
      <c r="D10" s="816" t="s">
        <v>854</v>
      </c>
      <c r="E10" s="816"/>
      <c r="F10" s="816"/>
      <c r="G10" s="816" t="s">
        <v>33</v>
      </c>
      <c r="H10" s="816"/>
      <c r="I10" s="816"/>
      <c r="J10" s="812" t="s">
        <v>897</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237" t="s">
        <v>1263</v>
      </c>
      <c r="D12" s="851"/>
      <c r="E12" s="852"/>
      <c r="F12" s="853"/>
      <c r="G12" s="851"/>
      <c r="H12" s="852"/>
      <c r="I12" s="853"/>
      <c r="J12" s="66">
        <v>0.15</v>
      </c>
      <c r="K12" s="108">
        <v>268.29000000000002</v>
      </c>
      <c r="L12" s="67">
        <f>J12*K12</f>
        <v>40.243500000000004</v>
      </c>
      <c r="M12" s="68"/>
      <c r="N12" s="110"/>
      <c r="O12" s="69"/>
      <c r="P12" s="67"/>
      <c r="Q12" s="106"/>
      <c r="R12" s="93">
        <f>L12</f>
        <v>40.243500000000004</v>
      </c>
      <c r="S12" s="154" t="s">
        <v>58</v>
      </c>
      <c r="T12" s="215">
        <v>8</v>
      </c>
      <c r="U12" s="94"/>
      <c r="V12" s="71"/>
      <c r="W12" s="71"/>
      <c r="X12" s="152"/>
      <c r="Y12" s="153"/>
      <c r="Z12" s="72"/>
      <c r="AA12" s="71"/>
      <c r="AB12" s="74"/>
    </row>
    <row r="13" spans="1:36" s="73" customFormat="1" ht="21" customHeight="1">
      <c r="A13" s="64"/>
      <c r="B13" s="109"/>
      <c r="C13" s="237"/>
      <c r="D13" s="851"/>
      <c r="E13" s="852"/>
      <c r="F13" s="853"/>
      <c r="G13" s="851"/>
      <c r="H13" s="852"/>
      <c r="I13" s="853"/>
      <c r="J13" s="66"/>
      <c r="K13" s="108"/>
      <c r="L13" s="67"/>
      <c r="M13" s="68"/>
      <c r="N13" s="110"/>
      <c r="O13" s="69"/>
      <c r="P13" s="67"/>
      <c r="Q13" s="106"/>
      <c r="R13" s="85"/>
      <c r="S13" s="154"/>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DEZ!I223</f>
        <v>40.24</v>
      </c>
      <c r="K22" s="810"/>
      <c r="L22" s="50" t="s">
        <v>57</v>
      </c>
      <c r="M22" s="803" t="s">
        <v>12</v>
      </c>
      <c r="N22" s="811"/>
      <c r="O22" s="811"/>
      <c r="P22" s="811"/>
      <c r="Q22" s="805"/>
      <c r="R22" s="61">
        <f>SUM(R12:R21)</f>
        <v>40.243500000000004</v>
      </c>
      <c r="S22" s="51" t="str">
        <f>L22</f>
        <v>m2</v>
      </c>
      <c r="T22" s="22"/>
      <c r="U22" s="23"/>
    </row>
    <row r="23" spans="1:28" ht="21" customHeight="1">
      <c r="B23" s="163"/>
      <c r="C23" s="19"/>
      <c r="D23" s="817" t="s">
        <v>13</v>
      </c>
      <c r="E23" s="818"/>
      <c r="F23" s="818"/>
      <c r="G23" s="818"/>
      <c r="H23" s="818"/>
      <c r="I23" s="819"/>
      <c r="J23" s="925">
        <f>R22/J22</f>
        <v>1.0000869781312127</v>
      </c>
      <c r="K23" s="926"/>
      <c r="L23" s="827"/>
      <c r="M23" s="803" t="s">
        <v>34</v>
      </c>
      <c r="N23" s="804"/>
      <c r="O23" s="804"/>
      <c r="P23" s="804"/>
      <c r="Q23" s="805"/>
      <c r="R23" s="61">
        <f>R12</f>
        <v>40.243500000000004</v>
      </c>
      <c r="S23" s="52" t="str">
        <f>L22</f>
        <v>m2</v>
      </c>
      <c r="T23" s="22"/>
      <c r="U23" s="23"/>
    </row>
    <row r="24" spans="1:28" ht="21" customHeight="1">
      <c r="A24" s="10" t="s">
        <v>469</v>
      </c>
      <c r="B24" s="165"/>
      <c r="C24" s="164"/>
      <c r="D24" s="820"/>
      <c r="E24" s="821"/>
      <c r="F24" s="821"/>
      <c r="G24" s="821"/>
      <c r="H24" s="821"/>
      <c r="I24" s="822"/>
      <c r="J24" s="927"/>
      <c r="K24" s="928"/>
      <c r="L24" s="828"/>
      <c r="M24" s="803" t="s">
        <v>14</v>
      </c>
      <c r="N24" s="804"/>
      <c r="O24" s="804"/>
      <c r="P24" s="804"/>
      <c r="Q24" s="805"/>
      <c r="R24" s="62">
        <f>R22-R23</f>
        <v>0</v>
      </c>
      <c r="S24" s="53" t="str">
        <f>L22</f>
        <v>m2</v>
      </c>
      <c r="T24" s="54"/>
      <c r="U24" s="24"/>
    </row>
    <row r="25" spans="1:28" ht="21" customHeight="1">
      <c r="B25" s="218"/>
      <c r="C25" s="217"/>
      <c r="M25" s="803" t="s">
        <v>53</v>
      </c>
      <c r="N25" s="804"/>
      <c r="O25" s="804"/>
      <c r="P25" s="804"/>
      <c r="Q25" s="805"/>
      <c r="R25" s="62">
        <f>DEZ!E253</f>
        <v>91.41</v>
      </c>
      <c r="S25" s="53" t="s">
        <v>55</v>
      </c>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8">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S10:S11"/>
    <mergeCell ref="M25:Q25"/>
    <mergeCell ref="M26:Q26"/>
    <mergeCell ref="D22:I22"/>
    <mergeCell ref="J22:K22"/>
    <mergeCell ref="M22:Q22"/>
    <mergeCell ref="D23:I24"/>
    <mergeCell ref="J23:K24"/>
    <mergeCell ref="L23:L24"/>
    <mergeCell ref="M23:Q23"/>
    <mergeCell ref="M24:Q24"/>
    <mergeCell ref="D12:F12"/>
    <mergeCell ref="G12:I12"/>
    <mergeCell ref="D13:F13"/>
    <mergeCell ref="G13:I13"/>
    <mergeCell ref="N10:N11"/>
  </mergeCells>
  <conditionalFormatting sqref="J23:K26">
    <cfRule type="cellIs" dxfId="277" priority="1" operator="greaterThanOrEqual">
      <formula>1</formula>
    </cfRule>
    <cfRule type="cellIs" dxfId="276"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AA7EF-65CE-43A0-B37E-606F95F16088}">
  <sheetPr codeName="Planilha131">
    <tabColor rgb="FF339933"/>
    <pageSetUpPr fitToPage="1"/>
  </sheetPr>
  <dimension ref="A1:AJ23"/>
  <sheetViews>
    <sheetView view="pageBreakPreview" topLeftCell="K10" zoomScale="60" zoomScaleNormal="55" workbookViewId="0">
      <selection activeCell="R21" sqref="R21"/>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9" style="2" customWidth="1"/>
    <col min="11" max="12" width="13.5703125" style="2" customWidth="1"/>
    <col min="13" max="13" width="15.425781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DEZ!A232</f>
        <v>3.3.1.2</v>
      </c>
      <c r="C10" s="845" t="str">
        <f>DEZ!C232</f>
        <v>Locação de andaime metálico para fachada - tipo torre (aluguel mensal)</v>
      </c>
      <c r="D10" s="816" t="s">
        <v>854</v>
      </c>
      <c r="E10" s="816"/>
      <c r="F10" s="816"/>
      <c r="G10" s="816" t="s">
        <v>33</v>
      </c>
      <c r="H10" s="816"/>
      <c r="I10" s="816"/>
      <c r="J10" s="812" t="s">
        <v>853</v>
      </c>
      <c r="K10" s="812" t="s">
        <v>855</v>
      </c>
      <c r="L10" s="812" t="s">
        <v>856</v>
      </c>
      <c r="M10" s="812" t="s">
        <v>1266</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2" customHeight="1">
      <c r="A12" s="64"/>
      <c r="B12" s="112"/>
      <c r="C12" s="65"/>
      <c r="D12" s="929">
        <v>18.5</v>
      </c>
      <c r="E12" s="930"/>
      <c r="F12" s="931"/>
      <c r="G12" s="857">
        <v>8.8000000000000007</v>
      </c>
      <c r="H12" s="858"/>
      <c r="I12" s="859"/>
      <c r="J12" s="66">
        <v>4</v>
      </c>
      <c r="K12" s="108">
        <f>(D12+G12)*J12</f>
        <v>109.2</v>
      </c>
      <c r="L12" s="67"/>
      <c r="M12" s="83"/>
      <c r="N12" s="105"/>
      <c r="O12" s="84"/>
      <c r="P12" s="82"/>
      <c r="Q12" s="93"/>
      <c r="R12" s="85">
        <f>K12</f>
        <v>109.2</v>
      </c>
      <c r="S12" s="111"/>
      <c r="T12" s="215">
        <v>8</v>
      </c>
      <c r="U12" s="91"/>
      <c r="V12" s="71"/>
      <c r="W12" s="71"/>
      <c r="X12" s="152"/>
      <c r="Y12" s="153"/>
      <c r="Z12" s="72"/>
    </row>
    <row r="13" spans="1:36" s="90" customFormat="1" ht="21" customHeight="1">
      <c r="A13" s="75"/>
      <c r="B13" s="157"/>
      <c r="C13" s="76"/>
      <c r="D13" s="77"/>
      <c r="E13" s="78"/>
      <c r="F13" s="79"/>
      <c r="G13" s="77"/>
      <c r="H13" s="78"/>
      <c r="I13" s="79"/>
      <c r="J13" s="80"/>
      <c r="K13" s="81"/>
      <c r="L13" s="82"/>
      <c r="M13" s="83"/>
      <c r="N13" s="84"/>
      <c r="O13" s="84"/>
      <c r="P13" s="82"/>
      <c r="Q13" s="85"/>
      <c r="R13" s="85"/>
      <c r="S13" s="154"/>
      <c r="T13" s="215"/>
      <c r="U13" s="92"/>
      <c r="V13" s="86"/>
      <c r="W13" s="86"/>
      <c r="X13" s="86"/>
      <c r="Y13" s="151"/>
      <c r="Z13" s="87"/>
      <c r="AA13" s="88"/>
      <c r="AB13" s="89"/>
    </row>
    <row r="14" spans="1:36" s="90" customFormat="1" ht="21" customHeight="1">
      <c r="A14" s="75"/>
      <c r="B14" s="157"/>
      <c r="C14" s="76"/>
      <c r="D14" s="77"/>
      <c r="E14" s="78"/>
      <c r="F14" s="79"/>
      <c r="G14" s="77"/>
      <c r="H14" s="78"/>
      <c r="I14" s="79"/>
      <c r="J14" s="80"/>
      <c r="K14" s="81"/>
      <c r="L14" s="82"/>
      <c r="M14" s="83"/>
      <c r="N14" s="84"/>
      <c r="O14" s="84"/>
      <c r="P14" s="82"/>
      <c r="Q14" s="85"/>
      <c r="R14" s="85"/>
      <c r="S14" s="154"/>
      <c r="T14" s="215"/>
      <c r="U14" s="92"/>
      <c r="V14" s="86"/>
      <c r="W14" s="86"/>
      <c r="X14" s="86"/>
      <c r="Y14" s="151"/>
      <c r="Z14" s="87"/>
      <c r="AA14" s="88"/>
      <c r="AB14" s="89"/>
    </row>
    <row r="15" spans="1:36" s="90" customFormat="1" ht="21" customHeight="1">
      <c r="A15" s="75"/>
      <c r="B15" s="157"/>
      <c r="C15" s="76"/>
      <c r="D15" s="77"/>
      <c r="E15" s="78"/>
      <c r="F15" s="79"/>
      <c r="G15" s="77"/>
      <c r="H15" s="78"/>
      <c r="I15" s="79"/>
      <c r="J15" s="80"/>
      <c r="K15" s="81"/>
      <c r="L15" s="82"/>
      <c r="M15" s="83"/>
      <c r="N15" s="84"/>
      <c r="O15" s="84"/>
      <c r="P15" s="82"/>
      <c r="Q15" s="85"/>
      <c r="R15" s="85"/>
      <c r="S15" s="154"/>
      <c r="T15" s="215"/>
      <c r="U15" s="611"/>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1" customFormat="1" ht="21" customHeight="1">
      <c r="A17" s="11"/>
      <c r="B17" s="25"/>
      <c r="C17" s="20"/>
      <c r="D17" s="26"/>
      <c r="E17" s="159"/>
      <c r="F17" s="27"/>
      <c r="G17" s="26"/>
      <c r="H17" s="159"/>
      <c r="I17" s="27"/>
      <c r="J17" s="28"/>
      <c r="K17" s="49"/>
      <c r="L17" s="40"/>
      <c r="M17" s="41"/>
      <c r="N17" s="160"/>
      <c r="O17" s="160"/>
      <c r="P17" s="40"/>
      <c r="Q17" s="42"/>
      <c r="R17" s="60"/>
      <c r="S17" s="43"/>
      <c r="T17" s="215"/>
      <c r="U17" s="48"/>
      <c r="V17" s="120"/>
      <c r="W17" s="120"/>
      <c r="X17" s="120"/>
      <c r="Y17" s="142"/>
      <c r="Z17" s="15"/>
      <c r="AA17" s="17"/>
      <c r="AB17" s="44"/>
    </row>
    <row r="18" spans="1:28" ht="21" customHeight="1">
      <c r="B18" s="118"/>
      <c r="C18" s="119"/>
      <c r="D18" s="26"/>
      <c r="E18" s="159"/>
      <c r="F18" s="27"/>
      <c r="G18" s="26"/>
      <c r="H18" s="159"/>
      <c r="I18" s="27"/>
      <c r="J18" s="28"/>
      <c r="K18" s="49"/>
      <c r="L18" s="40"/>
      <c r="M18" s="41"/>
      <c r="N18" s="160"/>
      <c r="O18" s="160"/>
      <c r="P18" s="40"/>
      <c r="Q18" s="42"/>
      <c r="R18" s="60"/>
      <c r="S18" s="43"/>
      <c r="T18" s="216"/>
      <c r="U18" s="117"/>
    </row>
    <row r="19" spans="1:28" ht="39.6" customHeight="1">
      <c r="B19" s="161"/>
      <c r="C19" s="162"/>
      <c r="D19" s="806" t="s">
        <v>11</v>
      </c>
      <c r="E19" s="807"/>
      <c r="F19" s="807"/>
      <c r="G19" s="807"/>
      <c r="H19" s="807"/>
      <c r="I19" s="808"/>
      <c r="J19" s="809">
        <f>DEZ!I232</f>
        <v>109.2</v>
      </c>
      <c r="K19" s="810"/>
      <c r="L19" s="50" t="s">
        <v>57</v>
      </c>
      <c r="M19" s="803" t="s">
        <v>12</v>
      </c>
      <c r="N19" s="811"/>
      <c r="O19" s="811"/>
      <c r="P19" s="811"/>
      <c r="Q19" s="805"/>
      <c r="R19" s="61">
        <f>SUM(R12:R18)</f>
        <v>109.2</v>
      </c>
      <c r="S19" s="51" t="str">
        <f>L19</f>
        <v>m2</v>
      </c>
      <c r="T19" s="22"/>
      <c r="U19" s="23"/>
    </row>
    <row r="20" spans="1:28" ht="21" customHeight="1">
      <c r="B20" s="163"/>
      <c r="C20" s="19"/>
      <c r="D20" s="817" t="s">
        <v>13</v>
      </c>
      <c r="E20" s="818"/>
      <c r="F20" s="818"/>
      <c r="G20" s="818"/>
      <c r="H20" s="818"/>
      <c r="I20" s="819"/>
      <c r="J20" s="823">
        <f>R19/J19</f>
        <v>1</v>
      </c>
      <c r="K20" s="824"/>
      <c r="L20" s="827"/>
      <c r="M20" s="803" t="s">
        <v>34</v>
      </c>
      <c r="N20" s="804"/>
      <c r="O20" s="804"/>
      <c r="P20" s="804"/>
      <c r="Q20" s="805"/>
      <c r="R20" s="61">
        <f>R12</f>
        <v>109.2</v>
      </c>
      <c r="S20" s="52" t="str">
        <f>L19</f>
        <v>m2</v>
      </c>
      <c r="T20" s="22"/>
      <c r="U20" s="23"/>
    </row>
    <row r="21" spans="1:28" ht="21" customHeight="1">
      <c r="A21" s="10" t="s">
        <v>396</v>
      </c>
      <c r="B21" s="165"/>
      <c r="C21" s="164"/>
      <c r="D21" s="820"/>
      <c r="E21" s="821"/>
      <c r="F21" s="821"/>
      <c r="G21" s="821"/>
      <c r="H21" s="821"/>
      <c r="I21" s="822"/>
      <c r="J21" s="825"/>
      <c r="K21" s="826"/>
      <c r="L21" s="828"/>
      <c r="M21" s="803" t="s">
        <v>14</v>
      </c>
      <c r="N21" s="804"/>
      <c r="O21" s="804"/>
      <c r="P21" s="804"/>
      <c r="Q21" s="805"/>
      <c r="R21" s="62">
        <f>R19-R20</f>
        <v>0</v>
      </c>
      <c r="S21" s="53" t="str">
        <f>L19</f>
        <v>m2</v>
      </c>
      <c r="T21" s="54"/>
      <c r="U21" s="24"/>
    </row>
    <row r="22" spans="1:28" ht="21" customHeight="1">
      <c r="B22" s="218"/>
      <c r="C22" s="217"/>
      <c r="M22" s="803" t="s">
        <v>53</v>
      </c>
      <c r="N22" s="804"/>
      <c r="O22" s="804"/>
      <c r="P22" s="804"/>
      <c r="Q22" s="805"/>
      <c r="R22" s="62">
        <f>DEZ!E232</f>
        <v>8.0299999999999994</v>
      </c>
      <c r="S22" s="53"/>
      <c r="T22" s="54"/>
      <c r="U22" s="24"/>
    </row>
    <row r="23" spans="1:28" ht="21" customHeight="1">
      <c r="B23" s="163"/>
      <c r="C23" s="219"/>
      <c r="M23" s="803" t="s">
        <v>54</v>
      </c>
      <c r="N23" s="804"/>
      <c r="O23" s="804"/>
      <c r="P23" s="804"/>
      <c r="Q23" s="805"/>
      <c r="R23" s="62">
        <f>TRUNC(R22*R21,2)</f>
        <v>0</v>
      </c>
      <c r="S23" s="53" t="s">
        <v>55</v>
      </c>
      <c r="T23" s="54"/>
      <c r="U23" s="24"/>
    </row>
  </sheetData>
  <mergeCells count="36">
    <mergeCell ref="T8:U8"/>
    <mergeCell ref="T9:U9"/>
    <mergeCell ref="M23:Q23"/>
    <mergeCell ref="D12:F12"/>
    <mergeCell ref="G12:I12"/>
    <mergeCell ref="D20:I21"/>
    <mergeCell ref="J20:K21"/>
    <mergeCell ref="L20:L21"/>
    <mergeCell ref="M20:Q20"/>
    <mergeCell ref="M21:Q21"/>
    <mergeCell ref="M22:Q22"/>
    <mergeCell ref="D19:I19"/>
    <mergeCell ref="J19:K19"/>
    <mergeCell ref="M19:Q19"/>
    <mergeCell ref="K10:K11"/>
    <mergeCell ref="L10:L11"/>
    <mergeCell ref="B10:B11"/>
    <mergeCell ref="C10:C11"/>
    <mergeCell ref="D10:F11"/>
    <mergeCell ref="G10:I11"/>
    <mergeCell ref="J10:J11"/>
    <mergeCell ref="M10:M11"/>
    <mergeCell ref="T10:T11"/>
    <mergeCell ref="U10:U11"/>
    <mergeCell ref="R10:R11"/>
    <mergeCell ref="S10:S11"/>
    <mergeCell ref="N10:N11"/>
    <mergeCell ref="O10:O11"/>
    <mergeCell ref="P10:P11"/>
    <mergeCell ref="Q10:Q11"/>
    <mergeCell ref="T7:U7"/>
    <mergeCell ref="B1:U4"/>
    <mergeCell ref="V4:AA4"/>
    <mergeCell ref="B5:I5"/>
    <mergeCell ref="J5:O5"/>
    <mergeCell ref="P5:U5"/>
  </mergeCells>
  <conditionalFormatting sqref="J20:K23">
    <cfRule type="cellIs" dxfId="275" priority="1" operator="greaterThanOrEqual">
      <formula>1</formula>
    </cfRule>
    <cfRule type="cellIs" dxfId="274"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ilha40">
    <tabColor rgb="FF339933"/>
    <pageSetUpPr fitToPage="1"/>
  </sheetPr>
  <dimension ref="A1:AJ28"/>
  <sheetViews>
    <sheetView view="pageBreakPreview" topLeftCell="G11" zoomScale="60" zoomScaleNormal="55" workbookViewId="0">
      <selection activeCell="R26" sqref="R26"/>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3.5703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DEZ!A239</f>
        <v>3.3.2.5</v>
      </c>
      <c r="C10" s="845" t="str">
        <f>DEZ!C239</f>
        <v>Escavação manual em material de 1a. categoria, até 1.50 m de profundidade</v>
      </c>
      <c r="D10" s="816" t="s">
        <v>854</v>
      </c>
      <c r="E10" s="816"/>
      <c r="F10" s="816"/>
      <c r="G10" s="816" t="s">
        <v>33</v>
      </c>
      <c r="H10" s="816"/>
      <c r="I10" s="816"/>
      <c r="J10" s="812" t="s">
        <v>1272</v>
      </c>
      <c r="K10" s="812" t="s">
        <v>1271</v>
      </c>
      <c r="L10" s="812" t="s">
        <v>856</v>
      </c>
      <c r="M10" s="812" t="s">
        <v>1271</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41.25" customHeight="1">
      <c r="A12" s="64"/>
      <c r="B12" s="112"/>
      <c r="C12" s="65" t="s">
        <v>145</v>
      </c>
      <c r="D12" s="932"/>
      <c r="E12" s="933"/>
      <c r="F12" s="934"/>
      <c r="G12" s="77"/>
      <c r="H12" s="78"/>
      <c r="I12" s="79"/>
      <c r="J12" s="80"/>
      <c r="K12" s="81"/>
      <c r="L12" s="82">
        <v>6.3</v>
      </c>
      <c r="M12" s="83"/>
      <c r="N12" s="105"/>
      <c r="O12" s="84"/>
      <c r="P12" s="82"/>
      <c r="Q12" s="93"/>
      <c r="R12" s="85">
        <f>L12</f>
        <v>6.3</v>
      </c>
      <c r="S12" s="111" t="str">
        <f>DEZ!D239</f>
        <v>m3</v>
      </c>
      <c r="T12" s="215">
        <v>4</v>
      </c>
      <c r="U12" s="91"/>
      <c r="V12" s="71"/>
      <c r="W12" s="71"/>
      <c r="X12" s="152"/>
      <c r="Y12" s="153"/>
      <c r="Z12" s="72"/>
    </row>
    <row r="13" spans="1:36" s="73" customFormat="1" ht="15">
      <c r="A13" s="64"/>
      <c r="B13" s="112"/>
      <c r="C13" s="65" t="s">
        <v>1270</v>
      </c>
      <c r="D13" s="932">
        <v>18.5</v>
      </c>
      <c r="E13" s="933"/>
      <c r="F13" s="934"/>
      <c r="G13" s="932">
        <v>0.5</v>
      </c>
      <c r="H13" s="933"/>
      <c r="I13" s="934"/>
      <c r="J13" s="80">
        <v>0.6</v>
      </c>
      <c r="K13" s="83">
        <v>2</v>
      </c>
      <c r="L13" s="82">
        <f>D13*G13*J13*K13</f>
        <v>11.1</v>
      </c>
      <c r="M13" s="83"/>
      <c r="N13" s="105"/>
      <c r="O13" s="84"/>
      <c r="P13" s="82"/>
      <c r="Q13" s="93"/>
      <c r="R13" s="85">
        <f>L13</f>
        <v>11.1</v>
      </c>
      <c r="S13" s="111" t="str">
        <f>DEZ!D240</f>
        <v>m2</v>
      </c>
      <c r="T13" s="215">
        <v>8</v>
      </c>
      <c r="U13" s="91"/>
      <c r="V13" s="71"/>
      <c r="W13" s="71"/>
      <c r="X13" s="152"/>
      <c r="Y13" s="153"/>
      <c r="Z13" s="72"/>
    </row>
    <row r="14" spans="1:36" s="73" customFormat="1" ht="21" customHeight="1">
      <c r="A14" s="64"/>
      <c r="B14" s="109"/>
      <c r="C14" s="65" t="s">
        <v>1270</v>
      </c>
      <c r="D14" s="932">
        <v>8.8000000000000007</v>
      </c>
      <c r="E14" s="933"/>
      <c r="F14" s="934"/>
      <c r="G14" s="932">
        <v>0.5</v>
      </c>
      <c r="H14" s="933"/>
      <c r="I14" s="934"/>
      <c r="J14" s="80">
        <v>0.6</v>
      </c>
      <c r="K14" s="83">
        <v>5</v>
      </c>
      <c r="L14" s="82">
        <f>D14*G14*J14*K14</f>
        <v>13.200000000000001</v>
      </c>
      <c r="M14" s="83"/>
      <c r="N14" s="105"/>
      <c r="O14" s="84"/>
      <c r="P14" s="82"/>
      <c r="Q14" s="93"/>
      <c r="R14" s="85">
        <f>L14</f>
        <v>13.200000000000001</v>
      </c>
      <c r="S14" s="111" t="s">
        <v>57</v>
      </c>
      <c r="T14" s="215">
        <v>8</v>
      </c>
      <c r="U14" s="94"/>
      <c r="V14" s="71"/>
      <c r="W14" s="71"/>
      <c r="X14" s="152"/>
      <c r="Y14" s="153"/>
      <c r="Z14" s="72"/>
    </row>
    <row r="15" spans="1:36" s="73" customFormat="1" ht="21" customHeight="1">
      <c r="A15" s="64"/>
      <c r="B15" s="109"/>
      <c r="C15" s="65" t="s">
        <v>1273</v>
      </c>
      <c r="D15" s="932">
        <v>1</v>
      </c>
      <c r="E15" s="933"/>
      <c r="F15" s="934"/>
      <c r="G15" s="932">
        <v>0.8</v>
      </c>
      <c r="H15" s="933"/>
      <c r="I15" s="934"/>
      <c r="J15" s="80">
        <f>0.85+0.5</f>
        <v>1.35</v>
      </c>
      <c r="K15" s="83">
        <v>7</v>
      </c>
      <c r="L15" s="82">
        <f>D15*G15*J15*K15</f>
        <v>7.5600000000000005</v>
      </c>
      <c r="M15" s="68"/>
      <c r="N15" s="110"/>
      <c r="O15" s="69"/>
      <c r="P15" s="67"/>
      <c r="Q15" s="106"/>
      <c r="R15" s="85">
        <f t="shared" ref="R15:R16" si="0">L15</f>
        <v>7.5600000000000005</v>
      </c>
      <c r="S15" s="111" t="s">
        <v>57</v>
      </c>
      <c r="T15" s="215">
        <v>8</v>
      </c>
      <c r="U15" s="94"/>
      <c r="V15" s="71"/>
      <c r="W15" s="71"/>
      <c r="X15" s="152"/>
      <c r="Y15" s="153"/>
      <c r="Z15" s="72"/>
      <c r="AA15" s="71"/>
      <c r="AB15" s="74"/>
    </row>
    <row r="16" spans="1:36" s="90" customFormat="1" ht="21" customHeight="1">
      <c r="A16" s="75"/>
      <c r="B16" s="107"/>
      <c r="C16" s="65" t="s">
        <v>1275</v>
      </c>
      <c r="D16" s="932">
        <v>1</v>
      </c>
      <c r="E16" s="933"/>
      <c r="F16" s="934"/>
      <c r="G16" s="932">
        <v>0.8</v>
      </c>
      <c r="H16" s="933"/>
      <c r="I16" s="934"/>
      <c r="J16" s="80">
        <f>0.5+0.9</f>
        <v>1.4</v>
      </c>
      <c r="K16" s="83">
        <v>3</v>
      </c>
      <c r="L16" s="82">
        <f>D16*G16*J16*K16</f>
        <v>3.3599999999999994</v>
      </c>
      <c r="M16" s="83"/>
      <c r="N16" s="84"/>
      <c r="O16" s="155"/>
      <c r="P16" s="156"/>
      <c r="Q16" s="85"/>
      <c r="R16" s="85">
        <f t="shared" si="0"/>
        <v>3.3599999999999994</v>
      </c>
      <c r="S16" s="111" t="s">
        <v>57</v>
      </c>
      <c r="T16" s="215">
        <v>8</v>
      </c>
      <c r="U16" s="92"/>
      <c r="V16" s="86"/>
      <c r="W16" s="86"/>
      <c r="X16" s="86"/>
      <c r="Y16" s="151"/>
      <c r="Z16" s="87"/>
      <c r="AA16" s="88"/>
      <c r="AB16" s="89"/>
    </row>
    <row r="17" spans="1:28" s="90" customFormat="1" ht="21" customHeight="1">
      <c r="A17" s="75"/>
      <c r="B17" s="107"/>
      <c r="C17" s="65" t="s">
        <v>1274</v>
      </c>
      <c r="D17" s="932">
        <v>1.4</v>
      </c>
      <c r="E17" s="933"/>
      <c r="F17" s="934"/>
      <c r="G17" s="932">
        <v>1.4</v>
      </c>
      <c r="H17" s="933"/>
      <c r="I17" s="934"/>
      <c r="J17" s="80">
        <f>0.85+0.9</f>
        <v>1.75</v>
      </c>
      <c r="K17" s="83">
        <v>1</v>
      </c>
      <c r="L17" s="82">
        <f>D17*G17*J17*K17</f>
        <v>3.4299999999999997</v>
      </c>
      <c r="M17" s="83"/>
      <c r="N17" s="82">
        <f>F17*I17*L17*M17</f>
        <v>0</v>
      </c>
      <c r="O17" s="155"/>
      <c r="P17" s="156"/>
      <c r="Q17" s="85"/>
      <c r="R17" s="85">
        <f>L17-1.74</f>
        <v>1.6899999999999997</v>
      </c>
      <c r="S17" s="111" t="s">
        <v>57</v>
      </c>
      <c r="T17" s="215">
        <v>8</v>
      </c>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DEZ!I239</f>
        <v>43.209999999999994</v>
      </c>
      <c r="K24" s="810"/>
      <c r="L24" s="50" t="str">
        <f>DEZ!D237</f>
        <v>kg</v>
      </c>
      <c r="M24" s="803" t="s">
        <v>12</v>
      </c>
      <c r="N24" s="811"/>
      <c r="O24" s="811"/>
      <c r="P24" s="811"/>
      <c r="Q24" s="805"/>
      <c r="R24" s="61">
        <f>SUM(R12:R23)</f>
        <v>43.21</v>
      </c>
      <c r="S24" s="51" t="str">
        <f>L24</f>
        <v>kg</v>
      </c>
      <c r="T24" s="22"/>
      <c r="U24" s="23"/>
    </row>
    <row r="25" spans="1:28" ht="21" customHeight="1">
      <c r="B25" s="163"/>
      <c r="C25" s="19"/>
      <c r="D25" s="817" t="s">
        <v>13</v>
      </c>
      <c r="E25" s="818"/>
      <c r="F25" s="818"/>
      <c r="G25" s="818"/>
      <c r="H25" s="818"/>
      <c r="I25" s="819"/>
      <c r="J25" s="823">
        <f>R24/J24</f>
        <v>1.0000000000000002</v>
      </c>
      <c r="K25" s="824"/>
      <c r="L25" s="827"/>
      <c r="M25" s="803" t="s">
        <v>34</v>
      </c>
      <c r="N25" s="804"/>
      <c r="O25" s="804"/>
      <c r="P25" s="804"/>
      <c r="Q25" s="805"/>
      <c r="R25" s="61">
        <f>SUM(R12:R17)</f>
        <v>43.21</v>
      </c>
      <c r="S25" s="52" t="str">
        <f>L24</f>
        <v>kg</v>
      </c>
      <c r="T25" s="22"/>
      <c r="U25" s="23"/>
    </row>
    <row r="26" spans="1:28" ht="21" customHeight="1">
      <c r="A26" s="10" t="s">
        <v>396</v>
      </c>
      <c r="B26" s="165"/>
      <c r="C26" s="164"/>
      <c r="D26" s="820"/>
      <c r="E26" s="821"/>
      <c r="F26" s="821"/>
      <c r="G26" s="821"/>
      <c r="H26" s="821"/>
      <c r="I26" s="822"/>
      <c r="J26" s="825"/>
      <c r="K26" s="826"/>
      <c r="L26" s="828"/>
      <c r="M26" s="803" t="s">
        <v>14</v>
      </c>
      <c r="N26" s="804"/>
      <c r="O26" s="804"/>
      <c r="P26" s="804"/>
      <c r="Q26" s="805"/>
      <c r="R26" s="62">
        <f>R24-R25</f>
        <v>0</v>
      </c>
      <c r="S26" s="53" t="str">
        <f>L24</f>
        <v>kg</v>
      </c>
      <c r="T26" s="54"/>
      <c r="U26" s="24"/>
    </row>
    <row r="27" spans="1:28" ht="21" customHeight="1">
      <c r="B27" s="218"/>
      <c r="C27" s="217"/>
      <c r="M27" s="803" t="s">
        <v>53</v>
      </c>
      <c r="N27" s="804"/>
      <c r="O27" s="804"/>
      <c r="P27" s="804"/>
      <c r="Q27" s="805"/>
      <c r="R27" s="62">
        <f>DEZ!E241</f>
        <v>7.98</v>
      </c>
      <c r="S27" s="53"/>
      <c r="T27" s="54"/>
      <c r="U27" s="24"/>
    </row>
    <row r="28" spans="1:28" ht="21" customHeight="1">
      <c r="B28" s="163"/>
      <c r="C28" s="219"/>
      <c r="M28" s="803" t="s">
        <v>54</v>
      </c>
      <c r="N28" s="804"/>
      <c r="O28" s="804"/>
      <c r="P28" s="804"/>
      <c r="Q28" s="805"/>
      <c r="R28" s="62">
        <f>TRUNC(R27*R26,2)</f>
        <v>0</v>
      </c>
      <c r="S28" s="53" t="s">
        <v>55</v>
      </c>
      <c r="T28" s="54"/>
      <c r="U28" s="24"/>
    </row>
  </sheetData>
  <mergeCells count="45">
    <mergeCell ref="R10:R11"/>
    <mergeCell ref="S10:S11"/>
    <mergeCell ref="M28:Q28"/>
    <mergeCell ref="D25:I26"/>
    <mergeCell ref="J25:K26"/>
    <mergeCell ref="L25:L26"/>
    <mergeCell ref="M25:Q25"/>
    <mergeCell ref="M26:Q26"/>
    <mergeCell ref="M27:Q27"/>
    <mergeCell ref="D13:F13"/>
    <mergeCell ref="D14:F14"/>
    <mergeCell ref="D24:I24"/>
    <mergeCell ref="J24:K24"/>
    <mergeCell ref="M24:Q24"/>
    <mergeCell ref="D12:F12"/>
    <mergeCell ref="G13:I13"/>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 ref="G17:I17"/>
    <mergeCell ref="D17:F17"/>
    <mergeCell ref="G14:I14"/>
    <mergeCell ref="D15:F15"/>
    <mergeCell ref="G15:I15"/>
    <mergeCell ref="D16:F16"/>
    <mergeCell ref="G16:I16"/>
  </mergeCells>
  <conditionalFormatting sqref="J25:K28">
    <cfRule type="cellIs" dxfId="273" priority="1" operator="greaterThanOrEqual">
      <formula>1</formula>
    </cfRule>
    <cfRule type="cellIs" dxfId="272"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Planilha41">
    <tabColor rgb="FF339933"/>
    <pageSetUpPr fitToPage="1"/>
  </sheetPr>
  <dimension ref="A1:AJ29"/>
  <sheetViews>
    <sheetView view="pageBreakPreview" topLeftCell="K10" zoomScale="60" zoomScaleNormal="55"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9.28515625" style="2" customWidth="1"/>
    <col min="5" max="5" width="2.42578125" style="2" customWidth="1"/>
    <col min="6" max="6" width="7.140625" style="2" bestFit="1" customWidth="1"/>
    <col min="7" max="7" width="9.14062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DEZ!A240</f>
        <v>3.3.2.6</v>
      </c>
      <c r="C10" s="845" t="str">
        <f>DEZ!C240</f>
        <v>Forma de chapas madeira compensada resinada, esp. 12mm, levando-se em conta a utilização 3 vezes, reforçadas com sarrafos de madeira de 2.5 x 10.0cm (incl material, corte, montagem,
escoras em eucalipto e desforma)</v>
      </c>
      <c r="D10" s="816" t="s">
        <v>854</v>
      </c>
      <c r="E10" s="816"/>
      <c r="F10" s="816"/>
      <c r="G10" s="816" t="s">
        <v>33</v>
      </c>
      <c r="H10" s="816"/>
      <c r="I10" s="816"/>
      <c r="J10" s="812" t="s">
        <v>1271</v>
      </c>
      <c r="K10" s="812" t="s">
        <v>1279</v>
      </c>
      <c r="L10" s="812" t="s">
        <v>855</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ustomHeight="1">
      <c r="A12" s="64"/>
      <c r="B12" s="112"/>
      <c r="C12" s="65" t="s">
        <v>959</v>
      </c>
      <c r="D12" s="77"/>
      <c r="E12" s="78"/>
      <c r="F12" s="79"/>
      <c r="G12" s="77"/>
      <c r="H12" s="78"/>
      <c r="I12" s="79"/>
      <c r="J12" s="80"/>
      <c r="K12" s="80"/>
      <c r="L12" s="81">
        <v>108</v>
      </c>
      <c r="M12" s="83"/>
      <c r="N12" s="105"/>
      <c r="O12" s="84"/>
      <c r="P12" s="82"/>
      <c r="Q12" s="93"/>
      <c r="R12" s="85">
        <f>L12</f>
        <v>108</v>
      </c>
      <c r="S12" s="111" t="str">
        <f>DEZ!D240</f>
        <v>m2</v>
      </c>
      <c r="T12" s="215">
        <v>4</v>
      </c>
      <c r="U12" s="91"/>
      <c r="V12" s="71"/>
      <c r="W12" s="71"/>
      <c r="X12" s="152"/>
      <c r="Y12" s="153"/>
      <c r="Z12" s="72"/>
    </row>
    <row r="13" spans="1:36" s="73" customFormat="1" ht="30" customHeight="1">
      <c r="A13" s="64"/>
      <c r="B13" s="112"/>
      <c r="C13" s="65" t="s">
        <v>1276</v>
      </c>
      <c r="D13" s="612">
        <v>18.3</v>
      </c>
      <c r="E13" s="78"/>
      <c r="F13" s="79"/>
      <c r="G13" s="612">
        <v>0.6</v>
      </c>
      <c r="H13" s="78"/>
      <c r="I13" s="79"/>
      <c r="J13" s="80">
        <f>2*2</f>
        <v>4</v>
      </c>
      <c r="K13" s="80"/>
      <c r="L13" s="81">
        <f>D13*G13*J13</f>
        <v>43.92</v>
      </c>
      <c r="M13" s="83"/>
      <c r="N13" s="105"/>
      <c r="O13" s="84"/>
      <c r="P13" s="82"/>
      <c r="Q13" s="93"/>
      <c r="R13" s="85">
        <f>L13-9.08</f>
        <v>34.840000000000003</v>
      </c>
      <c r="S13" s="111" t="s">
        <v>57</v>
      </c>
      <c r="T13" s="215">
        <v>8</v>
      </c>
      <c r="U13" s="91"/>
      <c r="V13" s="71"/>
      <c r="W13" s="71"/>
      <c r="X13" s="152"/>
      <c r="Y13" s="153"/>
      <c r="Z13" s="72"/>
    </row>
    <row r="14" spans="1:36" s="73" customFormat="1" ht="30" customHeight="1">
      <c r="A14" s="64"/>
      <c r="B14" s="112"/>
      <c r="C14" s="65" t="s">
        <v>1277</v>
      </c>
      <c r="D14" s="612">
        <v>8.6</v>
      </c>
      <c r="E14" s="78"/>
      <c r="F14" s="79"/>
      <c r="G14" s="612">
        <v>0.6</v>
      </c>
      <c r="H14" s="78"/>
      <c r="I14" s="79"/>
      <c r="J14" s="80">
        <f>2*2</f>
        <v>4</v>
      </c>
      <c r="K14" s="80"/>
      <c r="L14" s="81">
        <f>D14*G14*J14</f>
        <v>20.639999999999997</v>
      </c>
      <c r="M14" s="83"/>
      <c r="N14" s="105"/>
      <c r="O14" s="84"/>
      <c r="P14" s="82"/>
      <c r="Q14" s="93"/>
      <c r="R14" s="85"/>
      <c r="S14" s="111"/>
      <c r="T14" s="215"/>
      <c r="U14" s="91"/>
      <c r="V14" s="71"/>
      <c r="W14" s="71"/>
      <c r="X14" s="152"/>
      <c r="Y14" s="153"/>
      <c r="Z14" s="72"/>
    </row>
    <row r="15" spans="1:36" s="73" customFormat="1" ht="30" customHeight="1">
      <c r="A15" s="64"/>
      <c r="B15" s="112"/>
      <c r="C15" s="65" t="s">
        <v>1278</v>
      </c>
      <c r="D15" s="612">
        <v>8.6</v>
      </c>
      <c r="E15" s="78"/>
      <c r="F15" s="79"/>
      <c r="G15" s="612">
        <v>0.4</v>
      </c>
      <c r="H15" s="78"/>
      <c r="I15" s="79"/>
      <c r="J15" s="80">
        <f>3*2</f>
        <v>6</v>
      </c>
      <c r="K15" s="80"/>
      <c r="L15" s="81">
        <f>D15*G15*J15</f>
        <v>20.64</v>
      </c>
      <c r="M15" s="83"/>
      <c r="N15" s="105"/>
      <c r="O15" s="84"/>
      <c r="P15" s="82"/>
      <c r="Q15" s="93"/>
      <c r="R15" s="85"/>
      <c r="S15" s="111"/>
      <c r="T15" s="215"/>
      <c r="U15" s="91"/>
      <c r="V15" s="71"/>
      <c r="W15" s="71"/>
      <c r="X15" s="152"/>
      <c r="Y15" s="153"/>
      <c r="Z15" s="72"/>
    </row>
    <row r="16" spans="1:36" s="90" customFormat="1" ht="21" customHeight="1">
      <c r="A16" s="75"/>
      <c r="B16" s="107"/>
      <c r="C16" s="104" t="s">
        <v>1280</v>
      </c>
      <c r="D16" s="612">
        <f>0.8+0.6</f>
        <v>1.4</v>
      </c>
      <c r="E16" s="78"/>
      <c r="F16" s="79"/>
      <c r="G16" s="612">
        <v>0.5</v>
      </c>
      <c r="H16" s="78"/>
      <c r="I16" s="79"/>
      <c r="J16" s="80">
        <v>2</v>
      </c>
      <c r="K16" s="80">
        <v>10</v>
      </c>
      <c r="L16" s="81">
        <f>D16*G16*J16*K16</f>
        <v>14</v>
      </c>
      <c r="M16" s="83"/>
      <c r="N16" s="84"/>
      <c r="O16" s="155"/>
      <c r="P16" s="156"/>
      <c r="Q16" s="85"/>
      <c r="R16" s="85"/>
      <c r="S16" s="154"/>
      <c r="T16" s="215"/>
      <c r="U16" s="92"/>
      <c r="V16" s="86"/>
      <c r="W16" s="86"/>
      <c r="X16" s="86"/>
      <c r="Y16" s="151"/>
      <c r="Z16" s="87"/>
      <c r="AA16" s="88"/>
      <c r="AB16" s="89"/>
    </row>
    <row r="17" spans="1:28" s="90" customFormat="1" ht="21" customHeight="1">
      <c r="A17" s="75"/>
      <c r="B17" s="107"/>
      <c r="C17" s="104" t="s">
        <v>1282</v>
      </c>
      <c r="D17" s="612">
        <f>0.8+0.6</f>
        <v>1.4</v>
      </c>
      <c r="E17" s="78"/>
      <c r="F17" s="79"/>
      <c r="G17" s="612">
        <v>0.5</v>
      </c>
      <c r="H17" s="78"/>
      <c r="I17" s="79"/>
      <c r="J17" s="80">
        <v>2</v>
      </c>
      <c r="K17" s="80">
        <v>10</v>
      </c>
      <c r="L17" s="81">
        <f>D17*G17*J17*K17</f>
        <v>14</v>
      </c>
      <c r="M17" s="83"/>
      <c r="N17" s="84"/>
      <c r="O17" s="155"/>
      <c r="P17" s="156"/>
      <c r="Q17" s="85"/>
      <c r="R17" s="85"/>
      <c r="S17" s="154"/>
      <c r="T17" s="215"/>
      <c r="U17" s="92"/>
      <c r="V17" s="86"/>
      <c r="W17" s="86"/>
      <c r="X17" s="86"/>
      <c r="Y17" s="151"/>
      <c r="Z17" s="87"/>
      <c r="AA17" s="88"/>
      <c r="AB17" s="89"/>
    </row>
    <row r="18" spans="1:28" s="90" customFormat="1" ht="21" customHeight="1">
      <c r="A18" s="75"/>
      <c r="B18" s="107"/>
      <c r="C18" s="104" t="s">
        <v>1281</v>
      </c>
      <c r="D18" s="612">
        <f>1.2+1.2</f>
        <v>2.4</v>
      </c>
      <c r="E18" s="78"/>
      <c r="F18" s="79"/>
      <c r="G18" s="612">
        <v>0.5</v>
      </c>
      <c r="H18" s="78"/>
      <c r="I18" s="79"/>
      <c r="J18" s="80">
        <v>2</v>
      </c>
      <c r="K18" s="80">
        <v>1</v>
      </c>
      <c r="L18" s="81">
        <f>D18*G18*J18*K18</f>
        <v>2.4</v>
      </c>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DEZ!I240</f>
        <v>142.84</v>
      </c>
      <c r="K25" s="810"/>
      <c r="L25" s="50" t="str">
        <f>DEZ!D240</f>
        <v>m2</v>
      </c>
      <c r="M25" s="803" t="s">
        <v>12</v>
      </c>
      <c r="N25" s="811"/>
      <c r="O25" s="811"/>
      <c r="P25" s="811"/>
      <c r="Q25" s="805"/>
      <c r="R25" s="61">
        <f>SUM(R12:R24)</f>
        <v>142.84</v>
      </c>
      <c r="S25" s="51" t="str">
        <f>L25</f>
        <v>m2</v>
      </c>
      <c r="T25" s="22"/>
      <c r="U25" s="61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SUM(R12:R13)</f>
        <v>142.84</v>
      </c>
      <c r="S26" s="52" t="str">
        <f>L25</f>
        <v>m2</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m2</v>
      </c>
      <c r="T27" s="54"/>
      <c r="U27" s="24"/>
    </row>
    <row r="28" spans="1:28" ht="21" customHeight="1">
      <c r="B28" s="218"/>
      <c r="C28" s="217"/>
      <c r="M28" s="803" t="s">
        <v>53</v>
      </c>
      <c r="N28" s="804"/>
      <c r="O28" s="804"/>
      <c r="P28" s="804"/>
      <c r="Q28" s="805"/>
      <c r="R28" s="62">
        <f>DEZ!E241</f>
        <v>7.98</v>
      </c>
      <c r="S28" s="53"/>
      <c r="T28" s="54"/>
      <c r="U28" s="24"/>
    </row>
    <row r="29" spans="1:28" ht="21" customHeight="1">
      <c r="B29" s="163"/>
      <c r="C29" s="219"/>
      <c r="M29" s="803" t="s">
        <v>54</v>
      </c>
      <c r="N29" s="804"/>
      <c r="O29" s="804"/>
      <c r="P29" s="804"/>
      <c r="Q29" s="805"/>
      <c r="R29" s="62">
        <f>TRUNC(R28*R27,2)</f>
        <v>0</v>
      </c>
      <c r="S29" s="53" t="s">
        <v>55</v>
      </c>
      <c r="T29" s="54"/>
      <c r="U29" s="24"/>
    </row>
  </sheetData>
  <mergeCells count="34">
    <mergeCell ref="S10:S11"/>
    <mergeCell ref="M29:Q29"/>
    <mergeCell ref="D26:I27"/>
    <mergeCell ref="J26:K27"/>
    <mergeCell ref="L26:L27"/>
    <mergeCell ref="M26:Q26"/>
    <mergeCell ref="M27:Q27"/>
    <mergeCell ref="M28:Q28"/>
    <mergeCell ref="D25:I25"/>
    <mergeCell ref="J25:K25"/>
    <mergeCell ref="M25:Q25"/>
    <mergeCell ref="K10:K11"/>
    <mergeCell ref="T8:U8"/>
    <mergeCell ref="T9:U9"/>
    <mergeCell ref="B10:B11"/>
    <mergeCell ref="C10:C11"/>
    <mergeCell ref="D10:F11"/>
    <mergeCell ref="G10:I11"/>
    <mergeCell ref="J10:J11"/>
    <mergeCell ref="L10:L11"/>
    <mergeCell ref="M10:M11"/>
    <mergeCell ref="T10:T11"/>
    <mergeCell ref="U10:U11"/>
    <mergeCell ref="N10:N11"/>
    <mergeCell ref="O10:O11"/>
    <mergeCell ref="P10:P11"/>
    <mergeCell ref="Q10:Q11"/>
    <mergeCell ref="R10:R11"/>
    <mergeCell ref="T7:U7"/>
    <mergeCell ref="B1:U4"/>
    <mergeCell ref="V4:AA4"/>
    <mergeCell ref="B5:I5"/>
    <mergeCell ref="J5:O5"/>
    <mergeCell ref="P5:U5"/>
  </mergeCells>
  <conditionalFormatting sqref="J26:K29">
    <cfRule type="cellIs" dxfId="271" priority="1" operator="greaterThanOrEqual">
      <formula>1</formula>
    </cfRule>
    <cfRule type="cellIs" dxfId="270"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ilha42">
    <tabColor rgb="FF339933"/>
    <pageSetUpPr fitToPage="1"/>
  </sheetPr>
  <dimension ref="A1:AJ29"/>
  <sheetViews>
    <sheetView view="pageBreakPreview" topLeftCell="G11" zoomScale="60" zoomScaleNormal="55"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DEZ!A241</f>
        <v>3.3.2.7</v>
      </c>
      <c r="C10" s="845" t="str">
        <f>DEZ!C241</f>
        <v>Fornecimento, dobragem e colocação em fôrma, de armadura CA-50 A média, diâmetro de 6.3 a 10.0 mm</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4.75" customHeight="1">
      <c r="A12" s="64"/>
      <c r="B12" s="112"/>
      <c r="C12" s="65" t="s">
        <v>958</v>
      </c>
      <c r="D12" s="77"/>
      <c r="E12" s="78"/>
      <c r="F12" s="79"/>
      <c r="G12" s="77"/>
      <c r="H12" s="78"/>
      <c r="I12" s="79"/>
      <c r="J12" s="80"/>
      <c r="K12" s="81"/>
      <c r="L12" s="82"/>
      <c r="M12" s="83">
        <v>594</v>
      </c>
      <c r="N12" s="105"/>
      <c r="O12" s="84"/>
      <c r="P12" s="82"/>
      <c r="Q12" s="93"/>
      <c r="R12" s="85">
        <f>M12</f>
        <v>594</v>
      </c>
      <c r="S12" s="111" t="str">
        <f>L25</f>
        <v>kg</v>
      </c>
      <c r="T12" s="215">
        <v>4</v>
      </c>
      <c r="U12" s="91"/>
      <c r="V12" s="71"/>
      <c r="W12" s="71"/>
      <c r="X12" s="152"/>
      <c r="Y12" s="153"/>
      <c r="Z12" s="72"/>
    </row>
    <row r="13" spans="1:36" s="73" customFormat="1" ht="24.75" customHeight="1">
      <c r="A13" s="64"/>
      <c r="B13" s="112"/>
      <c r="C13" s="65" t="s">
        <v>1283</v>
      </c>
      <c r="D13" s="77"/>
      <c r="E13" s="78"/>
      <c r="F13" s="79"/>
      <c r="G13" s="77"/>
      <c r="H13" s="78"/>
      <c r="I13" s="79"/>
      <c r="J13" s="80"/>
      <c r="K13" s="81"/>
      <c r="L13" s="82"/>
      <c r="M13" s="83">
        <v>522</v>
      </c>
      <c r="N13" s="105"/>
      <c r="O13" s="84"/>
      <c r="P13" s="82"/>
      <c r="Q13" s="93"/>
      <c r="R13" s="85">
        <v>521</v>
      </c>
      <c r="S13" s="111" t="s">
        <v>29</v>
      </c>
      <c r="T13" s="215">
        <v>8</v>
      </c>
      <c r="U13" s="91"/>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DEZ!I241</f>
        <v>1115</v>
      </c>
      <c r="K25" s="810"/>
      <c r="L25" s="50" t="str">
        <f>DEZ!D237</f>
        <v>kg</v>
      </c>
      <c r="M25" s="803" t="s">
        <v>12</v>
      </c>
      <c r="N25" s="811"/>
      <c r="O25" s="811"/>
      <c r="P25" s="811"/>
      <c r="Q25" s="805"/>
      <c r="R25" s="61">
        <f>SUM(R12:R24)</f>
        <v>1115</v>
      </c>
      <c r="S25" s="51" t="str">
        <f>L25</f>
        <v>kg</v>
      </c>
      <c r="T25" s="22"/>
      <c r="U25" s="61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SUM(R12:R14)</f>
        <v>1115</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kg</v>
      </c>
      <c r="T27" s="54"/>
      <c r="U27" s="24"/>
    </row>
    <row r="28" spans="1:28" ht="21" customHeight="1">
      <c r="B28" s="218"/>
      <c r="C28" s="217"/>
      <c r="M28" s="803" t="s">
        <v>53</v>
      </c>
      <c r="N28" s="804"/>
      <c r="O28" s="804"/>
      <c r="P28" s="804"/>
      <c r="Q28" s="805"/>
      <c r="R28" s="62">
        <f>DEZ!E241</f>
        <v>7.98</v>
      </c>
      <c r="S28" s="53"/>
      <c r="T28" s="54"/>
      <c r="U28" s="24"/>
    </row>
    <row r="29" spans="1:28" ht="21" customHeight="1">
      <c r="B29" s="163"/>
      <c r="C29" s="219"/>
      <c r="M29" s="803" t="s">
        <v>54</v>
      </c>
      <c r="N29" s="804"/>
      <c r="O29" s="804"/>
      <c r="P29" s="804"/>
      <c r="Q29" s="805"/>
      <c r="R29" s="62">
        <f>TRUNC(R28*R27,2)</f>
        <v>0</v>
      </c>
      <c r="S29" s="53" t="s">
        <v>55</v>
      </c>
      <c r="T29" s="54"/>
      <c r="U29" s="24"/>
    </row>
  </sheetData>
  <mergeCells count="35">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R10:R11"/>
    <mergeCell ref="S10:S11"/>
    <mergeCell ref="M29:Q29"/>
    <mergeCell ref="D26:I27"/>
    <mergeCell ref="J26:K27"/>
    <mergeCell ref="L26:L27"/>
    <mergeCell ref="M26:Q26"/>
    <mergeCell ref="M27:Q27"/>
    <mergeCell ref="M28:Q28"/>
    <mergeCell ref="D14:F14"/>
    <mergeCell ref="D25:I25"/>
    <mergeCell ref="J25:K25"/>
    <mergeCell ref="M25:Q25"/>
  </mergeCells>
  <conditionalFormatting sqref="J26:K29">
    <cfRule type="cellIs" dxfId="269" priority="1" operator="greaterThanOrEqual">
      <formula>1</formula>
    </cfRule>
    <cfRule type="cellIs" dxfId="26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ilha43">
    <tabColor rgb="FF339933"/>
    <pageSetUpPr fitToPage="1"/>
  </sheetPr>
  <dimension ref="A1:AJ29"/>
  <sheetViews>
    <sheetView view="pageBreakPreview" topLeftCell="G9" zoomScale="60" zoomScaleNormal="55"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DEZ!A242</f>
        <v>3.3.2.8</v>
      </c>
      <c r="C10" s="845" t="str">
        <f>DEZ!C242</f>
        <v>Fornecimento, dobragem e colocação em fôrma, de armadura CA-50 A grossa diâmetro de 12.5 a 25.0 mm (1/2 a 1")</v>
      </c>
      <c r="D10" s="816" t="s">
        <v>854</v>
      </c>
      <c r="E10" s="816"/>
      <c r="F10" s="816"/>
      <c r="G10" s="816" t="s">
        <v>33</v>
      </c>
      <c r="H10" s="816"/>
      <c r="I10" s="816"/>
      <c r="J10" s="812" t="s">
        <v>853</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15">
      <c r="A12" s="64"/>
      <c r="B12" s="112"/>
      <c r="C12" s="65" t="s">
        <v>960</v>
      </c>
      <c r="D12" s="77"/>
      <c r="E12" s="78"/>
      <c r="F12" s="79"/>
      <c r="G12" s="77"/>
      <c r="H12" s="78"/>
      <c r="I12" s="79"/>
      <c r="J12" s="80"/>
      <c r="K12" s="81"/>
      <c r="L12" s="82"/>
      <c r="M12" s="83">
        <v>40</v>
      </c>
      <c r="N12" s="105"/>
      <c r="O12" s="84"/>
      <c r="P12" s="82"/>
      <c r="Q12" s="93"/>
      <c r="R12" s="85">
        <f>M12</f>
        <v>40</v>
      </c>
      <c r="S12" s="111" t="str">
        <f>L25</f>
        <v>kg</v>
      </c>
      <c r="T12" s="215">
        <v>4</v>
      </c>
      <c r="U12" s="91"/>
      <c r="V12" s="71"/>
      <c r="W12" s="71"/>
      <c r="X12" s="152"/>
      <c r="Y12" s="153"/>
      <c r="Z12" s="72"/>
    </row>
    <row r="13" spans="1:36" s="73" customFormat="1" ht="27.75" customHeight="1">
      <c r="A13" s="64"/>
      <c r="B13" s="112"/>
      <c r="C13" s="65" t="s">
        <v>960</v>
      </c>
      <c r="D13" s="77"/>
      <c r="E13" s="78"/>
      <c r="F13" s="79"/>
      <c r="G13" s="77"/>
      <c r="H13" s="78"/>
      <c r="I13" s="79"/>
      <c r="J13" s="80"/>
      <c r="K13" s="81"/>
      <c r="L13" s="82"/>
      <c r="M13" s="83">
        <f>66-40</f>
        <v>26</v>
      </c>
      <c r="N13" s="105"/>
      <c r="O13" s="84"/>
      <c r="P13" s="82"/>
      <c r="Q13" s="93"/>
      <c r="R13" s="85">
        <f>M13</f>
        <v>26</v>
      </c>
      <c r="S13" s="111" t="s">
        <v>29</v>
      </c>
      <c r="T13" s="215">
        <v>8</v>
      </c>
      <c r="U13" s="91"/>
      <c r="V13" s="71"/>
      <c r="W13" s="71"/>
      <c r="X13" s="152"/>
      <c r="Y13" s="153"/>
      <c r="Z13" s="72"/>
    </row>
    <row r="14" spans="1:36" s="73" customFormat="1" ht="21" customHeight="1">
      <c r="A14" s="64"/>
      <c r="B14" s="109"/>
      <c r="C14" s="65"/>
      <c r="D14" s="854"/>
      <c r="E14" s="855"/>
      <c r="F14" s="856"/>
      <c r="G14" s="77"/>
      <c r="H14" s="78"/>
      <c r="I14" s="79"/>
      <c r="J14" s="80"/>
      <c r="K14" s="81"/>
      <c r="L14" s="82"/>
      <c r="M14" s="83"/>
      <c r="N14" s="105"/>
      <c r="O14" s="84"/>
      <c r="P14" s="82"/>
      <c r="Q14" s="93"/>
      <c r="R14" s="85"/>
      <c r="S14" s="154"/>
      <c r="T14" s="215"/>
      <c r="U14" s="94"/>
      <c r="V14" s="71"/>
      <c r="W14" s="71"/>
      <c r="X14" s="152"/>
      <c r="Y14" s="153"/>
      <c r="Z14" s="72"/>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77"/>
      <c r="E17" s="78"/>
      <c r="F17" s="79"/>
      <c r="G17" s="77"/>
      <c r="H17" s="78"/>
      <c r="I17" s="79"/>
      <c r="J17" s="80"/>
      <c r="K17" s="81"/>
      <c r="L17" s="82"/>
      <c r="M17" s="83"/>
      <c r="N17" s="84"/>
      <c r="O17" s="155"/>
      <c r="P17" s="156"/>
      <c r="Q17" s="85"/>
      <c r="R17" s="85"/>
      <c r="S17" s="154"/>
      <c r="T17" s="215"/>
      <c r="U17" s="92"/>
      <c r="V17" s="86"/>
      <c r="W17" s="86"/>
      <c r="X17" s="86"/>
      <c r="Y17" s="151"/>
      <c r="Z17" s="87"/>
      <c r="AA17" s="88"/>
      <c r="AB17" s="89"/>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90" customFormat="1" ht="21" customHeight="1">
      <c r="A22" s="75"/>
      <c r="B22" s="157"/>
      <c r="C22" s="76"/>
      <c r="D22" s="77"/>
      <c r="E22" s="78"/>
      <c r="F22" s="79"/>
      <c r="G22" s="77"/>
      <c r="H22" s="78"/>
      <c r="I22" s="79"/>
      <c r="J22" s="80"/>
      <c r="K22" s="81"/>
      <c r="L22" s="82"/>
      <c r="M22" s="83"/>
      <c r="N22" s="84"/>
      <c r="O22" s="84"/>
      <c r="P22" s="82"/>
      <c r="Q22" s="85"/>
      <c r="R22" s="85"/>
      <c r="S22" s="154"/>
      <c r="T22" s="215"/>
      <c r="U22" s="92"/>
      <c r="V22" s="86"/>
      <c r="W22" s="86"/>
      <c r="X22" s="86"/>
      <c r="Y22" s="151"/>
      <c r="Z22" s="87"/>
      <c r="AA22" s="88"/>
      <c r="AB22" s="89"/>
    </row>
    <row r="23" spans="1:28" s="1" customFormat="1" ht="21" customHeight="1">
      <c r="A23" s="11"/>
      <c r="B23" s="25"/>
      <c r="C23" s="20"/>
      <c r="D23" s="26"/>
      <c r="E23" s="159"/>
      <c r="F23" s="27"/>
      <c r="G23" s="26"/>
      <c r="H23" s="159"/>
      <c r="I23" s="27"/>
      <c r="J23" s="28"/>
      <c r="K23" s="49"/>
      <c r="L23" s="40"/>
      <c r="M23" s="41"/>
      <c r="N23" s="160"/>
      <c r="O23" s="160"/>
      <c r="P23" s="40"/>
      <c r="Q23" s="42"/>
      <c r="R23" s="60"/>
      <c r="S23" s="43"/>
      <c r="T23" s="215"/>
      <c r="U23" s="48"/>
      <c r="V23" s="120"/>
      <c r="W23" s="120"/>
      <c r="X23" s="120"/>
      <c r="Y23" s="142"/>
      <c r="Z23" s="15"/>
      <c r="AA23" s="17"/>
      <c r="AB23" s="44"/>
    </row>
    <row r="24" spans="1:28" ht="21" customHeight="1">
      <c r="B24" s="118"/>
      <c r="C24" s="119"/>
      <c r="D24" s="26"/>
      <c r="E24" s="159"/>
      <c r="F24" s="27"/>
      <c r="G24" s="26"/>
      <c r="H24" s="159"/>
      <c r="I24" s="27"/>
      <c r="J24" s="28"/>
      <c r="K24" s="49"/>
      <c r="L24" s="40"/>
      <c r="M24" s="41"/>
      <c r="N24" s="160"/>
      <c r="O24" s="160"/>
      <c r="P24" s="40"/>
      <c r="Q24" s="42"/>
      <c r="R24" s="60"/>
      <c r="S24" s="43"/>
      <c r="T24" s="216"/>
      <c r="U24" s="117"/>
    </row>
    <row r="25" spans="1:28" ht="39.6" customHeight="1">
      <c r="B25" s="161"/>
      <c r="C25" s="162"/>
      <c r="D25" s="806" t="s">
        <v>11</v>
      </c>
      <c r="E25" s="807"/>
      <c r="F25" s="807"/>
      <c r="G25" s="807"/>
      <c r="H25" s="807"/>
      <c r="I25" s="808"/>
      <c r="J25" s="809">
        <f>DEZ!I242</f>
        <v>66</v>
      </c>
      <c r="K25" s="810"/>
      <c r="L25" s="50" t="str">
        <f>DEZ!D237</f>
        <v>kg</v>
      </c>
      <c r="M25" s="803" t="s">
        <v>12</v>
      </c>
      <c r="N25" s="811"/>
      <c r="O25" s="811"/>
      <c r="P25" s="811"/>
      <c r="Q25" s="805"/>
      <c r="R25" s="61">
        <f>SUM(R12:R24)</f>
        <v>66</v>
      </c>
      <c r="S25" s="51" t="str">
        <f>L25</f>
        <v>kg</v>
      </c>
      <c r="T25" s="22"/>
      <c r="U25" s="23"/>
    </row>
    <row r="26" spans="1:28" ht="21" customHeight="1">
      <c r="B26" s="163"/>
      <c r="C26" s="19"/>
      <c r="D26" s="817" t="s">
        <v>13</v>
      </c>
      <c r="E26" s="818"/>
      <c r="F26" s="818"/>
      <c r="G26" s="818"/>
      <c r="H26" s="818"/>
      <c r="I26" s="819"/>
      <c r="J26" s="823">
        <f>R25/J25</f>
        <v>1</v>
      </c>
      <c r="K26" s="824"/>
      <c r="L26" s="827"/>
      <c r="M26" s="803" t="s">
        <v>34</v>
      </c>
      <c r="N26" s="804"/>
      <c r="O26" s="804"/>
      <c r="P26" s="804"/>
      <c r="Q26" s="805"/>
      <c r="R26" s="61">
        <f>SUM(R12:R13)</f>
        <v>66</v>
      </c>
      <c r="S26" s="52" t="str">
        <f>L25</f>
        <v>kg</v>
      </c>
      <c r="T26" s="22"/>
      <c r="U26" s="23"/>
    </row>
    <row r="27" spans="1:28" ht="21" customHeight="1">
      <c r="A27" s="10" t="s">
        <v>396</v>
      </c>
      <c r="B27" s="165"/>
      <c r="C27" s="164"/>
      <c r="D27" s="820"/>
      <c r="E27" s="821"/>
      <c r="F27" s="821"/>
      <c r="G27" s="821"/>
      <c r="H27" s="821"/>
      <c r="I27" s="822"/>
      <c r="J27" s="825"/>
      <c r="K27" s="826"/>
      <c r="L27" s="828"/>
      <c r="M27" s="803" t="s">
        <v>14</v>
      </c>
      <c r="N27" s="804"/>
      <c r="O27" s="804"/>
      <c r="P27" s="804"/>
      <c r="Q27" s="805"/>
      <c r="R27" s="62">
        <f>R25-R26</f>
        <v>0</v>
      </c>
      <c r="S27" s="53" t="str">
        <f>L25</f>
        <v>kg</v>
      </c>
      <c r="T27" s="54"/>
      <c r="U27" s="24"/>
    </row>
    <row r="28" spans="1:28" ht="21" customHeight="1">
      <c r="B28" s="218"/>
      <c r="C28" s="217"/>
      <c r="M28" s="803" t="s">
        <v>53</v>
      </c>
      <c r="N28" s="804"/>
      <c r="O28" s="804"/>
      <c r="P28" s="804"/>
      <c r="Q28" s="805"/>
      <c r="R28" s="62">
        <f>DEZ!E241</f>
        <v>7.98</v>
      </c>
      <c r="S28" s="53"/>
      <c r="T28" s="54"/>
      <c r="U28" s="24"/>
    </row>
    <row r="29" spans="1:28" ht="21" customHeight="1">
      <c r="B29" s="163"/>
      <c r="C29" s="219"/>
      <c r="M29" s="803" t="s">
        <v>54</v>
      </c>
      <c r="N29" s="804"/>
      <c r="O29" s="804"/>
      <c r="P29" s="804"/>
      <c r="Q29" s="805"/>
      <c r="R29" s="62">
        <f>TRUNC(R28*R27,2)</f>
        <v>0</v>
      </c>
      <c r="S29" s="53" t="s">
        <v>55</v>
      </c>
      <c r="T29" s="54"/>
      <c r="U29" s="24"/>
    </row>
  </sheetData>
  <mergeCells count="35">
    <mergeCell ref="R10:R11"/>
    <mergeCell ref="S10:S11"/>
    <mergeCell ref="M29:Q29"/>
    <mergeCell ref="D26:I27"/>
    <mergeCell ref="J26:K27"/>
    <mergeCell ref="L26:L27"/>
    <mergeCell ref="M26:Q26"/>
    <mergeCell ref="M27:Q27"/>
    <mergeCell ref="M28:Q28"/>
    <mergeCell ref="D14:F14"/>
    <mergeCell ref="D25:I25"/>
    <mergeCell ref="J25:K25"/>
    <mergeCell ref="M25:Q25"/>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6:K29">
    <cfRule type="cellIs" dxfId="267" priority="1" operator="greaterThanOrEqual">
      <formula>1</formula>
    </cfRule>
    <cfRule type="cellIs" dxfId="266"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44">
    <tabColor rgb="FF339933"/>
    <pageSetUpPr fitToPage="1"/>
  </sheetPr>
  <dimension ref="A1:AJ28"/>
  <sheetViews>
    <sheetView view="pageBreakPreview" topLeftCell="F9" zoomScale="60" zoomScaleNormal="55" workbookViewId="0">
      <selection activeCell="R27" sqref="R27"/>
    </sheetView>
  </sheetViews>
  <sheetFormatPr defaultColWidth="9.140625" defaultRowHeight="12.75"/>
  <cols>
    <col min="1" max="1" width="9.140625" style="10"/>
    <col min="2" max="2" width="18.42578125" style="18" bestFit="1" customWidth="1"/>
    <col min="3" max="3" width="75.7109375" style="2" customWidth="1"/>
    <col min="4" max="4" width="9.2851562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DEZ!A244</f>
        <v>3.3.2.10</v>
      </c>
      <c r="C10" s="845" t="str">
        <f>DEZ!C244</f>
        <v>FORNECIMENTO E APLICAÇÃO DE CONCRETO USINADO FCK=40 MPA - CONSIDERANDO BOMBEAMENTO (5% DE PERDAS JÁ INCLUÍDO NO CUSTO) (6% DE TAXA P/CONCR. BOMBEAVEL)</v>
      </c>
      <c r="D10" s="816" t="s">
        <v>854</v>
      </c>
      <c r="E10" s="816"/>
      <c r="F10" s="816"/>
      <c r="G10" s="816" t="s">
        <v>33</v>
      </c>
      <c r="H10" s="816"/>
      <c r="I10" s="816"/>
      <c r="J10" s="812" t="s">
        <v>1272</v>
      </c>
      <c r="K10" s="812" t="s">
        <v>855</v>
      </c>
      <c r="L10" s="812" t="s">
        <v>856</v>
      </c>
      <c r="M10" s="812" t="s">
        <v>957</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31.5" customHeight="1">
      <c r="A12" s="64"/>
      <c r="B12" s="112"/>
      <c r="C12" s="65" t="s">
        <v>961</v>
      </c>
      <c r="D12" s="77"/>
      <c r="E12" s="78"/>
      <c r="F12" s="79"/>
      <c r="G12" s="77"/>
      <c r="H12" s="78"/>
      <c r="I12" s="79"/>
      <c r="J12" s="80"/>
      <c r="K12" s="81"/>
      <c r="L12" s="82">
        <v>14.5</v>
      </c>
      <c r="M12" s="83"/>
      <c r="N12" s="105"/>
      <c r="O12" s="84"/>
      <c r="P12" s="82"/>
      <c r="Q12" s="93"/>
      <c r="R12" s="85">
        <f>L12</f>
        <v>14.5</v>
      </c>
      <c r="S12" s="111" t="str">
        <f>DEZ!D244</f>
        <v>m3</v>
      </c>
      <c r="T12" s="215">
        <v>4</v>
      </c>
      <c r="U12" s="91"/>
      <c r="V12" s="71"/>
      <c r="W12" s="71"/>
      <c r="X12" s="152"/>
      <c r="Y12" s="153"/>
      <c r="Z12" s="72"/>
    </row>
    <row r="13" spans="1:36" s="73" customFormat="1" ht="21" customHeight="1">
      <c r="A13" s="64"/>
      <c r="B13" s="109"/>
      <c r="C13" s="65" t="s">
        <v>1284</v>
      </c>
      <c r="D13" s="612">
        <v>0.2</v>
      </c>
      <c r="E13" s="78"/>
      <c r="F13" s="79"/>
      <c r="G13" s="612">
        <v>0.6</v>
      </c>
      <c r="H13" s="78"/>
      <c r="I13" s="79"/>
      <c r="J13" s="80">
        <f>8.8+18.5+8.8+18.5</f>
        <v>54.6</v>
      </c>
      <c r="K13" s="80"/>
      <c r="L13" s="81">
        <f>D13*G13*J13</f>
        <v>6.5519999999999996</v>
      </c>
      <c r="M13" s="83"/>
      <c r="N13" s="105"/>
      <c r="O13" s="84"/>
      <c r="P13" s="82"/>
      <c r="Q13" s="93"/>
      <c r="R13" s="85">
        <f>L13-4.02</f>
        <v>2.532</v>
      </c>
      <c r="S13" s="111" t="s">
        <v>58</v>
      </c>
      <c r="T13" s="215">
        <v>8</v>
      </c>
      <c r="U13" s="94"/>
      <c r="V13" s="71"/>
      <c r="W13" s="71"/>
      <c r="X13" s="152"/>
      <c r="Y13" s="153"/>
      <c r="Z13" s="72"/>
    </row>
    <row r="14" spans="1:36" s="73" customFormat="1" ht="21" customHeight="1">
      <c r="A14" s="64"/>
      <c r="B14" s="109"/>
      <c r="C14" s="65"/>
      <c r="D14" s="612"/>
      <c r="E14" s="78"/>
      <c r="F14" s="79"/>
      <c r="G14" s="612"/>
      <c r="H14" s="78"/>
      <c r="I14" s="79"/>
      <c r="J14" s="80"/>
      <c r="K14" s="80"/>
      <c r="L14" s="81"/>
      <c r="M14" s="68"/>
      <c r="N14" s="110"/>
      <c r="O14" s="69"/>
      <c r="P14" s="67"/>
      <c r="Q14" s="106"/>
      <c r="R14" s="85"/>
      <c r="S14" s="111"/>
      <c r="T14" s="215"/>
      <c r="U14" s="94"/>
      <c r="V14" s="71"/>
      <c r="W14" s="71"/>
      <c r="X14" s="152"/>
      <c r="Y14" s="153"/>
      <c r="Z14" s="72"/>
      <c r="AA14" s="71"/>
      <c r="AB14" s="74"/>
    </row>
    <row r="15" spans="1:36" s="90" customFormat="1" ht="21" customHeight="1">
      <c r="A15" s="75"/>
      <c r="B15" s="107"/>
      <c r="C15" s="65"/>
      <c r="D15" s="612"/>
      <c r="E15" s="78"/>
      <c r="F15" s="79"/>
      <c r="G15" s="612"/>
      <c r="H15" s="78"/>
      <c r="I15" s="79"/>
      <c r="J15" s="80"/>
      <c r="K15" s="80"/>
      <c r="L15" s="81"/>
      <c r="M15" s="83"/>
      <c r="N15" s="84"/>
      <c r="O15" s="155"/>
      <c r="P15" s="156"/>
      <c r="Q15" s="85"/>
      <c r="R15" s="85"/>
      <c r="S15" s="154"/>
      <c r="T15" s="215"/>
      <c r="U15" s="92"/>
      <c r="V15" s="86"/>
      <c r="W15" s="86"/>
      <c r="X15" s="86"/>
      <c r="Y15" s="151"/>
      <c r="Z15" s="87"/>
      <c r="AA15" s="88"/>
      <c r="AB15" s="89"/>
    </row>
    <row r="16" spans="1:36" s="90" customFormat="1" ht="21" customHeight="1">
      <c r="A16" s="75"/>
      <c r="B16" s="107"/>
      <c r="C16" s="104"/>
      <c r="D16" s="612"/>
      <c r="E16" s="78"/>
      <c r="F16" s="79"/>
      <c r="G16" s="612"/>
      <c r="H16" s="78"/>
      <c r="I16" s="79"/>
      <c r="J16" s="80"/>
      <c r="K16" s="80"/>
      <c r="L16" s="81"/>
      <c r="M16" s="83"/>
      <c r="N16" s="84"/>
      <c r="O16" s="155"/>
      <c r="P16" s="156"/>
      <c r="Q16" s="85"/>
      <c r="R16" s="85"/>
      <c r="S16" s="154"/>
      <c r="T16" s="215"/>
      <c r="U16" s="92"/>
      <c r="V16" s="86"/>
      <c r="W16" s="86"/>
      <c r="X16" s="86"/>
      <c r="Y16" s="151"/>
      <c r="Z16" s="87"/>
      <c r="AA16" s="88"/>
      <c r="AB16" s="89"/>
    </row>
    <row r="17" spans="1:28" s="90" customFormat="1" ht="21" customHeight="1">
      <c r="A17" s="75"/>
      <c r="B17" s="107"/>
      <c r="C17" s="104"/>
      <c r="D17" s="612"/>
      <c r="E17" s="78"/>
      <c r="F17" s="79"/>
      <c r="G17" s="612"/>
      <c r="H17" s="78"/>
      <c r="I17" s="79"/>
      <c r="J17" s="80"/>
      <c r="K17" s="80"/>
      <c r="L17" s="81"/>
      <c r="M17" s="83"/>
      <c r="N17" s="84"/>
      <c r="O17" s="155"/>
      <c r="P17" s="156"/>
      <c r="Q17" s="85"/>
      <c r="R17" s="85"/>
      <c r="S17" s="154"/>
      <c r="T17" s="215"/>
      <c r="U17" s="92"/>
      <c r="V17" s="86"/>
      <c r="W17" s="86"/>
      <c r="X17" s="86"/>
      <c r="Y17" s="151"/>
      <c r="Z17" s="87"/>
      <c r="AA17" s="88"/>
      <c r="AB17" s="89"/>
    </row>
    <row r="18" spans="1:28" s="90" customFormat="1" ht="21" customHeight="1">
      <c r="A18" s="75"/>
      <c r="B18" s="157"/>
      <c r="C18" s="104"/>
      <c r="D18" s="612"/>
      <c r="E18" s="78"/>
      <c r="F18" s="79"/>
      <c r="G18" s="612"/>
      <c r="H18" s="78"/>
      <c r="I18" s="79"/>
      <c r="J18" s="80"/>
      <c r="K18" s="80"/>
      <c r="L18" s="81"/>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90" customFormat="1" ht="21" customHeight="1">
      <c r="A20" s="75"/>
      <c r="B20" s="157"/>
      <c r="C20" s="76"/>
      <c r="D20" s="77"/>
      <c r="E20" s="78"/>
      <c r="F20" s="79"/>
      <c r="G20" s="77"/>
      <c r="H20" s="78"/>
      <c r="I20" s="79"/>
      <c r="J20" s="80"/>
      <c r="K20" s="81"/>
      <c r="L20" s="82"/>
      <c r="M20" s="83"/>
      <c r="N20" s="84"/>
      <c r="O20" s="84"/>
      <c r="P20" s="82"/>
      <c r="Q20" s="85"/>
      <c r="R20" s="85"/>
      <c r="S20" s="154"/>
      <c r="T20" s="215"/>
      <c r="U20" s="92"/>
      <c r="V20" s="86"/>
      <c r="W20" s="86"/>
      <c r="X20" s="86"/>
      <c r="Y20" s="151"/>
      <c r="Z20" s="87"/>
      <c r="AA20" s="88"/>
      <c r="AB20" s="89"/>
    </row>
    <row r="21" spans="1:28" s="90" customFormat="1" ht="21" customHeight="1">
      <c r="A21" s="75"/>
      <c r="B21" s="157"/>
      <c r="C21" s="76"/>
      <c r="D21" s="77"/>
      <c r="E21" s="78"/>
      <c r="F21" s="79"/>
      <c r="G21" s="77"/>
      <c r="H21" s="78"/>
      <c r="I21" s="79"/>
      <c r="J21" s="80"/>
      <c r="K21" s="81"/>
      <c r="L21" s="82"/>
      <c r="M21" s="83"/>
      <c r="N21" s="84"/>
      <c r="O21" s="84"/>
      <c r="P21" s="82"/>
      <c r="Q21" s="85"/>
      <c r="R21" s="85"/>
      <c r="S21" s="154"/>
      <c r="T21" s="215"/>
      <c r="U21" s="92"/>
      <c r="V21" s="86"/>
      <c r="W21" s="86"/>
      <c r="X21" s="86"/>
      <c r="Y21" s="151"/>
      <c r="Z21" s="87"/>
      <c r="AA21" s="88"/>
      <c r="AB21" s="89"/>
    </row>
    <row r="22" spans="1:28" s="1" customFormat="1" ht="21" customHeight="1">
      <c r="A22" s="11"/>
      <c r="B22" s="25"/>
      <c r="C22" s="20"/>
      <c r="D22" s="26"/>
      <c r="E22" s="159"/>
      <c r="F22" s="27"/>
      <c r="G22" s="26"/>
      <c r="H22" s="159"/>
      <c r="I22" s="27"/>
      <c r="J22" s="28"/>
      <c r="K22" s="49"/>
      <c r="L22" s="40"/>
      <c r="M22" s="41"/>
      <c r="N22" s="160"/>
      <c r="O22" s="160"/>
      <c r="P22" s="40"/>
      <c r="Q22" s="42"/>
      <c r="R22" s="60"/>
      <c r="S22" s="43"/>
      <c r="T22" s="215"/>
      <c r="U22" s="48"/>
      <c r="V22" s="120"/>
      <c r="W22" s="120"/>
      <c r="X22" s="120"/>
      <c r="Y22" s="142"/>
      <c r="Z22" s="15"/>
      <c r="AA22" s="17"/>
      <c r="AB22" s="44"/>
    </row>
    <row r="23" spans="1:28" ht="21" customHeight="1">
      <c r="B23" s="118"/>
      <c r="C23" s="119"/>
      <c r="D23" s="26"/>
      <c r="E23" s="159"/>
      <c r="F23" s="27"/>
      <c r="G23" s="26"/>
      <c r="H23" s="159"/>
      <c r="I23" s="27"/>
      <c r="J23" s="28"/>
      <c r="K23" s="49"/>
      <c r="L23" s="40"/>
      <c r="M23" s="41"/>
      <c r="N23" s="160"/>
      <c r="O23" s="160"/>
      <c r="P23" s="40"/>
      <c r="Q23" s="42"/>
      <c r="R23" s="60"/>
      <c r="S23" s="43"/>
      <c r="T23" s="216"/>
      <c r="U23" s="117"/>
    </row>
    <row r="24" spans="1:28" ht="39.6" customHeight="1">
      <c r="B24" s="161"/>
      <c r="C24" s="162"/>
      <c r="D24" s="806" t="s">
        <v>11</v>
      </c>
      <c r="E24" s="807"/>
      <c r="F24" s="807"/>
      <c r="G24" s="807"/>
      <c r="H24" s="807"/>
      <c r="I24" s="808"/>
      <c r="J24" s="809">
        <f>DEZ!I244</f>
        <v>17.03</v>
      </c>
      <c r="K24" s="810"/>
      <c r="L24" s="50" t="str">
        <f>DEZ!D244</f>
        <v>m3</v>
      </c>
      <c r="M24" s="803" t="s">
        <v>12</v>
      </c>
      <c r="N24" s="811"/>
      <c r="O24" s="811"/>
      <c r="P24" s="811"/>
      <c r="Q24" s="805"/>
      <c r="R24" s="61">
        <f>SUM(R12:R23)</f>
        <v>17.032</v>
      </c>
      <c r="S24" s="51" t="str">
        <f>L24</f>
        <v>m3</v>
      </c>
      <c r="T24" s="22"/>
      <c r="U24" s="23"/>
    </row>
    <row r="25" spans="1:28" ht="21" customHeight="1">
      <c r="B25" s="163"/>
      <c r="C25" s="19"/>
      <c r="D25" s="817" t="s">
        <v>13</v>
      </c>
      <c r="E25" s="818"/>
      <c r="F25" s="818"/>
      <c r="G25" s="818"/>
      <c r="H25" s="818"/>
      <c r="I25" s="819"/>
      <c r="J25" s="925">
        <f>R24/J24</f>
        <v>1.0001174398120962</v>
      </c>
      <c r="K25" s="926"/>
      <c r="L25" s="827"/>
      <c r="M25" s="803" t="s">
        <v>34</v>
      </c>
      <c r="N25" s="804"/>
      <c r="O25" s="804"/>
      <c r="P25" s="804"/>
      <c r="Q25" s="805"/>
      <c r="R25" s="61">
        <f>SUM(R12:R13)</f>
        <v>17.032</v>
      </c>
      <c r="S25" s="52" t="str">
        <f>L24</f>
        <v>m3</v>
      </c>
      <c r="T25" s="22"/>
      <c r="U25" s="23"/>
    </row>
    <row r="26" spans="1:28" ht="21" customHeight="1">
      <c r="A26" s="10" t="s">
        <v>396</v>
      </c>
      <c r="B26" s="165"/>
      <c r="C26" s="164"/>
      <c r="D26" s="820"/>
      <c r="E26" s="821"/>
      <c r="F26" s="821"/>
      <c r="G26" s="821"/>
      <c r="H26" s="821"/>
      <c r="I26" s="822"/>
      <c r="J26" s="927"/>
      <c r="K26" s="928"/>
      <c r="L26" s="828"/>
      <c r="M26" s="803" t="s">
        <v>14</v>
      </c>
      <c r="N26" s="804"/>
      <c r="O26" s="804"/>
      <c r="P26" s="804"/>
      <c r="Q26" s="805"/>
      <c r="R26" s="62">
        <f>R24-R25</f>
        <v>0</v>
      </c>
      <c r="S26" s="53" t="str">
        <f>L24</f>
        <v>m3</v>
      </c>
      <c r="T26" s="54"/>
      <c r="U26" s="24"/>
    </row>
    <row r="27" spans="1:28" ht="21" customHeight="1">
      <c r="B27" s="218"/>
      <c r="C27" s="217"/>
      <c r="M27" s="803" t="s">
        <v>53</v>
      </c>
      <c r="N27" s="804"/>
      <c r="O27" s="804"/>
      <c r="P27" s="804"/>
      <c r="Q27" s="805"/>
      <c r="R27" s="62">
        <f>DEZ!E241</f>
        <v>7.98</v>
      </c>
      <c r="S27" s="53"/>
      <c r="T27" s="54"/>
      <c r="U27" s="24"/>
    </row>
    <row r="28" spans="1:28" ht="21" customHeight="1">
      <c r="B28" s="163"/>
      <c r="C28" s="219"/>
      <c r="M28" s="803" t="s">
        <v>54</v>
      </c>
      <c r="N28" s="804"/>
      <c r="O28" s="804"/>
      <c r="P28" s="804"/>
      <c r="Q28" s="805"/>
      <c r="R28" s="62">
        <f>TRUNC(R27*R26,2)</f>
        <v>0</v>
      </c>
      <c r="S28" s="53" t="s">
        <v>55</v>
      </c>
      <c r="T28" s="54"/>
      <c r="U28" s="24"/>
    </row>
  </sheetData>
  <mergeCells count="34">
    <mergeCell ref="R10:R11"/>
    <mergeCell ref="S10:S11"/>
    <mergeCell ref="M28:Q28"/>
    <mergeCell ref="D25:I26"/>
    <mergeCell ref="J25:K26"/>
    <mergeCell ref="L25:L26"/>
    <mergeCell ref="M25:Q25"/>
    <mergeCell ref="M26:Q26"/>
    <mergeCell ref="M27:Q27"/>
    <mergeCell ref="D24:I24"/>
    <mergeCell ref="J24:K24"/>
    <mergeCell ref="M24:Q24"/>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5:K28">
    <cfRule type="cellIs" dxfId="265" priority="1" operator="greaterThanOrEqual">
      <formula>1</formula>
    </cfRule>
    <cfRule type="cellIs" dxfId="264"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620EF-7FDE-453E-86D1-FE7ADE66E727}">
  <sheetPr codeName="Planilha132">
    <tabColor rgb="FF339933"/>
    <pageSetUpPr fitToPage="1"/>
  </sheetPr>
  <dimension ref="A1:AJ30"/>
  <sheetViews>
    <sheetView view="pageBreakPreview" topLeftCell="E7" zoomScale="60" zoomScaleNormal="55"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8.710937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DEZ!A246</f>
        <v>3.3.2.12</v>
      </c>
      <c r="C10" s="845" t="str">
        <f>DEZ!C246</f>
        <v>Aterro manual para regularização do terreno em areia, inclusive adensamento hidráulico e fornecimento do material (máximo de 100m3)</v>
      </c>
      <c r="D10" s="816" t="s">
        <v>854</v>
      </c>
      <c r="E10" s="816"/>
      <c r="F10" s="816"/>
      <c r="G10" s="816" t="s">
        <v>33</v>
      </c>
      <c r="H10" s="816"/>
      <c r="I10" s="816"/>
      <c r="J10" s="812" t="s">
        <v>897</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54.75" customHeight="1">
      <c r="A12" s="64"/>
      <c r="B12" s="109"/>
      <c r="C12" s="237" t="s">
        <v>1269</v>
      </c>
      <c r="D12" s="851"/>
      <c r="E12" s="852"/>
      <c r="F12" s="853"/>
      <c r="G12" s="851"/>
      <c r="H12" s="852"/>
      <c r="I12" s="853"/>
      <c r="J12" s="66">
        <v>0.15</v>
      </c>
      <c r="K12" s="108">
        <v>268.29000000000002</v>
      </c>
      <c r="L12" s="67">
        <f>J12*K12</f>
        <v>40.243500000000004</v>
      </c>
      <c r="M12" s="68"/>
      <c r="N12" s="110"/>
      <c r="O12" s="69"/>
      <c r="P12" s="67"/>
      <c r="Q12" s="106"/>
      <c r="R12" s="93">
        <f>L12</f>
        <v>40.243500000000004</v>
      </c>
      <c r="S12" s="154" t="s">
        <v>58</v>
      </c>
      <c r="T12" s="215">
        <v>8</v>
      </c>
      <c r="U12" s="94"/>
      <c r="V12" s="71"/>
      <c r="W12" s="71"/>
      <c r="X12" s="152"/>
      <c r="Y12" s="153"/>
      <c r="Z12" s="72"/>
      <c r="AA12" s="71"/>
      <c r="AB12" s="74"/>
    </row>
    <row r="13" spans="1:36" s="73" customFormat="1" ht="21" customHeight="1">
      <c r="A13" s="64"/>
      <c r="B13" s="109"/>
      <c r="C13" s="237"/>
      <c r="D13" s="851"/>
      <c r="E13" s="852"/>
      <c r="F13" s="853"/>
      <c r="G13" s="851"/>
      <c r="H13" s="852"/>
      <c r="I13" s="853"/>
      <c r="J13" s="66"/>
      <c r="K13" s="108"/>
      <c r="L13" s="67"/>
      <c r="M13" s="68"/>
      <c r="N13" s="110"/>
      <c r="O13" s="69"/>
      <c r="P13" s="67"/>
      <c r="Q13" s="106"/>
      <c r="R13" s="85"/>
      <c r="S13" s="154"/>
      <c r="T13" s="215"/>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DEZ!I223</f>
        <v>40.24</v>
      </c>
      <c r="K22" s="810"/>
      <c r="L22" s="50" t="s">
        <v>57</v>
      </c>
      <c r="M22" s="803" t="s">
        <v>12</v>
      </c>
      <c r="N22" s="811"/>
      <c r="O22" s="811"/>
      <c r="P22" s="811"/>
      <c r="Q22" s="805"/>
      <c r="R22" s="61">
        <f>SUM(R12:R21)</f>
        <v>40.243500000000004</v>
      </c>
      <c r="S22" s="51" t="str">
        <f>L22</f>
        <v>m2</v>
      </c>
      <c r="T22" s="22"/>
      <c r="U22" s="23"/>
    </row>
    <row r="23" spans="1:28" ht="21" customHeight="1">
      <c r="B23" s="163"/>
      <c r="C23" s="19"/>
      <c r="D23" s="817" t="s">
        <v>13</v>
      </c>
      <c r="E23" s="818"/>
      <c r="F23" s="818"/>
      <c r="G23" s="818"/>
      <c r="H23" s="818"/>
      <c r="I23" s="819"/>
      <c r="J23" s="925">
        <f>R22/J22</f>
        <v>1.0000869781312127</v>
      </c>
      <c r="K23" s="926"/>
      <c r="L23" s="827"/>
      <c r="M23" s="803" t="s">
        <v>34</v>
      </c>
      <c r="N23" s="804"/>
      <c r="O23" s="804"/>
      <c r="P23" s="804"/>
      <c r="Q23" s="805"/>
      <c r="R23" s="61">
        <f>R12</f>
        <v>40.243500000000004</v>
      </c>
      <c r="S23" s="52" t="str">
        <f>L22</f>
        <v>m2</v>
      </c>
      <c r="T23" s="22"/>
      <c r="U23" s="23"/>
    </row>
    <row r="24" spans="1:28" ht="21" customHeight="1">
      <c r="A24" s="10" t="s">
        <v>469</v>
      </c>
      <c r="B24" s="165"/>
      <c r="C24" s="164"/>
      <c r="D24" s="820"/>
      <c r="E24" s="821"/>
      <c r="F24" s="821"/>
      <c r="G24" s="821"/>
      <c r="H24" s="821"/>
      <c r="I24" s="822"/>
      <c r="J24" s="927"/>
      <c r="K24" s="928"/>
      <c r="L24" s="828"/>
      <c r="M24" s="803" t="s">
        <v>14</v>
      </c>
      <c r="N24" s="804"/>
      <c r="O24" s="804"/>
      <c r="P24" s="804"/>
      <c r="Q24" s="805"/>
      <c r="R24" s="62">
        <f>R22-R23</f>
        <v>0</v>
      </c>
      <c r="S24" s="53" t="str">
        <f>L22</f>
        <v>m2</v>
      </c>
      <c r="T24" s="54"/>
      <c r="U24" s="24"/>
    </row>
    <row r="25" spans="1:28" ht="21" customHeight="1">
      <c r="B25" s="218"/>
      <c r="C25" s="217"/>
      <c r="M25" s="803" t="s">
        <v>53</v>
      </c>
      <c r="N25" s="804"/>
      <c r="O25" s="804"/>
      <c r="P25" s="804"/>
      <c r="Q25" s="805"/>
      <c r="R25" s="62">
        <f>DEZ!E246</f>
        <v>118.92</v>
      </c>
      <c r="S25" s="53" t="s">
        <v>55</v>
      </c>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8">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T10:T11"/>
    <mergeCell ref="U10:U11"/>
    <mergeCell ref="O10:O11"/>
    <mergeCell ref="P10:P11"/>
    <mergeCell ref="Q10:Q11"/>
    <mergeCell ref="R10:R11"/>
    <mergeCell ref="S10:S11"/>
    <mergeCell ref="M25:Q25"/>
    <mergeCell ref="M26:Q26"/>
    <mergeCell ref="D22:I22"/>
    <mergeCell ref="J22:K22"/>
    <mergeCell ref="M22:Q22"/>
    <mergeCell ref="D23:I24"/>
    <mergeCell ref="J23:K24"/>
    <mergeCell ref="L23:L24"/>
    <mergeCell ref="M23:Q23"/>
    <mergeCell ref="M24:Q24"/>
    <mergeCell ref="D12:F12"/>
    <mergeCell ref="G12:I12"/>
    <mergeCell ref="D13:F13"/>
    <mergeCell ref="G13:I13"/>
    <mergeCell ref="N10:N11"/>
  </mergeCells>
  <conditionalFormatting sqref="J23:K26">
    <cfRule type="cellIs" dxfId="263" priority="1" operator="greaterThanOrEqual">
      <formula>1</formula>
    </cfRule>
    <cfRule type="cellIs" dxfId="262"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6DF17-E709-4C59-A6C7-F89F6CA1CFED}">
  <sheetPr codeName="Planilha133">
    <tabColor rgb="FF339933"/>
    <pageSetUpPr fitToPage="1"/>
  </sheetPr>
  <dimension ref="A1:AJ30"/>
  <sheetViews>
    <sheetView view="pageBreakPreview" topLeftCell="H8" zoomScale="60" zoomScaleNormal="55"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DEZ!A247</f>
        <v>3.3.2.13</v>
      </c>
      <c r="C10" s="845" t="str">
        <f>DEZ!C247</f>
        <v>Lastro regularizado de concreto não estrutural, espessura de 8 cm (máximo de 100m3)</v>
      </c>
      <c r="D10" s="816" t="s">
        <v>854</v>
      </c>
      <c r="E10" s="816"/>
      <c r="F10" s="816"/>
      <c r="G10" s="816" t="s">
        <v>33</v>
      </c>
      <c r="H10" s="816"/>
      <c r="I10" s="816"/>
      <c r="J10" s="812" t="s">
        <v>1271</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237" t="s">
        <v>1290</v>
      </c>
      <c r="D12" s="851">
        <v>0.6</v>
      </c>
      <c r="E12" s="852"/>
      <c r="F12" s="853"/>
      <c r="G12" s="851">
        <v>0.8</v>
      </c>
      <c r="H12" s="852"/>
      <c r="I12" s="853"/>
      <c r="J12" s="66">
        <v>7</v>
      </c>
      <c r="K12" s="108">
        <f t="shared" ref="K12:K17" si="0">D12*G12*J12</f>
        <v>3.36</v>
      </c>
      <c r="L12" s="67"/>
      <c r="M12" s="68"/>
      <c r="N12" s="110"/>
      <c r="O12" s="69"/>
      <c r="P12" s="67"/>
      <c r="Q12" s="106"/>
      <c r="R12" s="85">
        <f>K12</f>
        <v>3.36</v>
      </c>
      <c r="S12" s="154" t="s">
        <v>57</v>
      </c>
      <c r="T12" s="215">
        <v>8</v>
      </c>
      <c r="U12" s="94"/>
      <c r="V12" s="71"/>
      <c r="W12" s="71"/>
      <c r="X12" s="152"/>
      <c r="Y12" s="153"/>
      <c r="Z12" s="72"/>
      <c r="AA12" s="71"/>
      <c r="AB12" s="74"/>
    </row>
    <row r="13" spans="1:36" s="73" customFormat="1" ht="21" customHeight="1">
      <c r="A13" s="64"/>
      <c r="B13" s="109"/>
      <c r="C13" s="237" t="s">
        <v>1291</v>
      </c>
      <c r="D13" s="851">
        <v>0.6</v>
      </c>
      <c r="E13" s="852"/>
      <c r="F13" s="853"/>
      <c r="G13" s="851">
        <v>0.8</v>
      </c>
      <c r="H13" s="852"/>
      <c r="I13" s="853"/>
      <c r="J13" s="66">
        <v>3</v>
      </c>
      <c r="K13" s="108">
        <f t="shared" si="0"/>
        <v>1.44</v>
      </c>
      <c r="L13" s="67"/>
      <c r="M13" s="68"/>
      <c r="N13" s="110"/>
      <c r="O13" s="69"/>
      <c r="P13" s="67"/>
      <c r="Q13" s="106"/>
      <c r="R13" s="85">
        <f t="shared" ref="R13:R17" si="1">K13</f>
        <v>1.44</v>
      </c>
      <c r="S13" s="154" t="s">
        <v>57</v>
      </c>
      <c r="T13" s="215">
        <v>8</v>
      </c>
      <c r="U13" s="94"/>
      <c r="V13" s="71"/>
      <c r="W13" s="71"/>
      <c r="X13" s="152"/>
      <c r="Y13" s="153"/>
      <c r="Z13" s="72"/>
      <c r="AA13" s="71"/>
      <c r="AB13" s="74"/>
    </row>
    <row r="14" spans="1:36" s="90" customFormat="1" ht="21" customHeight="1">
      <c r="A14" s="75"/>
      <c r="B14" s="107"/>
      <c r="C14" s="237" t="s">
        <v>1292</v>
      </c>
      <c r="D14" s="851">
        <v>3.95</v>
      </c>
      <c r="E14" s="852"/>
      <c r="F14" s="853"/>
      <c r="G14" s="851">
        <v>1.05</v>
      </c>
      <c r="H14" s="852"/>
      <c r="I14" s="853"/>
      <c r="J14" s="66">
        <v>1</v>
      </c>
      <c r="K14" s="108">
        <f t="shared" si="0"/>
        <v>4.1475</v>
      </c>
      <c r="L14" s="82"/>
      <c r="M14" s="83"/>
      <c r="N14" s="84"/>
      <c r="O14" s="155"/>
      <c r="P14" s="156"/>
      <c r="Q14" s="85"/>
      <c r="R14" s="85">
        <f t="shared" si="1"/>
        <v>4.1475</v>
      </c>
      <c r="S14" s="154" t="s">
        <v>57</v>
      </c>
      <c r="T14" s="215">
        <v>8</v>
      </c>
      <c r="U14" s="92"/>
      <c r="V14" s="86"/>
      <c r="W14" s="86"/>
      <c r="X14" s="86"/>
      <c r="Y14" s="151"/>
      <c r="Z14" s="87"/>
      <c r="AA14" s="88"/>
      <c r="AB14" s="89"/>
    </row>
    <row r="15" spans="1:36" s="90" customFormat="1" ht="21" customHeight="1">
      <c r="A15" s="75"/>
      <c r="B15" s="107"/>
      <c r="C15" s="237" t="s">
        <v>1293</v>
      </c>
      <c r="D15" s="851">
        <v>1.2</v>
      </c>
      <c r="E15" s="852"/>
      <c r="F15" s="853"/>
      <c r="G15" s="851">
        <v>1.2</v>
      </c>
      <c r="H15" s="852"/>
      <c r="I15" s="853"/>
      <c r="J15" s="66">
        <v>1</v>
      </c>
      <c r="K15" s="108">
        <f t="shared" si="0"/>
        <v>1.44</v>
      </c>
      <c r="L15" s="82"/>
      <c r="M15" s="83"/>
      <c r="N15" s="84"/>
      <c r="O15" s="155"/>
      <c r="P15" s="156"/>
      <c r="Q15" s="85"/>
      <c r="R15" s="85">
        <f t="shared" si="1"/>
        <v>1.44</v>
      </c>
      <c r="S15" s="154" t="s">
        <v>57</v>
      </c>
      <c r="T15" s="215">
        <v>8</v>
      </c>
      <c r="U15" s="92"/>
      <c r="V15" s="86"/>
      <c r="W15" s="86"/>
      <c r="X15" s="86"/>
      <c r="Y15" s="151"/>
      <c r="Z15" s="87"/>
      <c r="AA15" s="88"/>
      <c r="AB15" s="89"/>
    </row>
    <row r="16" spans="1:36" s="90" customFormat="1" ht="21" customHeight="1">
      <c r="A16" s="75"/>
      <c r="B16" s="157"/>
      <c r="C16" s="237" t="s">
        <v>1294</v>
      </c>
      <c r="D16" s="851">
        <f>8.8+18.5+8.8+18.5</f>
        <v>54.6</v>
      </c>
      <c r="E16" s="852"/>
      <c r="F16" s="853"/>
      <c r="G16" s="851">
        <v>0.2</v>
      </c>
      <c r="H16" s="852"/>
      <c r="I16" s="853"/>
      <c r="J16" s="66">
        <v>1</v>
      </c>
      <c r="K16" s="108">
        <f t="shared" si="0"/>
        <v>10.920000000000002</v>
      </c>
      <c r="L16" s="82"/>
      <c r="M16" s="83"/>
      <c r="N16" s="84"/>
      <c r="O16" s="84"/>
      <c r="P16" s="82"/>
      <c r="Q16" s="85"/>
      <c r="R16" s="85">
        <f t="shared" si="1"/>
        <v>10.920000000000002</v>
      </c>
      <c r="S16" s="154" t="s">
        <v>57</v>
      </c>
      <c r="T16" s="215">
        <v>8</v>
      </c>
      <c r="U16" s="92"/>
      <c r="V16" s="86"/>
      <c r="W16" s="86"/>
      <c r="X16" s="86"/>
      <c r="Y16" s="151"/>
      <c r="Z16" s="87"/>
      <c r="AA16" s="88"/>
      <c r="AB16" s="89"/>
    </row>
    <row r="17" spans="1:28" s="90" customFormat="1" ht="21" customHeight="1">
      <c r="A17" s="75"/>
      <c r="B17" s="157"/>
      <c r="C17" s="237" t="s">
        <v>1295</v>
      </c>
      <c r="D17" s="851">
        <v>8.8000000000000007</v>
      </c>
      <c r="E17" s="852"/>
      <c r="F17" s="853"/>
      <c r="G17" s="851">
        <v>0.2</v>
      </c>
      <c r="H17" s="852"/>
      <c r="I17" s="853"/>
      <c r="J17" s="66">
        <v>3</v>
      </c>
      <c r="K17" s="108">
        <f t="shared" si="0"/>
        <v>5.2800000000000011</v>
      </c>
      <c r="L17" s="82"/>
      <c r="M17" s="83"/>
      <c r="N17" s="84"/>
      <c r="O17" s="84"/>
      <c r="P17" s="82"/>
      <c r="Q17" s="85"/>
      <c r="R17" s="85">
        <f t="shared" si="1"/>
        <v>5.2800000000000011</v>
      </c>
      <c r="S17" s="154" t="s">
        <v>57</v>
      </c>
      <c r="T17" s="215">
        <v>8</v>
      </c>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DEZ!I247</f>
        <v>26.59</v>
      </c>
      <c r="K22" s="810"/>
      <c r="L22" s="50" t="s">
        <v>57</v>
      </c>
      <c r="M22" s="803" t="s">
        <v>12</v>
      </c>
      <c r="N22" s="811"/>
      <c r="O22" s="811"/>
      <c r="P22" s="811"/>
      <c r="Q22" s="805"/>
      <c r="R22" s="61">
        <f>SUM(R12:R21)</f>
        <v>26.587500000000002</v>
      </c>
      <c r="S22" s="51" t="str">
        <f>L22</f>
        <v>m2</v>
      </c>
      <c r="T22" s="22"/>
      <c r="U22" s="23"/>
    </row>
    <row r="23" spans="1:28" ht="21" customHeight="1">
      <c r="B23" s="163"/>
      <c r="C23" s="19"/>
      <c r="D23" s="817" t="s">
        <v>13</v>
      </c>
      <c r="E23" s="818"/>
      <c r="F23" s="818"/>
      <c r="G23" s="818"/>
      <c r="H23" s="818"/>
      <c r="I23" s="819"/>
      <c r="J23" s="823">
        <f>R22/J22</f>
        <v>0.99990597969161343</v>
      </c>
      <c r="K23" s="824"/>
      <c r="L23" s="827"/>
      <c r="M23" s="803" t="s">
        <v>34</v>
      </c>
      <c r="N23" s="804"/>
      <c r="O23" s="804"/>
      <c r="P23" s="804"/>
      <c r="Q23" s="805"/>
      <c r="R23" s="61">
        <f>SUM(R12:R17)</f>
        <v>26.587500000000002</v>
      </c>
      <c r="S23" s="52" t="str">
        <f>L22</f>
        <v>m2</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m2</v>
      </c>
      <c r="T24" s="54"/>
      <c r="U24" s="24"/>
    </row>
    <row r="25" spans="1:28" ht="21" customHeight="1">
      <c r="B25" s="218"/>
      <c r="C25" s="217"/>
      <c r="M25" s="803" t="s">
        <v>53</v>
      </c>
      <c r="N25" s="804"/>
      <c r="O25" s="804"/>
      <c r="P25" s="804"/>
      <c r="Q25" s="805"/>
      <c r="R25" s="62">
        <f>DEZ!E247</f>
        <v>51.84</v>
      </c>
      <c r="S25" s="53" t="s">
        <v>55</v>
      </c>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4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M23:Q23"/>
    <mergeCell ref="M24:Q24"/>
    <mergeCell ref="T10:T11"/>
    <mergeCell ref="U10:U11"/>
    <mergeCell ref="D12:F12"/>
    <mergeCell ref="G12:I12"/>
    <mergeCell ref="D13:F13"/>
    <mergeCell ref="G13:I13"/>
    <mergeCell ref="N10:N11"/>
    <mergeCell ref="O10:O11"/>
    <mergeCell ref="P10:P11"/>
    <mergeCell ref="Q10:Q11"/>
    <mergeCell ref="R10:R11"/>
    <mergeCell ref="S10:S11"/>
    <mergeCell ref="M25:Q25"/>
    <mergeCell ref="M26:Q26"/>
    <mergeCell ref="D14:F14"/>
    <mergeCell ref="G14:I14"/>
    <mergeCell ref="D15:F15"/>
    <mergeCell ref="G15:I15"/>
    <mergeCell ref="D16:F16"/>
    <mergeCell ref="G16:I16"/>
    <mergeCell ref="D17:F17"/>
    <mergeCell ref="G17:I17"/>
    <mergeCell ref="D22:I22"/>
    <mergeCell ref="J22:K22"/>
    <mergeCell ref="M22:Q22"/>
    <mergeCell ref="D23:I24"/>
    <mergeCell ref="J23:K24"/>
    <mergeCell ref="L23:L24"/>
  </mergeCells>
  <conditionalFormatting sqref="J23:K26">
    <cfRule type="cellIs" dxfId="261" priority="1" operator="greaterThanOrEqual">
      <formula>1</formula>
    </cfRule>
    <cfRule type="cellIs" dxfId="260"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FBAAB-99C8-4140-9E8B-85AFD0748970}">
  <sheetPr codeName="Planilha111">
    <tabColor rgb="FF339933"/>
    <pageSetUpPr fitToPage="1"/>
  </sheetPr>
  <dimension ref="A1:AJ30"/>
  <sheetViews>
    <sheetView view="pageBreakPreview" topLeftCell="D11" zoomScale="60" zoomScaleNormal="55" workbookViewId="0">
      <selection activeCell="R24" sqref="R2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DEZ!A253</f>
        <v>3.3.4.1</v>
      </c>
      <c r="C10" s="845" t="str">
        <f>DEZ!C253</f>
        <v>Lastro regularizado e impermeabilizado de concreto, espessura de 10 cm , com armação em tela Q-61</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21" customHeight="1">
      <c r="A12" s="64"/>
      <c r="B12" s="109"/>
      <c r="C12" s="237" t="s">
        <v>1029</v>
      </c>
      <c r="D12" s="851">
        <f>4.2+1.95</f>
        <v>6.15</v>
      </c>
      <c r="E12" s="852"/>
      <c r="F12" s="853"/>
      <c r="G12" s="851">
        <v>2.2999999999999998</v>
      </c>
      <c r="H12" s="852"/>
      <c r="I12" s="853"/>
      <c r="J12" s="66"/>
      <c r="K12" s="108">
        <f>D12*G12</f>
        <v>14.145</v>
      </c>
      <c r="L12" s="67"/>
      <c r="M12" s="68"/>
      <c r="N12" s="110"/>
      <c r="O12" s="69"/>
      <c r="P12" s="67"/>
      <c r="Q12" s="106"/>
      <c r="R12" s="85">
        <f>K12</f>
        <v>14.145</v>
      </c>
      <c r="S12" s="154" t="s">
        <v>57</v>
      </c>
      <c r="T12" s="215">
        <v>8</v>
      </c>
      <c r="U12" s="94"/>
      <c r="V12" s="71"/>
      <c r="W12" s="71"/>
      <c r="X12" s="152"/>
      <c r="Y12" s="153"/>
      <c r="Z12" s="72"/>
      <c r="AA12" s="71"/>
      <c r="AB12" s="74"/>
    </row>
    <row r="13" spans="1:36" s="73" customFormat="1" ht="21" customHeight="1">
      <c r="A13" s="64"/>
      <c r="B13" s="109"/>
      <c r="C13" s="237" t="s">
        <v>1029</v>
      </c>
      <c r="D13" s="851">
        <f>4.2+1.6</f>
        <v>5.8000000000000007</v>
      </c>
      <c r="E13" s="852"/>
      <c r="F13" s="853"/>
      <c r="G13" s="851">
        <v>2.7</v>
      </c>
      <c r="H13" s="852"/>
      <c r="I13" s="853"/>
      <c r="J13" s="66"/>
      <c r="K13" s="108">
        <f>D13*G13</f>
        <v>15.660000000000004</v>
      </c>
      <c r="L13" s="67"/>
      <c r="M13" s="68"/>
      <c r="N13" s="110"/>
      <c r="O13" s="69"/>
      <c r="P13" s="67"/>
      <c r="Q13" s="106"/>
      <c r="R13" s="85">
        <f>J22-R12</f>
        <v>15.184999999999999</v>
      </c>
      <c r="S13" s="154" t="s">
        <v>57</v>
      </c>
      <c r="T13" s="215">
        <v>8</v>
      </c>
      <c r="U13" s="94"/>
      <c r="V13" s="71"/>
      <c r="W13" s="71"/>
      <c r="X13" s="152"/>
      <c r="Y13" s="153"/>
      <c r="Z13" s="72"/>
      <c r="AA13" s="71"/>
      <c r="AB13" s="74"/>
    </row>
    <row r="14" spans="1:36" s="90" customFormat="1" ht="21" customHeight="1">
      <c r="A14" s="75"/>
      <c r="B14" s="107"/>
      <c r="C14" s="104"/>
      <c r="D14" s="77"/>
      <c r="E14" s="78"/>
      <c r="F14" s="79"/>
      <c r="G14" s="77"/>
      <c r="H14" s="78"/>
      <c r="I14" s="79"/>
      <c r="J14" s="80"/>
      <c r="K14" s="81"/>
      <c r="L14" s="82"/>
      <c r="M14" s="83"/>
      <c r="N14" s="84"/>
      <c r="O14" s="155"/>
      <c r="P14" s="156"/>
      <c r="Q14" s="85"/>
      <c r="R14" s="85"/>
      <c r="S14" s="154"/>
      <c r="T14" s="215"/>
      <c r="U14" s="92"/>
      <c r="V14" s="86"/>
      <c r="W14" s="86"/>
      <c r="X14" s="86"/>
      <c r="Y14" s="151"/>
      <c r="Z14" s="87"/>
      <c r="AA14" s="88"/>
      <c r="AB14" s="89"/>
    </row>
    <row r="15" spans="1:36" s="90" customFormat="1" ht="21" customHeight="1">
      <c r="A15" s="75"/>
      <c r="B15" s="107"/>
      <c r="C15" s="104"/>
      <c r="D15" s="77"/>
      <c r="E15" s="78"/>
      <c r="F15" s="79"/>
      <c r="G15" s="77"/>
      <c r="H15" s="78"/>
      <c r="I15" s="79"/>
      <c r="J15" s="80"/>
      <c r="K15" s="81"/>
      <c r="L15" s="82"/>
      <c r="M15" s="83"/>
      <c r="N15" s="84"/>
      <c r="O15" s="155"/>
      <c r="P15" s="156"/>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90" customFormat="1" ht="21" customHeight="1">
      <c r="A18" s="75"/>
      <c r="B18" s="157"/>
      <c r="C18" s="76"/>
      <c r="D18" s="77"/>
      <c r="E18" s="78"/>
      <c r="F18" s="79"/>
      <c r="G18" s="77"/>
      <c r="H18" s="78"/>
      <c r="I18" s="79"/>
      <c r="J18" s="80"/>
      <c r="K18" s="81"/>
      <c r="L18" s="82"/>
      <c r="M18" s="83"/>
      <c r="N18" s="84"/>
      <c r="O18" s="84"/>
      <c r="P18" s="82"/>
      <c r="Q18" s="85"/>
      <c r="R18" s="85"/>
      <c r="S18" s="154"/>
      <c r="T18" s="215"/>
      <c r="U18" s="92"/>
      <c r="V18" s="86"/>
      <c r="W18" s="86"/>
      <c r="X18" s="86"/>
      <c r="Y18" s="151"/>
      <c r="Z18" s="87"/>
      <c r="AA18" s="88"/>
      <c r="AB18" s="89"/>
    </row>
    <row r="19" spans="1:28" s="90" customFormat="1" ht="21" customHeight="1">
      <c r="A19" s="75"/>
      <c r="B19" s="157"/>
      <c r="C19" s="76"/>
      <c r="D19" s="77"/>
      <c r="E19" s="78"/>
      <c r="F19" s="79"/>
      <c r="G19" s="77"/>
      <c r="H19" s="78"/>
      <c r="I19" s="79"/>
      <c r="J19" s="80"/>
      <c r="K19" s="81"/>
      <c r="L19" s="82"/>
      <c r="M19" s="83"/>
      <c r="N19" s="84"/>
      <c r="O19" s="84"/>
      <c r="P19" s="82"/>
      <c r="Q19" s="85"/>
      <c r="R19" s="85"/>
      <c r="S19" s="154"/>
      <c r="T19" s="215"/>
      <c r="U19" s="92"/>
      <c r="V19" s="86"/>
      <c r="W19" s="86"/>
      <c r="X19" s="86"/>
      <c r="Y19" s="151"/>
      <c r="Z19" s="87"/>
      <c r="AA19" s="88"/>
      <c r="AB19" s="89"/>
    </row>
    <row r="20" spans="1:28" s="1" customFormat="1" ht="21" customHeight="1">
      <c r="A20" s="11"/>
      <c r="B20" s="25"/>
      <c r="C20" s="20"/>
      <c r="D20" s="26"/>
      <c r="E20" s="159"/>
      <c r="F20" s="27"/>
      <c r="G20" s="26"/>
      <c r="H20" s="159"/>
      <c r="I20" s="27"/>
      <c r="J20" s="28"/>
      <c r="K20" s="49"/>
      <c r="L20" s="40"/>
      <c r="M20" s="41"/>
      <c r="N20" s="160"/>
      <c r="O20" s="160"/>
      <c r="P20" s="40"/>
      <c r="Q20" s="42"/>
      <c r="R20" s="60"/>
      <c r="S20" s="43"/>
      <c r="T20" s="215"/>
      <c r="U20" s="48"/>
      <c r="V20" s="120"/>
      <c r="W20" s="120"/>
      <c r="X20" s="120"/>
      <c r="Y20" s="142"/>
      <c r="Z20" s="15"/>
      <c r="AA20" s="17"/>
      <c r="AB20" s="44"/>
    </row>
    <row r="21" spans="1:28" ht="21" customHeight="1">
      <c r="B21" s="118"/>
      <c r="C21" s="119"/>
      <c r="D21" s="26"/>
      <c r="E21" s="159"/>
      <c r="F21" s="27"/>
      <c r="G21" s="26"/>
      <c r="H21" s="159"/>
      <c r="I21" s="27"/>
      <c r="J21" s="28"/>
      <c r="K21" s="49"/>
      <c r="L21" s="40"/>
      <c r="M21" s="41"/>
      <c r="N21" s="160"/>
      <c r="O21" s="160"/>
      <c r="P21" s="40"/>
      <c r="Q21" s="42"/>
      <c r="R21" s="60"/>
      <c r="S21" s="43"/>
      <c r="T21" s="216"/>
      <c r="U21" s="117"/>
    </row>
    <row r="22" spans="1:28" ht="39.6" customHeight="1">
      <c r="B22" s="161"/>
      <c r="C22" s="162"/>
      <c r="D22" s="806" t="s">
        <v>11</v>
      </c>
      <c r="E22" s="807"/>
      <c r="F22" s="807"/>
      <c r="G22" s="807"/>
      <c r="H22" s="807"/>
      <c r="I22" s="808"/>
      <c r="J22" s="809">
        <f>DEZ!F253</f>
        <v>29.33</v>
      </c>
      <c r="K22" s="810"/>
      <c r="L22" s="50" t="s">
        <v>57</v>
      </c>
      <c r="M22" s="803" t="s">
        <v>12</v>
      </c>
      <c r="N22" s="811"/>
      <c r="O22" s="811"/>
      <c r="P22" s="811"/>
      <c r="Q22" s="805"/>
      <c r="R22" s="61">
        <f>SUM(R12:R21)</f>
        <v>29.33</v>
      </c>
      <c r="S22" s="51" t="str">
        <f>L22</f>
        <v>m2</v>
      </c>
      <c r="T22" s="22"/>
      <c r="U22" s="23"/>
    </row>
    <row r="23" spans="1:28" ht="21" customHeight="1">
      <c r="B23" s="163"/>
      <c r="C23" s="19"/>
      <c r="D23" s="817" t="s">
        <v>13</v>
      </c>
      <c r="E23" s="818"/>
      <c r="F23" s="818"/>
      <c r="G23" s="818"/>
      <c r="H23" s="818"/>
      <c r="I23" s="819"/>
      <c r="J23" s="823">
        <f>R22/J22</f>
        <v>1</v>
      </c>
      <c r="K23" s="824"/>
      <c r="L23" s="827"/>
      <c r="M23" s="803" t="s">
        <v>34</v>
      </c>
      <c r="N23" s="804"/>
      <c r="O23" s="804"/>
      <c r="P23" s="804"/>
      <c r="Q23" s="805"/>
      <c r="R23" s="61">
        <f>SUM(R12:R14)</f>
        <v>29.33</v>
      </c>
      <c r="S23" s="52" t="str">
        <f>L22</f>
        <v>m2</v>
      </c>
      <c r="T23" s="22"/>
      <c r="U23" s="23"/>
    </row>
    <row r="24" spans="1:28" ht="21" customHeight="1">
      <c r="A24" s="10" t="s">
        <v>469</v>
      </c>
      <c r="B24" s="165"/>
      <c r="C24" s="164"/>
      <c r="D24" s="820"/>
      <c r="E24" s="821"/>
      <c r="F24" s="821"/>
      <c r="G24" s="821"/>
      <c r="H24" s="821"/>
      <c r="I24" s="822"/>
      <c r="J24" s="825"/>
      <c r="K24" s="826"/>
      <c r="L24" s="828"/>
      <c r="M24" s="803" t="s">
        <v>14</v>
      </c>
      <c r="N24" s="804"/>
      <c r="O24" s="804"/>
      <c r="P24" s="804"/>
      <c r="Q24" s="805"/>
      <c r="R24" s="62">
        <f>R22-R23</f>
        <v>0</v>
      </c>
      <c r="S24" s="53" t="str">
        <f>L22</f>
        <v>m2</v>
      </c>
      <c r="T24" s="54"/>
      <c r="U24" s="24"/>
    </row>
    <row r="25" spans="1:28" ht="21" customHeight="1">
      <c r="B25" s="218"/>
      <c r="C25" s="217"/>
      <c r="M25" s="803" t="s">
        <v>53</v>
      </c>
      <c r="N25" s="804"/>
      <c r="O25" s="804"/>
      <c r="P25" s="804"/>
      <c r="Q25" s="805"/>
      <c r="R25" s="62">
        <f>DEZ!E253</f>
        <v>91.41</v>
      </c>
      <c r="S25" s="53" t="s">
        <v>55</v>
      </c>
      <c r="T25" s="54"/>
      <c r="U25" s="24"/>
    </row>
    <row r="26" spans="1:28" ht="21" customHeight="1">
      <c r="B26" s="163"/>
      <c r="C26" s="219"/>
      <c r="M26" s="803" t="s">
        <v>54</v>
      </c>
      <c r="N26" s="804"/>
      <c r="O26" s="804"/>
      <c r="P26" s="804"/>
      <c r="Q26" s="805"/>
      <c r="R26" s="62">
        <f>TRUNC(R25*R24,2)</f>
        <v>0</v>
      </c>
      <c r="S26" s="53" t="s">
        <v>55</v>
      </c>
      <c r="T26" s="54"/>
      <c r="U26" s="24"/>
    </row>
    <row r="29" spans="1:28">
      <c r="C29" s="2">
        <f>18*5</f>
        <v>90</v>
      </c>
    </row>
    <row r="30" spans="1:28">
      <c r="C30" s="2">
        <f>C29*0.09</f>
        <v>8.1</v>
      </c>
    </row>
  </sheetData>
  <mergeCells count="38">
    <mergeCell ref="R10:R11"/>
    <mergeCell ref="S10:S11"/>
    <mergeCell ref="M26:Q26"/>
    <mergeCell ref="D13:F13"/>
    <mergeCell ref="G13:I13"/>
    <mergeCell ref="D23:I24"/>
    <mergeCell ref="J23:K24"/>
    <mergeCell ref="L23:L24"/>
    <mergeCell ref="M23:Q23"/>
    <mergeCell ref="M24:Q24"/>
    <mergeCell ref="M25:Q25"/>
    <mergeCell ref="D12:F12"/>
    <mergeCell ref="G12:I12"/>
    <mergeCell ref="D22:I22"/>
    <mergeCell ref="J22:K22"/>
    <mergeCell ref="M22:Q22"/>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3:K26">
    <cfRule type="cellIs" dxfId="259" priority="1" operator="greaterThanOrEqual">
      <formula>1</formula>
    </cfRule>
    <cfRule type="cellIs" dxfId="258" priority="2" operator="greaterThan">
      <formula>100%</formula>
    </cfRule>
  </conditionalFormatting>
  <pageMargins left="0.51181102362204722" right="0.51181102362204722" top="0.78740157480314965" bottom="0.78740157480314965" header="0.31496062992125984" footer="0.31496062992125984"/>
  <pageSetup paperSize="9" scale="44" fitToHeight="0" orientation="landscape" r:id="rId1"/>
  <headerFooter>
    <oddFooter>Página &amp;P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DAAB7-73B1-44CB-966A-A88E8B51B02E}">
  <sheetPr codeName="Planilha117">
    <tabColor rgb="FF339933"/>
    <pageSetUpPr fitToPage="1"/>
  </sheetPr>
  <dimension ref="A1:AJ24"/>
  <sheetViews>
    <sheetView view="pageBreakPreview" topLeftCell="G7" zoomScale="60" zoomScaleNormal="55" workbookViewId="0">
      <selection activeCell="R22" sqref="R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7.140625" style="2" bestFit="1" customWidth="1"/>
    <col min="10" max="10" width="20.42578125" style="2" customWidth="1"/>
    <col min="11" max="12" width="13.57031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DEZ!A32</f>
        <v>1.1.2.11</v>
      </c>
      <c r="C10" s="845" t="str">
        <f>DEZ!C32</f>
        <v>Fornecimento e espalhamento de pó de pedra</v>
      </c>
      <c r="D10" s="816" t="s">
        <v>854</v>
      </c>
      <c r="E10" s="816"/>
      <c r="F10" s="816"/>
      <c r="G10" s="816" t="s">
        <v>33</v>
      </c>
      <c r="H10" s="816"/>
      <c r="I10" s="816"/>
      <c r="J10" s="812" t="s">
        <v>897</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90" customFormat="1" ht="21" customHeight="1">
      <c r="A12" s="75"/>
      <c r="B12" s="107"/>
      <c r="C12" s="104" t="s">
        <v>1299</v>
      </c>
      <c r="D12" s="857">
        <v>60</v>
      </c>
      <c r="E12" s="858"/>
      <c r="F12" s="859"/>
      <c r="G12" s="857">
        <v>15</v>
      </c>
      <c r="H12" s="858"/>
      <c r="I12" s="859"/>
      <c r="J12" s="80">
        <v>0.1</v>
      </c>
      <c r="K12" s="81"/>
      <c r="L12" s="82">
        <f>D12*G12*J12</f>
        <v>90</v>
      </c>
      <c r="M12" s="68"/>
      <c r="N12" s="84"/>
      <c r="O12" s="155"/>
      <c r="P12" s="156"/>
      <c r="Q12" s="85"/>
      <c r="R12" s="70">
        <f>L12</f>
        <v>90</v>
      </c>
      <c r="S12" s="111" t="s">
        <v>58</v>
      </c>
      <c r="T12" s="215">
        <v>8</v>
      </c>
      <c r="U12" s="92"/>
      <c r="V12" s="86"/>
      <c r="W12" s="86"/>
      <c r="X12" s="86"/>
      <c r="Y12" s="151"/>
      <c r="Z12" s="87"/>
      <c r="AA12" s="88"/>
      <c r="AB12" s="89"/>
    </row>
    <row r="13" spans="1:36" s="90" customFormat="1" ht="21" customHeight="1">
      <c r="A13" s="75"/>
      <c r="B13" s="107"/>
      <c r="C13" s="104"/>
      <c r="D13" s="77"/>
      <c r="E13" s="78"/>
      <c r="F13" s="79"/>
      <c r="G13" s="77"/>
      <c r="H13" s="78"/>
      <c r="I13" s="79"/>
      <c r="J13" s="80"/>
      <c r="K13" s="81"/>
      <c r="L13" s="82"/>
      <c r="M13" s="83"/>
      <c r="N13" s="84"/>
      <c r="O13" s="155"/>
      <c r="P13" s="156"/>
      <c r="Q13" s="85"/>
      <c r="R13" s="85"/>
      <c r="S13" s="154"/>
      <c r="T13" s="215"/>
      <c r="U13" s="92"/>
      <c r="V13" s="86"/>
      <c r="W13" s="86"/>
      <c r="X13" s="86"/>
      <c r="Y13" s="151"/>
      <c r="Z13" s="87"/>
      <c r="AA13" s="88"/>
      <c r="AB13" s="89"/>
    </row>
    <row r="14" spans="1:36" s="90" customFormat="1" ht="21" customHeight="1">
      <c r="A14" s="75"/>
      <c r="B14" s="157"/>
      <c r="C14" s="76"/>
      <c r="D14" s="77"/>
      <c r="E14" s="78"/>
      <c r="F14" s="79"/>
      <c r="G14" s="77"/>
      <c r="H14" s="78"/>
      <c r="I14" s="79"/>
      <c r="J14" s="80"/>
      <c r="K14" s="81"/>
      <c r="L14" s="82"/>
      <c r="M14" s="83"/>
      <c r="N14" s="84"/>
      <c r="O14" s="84"/>
      <c r="P14" s="82"/>
      <c r="Q14" s="85"/>
      <c r="R14" s="85"/>
      <c r="S14" s="154"/>
      <c r="T14" s="215"/>
      <c r="U14" s="92"/>
      <c r="V14" s="86"/>
      <c r="W14" s="86"/>
      <c r="X14" s="86"/>
      <c r="Y14" s="151"/>
      <c r="Z14" s="87"/>
      <c r="AA14" s="88"/>
      <c r="AB14" s="89"/>
    </row>
    <row r="15" spans="1:36" s="90" customFormat="1" ht="21" customHeight="1">
      <c r="A15" s="75"/>
      <c r="B15" s="157"/>
      <c r="C15" s="76"/>
      <c r="D15" s="77"/>
      <c r="E15" s="78"/>
      <c r="F15" s="79"/>
      <c r="G15" s="77"/>
      <c r="H15" s="78"/>
      <c r="I15" s="79"/>
      <c r="J15" s="80"/>
      <c r="K15" s="81"/>
      <c r="L15" s="82"/>
      <c r="M15" s="83"/>
      <c r="N15" s="84"/>
      <c r="O15" s="84"/>
      <c r="P15" s="82"/>
      <c r="Q15" s="85"/>
      <c r="R15" s="85"/>
      <c r="S15" s="154"/>
      <c r="T15" s="215"/>
      <c r="U15" s="92"/>
      <c r="V15" s="86"/>
      <c r="W15" s="86"/>
      <c r="X15" s="86"/>
      <c r="Y15" s="151"/>
      <c r="Z15" s="87"/>
      <c r="AA15" s="88"/>
      <c r="AB15" s="89"/>
    </row>
    <row r="16" spans="1:36" s="90" customFormat="1" ht="21" customHeight="1">
      <c r="A16" s="75"/>
      <c r="B16" s="157"/>
      <c r="C16" s="76"/>
      <c r="D16" s="77"/>
      <c r="E16" s="78"/>
      <c r="F16" s="79"/>
      <c r="G16" s="77"/>
      <c r="H16" s="78"/>
      <c r="I16" s="79"/>
      <c r="J16" s="80"/>
      <c r="K16" s="81"/>
      <c r="L16" s="82"/>
      <c r="M16" s="83"/>
      <c r="N16" s="84"/>
      <c r="O16" s="84"/>
      <c r="P16" s="82"/>
      <c r="Q16" s="85"/>
      <c r="R16" s="85"/>
      <c r="S16" s="154"/>
      <c r="T16" s="215"/>
      <c r="U16" s="92"/>
      <c r="V16" s="86"/>
      <c r="W16" s="86"/>
      <c r="X16" s="86"/>
      <c r="Y16" s="151"/>
      <c r="Z16" s="87"/>
      <c r="AA16" s="88"/>
      <c r="AB16" s="89"/>
    </row>
    <row r="17" spans="1:28" s="90" customFormat="1" ht="21" customHeight="1">
      <c r="A17" s="75"/>
      <c r="B17" s="157"/>
      <c r="C17" s="76"/>
      <c r="D17" s="77"/>
      <c r="E17" s="78"/>
      <c r="F17" s="79"/>
      <c r="G17" s="77"/>
      <c r="H17" s="78"/>
      <c r="I17" s="79"/>
      <c r="J17" s="80"/>
      <c r="K17" s="81"/>
      <c r="L17" s="82"/>
      <c r="M17" s="83"/>
      <c r="N17" s="84"/>
      <c r="O17" s="84"/>
      <c r="P17" s="82"/>
      <c r="Q17" s="85"/>
      <c r="R17" s="85"/>
      <c r="S17" s="154"/>
      <c r="T17" s="215"/>
      <c r="U17" s="92"/>
      <c r="V17" s="86"/>
      <c r="W17" s="86"/>
      <c r="X17" s="86"/>
      <c r="Y17" s="151"/>
      <c r="Z17" s="87"/>
      <c r="AA17" s="88"/>
      <c r="AB17" s="89"/>
    </row>
    <row r="18" spans="1:28" s="1" customFormat="1" ht="21" customHeight="1">
      <c r="A18" s="11"/>
      <c r="B18" s="25"/>
      <c r="C18" s="20"/>
      <c r="D18" s="26"/>
      <c r="E18" s="159"/>
      <c r="F18" s="27"/>
      <c r="G18" s="26"/>
      <c r="H18" s="159"/>
      <c r="I18" s="27"/>
      <c r="J18" s="28"/>
      <c r="K18" s="49"/>
      <c r="L18" s="40"/>
      <c r="M18" s="41"/>
      <c r="N18" s="160"/>
      <c r="O18" s="160"/>
      <c r="P18" s="40"/>
      <c r="Q18" s="42"/>
      <c r="R18" s="60"/>
      <c r="S18" s="43"/>
      <c r="T18" s="215"/>
      <c r="U18" s="48"/>
      <c r="V18" s="120"/>
      <c r="W18" s="120"/>
      <c r="X18" s="120"/>
      <c r="Y18" s="142"/>
      <c r="Z18" s="15"/>
      <c r="AA18" s="17"/>
      <c r="AB18" s="44"/>
    </row>
    <row r="19" spans="1:28" ht="21" customHeight="1">
      <c r="B19" s="118"/>
      <c r="C19" s="119"/>
      <c r="D19" s="26"/>
      <c r="E19" s="159"/>
      <c r="F19" s="27"/>
      <c r="G19" s="26"/>
      <c r="H19" s="159"/>
      <c r="I19" s="27"/>
      <c r="J19" s="28"/>
      <c r="K19" s="49"/>
      <c r="L19" s="40"/>
      <c r="M19" s="41"/>
      <c r="N19" s="160"/>
      <c r="O19" s="160"/>
      <c r="P19" s="40"/>
      <c r="Q19" s="42"/>
      <c r="R19" s="60"/>
      <c r="S19" s="43"/>
      <c r="T19" s="216"/>
      <c r="U19" s="117"/>
    </row>
    <row r="20" spans="1:28" ht="39.6" customHeight="1">
      <c r="B20" s="161"/>
      <c r="C20" s="162"/>
      <c r="D20" s="806" t="s">
        <v>11</v>
      </c>
      <c r="E20" s="807"/>
      <c r="F20" s="807"/>
      <c r="G20" s="807"/>
      <c r="H20" s="807"/>
      <c r="I20" s="808"/>
      <c r="J20" s="809">
        <f>DEZ!I32</f>
        <v>90</v>
      </c>
      <c r="K20" s="810"/>
      <c r="L20" s="50" t="s">
        <v>58</v>
      </c>
      <c r="M20" s="803" t="s">
        <v>12</v>
      </c>
      <c r="N20" s="811"/>
      <c r="O20" s="811"/>
      <c r="P20" s="811"/>
      <c r="Q20" s="805"/>
      <c r="R20" s="61">
        <f>SUM(R12:R19)</f>
        <v>90</v>
      </c>
      <c r="S20" s="51" t="s">
        <v>58</v>
      </c>
      <c r="T20" s="22"/>
      <c r="U20" s="23"/>
    </row>
    <row r="21" spans="1:28" ht="21" customHeight="1">
      <c r="B21" s="163"/>
      <c r="C21" s="19"/>
      <c r="D21" s="817" t="s">
        <v>13</v>
      </c>
      <c r="E21" s="818"/>
      <c r="F21" s="818"/>
      <c r="G21" s="818"/>
      <c r="H21" s="818"/>
      <c r="I21" s="819"/>
      <c r="J21" s="823">
        <f>R20/J20</f>
        <v>1</v>
      </c>
      <c r="K21" s="824"/>
      <c r="L21" s="827"/>
      <c r="M21" s="803" t="s">
        <v>34</v>
      </c>
      <c r="N21" s="804"/>
      <c r="O21" s="804"/>
      <c r="P21" s="804"/>
      <c r="Q21" s="805"/>
      <c r="R21" s="61">
        <f>R12</f>
        <v>90</v>
      </c>
      <c r="S21" s="52" t="str">
        <f>L20</f>
        <v>m3</v>
      </c>
      <c r="T21" s="22"/>
      <c r="U21" s="23"/>
    </row>
    <row r="22" spans="1:28" ht="21" customHeight="1">
      <c r="A22" s="10" t="s">
        <v>79</v>
      </c>
      <c r="B22" s="165"/>
      <c r="C22" s="164"/>
      <c r="D22" s="820"/>
      <c r="E22" s="821"/>
      <c r="F22" s="821"/>
      <c r="G22" s="821"/>
      <c r="H22" s="821"/>
      <c r="I22" s="822"/>
      <c r="J22" s="825"/>
      <c r="K22" s="826"/>
      <c r="L22" s="828"/>
      <c r="M22" s="803" t="s">
        <v>14</v>
      </c>
      <c r="N22" s="804"/>
      <c r="O22" s="804"/>
      <c r="P22" s="804"/>
      <c r="Q22" s="805"/>
      <c r="R22" s="62">
        <f>R20-R21</f>
        <v>0</v>
      </c>
      <c r="S22" s="53" t="str">
        <f>L20</f>
        <v>m3</v>
      </c>
      <c r="T22" s="54"/>
      <c r="U22" s="24"/>
    </row>
    <row r="23" spans="1:28" ht="21" customHeight="1">
      <c r="B23" s="218"/>
      <c r="C23" s="217"/>
      <c r="M23" s="803" t="s">
        <v>53</v>
      </c>
      <c r="N23" s="804"/>
      <c r="O23" s="804"/>
      <c r="P23" s="804"/>
      <c r="Q23" s="805"/>
      <c r="R23" s="62">
        <f>DEZ!E32</f>
        <v>125.95</v>
      </c>
      <c r="S23" s="53"/>
      <c r="T23" s="54"/>
      <c r="U23" s="24"/>
    </row>
    <row r="24" spans="1:28" ht="21" customHeight="1">
      <c r="B24" s="163"/>
      <c r="C24" s="219"/>
      <c r="M24" s="803" t="s">
        <v>54</v>
      </c>
      <c r="N24" s="804"/>
      <c r="O24" s="804"/>
      <c r="P24" s="804"/>
      <c r="Q24" s="805"/>
      <c r="R24" s="62">
        <f>TRUNC(R23*R22,2)</f>
        <v>0</v>
      </c>
      <c r="S24" s="53" t="s">
        <v>55</v>
      </c>
      <c r="T24" s="54"/>
      <c r="U24" s="24"/>
    </row>
  </sheetData>
  <mergeCells count="36">
    <mergeCell ref="R10:R11"/>
    <mergeCell ref="S10:S11"/>
    <mergeCell ref="M24:Q24"/>
    <mergeCell ref="D21:I22"/>
    <mergeCell ref="J21:K22"/>
    <mergeCell ref="L21:L22"/>
    <mergeCell ref="M21:Q21"/>
    <mergeCell ref="M22:Q22"/>
    <mergeCell ref="M23:Q23"/>
    <mergeCell ref="D12:F12"/>
    <mergeCell ref="G12:I12"/>
    <mergeCell ref="D20:I20"/>
    <mergeCell ref="J20:K20"/>
    <mergeCell ref="M20:Q20"/>
    <mergeCell ref="T8:U8"/>
    <mergeCell ref="T9:U9"/>
    <mergeCell ref="B10:B11"/>
    <mergeCell ref="C10:C11"/>
    <mergeCell ref="D10:F11"/>
    <mergeCell ref="G10:I11"/>
    <mergeCell ref="J10:J11"/>
    <mergeCell ref="K10:K11"/>
    <mergeCell ref="L10:L11"/>
    <mergeCell ref="M10:M11"/>
    <mergeCell ref="T10:T11"/>
    <mergeCell ref="U10:U11"/>
    <mergeCell ref="N10:N11"/>
    <mergeCell ref="O10:O11"/>
    <mergeCell ref="P10:P11"/>
    <mergeCell ref="Q10:Q11"/>
    <mergeCell ref="T7:U7"/>
    <mergeCell ref="B1:U4"/>
    <mergeCell ref="V4:AA4"/>
    <mergeCell ref="B5:I5"/>
    <mergeCell ref="J5:O5"/>
    <mergeCell ref="P5:U5"/>
  </mergeCells>
  <conditionalFormatting sqref="J21:K24">
    <cfRule type="cellIs" dxfId="415" priority="1" operator="greaterThanOrEqual">
      <formula>1</formula>
    </cfRule>
    <cfRule type="cellIs" dxfId="414"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C44B6-C039-4E79-B142-1B42CBDC4817}">
  <sheetPr>
    <tabColor rgb="FF339933"/>
    <pageSetUpPr fitToPage="1"/>
  </sheetPr>
  <dimension ref="A2:V754"/>
  <sheetViews>
    <sheetView showGridLines="0" view="pageBreakPreview" topLeftCell="D1" zoomScale="60" zoomScaleNormal="60" workbookViewId="0">
      <pane ySplit="14" topLeftCell="A727" activePane="bottomLeft" state="frozen"/>
      <selection activeCell="D739" sqref="D739:E739"/>
      <selection pane="bottomLeft" activeCell="D739" sqref="D739:E739"/>
    </sheetView>
  </sheetViews>
  <sheetFormatPr defaultColWidth="9.140625" defaultRowHeight="12.75"/>
  <cols>
    <col min="1" max="1" width="12.42578125" style="10" customWidth="1"/>
    <col min="2" max="2" width="40.5703125" style="669" hidden="1" customWidth="1"/>
    <col min="3" max="3" width="63.5703125" style="670" customWidth="1"/>
    <col min="4" max="4" width="20.7109375" style="10" customWidth="1"/>
    <col min="5" max="5" width="20.140625" style="640" customWidth="1"/>
    <col min="6" max="6" width="27.28515625" style="640" hidden="1" customWidth="1"/>
    <col min="7" max="7" width="23.42578125" style="640" hidden="1" customWidth="1"/>
    <col min="8" max="8" width="23.7109375" style="640" hidden="1" customWidth="1"/>
    <col min="9" max="9" width="22.5703125" style="640" bestFit="1" customWidth="1"/>
    <col min="10" max="10" width="20.42578125" style="640" hidden="1" customWidth="1"/>
    <col min="11" max="11" width="22" style="640" hidden="1" customWidth="1"/>
    <col min="12" max="12" width="23.28515625" style="640" hidden="1" customWidth="1"/>
    <col min="13" max="13" width="20.85546875" style="645" hidden="1" customWidth="1"/>
    <col min="14" max="14" width="18.140625" style="671" customWidth="1"/>
    <col min="15" max="15" width="22.28515625" style="645" bestFit="1" customWidth="1"/>
    <col min="16" max="16" width="14.85546875" style="671" bestFit="1" customWidth="1"/>
    <col min="17" max="17" width="22" style="645" bestFit="1" customWidth="1"/>
    <col min="18" max="18" width="12.5703125" style="640" bestFit="1" customWidth="1"/>
    <col min="19" max="19" width="21.85546875" style="645" bestFit="1" customWidth="1"/>
    <col min="20" max="20" width="22" style="640" bestFit="1" customWidth="1"/>
    <col min="21" max="21" width="22.5703125" style="645" bestFit="1" customWidth="1"/>
    <col min="22" max="22" width="29.85546875" style="640" customWidth="1"/>
    <col min="23" max="16384" width="9.140625" style="640"/>
  </cols>
  <sheetData>
    <row r="2" spans="1:22" ht="12.75" customHeight="1">
      <c r="A2" s="890" t="s">
        <v>64</v>
      </c>
      <c r="B2" s="891"/>
      <c r="C2" s="891"/>
      <c r="D2" s="891"/>
      <c r="E2" s="891"/>
      <c r="F2" s="891"/>
      <c r="G2" s="891"/>
      <c r="H2" s="891"/>
      <c r="I2" s="891"/>
      <c r="J2" s="891"/>
      <c r="K2" s="891"/>
      <c r="L2" s="891"/>
      <c r="M2" s="891"/>
      <c r="N2" s="891"/>
      <c r="O2" s="891"/>
      <c r="P2" s="891"/>
      <c r="Q2" s="891"/>
      <c r="R2" s="891"/>
      <c r="S2" s="891"/>
      <c r="T2" s="891"/>
      <c r="U2" s="891"/>
      <c r="V2" s="640" t="s">
        <v>909</v>
      </c>
    </row>
    <row r="3" spans="1:22">
      <c r="A3" s="890"/>
      <c r="B3" s="891"/>
      <c r="C3" s="891"/>
      <c r="D3" s="891"/>
      <c r="E3" s="891"/>
      <c r="F3" s="891"/>
      <c r="G3" s="891"/>
      <c r="H3" s="891"/>
      <c r="I3" s="891"/>
      <c r="J3" s="891"/>
      <c r="K3" s="891"/>
      <c r="L3" s="891"/>
      <c r="M3" s="891"/>
      <c r="N3" s="891"/>
      <c r="O3" s="891"/>
      <c r="P3" s="891"/>
      <c r="Q3" s="891"/>
      <c r="R3" s="891"/>
      <c r="S3" s="891"/>
      <c r="T3" s="891"/>
      <c r="U3" s="891"/>
      <c r="V3" s="640" t="s">
        <v>910</v>
      </c>
    </row>
    <row r="4" spans="1:22">
      <c r="A4" s="890"/>
      <c r="B4" s="891"/>
      <c r="C4" s="891"/>
      <c r="D4" s="891"/>
      <c r="E4" s="891"/>
      <c r="F4" s="891"/>
      <c r="G4" s="891"/>
      <c r="H4" s="891"/>
      <c r="I4" s="891"/>
      <c r="J4" s="891"/>
      <c r="K4" s="891"/>
      <c r="L4" s="891"/>
      <c r="M4" s="891"/>
      <c r="N4" s="891"/>
      <c r="O4" s="891"/>
      <c r="P4" s="891"/>
      <c r="Q4" s="891"/>
      <c r="R4" s="891"/>
      <c r="S4" s="891"/>
      <c r="T4" s="891"/>
      <c r="U4" s="891"/>
      <c r="V4" s="640" t="s">
        <v>911</v>
      </c>
    </row>
    <row r="5" spans="1:22">
      <c r="A5" s="890"/>
      <c r="B5" s="891"/>
      <c r="C5" s="891"/>
      <c r="D5" s="891"/>
      <c r="E5" s="891"/>
      <c r="F5" s="891"/>
      <c r="G5" s="891"/>
      <c r="H5" s="891"/>
      <c r="I5" s="891"/>
      <c r="J5" s="891"/>
      <c r="K5" s="891"/>
      <c r="L5" s="891"/>
      <c r="M5" s="891"/>
      <c r="N5" s="891"/>
      <c r="O5" s="891"/>
      <c r="P5" s="891"/>
      <c r="Q5" s="891"/>
      <c r="R5" s="891"/>
      <c r="S5" s="891"/>
      <c r="T5" s="891"/>
      <c r="U5" s="891"/>
      <c r="V5" s="640" t="s">
        <v>912</v>
      </c>
    </row>
    <row r="6" spans="1:22">
      <c r="A6" s="943" t="s">
        <v>5</v>
      </c>
      <c r="B6" s="944"/>
      <c r="C6" s="944"/>
      <c r="D6" s="279" t="s">
        <v>6</v>
      </c>
      <c r="E6" s="279"/>
      <c r="F6" s="280"/>
      <c r="G6" s="280"/>
      <c r="H6" s="280"/>
      <c r="I6" s="280"/>
      <c r="J6" s="280"/>
      <c r="K6" s="280"/>
      <c r="L6" s="280"/>
      <c r="M6" s="615"/>
      <c r="N6" s="280"/>
      <c r="O6" s="615"/>
      <c r="P6" s="280"/>
      <c r="Q6" s="615"/>
      <c r="R6" s="280"/>
      <c r="S6" s="615"/>
      <c r="T6" s="280"/>
      <c r="U6" s="633"/>
      <c r="V6" s="640" t="s">
        <v>913</v>
      </c>
    </row>
    <row r="7" spans="1:22">
      <c r="A7" s="641" t="s">
        <v>4</v>
      </c>
      <c r="B7" s="642"/>
      <c r="C7" s="268" t="s">
        <v>859</v>
      </c>
      <c r="D7" s="643" t="s">
        <v>44</v>
      </c>
      <c r="E7" s="148"/>
      <c r="F7" s="277" t="s">
        <v>48</v>
      </c>
      <c r="G7" s="277"/>
      <c r="H7" s="277"/>
      <c r="I7" s="148"/>
      <c r="J7" s="148"/>
      <c r="K7" s="148"/>
      <c r="L7" s="148"/>
      <c r="M7" s="617"/>
      <c r="N7" s="148"/>
      <c r="O7" s="628"/>
      <c r="P7" s="644"/>
      <c r="Q7" s="616"/>
      <c r="R7" s="278"/>
      <c r="S7" s="628"/>
    </row>
    <row r="8" spans="1:22">
      <c r="A8" s="646"/>
      <c r="B8" s="647"/>
      <c r="C8" s="269"/>
      <c r="D8" s="646" t="s">
        <v>45</v>
      </c>
      <c r="E8" s="148"/>
      <c r="F8" s="214" t="s">
        <v>852</v>
      </c>
      <c r="G8" s="214"/>
      <c r="H8" s="214"/>
      <c r="I8" s="148"/>
      <c r="J8" s="148"/>
      <c r="K8" s="148"/>
      <c r="L8" s="148"/>
      <c r="M8" s="617"/>
      <c r="N8" s="148"/>
      <c r="O8" s="628"/>
      <c r="P8" s="644"/>
      <c r="Q8" s="894"/>
      <c r="R8" s="894"/>
      <c r="S8" s="628"/>
    </row>
    <row r="9" spans="1:22">
      <c r="A9" s="646" t="s">
        <v>7</v>
      </c>
      <c r="B9" s="647"/>
      <c r="C9" s="270">
        <v>15</v>
      </c>
      <c r="D9" s="648" t="s">
        <v>46</v>
      </c>
      <c r="E9" s="149"/>
      <c r="F9" s="150">
        <v>44349</v>
      </c>
      <c r="G9" s="150"/>
      <c r="H9" s="150"/>
      <c r="I9" s="149"/>
      <c r="J9" s="149"/>
      <c r="K9" s="149"/>
      <c r="L9" s="149"/>
      <c r="M9" s="636"/>
      <c r="N9" s="148"/>
      <c r="O9" s="628"/>
      <c r="P9" s="644"/>
      <c r="Q9" s="894"/>
      <c r="R9" s="894"/>
      <c r="S9" s="628"/>
    </row>
    <row r="10" spans="1:22">
      <c r="A10" s="646" t="s">
        <v>8</v>
      </c>
      <c r="B10" s="647"/>
      <c r="C10" s="609" t="s">
        <v>1449</v>
      </c>
      <c r="D10" s="648" t="s">
        <v>47</v>
      </c>
      <c r="E10" s="149"/>
      <c r="F10" s="150">
        <v>44473</v>
      </c>
      <c r="G10" s="150"/>
      <c r="H10" s="150"/>
      <c r="I10" s="149"/>
      <c r="J10" s="149"/>
      <c r="K10" s="149"/>
      <c r="L10" s="149"/>
      <c r="M10" s="636"/>
      <c r="N10" s="148"/>
      <c r="O10" s="628"/>
      <c r="P10" s="644"/>
      <c r="Q10" s="617"/>
      <c r="R10" s="167"/>
      <c r="S10" s="628"/>
    </row>
    <row r="11" spans="1:22" ht="18">
      <c r="A11" s="945" t="s">
        <v>15</v>
      </c>
      <c r="B11" s="946"/>
      <c r="C11" s="946"/>
      <c r="D11" s="946"/>
      <c r="E11" s="946"/>
      <c r="F11" s="946"/>
      <c r="G11" s="946"/>
      <c r="H11" s="946"/>
      <c r="I11" s="946"/>
      <c r="J11" s="946"/>
      <c r="K11" s="946"/>
      <c r="L11" s="946"/>
      <c r="M11" s="946"/>
      <c r="N11" s="946"/>
      <c r="O11" s="946"/>
      <c r="P11" s="946"/>
      <c r="Q11" s="946"/>
      <c r="R11" s="946"/>
      <c r="S11" s="946"/>
      <c r="T11" s="946"/>
      <c r="U11" s="947"/>
    </row>
    <row r="12" spans="1:22">
      <c r="A12" s="649"/>
      <c r="B12" s="650"/>
      <c r="C12" s="650"/>
      <c r="D12" s="650"/>
      <c r="E12" s="650"/>
      <c r="F12" s="650"/>
      <c r="G12" s="650"/>
      <c r="H12" s="650"/>
      <c r="I12" s="650"/>
      <c r="J12" s="650"/>
      <c r="K12" s="650"/>
      <c r="L12" s="650"/>
      <c r="M12" s="651"/>
      <c r="N12" s="650"/>
      <c r="O12" s="651"/>
      <c r="P12" s="650"/>
      <c r="Q12" s="651"/>
      <c r="R12" s="650"/>
      <c r="S12" s="651"/>
      <c r="T12" s="650"/>
      <c r="U12" s="652"/>
    </row>
    <row r="13" spans="1:22" ht="31.5" customHeight="1">
      <c r="A13" s="897" t="s">
        <v>30</v>
      </c>
      <c r="B13" s="899" t="s">
        <v>2</v>
      </c>
      <c r="C13" s="948" t="s">
        <v>16</v>
      </c>
      <c r="D13" s="903" t="s">
        <v>10</v>
      </c>
      <c r="E13" s="905" t="s">
        <v>1250</v>
      </c>
      <c r="F13" s="906"/>
      <c r="G13" s="906"/>
      <c r="H13" s="906"/>
      <c r="I13" s="907"/>
      <c r="J13" s="951" t="s">
        <v>1043</v>
      </c>
      <c r="K13" s="952"/>
      <c r="L13" s="952"/>
      <c r="M13" s="953"/>
      <c r="N13" s="905" t="s">
        <v>31</v>
      </c>
      <c r="O13" s="907"/>
      <c r="P13" s="911">
        <v>16</v>
      </c>
      <c r="Q13" s="912"/>
      <c r="R13" s="905" t="s">
        <v>36</v>
      </c>
      <c r="S13" s="907"/>
      <c r="T13" s="915" t="s">
        <v>63</v>
      </c>
      <c r="U13" s="916"/>
    </row>
    <row r="14" spans="1:22" ht="33.75" customHeight="1">
      <c r="A14" s="898"/>
      <c r="B14" s="900"/>
      <c r="C14" s="949"/>
      <c r="D14" s="950"/>
      <c r="E14" s="3" t="s">
        <v>18</v>
      </c>
      <c r="F14" s="721" t="s">
        <v>1248</v>
      </c>
      <c r="G14" s="4" t="s">
        <v>1246</v>
      </c>
      <c r="H14" s="4" t="s">
        <v>1247</v>
      </c>
      <c r="I14" s="5" t="s">
        <v>1249</v>
      </c>
      <c r="J14" s="4" t="s">
        <v>1050</v>
      </c>
      <c r="K14" s="4" t="s">
        <v>1051</v>
      </c>
      <c r="L14" s="4" t="s">
        <v>1052</v>
      </c>
      <c r="M14" s="714" t="s">
        <v>1053</v>
      </c>
      <c r="N14" s="45" t="s">
        <v>9</v>
      </c>
      <c r="O14" s="629" t="s">
        <v>3</v>
      </c>
      <c r="P14" s="614" t="s">
        <v>9</v>
      </c>
      <c r="Q14" s="618" t="s">
        <v>3</v>
      </c>
      <c r="R14" s="3" t="s">
        <v>9</v>
      </c>
      <c r="S14" s="629" t="s">
        <v>3</v>
      </c>
      <c r="T14" s="227" t="s">
        <v>9</v>
      </c>
      <c r="U14" s="634" t="s">
        <v>3</v>
      </c>
    </row>
    <row r="15" spans="1:22" s="654" customFormat="1">
      <c r="A15" s="202">
        <v>1</v>
      </c>
      <c r="B15" s="653" t="s">
        <v>848</v>
      </c>
      <c r="D15" s="204"/>
      <c r="E15" s="205"/>
      <c r="F15" s="206"/>
      <c r="G15" s="206"/>
      <c r="H15" s="206"/>
      <c r="I15" s="207"/>
      <c r="J15" s="207">
        <f>SUBTOTAL(9,J16:J48)</f>
        <v>196427.87449999998</v>
      </c>
      <c r="K15" s="207"/>
      <c r="L15" s="207"/>
      <c r="M15" s="619"/>
      <c r="N15" s="208"/>
      <c r="O15" s="619">
        <f>SUBTOTAL(9,O16:O48)</f>
        <v>233800.26</v>
      </c>
      <c r="P15" s="208"/>
      <c r="Q15" s="619">
        <f>SUBTOTAL(9,Q16:Q48)</f>
        <v>7197.6599999999962</v>
      </c>
      <c r="R15" s="207"/>
      <c r="S15" s="619">
        <f>SUBTOTAL(9,S16:S48)</f>
        <v>240997.92199999999</v>
      </c>
      <c r="T15" s="207">
        <f>F15-R15</f>
        <v>0</v>
      </c>
      <c r="U15" s="619">
        <f>SUBTOTAL(9,U16:U48)</f>
        <v>26303.3</v>
      </c>
    </row>
    <row r="16" spans="1:22" s="213" customFormat="1">
      <c r="A16" s="210" t="s">
        <v>19</v>
      </c>
      <c r="B16" s="211"/>
      <c r="C16" s="655" t="s">
        <v>65</v>
      </c>
      <c r="D16" s="197"/>
      <c r="E16" s="198"/>
      <c r="F16" s="199"/>
      <c r="G16" s="199"/>
      <c r="H16" s="199"/>
      <c r="I16" s="200"/>
      <c r="J16" s="200">
        <f>SUBTOTAL(9,J17:J41)</f>
        <v>160167.63449999999</v>
      </c>
      <c r="K16" s="200"/>
      <c r="L16" s="200"/>
      <c r="M16" s="620"/>
      <c r="N16" s="201"/>
      <c r="O16" s="620">
        <f>SUBTOTAL(9,O17:O41)</f>
        <v>204737.68</v>
      </c>
      <c r="P16" s="201"/>
      <c r="Q16" s="620">
        <f>SUBTOTAL(9,Q17:Q41)</f>
        <v>0</v>
      </c>
      <c r="R16" s="200"/>
      <c r="S16" s="620">
        <f>SUBTOTAL(9,S17:S41)</f>
        <v>204737.682</v>
      </c>
      <c r="T16" s="200">
        <f t="shared" ref="T16:T30" si="0">F16-R16</f>
        <v>0</v>
      </c>
      <c r="U16" s="620">
        <f>SUBTOTAL(9,U17:U41)</f>
        <v>0</v>
      </c>
    </row>
    <row r="17" spans="1:21" s="236" customFormat="1">
      <c r="A17" s="229" t="s">
        <v>40</v>
      </c>
      <c r="B17" s="230"/>
      <c r="C17" s="656" t="s">
        <v>61</v>
      </c>
      <c r="D17" s="231"/>
      <c r="E17" s="232"/>
      <c r="F17" s="233"/>
      <c r="G17" s="233"/>
      <c r="H17" s="233"/>
      <c r="I17" s="234"/>
      <c r="J17" s="234">
        <f>SUBTOTAL(9,J18:J19)</f>
        <v>27297.05</v>
      </c>
      <c r="K17" s="234"/>
      <c r="L17" s="234"/>
      <c r="M17" s="621"/>
      <c r="N17" s="235"/>
      <c r="O17" s="621">
        <f>SUBTOTAL(9,O18:O19)</f>
        <v>27297.05</v>
      </c>
      <c r="P17" s="235"/>
      <c r="Q17" s="621">
        <f>SUBTOTAL(9,Q18:Q19)</f>
        <v>0</v>
      </c>
      <c r="R17" s="234"/>
      <c r="S17" s="621">
        <f>SUBTOTAL(9,S18:S19)</f>
        <v>27297.05</v>
      </c>
      <c r="T17" s="234">
        <f t="shared" si="0"/>
        <v>0</v>
      </c>
      <c r="U17" s="621">
        <f>SUBTOTAL(9,U18:U19)</f>
        <v>0</v>
      </c>
    </row>
    <row r="18" spans="1:21" ht="25.5">
      <c r="A18" s="190" t="s">
        <v>66</v>
      </c>
      <c r="B18" s="191" t="s">
        <v>68</v>
      </c>
      <c r="C18" s="657" t="s">
        <v>70</v>
      </c>
      <c r="D18" s="192" t="s">
        <v>72</v>
      </c>
      <c r="E18" s="193">
        <v>20807.46</v>
      </c>
      <c r="F18" s="194">
        <v>1</v>
      </c>
      <c r="G18" s="194"/>
      <c r="H18" s="194"/>
      <c r="I18" s="193">
        <f>F18+G18-H18</f>
        <v>1</v>
      </c>
      <c r="J18" s="193">
        <f>F18*E18</f>
        <v>20807.46</v>
      </c>
      <c r="K18" s="193"/>
      <c r="L18" s="193"/>
      <c r="M18" s="622">
        <f>I18*E18</f>
        <v>20807.46</v>
      </c>
      <c r="N18" s="195">
        <v>1</v>
      </c>
      <c r="O18" s="622">
        <f>TRUNC(N18*E18,2)</f>
        <v>20807.46</v>
      </c>
      <c r="P18" s="194"/>
      <c r="Q18" s="622">
        <f t="shared" ref="Q18:Q19" si="1">S18-O18</f>
        <v>0</v>
      </c>
      <c r="R18" s="194">
        <f>P18+N18</f>
        <v>1</v>
      </c>
      <c r="S18" s="630">
        <f>TRUNC(R18*E18,2)</f>
        <v>20807.46</v>
      </c>
      <c r="T18" s="194">
        <f t="shared" si="0"/>
        <v>0</v>
      </c>
      <c r="U18" s="630">
        <v>0</v>
      </c>
    </row>
    <row r="19" spans="1:21" ht="25.5">
      <c r="A19" s="190" t="s">
        <v>67</v>
      </c>
      <c r="B19" s="191" t="s">
        <v>69</v>
      </c>
      <c r="C19" s="657" t="s">
        <v>71</v>
      </c>
      <c r="D19" s="192" t="s">
        <v>72</v>
      </c>
      <c r="E19" s="193">
        <v>6489.59</v>
      </c>
      <c r="F19" s="194">
        <v>1</v>
      </c>
      <c r="G19" s="194"/>
      <c r="H19" s="194"/>
      <c r="I19" s="193">
        <f>F19+G19-H19</f>
        <v>1</v>
      </c>
      <c r="J19" s="193">
        <f>F19*E19</f>
        <v>6489.59</v>
      </c>
      <c r="K19" s="193"/>
      <c r="L19" s="193"/>
      <c r="M19" s="622">
        <f>I19*E19</f>
        <v>6489.59</v>
      </c>
      <c r="N19" s="194">
        <v>1</v>
      </c>
      <c r="O19" s="622">
        <f t="shared" ref="O19" si="2">TRUNC(N19*E19,2)</f>
        <v>6489.59</v>
      </c>
      <c r="P19" s="194">
        <v>0</v>
      </c>
      <c r="Q19" s="622">
        <f t="shared" si="1"/>
        <v>0</v>
      </c>
      <c r="R19" s="194">
        <f>P19+N19</f>
        <v>1</v>
      </c>
      <c r="S19" s="630">
        <f t="shared" ref="S19" si="3">TRUNC(R19*E19,2)</f>
        <v>6489.59</v>
      </c>
      <c r="T19" s="194">
        <f>I19-R19</f>
        <v>0</v>
      </c>
      <c r="U19" s="630">
        <f t="shared" ref="U19" si="4">T19*E19</f>
        <v>0</v>
      </c>
    </row>
    <row r="20" spans="1:21">
      <c r="A20" s="138"/>
      <c r="B20" s="132"/>
      <c r="C20" s="123"/>
      <c r="D20" s="123"/>
      <c r="E20" s="123"/>
      <c r="F20" s="123"/>
      <c r="G20" s="123"/>
      <c r="H20" s="123"/>
      <c r="I20" s="123"/>
      <c r="J20" s="123"/>
      <c r="K20" s="123"/>
      <c r="L20" s="123"/>
      <c r="M20" s="623"/>
      <c r="N20" s="123"/>
      <c r="O20" s="623"/>
      <c r="P20" s="123"/>
      <c r="Q20" s="623"/>
      <c r="R20" s="123"/>
      <c r="S20" s="631"/>
      <c r="T20" s="123"/>
      <c r="U20" s="631"/>
    </row>
    <row r="21" spans="1:21" s="131" customFormat="1">
      <c r="A21" s="137" t="s">
        <v>41</v>
      </c>
      <c r="B21" s="133"/>
      <c r="C21" s="658" t="s">
        <v>73</v>
      </c>
      <c r="D21" s="126"/>
      <c r="E21" s="127"/>
      <c r="F21" s="128"/>
      <c r="G21" s="128"/>
      <c r="H21" s="128"/>
      <c r="I21" s="129"/>
      <c r="J21" s="129">
        <f>SUBTOTAL(9,J22:J33)</f>
        <v>61975.522000000004</v>
      </c>
      <c r="K21" s="129"/>
      <c r="L21" s="129"/>
      <c r="M21" s="624"/>
      <c r="N21" s="130"/>
      <c r="O21" s="624">
        <f>SUBTOTAL(9,O22:O30)</f>
        <v>61975.519999999997</v>
      </c>
      <c r="P21" s="130"/>
      <c r="Q21" s="624">
        <f>SUBTOTAL(9,Q22:Q33)</f>
        <v>0</v>
      </c>
      <c r="R21" s="129"/>
      <c r="S21" s="624">
        <f>SUBTOTAL(9,S22:S33)</f>
        <v>85214.301999999996</v>
      </c>
      <c r="T21" s="129">
        <f t="shared" si="0"/>
        <v>0</v>
      </c>
      <c r="U21" s="624">
        <f>SUBTOTAL(9,U22:U30)</f>
        <v>0</v>
      </c>
    </row>
    <row r="22" spans="1:21" ht="51">
      <c r="A22" s="190" t="s">
        <v>74</v>
      </c>
      <c r="B22" s="191">
        <v>20350</v>
      </c>
      <c r="C22" s="657" t="s">
        <v>866</v>
      </c>
      <c r="D22" s="192" t="s">
        <v>51</v>
      </c>
      <c r="E22" s="193">
        <v>138.65</v>
      </c>
      <c r="F22" s="194">
        <v>140.08000000000001</v>
      </c>
      <c r="G22" s="194"/>
      <c r="H22" s="194"/>
      <c r="I22" s="193">
        <f>F22+G22-H22</f>
        <v>140.08000000000001</v>
      </c>
      <c r="J22" s="193">
        <f>F22*E22</f>
        <v>19422.092000000004</v>
      </c>
      <c r="K22" s="193"/>
      <c r="L22" s="193"/>
      <c r="M22" s="622">
        <f>I22*E22</f>
        <v>19422.092000000004</v>
      </c>
      <c r="N22" s="194">
        <v>140.08000000000001</v>
      </c>
      <c r="O22" s="622">
        <f t="shared" ref="O22" si="5">TRUNC(N22*E22,2)</f>
        <v>19422.09</v>
      </c>
      <c r="P22" s="194">
        <v>0</v>
      </c>
      <c r="Q22" s="622">
        <f>P22*E22</f>
        <v>0</v>
      </c>
      <c r="R22" s="194">
        <f>P22+N22</f>
        <v>140.08000000000001</v>
      </c>
      <c r="S22" s="630">
        <f>R22*E22</f>
        <v>19422.092000000004</v>
      </c>
      <c r="T22" s="194">
        <f t="shared" si="0"/>
        <v>0</v>
      </c>
      <c r="U22" s="630">
        <f t="shared" ref="U22:U27" si="6">T22*E22</f>
        <v>0</v>
      </c>
    </row>
    <row r="23" spans="1:21" ht="51">
      <c r="A23" s="190" t="s">
        <v>75</v>
      </c>
      <c r="B23" s="191">
        <v>20343</v>
      </c>
      <c r="C23" s="657" t="s">
        <v>84</v>
      </c>
      <c r="D23" s="192" t="s">
        <v>52</v>
      </c>
      <c r="E23" s="193">
        <v>783.92</v>
      </c>
      <c r="F23" s="194">
        <v>10</v>
      </c>
      <c r="G23" s="194"/>
      <c r="H23" s="194"/>
      <c r="I23" s="193">
        <f t="shared" ref="I23:I30" si="7">F23+G23-H23</f>
        <v>10</v>
      </c>
      <c r="J23" s="193">
        <f t="shared" ref="J23:J30" si="8">F23*E23</f>
        <v>7839.2</v>
      </c>
      <c r="K23" s="193"/>
      <c r="L23" s="193"/>
      <c r="M23" s="622">
        <f>I23*E23</f>
        <v>7839.2</v>
      </c>
      <c r="N23" s="194">
        <f>'1.1.2.2'!R29</f>
        <v>10</v>
      </c>
      <c r="O23" s="622">
        <f>TRUNC(N23*E23,2)</f>
        <v>7839.2</v>
      </c>
      <c r="P23" s="560">
        <f>'1.1.2.2'!R30</f>
        <v>0</v>
      </c>
      <c r="Q23" s="622">
        <f>S23-O23</f>
        <v>0</v>
      </c>
      <c r="R23" s="194">
        <f t="shared" ref="R23:R30" si="9">P23+N23</f>
        <v>10</v>
      </c>
      <c r="S23" s="630">
        <f t="shared" ref="S23:S30" si="10">R23*E23</f>
        <v>7839.2</v>
      </c>
      <c r="T23" s="194">
        <f t="shared" si="0"/>
        <v>0</v>
      </c>
      <c r="U23" s="630">
        <f>T23*E23</f>
        <v>0</v>
      </c>
    </row>
    <row r="24" spans="1:21" ht="63.75" customHeight="1">
      <c r="A24" s="190" t="s">
        <v>76</v>
      </c>
      <c r="B24" s="191">
        <v>20353</v>
      </c>
      <c r="C24" s="657" t="s">
        <v>97</v>
      </c>
      <c r="D24" s="192" t="s">
        <v>85</v>
      </c>
      <c r="E24" s="193">
        <v>823.11</v>
      </c>
      <c r="F24" s="194">
        <v>10</v>
      </c>
      <c r="G24" s="194"/>
      <c r="H24" s="194"/>
      <c r="I24" s="193">
        <f t="shared" si="7"/>
        <v>10</v>
      </c>
      <c r="J24" s="193">
        <f t="shared" si="8"/>
        <v>8231.1</v>
      </c>
      <c r="K24" s="193"/>
      <c r="L24" s="193"/>
      <c r="M24" s="622">
        <f t="shared" ref="M24:M30" si="11">I24*E24</f>
        <v>8231.1</v>
      </c>
      <c r="N24" s="194">
        <f>'1.1.2.3'!R28</f>
        <v>10</v>
      </c>
      <c r="O24" s="622">
        <f t="shared" ref="O24:O25" si="12">TRUNC(N24*E24,2)</f>
        <v>8231.1</v>
      </c>
      <c r="P24" s="560">
        <f>'1.1.2.3'!R29</f>
        <v>0</v>
      </c>
      <c r="Q24" s="622">
        <f t="shared" ref="Q24:Q25" si="13">S24-O24</f>
        <v>0</v>
      </c>
      <c r="R24" s="194">
        <f t="shared" si="9"/>
        <v>10</v>
      </c>
      <c r="S24" s="630">
        <f t="shared" si="10"/>
        <v>8231.1</v>
      </c>
      <c r="T24" s="194">
        <f>F24-R24</f>
        <v>0</v>
      </c>
      <c r="U24" s="630">
        <f t="shared" si="6"/>
        <v>0</v>
      </c>
    </row>
    <row r="25" spans="1:21" ht="38.25">
      <c r="A25" s="190" t="s">
        <v>77</v>
      </c>
      <c r="B25" s="191">
        <v>20354</v>
      </c>
      <c r="C25" s="657" t="s">
        <v>86</v>
      </c>
      <c r="D25" s="192" t="s">
        <v>85</v>
      </c>
      <c r="E25" s="193">
        <v>479.75</v>
      </c>
      <c r="F25" s="194">
        <v>10</v>
      </c>
      <c r="G25" s="194"/>
      <c r="H25" s="194"/>
      <c r="I25" s="193">
        <f t="shared" si="7"/>
        <v>10</v>
      </c>
      <c r="J25" s="193">
        <f t="shared" si="8"/>
        <v>4797.5</v>
      </c>
      <c r="K25" s="193"/>
      <c r="L25" s="193"/>
      <c r="M25" s="622">
        <f t="shared" si="11"/>
        <v>4797.5</v>
      </c>
      <c r="N25" s="194">
        <f>'1.1.2.4'!R28</f>
        <v>10</v>
      </c>
      <c r="O25" s="622">
        <f t="shared" si="12"/>
        <v>4797.5</v>
      </c>
      <c r="P25" s="560">
        <f>'1.1.2.4'!R29</f>
        <v>0</v>
      </c>
      <c r="Q25" s="622">
        <f t="shared" si="13"/>
        <v>0</v>
      </c>
      <c r="R25" s="194">
        <f t="shared" si="9"/>
        <v>10</v>
      </c>
      <c r="S25" s="630">
        <f t="shared" si="10"/>
        <v>4797.5</v>
      </c>
      <c r="T25" s="194">
        <f>I25-R25</f>
        <v>0</v>
      </c>
      <c r="U25" s="630">
        <f t="shared" si="6"/>
        <v>0</v>
      </c>
    </row>
    <row r="26" spans="1:21" ht="51">
      <c r="A26" s="190" t="s">
        <v>78</v>
      </c>
      <c r="B26" s="191">
        <v>20355</v>
      </c>
      <c r="C26" s="657" t="s">
        <v>87</v>
      </c>
      <c r="D26" s="192" t="s">
        <v>85</v>
      </c>
      <c r="E26" s="193">
        <v>841.92</v>
      </c>
      <c r="F26" s="194">
        <v>10</v>
      </c>
      <c r="G26" s="194"/>
      <c r="H26" s="194"/>
      <c r="I26" s="193">
        <f t="shared" si="7"/>
        <v>10</v>
      </c>
      <c r="J26" s="193">
        <f t="shared" si="8"/>
        <v>8419.1999999999989</v>
      </c>
      <c r="K26" s="193"/>
      <c r="L26" s="193"/>
      <c r="M26" s="622">
        <f t="shared" si="11"/>
        <v>8419.1999999999989</v>
      </c>
      <c r="N26" s="194">
        <f>'1.1.2.5'!R29</f>
        <v>10</v>
      </c>
      <c r="O26" s="622">
        <f>TRUNC(N26*E26,2)</f>
        <v>8419.2000000000007</v>
      </c>
      <c r="P26" s="560">
        <f>'1.1.2.5'!R30</f>
        <v>0</v>
      </c>
      <c r="Q26" s="622">
        <f>S26-O26</f>
        <v>0</v>
      </c>
      <c r="R26" s="194">
        <f t="shared" si="9"/>
        <v>10</v>
      </c>
      <c r="S26" s="630">
        <f t="shared" si="10"/>
        <v>8419.1999999999989</v>
      </c>
      <c r="T26" s="194">
        <f>I26-R26</f>
        <v>0</v>
      </c>
      <c r="U26" s="630">
        <f t="shared" si="6"/>
        <v>0</v>
      </c>
    </row>
    <row r="27" spans="1:21" ht="38.25">
      <c r="A27" s="190" t="s">
        <v>79</v>
      </c>
      <c r="B27" s="191">
        <v>20356</v>
      </c>
      <c r="C27" s="657" t="s">
        <v>88</v>
      </c>
      <c r="D27" s="192" t="s">
        <v>85</v>
      </c>
      <c r="E27" s="193">
        <v>489.95</v>
      </c>
      <c r="F27" s="194">
        <v>10</v>
      </c>
      <c r="G27" s="194"/>
      <c r="H27" s="194"/>
      <c r="I27" s="193">
        <f t="shared" si="7"/>
        <v>10</v>
      </c>
      <c r="J27" s="193">
        <f t="shared" si="8"/>
        <v>4899.5</v>
      </c>
      <c r="K27" s="193"/>
      <c r="L27" s="193"/>
      <c r="M27" s="622">
        <f t="shared" si="11"/>
        <v>4899.5</v>
      </c>
      <c r="N27" s="194">
        <f>'1.1.2.6'!R29</f>
        <v>10</v>
      </c>
      <c r="O27" s="622">
        <f>TRUNC(N27*E27,2)</f>
        <v>4899.5</v>
      </c>
      <c r="P27" s="560">
        <f>'1.1.2.6'!R30</f>
        <v>0</v>
      </c>
      <c r="Q27" s="622">
        <f>S27-O27</f>
        <v>0</v>
      </c>
      <c r="R27" s="194">
        <f t="shared" si="9"/>
        <v>10</v>
      </c>
      <c r="S27" s="630">
        <f t="shared" si="10"/>
        <v>4899.5</v>
      </c>
      <c r="T27" s="194">
        <f>I27-R27</f>
        <v>0</v>
      </c>
      <c r="U27" s="630">
        <f t="shared" si="6"/>
        <v>0</v>
      </c>
    </row>
    <row r="28" spans="1:21" ht="35.25" customHeight="1">
      <c r="A28" s="190" t="s">
        <v>80</v>
      </c>
      <c r="B28" s="191">
        <v>20344</v>
      </c>
      <c r="C28" s="657" t="s">
        <v>89</v>
      </c>
      <c r="D28" s="192" t="s">
        <v>59</v>
      </c>
      <c r="E28" s="193">
        <v>1028.8900000000001</v>
      </c>
      <c r="F28" s="194">
        <v>5</v>
      </c>
      <c r="G28" s="194"/>
      <c r="H28" s="194"/>
      <c r="I28" s="193">
        <f t="shared" si="7"/>
        <v>5</v>
      </c>
      <c r="J28" s="193">
        <f t="shared" si="8"/>
        <v>5144.4500000000007</v>
      </c>
      <c r="K28" s="193"/>
      <c r="L28" s="193"/>
      <c r="M28" s="622">
        <f t="shared" si="11"/>
        <v>5144.4500000000007</v>
      </c>
      <c r="N28" s="194">
        <v>5</v>
      </c>
      <c r="O28" s="622">
        <f t="shared" ref="O28:O29" si="14">TRUNC(N28*E28,2)</f>
        <v>5144.45</v>
      </c>
      <c r="P28" s="194">
        <v>0</v>
      </c>
      <c r="Q28" s="622">
        <f>P28*E28</f>
        <v>0</v>
      </c>
      <c r="R28" s="194">
        <f>P28+N28</f>
        <v>5</v>
      </c>
      <c r="S28" s="630">
        <f t="shared" si="10"/>
        <v>5144.4500000000007</v>
      </c>
      <c r="T28" s="194">
        <f>F28-R28</f>
        <v>0</v>
      </c>
      <c r="U28" s="630">
        <f>T28*E28</f>
        <v>0</v>
      </c>
    </row>
    <row r="29" spans="1:21" ht="51">
      <c r="A29" s="190" t="s">
        <v>81</v>
      </c>
      <c r="B29" s="191">
        <v>20708</v>
      </c>
      <c r="C29" s="657" t="s">
        <v>861</v>
      </c>
      <c r="D29" s="192" t="s">
        <v>57</v>
      </c>
      <c r="E29" s="193">
        <v>160.19999999999999</v>
      </c>
      <c r="F29" s="194">
        <v>12</v>
      </c>
      <c r="G29" s="194"/>
      <c r="H29" s="194"/>
      <c r="I29" s="193">
        <f t="shared" si="7"/>
        <v>12</v>
      </c>
      <c r="J29" s="193">
        <f t="shared" si="8"/>
        <v>1922.3999999999999</v>
      </c>
      <c r="K29" s="193"/>
      <c r="L29" s="193"/>
      <c r="M29" s="622">
        <f t="shared" si="11"/>
        <v>1922.3999999999999</v>
      </c>
      <c r="N29" s="194">
        <v>12</v>
      </c>
      <c r="O29" s="622">
        <f t="shared" si="14"/>
        <v>1922.4</v>
      </c>
      <c r="P29" s="194">
        <v>0</v>
      </c>
      <c r="Q29" s="622">
        <f t="shared" ref="Q29" si="15">S29-O29</f>
        <v>0</v>
      </c>
      <c r="R29" s="194">
        <f t="shared" si="9"/>
        <v>12</v>
      </c>
      <c r="S29" s="630">
        <f t="shared" si="10"/>
        <v>1922.3999999999999</v>
      </c>
      <c r="T29" s="194">
        <f t="shared" si="0"/>
        <v>0</v>
      </c>
      <c r="U29" s="630">
        <f t="shared" ref="U29:U30" si="16">T29*E29</f>
        <v>0</v>
      </c>
    </row>
    <row r="30" spans="1:21" ht="51">
      <c r="A30" s="190" t="s">
        <v>82</v>
      </c>
      <c r="B30" s="191">
        <v>20709</v>
      </c>
      <c r="C30" s="657" t="s">
        <v>862</v>
      </c>
      <c r="D30" s="192" t="s">
        <v>57</v>
      </c>
      <c r="E30" s="193">
        <v>216.68</v>
      </c>
      <c r="F30" s="194">
        <v>6</v>
      </c>
      <c r="G30" s="194"/>
      <c r="H30" s="194"/>
      <c r="I30" s="193">
        <f t="shared" si="7"/>
        <v>6</v>
      </c>
      <c r="J30" s="193">
        <f t="shared" si="8"/>
        <v>1300.08</v>
      </c>
      <c r="K30" s="193"/>
      <c r="L30" s="193"/>
      <c r="M30" s="622">
        <f t="shared" si="11"/>
        <v>1300.08</v>
      </c>
      <c r="N30" s="194">
        <v>6</v>
      </c>
      <c r="O30" s="622">
        <f>TRUNC(N30*E30,2)</f>
        <v>1300.08</v>
      </c>
      <c r="P30" s="194">
        <v>0</v>
      </c>
      <c r="Q30" s="622">
        <f>S30-O30</f>
        <v>0</v>
      </c>
      <c r="R30" s="194">
        <f t="shared" si="9"/>
        <v>6</v>
      </c>
      <c r="S30" s="630">
        <f t="shared" si="10"/>
        <v>1300.08</v>
      </c>
      <c r="T30" s="194">
        <f t="shared" si="0"/>
        <v>0</v>
      </c>
      <c r="U30" s="630">
        <f t="shared" si="16"/>
        <v>0</v>
      </c>
    </row>
    <row r="31" spans="1:21" ht="25.5">
      <c r="A31" s="190" t="s">
        <v>1067</v>
      </c>
      <c r="B31" s="191">
        <v>40781</v>
      </c>
      <c r="C31" s="657" t="str">
        <f>REPLANILHAMENTO!D21</f>
        <v>Base solo brita, 50% em peso, inclusive fornecimento e transporte da brita</v>
      </c>
      <c r="D31" s="192" t="str">
        <f>REPLANILHAMENTO!E21</f>
        <v>m³</v>
      </c>
      <c r="E31" s="193">
        <f>REPLANILHAMENTO!F21</f>
        <v>56.22</v>
      </c>
      <c r="F31" s="194">
        <v>0</v>
      </c>
      <c r="G31" s="194">
        <f>REPLANILHAMENTO!H21</f>
        <v>180</v>
      </c>
      <c r="H31" s="194"/>
      <c r="I31" s="193">
        <f>F31+G31-H31</f>
        <v>180</v>
      </c>
      <c r="J31" s="193">
        <f>F31*E31</f>
        <v>0</v>
      </c>
      <c r="K31" s="193">
        <f>G31*E31</f>
        <v>10119.6</v>
      </c>
      <c r="L31" s="193"/>
      <c r="M31" s="622">
        <f>K31</f>
        <v>10119.6</v>
      </c>
      <c r="N31" s="194">
        <f>'1.1.2.10'!R21</f>
        <v>180</v>
      </c>
      <c r="O31" s="622">
        <f>TRUNC(N31*E31,2)</f>
        <v>10119.6</v>
      </c>
      <c r="P31" s="194">
        <f>'1.1.2.10'!R22</f>
        <v>0</v>
      </c>
      <c r="Q31" s="622">
        <f>P31*E31</f>
        <v>0</v>
      </c>
      <c r="R31" s="194">
        <f>N31+P31</f>
        <v>180</v>
      </c>
      <c r="S31" s="630">
        <f>R31*E31</f>
        <v>10119.6</v>
      </c>
      <c r="T31" s="194">
        <f>I31-R31</f>
        <v>0</v>
      </c>
      <c r="U31" s="630">
        <v>0</v>
      </c>
    </row>
    <row r="32" spans="1:21">
      <c r="A32" s="190" t="s">
        <v>1070</v>
      </c>
      <c r="B32" s="191">
        <v>200323</v>
      </c>
      <c r="C32" s="657" t="str">
        <f>REPLANILHAMENTO!D22</f>
        <v>Fornecimento e espalhamento de pó de pedra</v>
      </c>
      <c r="D32" s="192" t="str">
        <f>REPLANILHAMENTO!E22</f>
        <v>m³</v>
      </c>
      <c r="E32" s="193">
        <f>REPLANILHAMENTO!F22</f>
        <v>125.95</v>
      </c>
      <c r="F32" s="194">
        <v>0</v>
      </c>
      <c r="G32" s="194">
        <f>REPLANILHAMENTO!H22</f>
        <v>90</v>
      </c>
      <c r="H32" s="194"/>
      <c r="I32" s="193">
        <f t="shared" ref="I32:I33" si="17">F32+G32-H32</f>
        <v>90</v>
      </c>
      <c r="J32" s="193">
        <f t="shared" ref="J32:J33" si="18">F32*E32</f>
        <v>0</v>
      </c>
      <c r="K32" s="193">
        <f t="shared" ref="K32:K33" si="19">G32*E32</f>
        <v>11335.5</v>
      </c>
      <c r="L32" s="193"/>
      <c r="M32" s="622">
        <f t="shared" ref="M32:M33" si="20">K32</f>
        <v>11335.5</v>
      </c>
      <c r="N32" s="194">
        <f>'1.1.2.11'!R21</f>
        <v>90</v>
      </c>
      <c r="O32" s="622">
        <f>TRUNC(N32*E32,2)</f>
        <v>11335.5</v>
      </c>
      <c r="P32" s="194">
        <f>'1.1.2.11'!R22</f>
        <v>0</v>
      </c>
      <c r="Q32" s="622">
        <f t="shared" ref="Q32:Q33" si="21">P32*E32</f>
        <v>0</v>
      </c>
      <c r="R32" s="194">
        <f t="shared" ref="R32:R33" si="22">N32+P32</f>
        <v>90</v>
      </c>
      <c r="S32" s="630">
        <f t="shared" ref="S32:S33" si="23">R32*E32</f>
        <v>11335.5</v>
      </c>
      <c r="T32" s="194">
        <f t="shared" ref="T32:T33" si="24">I32-R32</f>
        <v>0</v>
      </c>
      <c r="U32" s="630">
        <v>0</v>
      </c>
    </row>
    <row r="33" spans="1:21">
      <c r="A33" s="190" t="s">
        <v>1071</v>
      </c>
      <c r="B33" s="191">
        <v>20305</v>
      </c>
      <c r="C33" s="657" t="str">
        <f>REPLANILHAMENTO!D23</f>
        <v>Placa de obra nas dimensões de 2.0 x 4.0 m, padrão IOPES</v>
      </c>
      <c r="D33" s="192" t="str">
        <f>REPLANILHAMENTO!E23</f>
        <v>m²</v>
      </c>
      <c r="E33" s="193">
        <f>REPLANILHAMENTO!F23</f>
        <v>222.96</v>
      </c>
      <c r="F33" s="194">
        <v>0</v>
      </c>
      <c r="G33" s="194">
        <f>REPLANILHAMENTO!H23</f>
        <v>8</v>
      </c>
      <c r="H33" s="194"/>
      <c r="I33" s="193">
        <f t="shared" si="17"/>
        <v>8</v>
      </c>
      <c r="J33" s="193">
        <f t="shared" si="18"/>
        <v>0</v>
      </c>
      <c r="K33" s="193">
        <f t="shared" si="19"/>
        <v>1783.68</v>
      </c>
      <c r="L33" s="193"/>
      <c r="M33" s="622">
        <f t="shared" si="20"/>
        <v>1783.68</v>
      </c>
      <c r="N33" s="194">
        <f>'1.1.2.12'!R21</f>
        <v>8</v>
      </c>
      <c r="O33" s="622">
        <f>TRUNC(N33*E33,2)</f>
        <v>1783.68</v>
      </c>
      <c r="P33" s="194">
        <f>'1.1.2.12'!R22</f>
        <v>0</v>
      </c>
      <c r="Q33" s="622">
        <f t="shared" si="21"/>
        <v>0</v>
      </c>
      <c r="R33" s="194">
        <f t="shared" si="22"/>
        <v>8</v>
      </c>
      <c r="S33" s="630">
        <f t="shared" si="23"/>
        <v>1783.68</v>
      </c>
      <c r="T33" s="194">
        <f t="shared" si="24"/>
        <v>0</v>
      </c>
      <c r="U33" s="630">
        <v>0</v>
      </c>
    </row>
    <row r="34" spans="1:21">
      <c r="A34" s="138"/>
      <c r="B34" s="132"/>
      <c r="C34" s="123"/>
      <c r="D34" s="123"/>
      <c r="E34" s="123"/>
      <c r="F34" s="123"/>
      <c r="G34" s="123"/>
      <c r="H34" s="123"/>
      <c r="I34" s="123"/>
      <c r="J34" s="123"/>
      <c r="K34" s="123"/>
      <c r="L34" s="123"/>
      <c r="M34" s="623"/>
      <c r="N34" s="123"/>
      <c r="O34" s="623"/>
      <c r="P34" s="123"/>
      <c r="Q34" s="623"/>
      <c r="R34" s="123"/>
      <c r="S34" s="631"/>
      <c r="T34" s="123"/>
      <c r="U34" s="631"/>
    </row>
    <row r="35" spans="1:21" s="131" customFormat="1">
      <c r="A35" s="137" t="s">
        <v>42</v>
      </c>
      <c r="B35" s="133"/>
      <c r="C35" s="658" t="s">
        <v>90</v>
      </c>
      <c r="D35" s="126"/>
      <c r="E35" s="127"/>
      <c r="F35" s="128"/>
      <c r="G35" s="128"/>
      <c r="H35" s="128"/>
      <c r="I35" s="129"/>
      <c r="J35" s="129">
        <f>SUBTOTAL(9,J36:J44)</f>
        <v>70895.0625</v>
      </c>
      <c r="K35" s="129"/>
      <c r="L35" s="129"/>
      <c r="M35" s="624"/>
      <c r="N35" s="130"/>
      <c r="O35" s="624">
        <f>SUBTOTAL(9,O36:O44)</f>
        <v>92226.329999999987</v>
      </c>
      <c r="P35" s="130"/>
      <c r="Q35" s="624">
        <f>SUBTOTAL(9,Q36:Q44)</f>
        <v>0</v>
      </c>
      <c r="R35" s="129"/>
      <c r="S35" s="624">
        <f>SUBTOTAL(9,S36:S44)</f>
        <v>92226.329999999987</v>
      </c>
      <c r="T35" s="129">
        <f t="shared" ref="T35:T47" si="25">F35-R35</f>
        <v>0</v>
      </c>
      <c r="U35" s="624">
        <f>SUBTOTAL(9,U36:U44)</f>
        <v>26303.3</v>
      </c>
    </row>
    <row r="36" spans="1:21" ht="51">
      <c r="A36" s="190" t="s">
        <v>91</v>
      </c>
      <c r="B36" s="191">
        <v>20350</v>
      </c>
      <c r="C36" s="657" t="s">
        <v>83</v>
      </c>
      <c r="D36" s="192" t="s">
        <v>51</v>
      </c>
      <c r="E36" s="193">
        <v>138.65</v>
      </c>
      <c r="F36" s="194">
        <v>251.25</v>
      </c>
      <c r="G36" s="194">
        <v>82</v>
      </c>
      <c r="H36" s="194"/>
      <c r="I36" s="193">
        <f>F36+G36-H36</f>
        <v>333.25</v>
      </c>
      <c r="J36" s="193">
        <f>F36*E36</f>
        <v>34835.8125</v>
      </c>
      <c r="K36" s="193">
        <f>G36*E36</f>
        <v>11369.300000000001</v>
      </c>
      <c r="L36" s="193"/>
      <c r="M36" s="622">
        <f>I36*E36</f>
        <v>46205.112500000003</v>
      </c>
      <c r="N36" s="194">
        <f>'1.1.3.1'!R28</f>
        <v>333.25</v>
      </c>
      <c r="O36" s="622">
        <f t="shared" ref="O36" si="26">TRUNC(N36*E36,2)</f>
        <v>46205.11</v>
      </c>
      <c r="P36" s="194">
        <f>'1.1.3.1'!R29</f>
        <v>0</v>
      </c>
      <c r="Q36" s="622">
        <f t="shared" ref="Q36" si="27">S36-O36</f>
        <v>0</v>
      </c>
      <c r="R36" s="194">
        <f>P36+N36</f>
        <v>333.25</v>
      </c>
      <c r="S36" s="630">
        <f>TRUNC(R36*E36,2)</f>
        <v>46205.11</v>
      </c>
      <c r="T36" s="194">
        <f>I36-R36</f>
        <v>0</v>
      </c>
      <c r="U36" s="630">
        <f t="shared" ref="U36:U41" si="28">T36*E36</f>
        <v>0</v>
      </c>
    </row>
    <row r="37" spans="1:21" ht="38.25">
      <c r="A37" s="190" t="s">
        <v>92</v>
      </c>
      <c r="B37" s="191">
        <v>20356</v>
      </c>
      <c r="C37" s="657" t="s">
        <v>88</v>
      </c>
      <c r="D37" s="192" t="s">
        <v>85</v>
      </c>
      <c r="E37" s="193">
        <v>489.95</v>
      </c>
      <c r="F37" s="194">
        <v>9</v>
      </c>
      <c r="G37" s="194">
        <v>3</v>
      </c>
      <c r="H37" s="194"/>
      <c r="I37" s="193">
        <f t="shared" ref="I37:I40" si="29">F37+G37-H37</f>
        <v>12</v>
      </c>
      <c r="J37" s="193">
        <f t="shared" ref="J37:J44" si="30">F37*E37</f>
        <v>4409.55</v>
      </c>
      <c r="K37" s="193">
        <f t="shared" ref="K37:K44" si="31">G37*E37</f>
        <v>1469.85</v>
      </c>
      <c r="L37" s="193"/>
      <c r="M37" s="622">
        <f t="shared" ref="M37:M44" si="32">I37*E37</f>
        <v>5879.4</v>
      </c>
      <c r="N37" s="194">
        <f>'1.1.3.2'!R29</f>
        <v>12</v>
      </c>
      <c r="O37" s="622">
        <f>TRUNC(N37*E37,2)</f>
        <v>5879.4</v>
      </c>
      <c r="P37" s="560">
        <f>'1.1.3.2'!R30</f>
        <v>0</v>
      </c>
      <c r="Q37" s="622">
        <f>S37-O37</f>
        <v>0</v>
      </c>
      <c r="R37" s="194">
        <f>P37+N37</f>
        <v>12</v>
      </c>
      <c r="S37" s="630">
        <f>TRUNC(R37*E37,2)</f>
        <v>5879.4</v>
      </c>
      <c r="T37" s="194">
        <f t="shared" ref="T37:T41" si="33">I37-R37</f>
        <v>0</v>
      </c>
      <c r="U37" s="630">
        <f t="shared" si="28"/>
        <v>0</v>
      </c>
    </row>
    <row r="38" spans="1:21" ht="51">
      <c r="A38" s="190" t="s">
        <v>93</v>
      </c>
      <c r="B38" s="191">
        <v>20353</v>
      </c>
      <c r="C38" s="657" t="s">
        <v>97</v>
      </c>
      <c r="D38" s="192" t="s">
        <v>85</v>
      </c>
      <c r="E38" s="193">
        <v>823.11</v>
      </c>
      <c r="F38" s="194">
        <v>9</v>
      </c>
      <c r="G38" s="194">
        <v>3</v>
      </c>
      <c r="H38" s="194"/>
      <c r="I38" s="193">
        <f t="shared" si="29"/>
        <v>12</v>
      </c>
      <c r="J38" s="193">
        <f t="shared" si="30"/>
        <v>7407.99</v>
      </c>
      <c r="K38" s="193">
        <f t="shared" si="31"/>
        <v>2469.33</v>
      </c>
      <c r="L38" s="193"/>
      <c r="M38" s="622">
        <f t="shared" si="32"/>
        <v>9877.32</v>
      </c>
      <c r="N38" s="194">
        <f>'1.1.3.3'!R28</f>
        <v>12</v>
      </c>
      <c r="O38" s="622">
        <f t="shared" ref="O38:O39" si="34">TRUNC(N38*E38,2)</f>
        <v>9877.32</v>
      </c>
      <c r="P38" s="560">
        <f>'1.1.3.3'!R29</f>
        <v>0</v>
      </c>
      <c r="Q38" s="622">
        <f t="shared" ref="Q38" si="35">S38-O38</f>
        <v>0</v>
      </c>
      <c r="R38" s="194">
        <f>P38+N38</f>
        <v>12</v>
      </c>
      <c r="S38" s="630">
        <f t="shared" ref="S38:S39" si="36">TRUNC(R38*E38,2)</f>
        <v>9877.32</v>
      </c>
      <c r="T38" s="194">
        <f>I38-R38</f>
        <v>0</v>
      </c>
      <c r="U38" s="630">
        <f t="shared" si="28"/>
        <v>0</v>
      </c>
    </row>
    <row r="39" spans="1:21" ht="35.25" customHeight="1">
      <c r="A39" s="190" t="s">
        <v>94</v>
      </c>
      <c r="B39" s="191">
        <v>20354</v>
      </c>
      <c r="C39" s="657" t="s">
        <v>86</v>
      </c>
      <c r="D39" s="192" t="s">
        <v>85</v>
      </c>
      <c r="E39" s="193">
        <v>479.75</v>
      </c>
      <c r="F39" s="194">
        <v>9</v>
      </c>
      <c r="G39" s="194">
        <v>3</v>
      </c>
      <c r="H39" s="194"/>
      <c r="I39" s="193">
        <f t="shared" si="29"/>
        <v>12</v>
      </c>
      <c r="J39" s="193">
        <f t="shared" si="30"/>
        <v>4317.75</v>
      </c>
      <c r="K39" s="193">
        <f t="shared" si="31"/>
        <v>1439.25</v>
      </c>
      <c r="L39" s="193"/>
      <c r="M39" s="622">
        <f t="shared" si="32"/>
        <v>5757</v>
      </c>
      <c r="N39" s="194">
        <f>'1.1.3.4'!R30</f>
        <v>12</v>
      </c>
      <c r="O39" s="622">
        <f t="shared" si="34"/>
        <v>5757</v>
      </c>
      <c r="P39" s="194">
        <v>0</v>
      </c>
      <c r="Q39" s="622">
        <f>P39*$E39</f>
        <v>0</v>
      </c>
      <c r="R39" s="194">
        <f>'1.1.3.4'!R29</f>
        <v>12</v>
      </c>
      <c r="S39" s="630">
        <f t="shared" si="36"/>
        <v>5757</v>
      </c>
      <c r="T39" s="194">
        <f>I39-R39</f>
        <v>0</v>
      </c>
      <c r="U39" s="630">
        <f t="shared" si="28"/>
        <v>0</v>
      </c>
    </row>
    <row r="40" spans="1:21" ht="51">
      <c r="A40" s="190" t="s">
        <v>95</v>
      </c>
      <c r="B40" s="191">
        <v>20355</v>
      </c>
      <c r="C40" s="657" t="s">
        <v>87</v>
      </c>
      <c r="D40" s="192" t="s">
        <v>85</v>
      </c>
      <c r="E40" s="193">
        <v>841.92</v>
      </c>
      <c r="F40" s="194">
        <v>9</v>
      </c>
      <c r="G40" s="194">
        <v>3</v>
      </c>
      <c r="H40" s="194"/>
      <c r="I40" s="193">
        <f t="shared" si="29"/>
        <v>12</v>
      </c>
      <c r="J40" s="193">
        <f t="shared" si="30"/>
        <v>7577.28</v>
      </c>
      <c r="K40" s="193">
        <f t="shared" si="31"/>
        <v>2525.7599999999998</v>
      </c>
      <c r="L40" s="193"/>
      <c r="M40" s="622">
        <f>I40*E40</f>
        <v>10103.039999999999</v>
      </c>
      <c r="N40" s="194">
        <f>'1.1.3.5'!R32</f>
        <v>12</v>
      </c>
      <c r="O40" s="622">
        <f>TRUNC(N40*E40,2)</f>
        <v>10103.040000000001</v>
      </c>
      <c r="P40" s="560">
        <f>'1.1.3.5'!R33</f>
        <v>0</v>
      </c>
      <c r="Q40" s="622">
        <f>S40-O40</f>
        <v>0</v>
      </c>
      <c r="R40" s="194">
        <f>P40+N40</f>
        <v>12</v>
      </c>
      <c r="S40" s="630">
        <f>TRUNC(R40*E40,2)</f>
        <v>10103.040000000001</v>
      </c>
      <c r="T40" s="194">
        <f>I40-R40</f>
        <v>0</v>
      </c>
      <c r="U40" s="630">
        <f t="shared" si="28"/>
        <v>0</v>
      </c>
    </row>
    <row r="41" spans="1:21" ht="35.25" customHeight="1">
      <c r="A41" s="190" t="s">
        <v>96</v>
      </c>
      <c r="B41" s="191">
        <v>20344</v>
      </c>
      <c r="C41" s="657" t="s">
        <v>89</v>
      </c>
      <c r="D41" s="192" t="s">
        <v>59</v>
      </c>
      <c r="E41" s="193">
        <v>1028.8900000000001</v>
      </c>
      <c r="F41" s="194">
        <v>12</v>
      </c>
      <c r="G41" s="194">
        <v>2</v>
      </c>
      <c r="H41" s="194"/>
      <c r="I41" s="193">
        <f>F41+G41-H41</f>
        <v>14</v>
      </c>
      <c r="J41" s="193">
        <f t="shared" si="30"/>
        <v>12346.68</v>
      </c>
      <c r="K41" s="193">
        <f t="shared" si="31"/>
        <v>2057.7800000000002</v>
      </c>
      <c r="L41" s="193"/>
      <c r="M41" s="622">
        <f t="shared" si="32"/>
        <v>14404.460000000001</v>
      </c>
      <c r="N41" s="194">
        <f>'1.1.3.6'!R30</f>
        <v>14</v>
      </c>
      <c r="O41" s="622">
        <f>TRUNC(N41*E41,2)</f>
        <v>14404.46</v>
      </c>
      <c r="P41" s="194">
        <f>'1.1.3.6'!R31</f>
        <v>0</v>
      </c>
      <c r="Q41" s="622">
        <f>S41-O41</f>
        <v>0</v>
      </c>
      <c r="R41" s="194">
        <f>P41+N41</f>
        <v>14</v>
      </c>
      <c r="S41" s="630">
        <f>TRUNC(R41*E41,2)</f>
        <v>14404.46</v>
      </c>
      <c r="T41" s="194">
        <f t="shared" si="33"/>
        <v>0</v>
      </c>
      <c r="U41" s="630">
        <f t="shared" si="28"/>
        <v>0</v>
      </c>
    </row>
    <row r="42" spans="1:21" ht="38.25">
      <c r="A42" s="190" t="s">
        <v>1075</v>
      </c>
      <c r="B42" s="191">
        <f>REPLANILHAMENTO!B31</f>
        <v>20712</v>
      </c>
      <c r="C42" s="657" t="str">
        <f>REPLANILHAMENTO!D31</f>
        <v>Rede de água com padrão de entrada d'água diâm. 3/4", conf. espec. CESAN, incl. tubos e conexões para alimentação, distribuição, extravasor e limpeza, cons. o padrão a 25m, conf. projeto (1 utilização)</v>
      </c>
      <c r="D42" s="192" t="str">
        <f>REPLANILHAMENTO!E31</f>
        <v>m</v>
      </c>
      <c r="E42" s="193">
        <f>REPLANILHAMENTO!F31</f>
        <v>37.909999999999997</v>
      </c>
      <c r="F42" s="194">
        <v>0</v>
      </c>
      <c r="G42" s="194">
        <f>REPLANILHAMENTO!H31</f>
        <v>70</v>
      </c>
      <c r="H42" s="194">
        <v>0</v>
      </c>
      <c r="I42" s="193">
        <f>F42+G42-H42</f>
        <v>70</v>
      </c>
      <c r="J42" s="193">
        <f t="shared" si="30"/>
        <v>0</v>
      </c>
      <c r="K42" s="193">
        <f t="shared" si="31"/>
        <v>2653.7</v>
      </c>
      <c r="L42" s="193"/>
      <c r="M42" s="622">
        <f t="shared" si="32"/>
        <v>2653.7</v>
      </c>
      <c r="N42" s="194">
        <v>0</v>
      </c>
      <c r="O42" s="622">
        <v>0</v>
      </c>
      <c r="P42" s="194">
        <f>'1.1.3.7'!R19</f>
        <v>0</v>
      </c>
      <c r="Q42" s="622">
        <f>P42*E42</f>
        <v>0</v>
      </c>
      <c r="R42" s="194">
        <f>P42+N42</f>
        <v>0</v>
      </c>
      <c r="S42" s="630">
        <f>Q42</f>
        <v>0</v>
      </c>
      <c r="T42" s="194">
        <f>I42-R42</f>
        <v>70</v>
      </c>
      <c r="U42" s="630">
        <f>T42*E42</f>
        <v>2653.7</v>
      </c>
    </row>
    <row r="43" spans="1:21" ht="38.25">
      <c r="A43" s="190" t="s">
        <v>1077</v>
      </c>
      <c r="B43" s="191">
        <f>REPLANILHAMENTO!B32</f>
        <v>20713</v>
      </c>
      <c r="C43" s="657" t="str">
        <f>REPLANILHAMENTO!D32</f>
        <v>Rede de luz, incl. padrão entr. energia trifás. cabo ligação até barracões, quadro distrib., disj. e chave de força, cons. 20m entre padrão entrada e QDG, conf. projeto (1 utilização)</v>
      </c>
      <c r="D43" s="192" t="str">
        <f>REPLANILHAMENTO!E32</f>
        <v>m</v>
      </c>
      <c r="E43" s="193">
        <f>REPLANILHAMENTO!F32</f>
        <v>433.87</v>
      </c>
      <c r="F43" s="194">
        <v>0</v>
      </c>
      <c r="G43" s="194">
        <f>REPLANILHAMENTO!H32</f>
        <v>100</v>
      </c>
      <c r="H43" s="194">
        <v>0</v>
      </c>
      <c r="I43" s="193">
        <f t="shared" ref="I43:I44" si="37">F43+G43-H43</f>
        <v>100</v>
      </c>
      <c r="J43" s="193">
        <f t="shared" si="30"/>
        <v>0</v>
      </c>
      <c r="K43" s="193">
        <f t="shared" si="31"/>
        <v>43387</v>
      </c>
      <c r="L43" s="193"/>
      <c r="M43" s="622">
        <f t="shared" si="32"/>
        <v>43387</v>
      </c>
      <c r="N43" s="194">
        <f>'1.1.3.8'!R17</f>
        <v>60</v>
      </c>
      <c r="O43" s="622">
        <v>0</v>
      </c>
      <c r="P43" s="194">
        <f>'1.1.3.8'!R18</f>
        <v>0</v>
      </c>
      <c r="Q43" s="622">
        <f t="shared" ref="Q43:Q44" si="38">P43*E43</f>
        <v>0</v>
      </c>
      <c r="R43" s="194">
        <f t="shared" ref="R43:R44" si="39">P43+N43</f>
        <v>60</v>
      </c>
      <c r="S43" s="630">
        <f t="shared" ref="S43:S44" si="40">Q43</f>
        <v>0</v>
      </c>
      <c r="T43" s="194">
        <f t="shared" ref="T43:T44" si="41">I43-R43</f>
        <v>40</v>
      </c>
      <c r="U43" s="630">
        <f t="shared" ref="U43:U44" si="42">T43*E43</f>
        <v>17354.8</v>
      </c>
    </row>
    <row r="44" spans="1:21" ht="38.25">
      <c r="A44" s="190" t="s">
        <v>1079</v>
      </c>
      <c r="B44" s="191">
        <f>REPLANILHAMENTO!B33</f>
        <v>20714</v>
      </c>
      <c r="C44" s="657" t="str">
        <f>REPLANILHAMENTO!D33</f>
        <v>Rede de esgoto, contendo fossa e filtro, inclusive tubos e conexões de ligação entre caixas, considerando distância de 25m, conforme projeto (1 utilização)</v>
      </c>
      <c r="D44" s="192" t="str">
        <f>REPLANILHAMENTO!E33</f>
        <v>m</v>
      </c>
      <c r="E44" s="193">
        <f>REPLANILHAMENTO!F33</f>
        <v>314.74</v>
      </c>
      <c r="F44" s="194">
        <v>0</v>
      </c>
      <c r="G44" s="194">
        <f>REPLANILHAMENTO!H33</f>
        <v>30</v>
      </c>
      <c r="H44" s="194">
        <v>0</v>
      </c>
      <c r="I44" s="193">
        <f t="shared" si="37"/>
        <v>30</v>
      </c>
      <c r="J44" s="193">
        <f t="shared" si="30"/>
        <v>0</v>
      </c>
      <c r="K44" s="193">
        <f t="shared" si="31"/>
        <v>9442.2000000000007</v>
      </c>
      <c r="L44" s="193"/>
      <c r="M44" s="622">
        <f t="shared" si="32"/>
        <v>9442.2000000000007</v>
      </c>
      <c r="N44" s="194">
        <f>'1.1.3.9'!R18</f>
        <v>10</v>
      </c>
      <c r="O44" s="622">
        <v>0</v>
      </c>
      <c r="P44" s="194">
        <f>'1.1.3.9'!R19</f>
        <v>0</v>
      </c>
      <c r="Q44" s="622">
        <f t="shared" si="38"/>
        <v>0</v>
      </c>
      <c r="R44" s="194">
        <f t="shared" si="39"/>
        <v>10</v>
      </c>
      <c r="S44" s="630">
        <f t="shared" si="40"/>
        <v>0</v>
      </c>
      <c r="T44" s="194">
        <f t="shared" si="41"/>
        <v>20</v>
      </c>
      <c r="U44" s="630">
        <f t="shared" si="42"/>
        <v>6294.8</v>
      </c>
    </row>
    <row r="45" spans="1:21">
      <c r="A45" s="138"/>
      <c r="B45" s="132"/>
      <c r="C45" s="123"/>
      <c r="D45" s="123"/>
      <c r="E45" s="123"/>
      <c r="F45" s="123"/>
      <c r="G45" s="123"/>
      <c r="H45" s="123"/>
      <c r="I45" s="123"/>
      <c r="J45" s="123"/>
      <c r="K45" s="123"/>
      <c r="L45" s="123"/>
      <c r="M45" s="623"/>
      <c r="N45" s="123"/>
      <c r="O45" s="623"/>
      <c r="P45" s="123"/>
      <c r="Q45" s="623"/>
      <c r="R45" s="123"/>
      <c r="S45" s="631"/>
      <c r="T45" s="123"/>
      <c r="U45" s="631"/>
    </row>
    <row r="46" spans="1:21" s="213" customFormat="1">
      <c r="A46" s="210" t="s">
        <v>20</v>
      </c>
      <c r="B46" s="211"/>
      <c r="C46" s="655" t="s">
        <v>98</v>
      </c>
      <c r="D46" s="197"/>
      <c r="E46" s="198"/>
      <c r="F46" s="199"/>
      <c r="G46" s="199"/>
      <c r="H46" s="199"/>
      <c r="I46" s="200"/>
      <c r="J46" s="200">
        <f>SUBTOTAL(9,J47:J48)</f>
        <v>36260.239999999998</v>
      </c>
      <c r="K46" s="200"/>
      <c r="L46" s="200"/>
      <c r="M46" s="620"/>
      <c r="N46" s="201"/>
      <c r="O46" s="620">
        <f>SUBTOTAL(9,O47:O48)</f>
        <v>29062.58</v>
      </c>
      <c r="P46" s="201"/>
      <c r="Q46" s="620">
        <f>SUBTOTAL(9,Q47:Q48)</f>
        <v>7197.6599999999962</v>
      </c>
      <c r="R46" s="200"/>
      <c r="S46" s="620">
        <f>SUBTOTAL(9,S47:S48)</f>
        <v>36260.239999999998</v>
      </c>
      <c r="T46" s="200">
        <f t="shared" si="25"/>
        <v>0</v>
      </c>
      <c r="U46" s="620">
        <f>SUBTOTAL(9,U47:U48)</f>
        <v>0</v>
      </c>
    </row>
    <row r="47" spans="1:21" s="131" customFormat="1" ht="14.25" customHeight="1">
      <c r="A47" s="137" t="s">
        <v>43</v>
      </c>
      <c r="B47" s="133"/>
      <c r="C47" s="658" t="s">
        <v>98</v>
      </c>
      <c r="D47" s="126"/>
      <c r="E47" s="127"/>
      <c r="F47" s="128"/>
      <c r="G47" s="128"/>
      <c r="H47" s="128"/>
      <c r="I47" s="129"/>
      <c r="J47" s="129">
        <f>SUBTOTAL(9,J48)</f>
        <v>36260.239999999998</v>
      </c>
      <c r="K47" s="129"/>
      <c r="L47" s="129"/>
      <c r="M47" s="624"/>
      <c r="N47" s="130"/>
      <c r="O47" s="624">
        <f>SUBTOTAL(9,O48)</f>
        <v>29062.58</v>
      </c>
      <c r="P47" s="130"/>
      <c r="Q47" s="624">
        <f>SUBTOTAL(9,Q48)</f>
        <v>7197.6599999999962</v>
      </c>
      <c r="R47" s="129"/>
      <c r="S47" s="624">
        <f>SUBTOTAL(9,S48)</f>
        <v>36260.239999999998</v>
      </c>
      <c r="T47" s="129">
        <f t="shared" si="25"/>
        <v>0</v>
      </c>
      <c r="U47" s="624">
        <f>SUBTOTAL(9,U48)</f>
        <v>0</v>
      </c>
    </row>
    <row r="48" spans="1:21" s="725" customFormat="1" ht="25.5">
      <c r="A48" s="577" t="s">
        <v>99</v>
      </c>
      <c r="B48" s="578">
        <v>10512</v>
      </c>
      <c r="C48" s="722" t="s">
        <v>860</v>
      </c>
      <c r="D48" s="580" t="s">
        <v>52</v>
      </c>
      <c r="E48" s="581">
        <v>18130.12</v>
      </c>
      <c r="F48" s="582">
        <v>2</v>
      </c>
      <c r="G48" s="582"/>
      <c r="H48" s="582"/>
      <c r="I48" s="581">
        <f>F48+G48-H48</f>
        <v>2</v>
      </c>
      <c r="J48" s="581">
        <f>I48*E48</f>
        <v>36260.239999999998</v>
      </c>
      <c r="K48" s="581"/>
      <c r="L48" s="581"/>
      <c r="M48" s="723">
        <f>I48*E48</f>
        <v>36260.239999999998</v>
      </c>
      <c r="N48" s="582">
        <v>1.603</v>
      </c>
      <c r="O48" s="723">
        <f t="shared" ref="O48" si="43">TRUNC(N48*E48,2)</f>
        <v>29062.58</v>
      </c>
      <c r="P48" s="582">
        <v>0.39700000000000002</v>
      </c>
      <c r="Q48" s="723">
        <f t="shared" ref="Q48" si="44">S48-O48</f>
        <v>7197.6599999999962</v>
      </c>
      <c r="R48" s="582">
        <f>P48+N48</f>
        <v>2</v>
      </c>
      <c r="S48" s="724">
        <f t="shared" ref="S48" si="45">TRUNC(R48*E48,2)</f>
        <v>36260.239999999998</v>
      </c>
      <c r="T48" s="582">
        <f>I48-R48</f>
        <v>0</v>
      </c>
      <c r="U48" s="724">
        <f t="shared" ref="U48" si="46">T48*E48</f>
        <v>0</v>
      </c>
    </row>
    <row r="49" spans="1:21" s="654" customFormat="1">
      <c r="A49" s="202">
        <v>2</v>
      </c>
      <c r="B49" s="653" t="s">
        <v>391</v>
      </c>
      <c r="C49" s="654" t="s">
        <v>391</v>
      </c>
      <c r="D49" s="204"/>
      <c r="E49" s="205"/>
      <c r="F49" s="206"/>
      <c r="G49" s="206"/>
      <c r="H49" s="206"/>
      <c r="I49" s="207"/>
      <c r="J49" s="207">
        <f>SUBTOTAL(9,J50:J213)</f>
        <v>1448508.2899000002</v>
      </c>
      <c r="K49" s="207"/>
      <c r="L49" s="207"/>
      <c r="M49" s="619"/>
      <c r="N49" s="208"/>
      <c r="O49" s="619">
        <f>SUBTOTAL(9,O50:O213)</f>
        <v>1193968.3700000003</v>
      </c>
      <c r="P49" s="208"/>
      <c r="Q49" s="619">
        <f>SUBTOTAL(9,Q50:Q213)</f>
        <v>5025.37</v>
      </c>
      <c r="R49" s="207"/>
      <c r="S49" s="619">
        <f>SUBTOTAL(9,S50:S213)</f>
        <v>1451485.4000000001</v>
      </c>
      <c r="T49" s="207">
        <f>F49-R49</f>
        <v>0</v>
      </c>
      <c r="U49" s="619">
        <f>SUBTOTAL(9,U50:U213)</f>
        <v>2338.8759999999966</v>
      </c>
    </row>
    <row r="50" spans="1:21" s="213" customFormat="1">
      <c r="A50" s="210" t="s">
        <v>21</v>
      </c>
      <c r="B50" s="211"/>
      <c r="C50" s="655" t="s">
        <v>65</v>
      </c>
      <c r="D50" s="197"/>
      <c r="E50" s="198"/>
      <c r="F50" s="199"/>
      <c r="G50" s="199"/>
      <c r="H50" s="199"/>
      <c r="I50" s="200"/>
      <c r="J50" s="200">
        <f>SUBTOTAL(9,J51:J56)</f>
        <v>4236.4490000000005</v>
      </c>
      <c r="K50" s="200"/>
      <c r="L50" s="200"/>
      <c r="M50" s="620"/>
      <c r="N50" s="201"/>
      <c r="O50" s="620">
        <f>SUBTOTAL(9,O51:O56)</f>
        <v>4236.4400000000005</v>
      </c>
      <c r="P50" s="201"/>
      <c r="Q50" s="620">
        <f>SUBTOTAL(9,Q51:Q56)</f>
        <v>0</v>
      </c>
      <c r="R50" s="200"/>
      <c r="S50" s="620">
        <f>SUBTOTAL(9,S51:S56)</f>
        <v>4236.4400000000005</v>
      </c>
      <c r="T50" s="200">
        <f t="shared" ref="T50:T56" si="47">F50-R50</f>
        <v>0</v>
      </c>
      <c r="U50" s="620">
        <f>SUBTOTAL(9,U51:U56)</f>
        <v>-2452.7600000000002</v>
      </c>
    </row>
    <row r="51" spans="1:21" s="131" customFormat="1">
      <c r="A51" s="137" t="s">
        <v>100</v>
      </c>
      <c r="B51" s="133"/>
      <c r="C51" s="658" t="s">
        <v>101</v>
      </c>
      <c r="D51" s="126"/>
      <c r="E51" s="127"/>
      <c r="F51" s="128"/>
      <c r="G51" s="128"/>
      <c r="H51" s="128"/>
      <c r="I51" s="129"/>
      <c r="J51" s="129">
        <f>SUBTOTAL(9,J52:J52)</f>
        <v>1783.68</v>
      </c>
      <c r="K51" s="129"/>
      <c r="L51" s="129"/>
      <c r="M51" s="624"/>
      <c r="N51" s="130"/>
      <c r="O51" s="624">
        <f>SUBTOTAL(9,O52:O52)</f>
        <v>1783.68</v>
      </c>
      <c r="P51" s="130"/>
      <c r="Q51" s="624">
        <f>SUBTOTAL(9,Q52:Q52)</f>
        <v>0</v>
      </c>
      <c r="R51" s="129"/>
      <c r="S51" s="624">
        <f>SUBTOTAL(9,S52:S52)</f>
        <v>1783.68</v>
      </c>
      <c r="T51" s="129">
        <f t="shared" si="47"/>
        <v>0</v>
      </c>
      <c r="U51" s="624">
        <f>SUBTOTAL(9,U52:U52)</f>
        <v>0</v>
      </c>
    </row>
    <row r="52" spans="1:21">
      <c r="A52" s="190" t="s">
        <v>102</v>
      </c>
      <c r="B52" s="191">
        <v>20305</v>
      </c>
      <c r="C52" s="657" t="s">
        <v>103</v>
      </c>
      <c r="D52" s="192" t="s">
        <v>57</v>
      </c>
      <c r="E52" s="193">
        <v>222.96</v>
      </c>
      <c r="F52" s="194">
        <v>8</v>
      </c>
      <c r="G52" s="194"/>
      <c r="H52" s="194"/>
      <c r="I52" s="193">
        <f>F52+G52-H52</f>
        <v>8</v>
      </c>
      <c r="J52" s="193">
        <f>I52*E52</f>
        <v>1783.68</v>
      </c>
      <c r="K52" s="193"/>
      <c r="L52" s="193"/>
      <c r="M52" s="622">
        <f>I52*E52</f>
        <v>1783.68</v>
      </c>
      <c r="N52" s="194">
        <f>'2.1.1.1'!R24</f>
        <v>8</v>
      </c>
      <c r="O52" s="622">
        <f>TRUNC(N52*E52,2)</f>
        <v>1783.68</v>
      </c>
      <c r="P52" s="264">
        <f>'2.1.1.1'!R25</f>
        <v>0</v>
      </c>
      <c r="Q52" s="625">
        <f t="shared" ref="Q52" si="48">S52-O52</f>
        <v>0</v>
      </c>
      <c r="R52" s="194">
        <f>P52+N52</f>
        <v>8</v>
      </c>
      <c r="S52" s="630">
        <f>TRUNC(R52*E52,2)</f>
        <v>1783.68</v>
      </c>
      <c r="T52" s="194">
        <f t="shared" si="47"/>
        <v>0</v>
      </c>
      <c r="U52" s="630">
        <f t="shared" ref="U52" si="49">T52*E52</f>
        <v>0</v>
      </c>
    </row>
    <row r="53" spans="1:21">
      <c r="A53" s="138"/>
      <c r="B53" s="132"/>
      <c r="C53" s="123"/>
      <c r="D53" s="123"/>
      <c r="E53" s="123"/>
      <c r="F53" s="123"/>
      <c r="G53" s="123"/>
      <c r="H53" s="123"/>
      <c r="I53" s="123"/>
      <c r="J53" s="123"/>
      <c r="K53" s="123"/>
      <c r="L53" s="123"/>
      <c r="M53" s="623"/>
      <c r="N53" s="123"/>
      <c r="O53" s="623"/>
      <c r="P53" s="123"/>
      <c r="Q53" s="623"/>
      <c r="R53" s="123"/>
      <c r="S53" s="631"/>
      <c r="T53" s="123"/>
      <c r="U53" s="631"/>
    </row>
    <row r="54" spans="1:21" s="131" customFormat="1">
      <c r="A54" s="137" t="s">
        <v>104</v>
      </c>
      <c r="B54" s="133"/>
      <c r="C54" s="658" t="s">
        <v>105</v>
      </c>
      <c r="D54" s="126"/>
      <c r="E54" s="127"/>
      <c r="F54" s="128"/>
      <c r="G54" s="128"/>
      <c r="H54" s="128"/>
      <c r="I54" s="129"/>
      <c r="J54" s="129">
        <f>SUBTOTAL(9,J55:J56)</f>
        <v>2452.7690000000002</v>
      </c>
      <c r="K54" s="129"/>
      <c r="L54" s="129"/>
      <c r="M54" s="624"/>
      <c r="N54" s="130"/>
      <c r="O54" s="624">
        <f>SUBTOTAL(9,O55:O56)</f>
        <v>2452.7600000000002</v>
      </c>
      <c r="P54" s="130"/>
      <c r="Q54" s="624">
        <f>SUBTOTAL(9,Q55:Q56)</f>
        <v>0</v>
      </c>
      <c r="R54" s="129"/>
      <c r="S54" s="624">
        <f>SUBTOTAL(9,S55:S56)</f>
        <v>2452.7600000000002</v>
      </c>
      <c r="T54" s="129">
        <f t="shared" si="47"/>
        <v>0</v>
      </c>
      <c r="U54" s="624">
        <f t="shared" ref="U54" si="50">I54-S54</f>
        <v>-2452.7600000000002</v>
      </c>
    </row>
    <row r="55" spans="1:21">
      <c r="A55" s="190" t="s">
        <v>106</v>
      </c>
      <c r="B55" s="191">
        <v>10402</v>
      </c>
      <c r="C55" s="657" t="s">
        <v>108</v>
      </c>
      <c r="D55" s="192" t="s">
        <v>57</v>
      </c>
      <c r="E55" s="193">
        <v>3.74</v>
      </c>
      <c r="F55" s="194">
        <v>200.9</v>
      </c>
      <c r="G55" s="194"/>
      <c r="H55" s="194"/>
      <c r="I55" s="193">
        <f>F55+G55-H55</f>
        <v>200.9</v>
      </c>
      <c r="J55" s="193">
        <f>I55*E55</f>
        <v>751.3660000000001</v>
      </c>
      <c r="K55" s="193"/>
      <c r="L55" s="193"/>
      <c r="M55" s="622">
        <f>I55*E55</f>
        <v>751.3660000000001</v>
      </c>
      <c r="N55" s="194">
        <v>200.9</v>
      </c>
      <c r="O55" s="622">
        <f>TRUNC(N55*E55,2)</f>
        <v>751.36</v>
      </c>
      <c r="P55" s="560">
        <v>0</v>
      </c>
      <c r="Q55" s="622">
        <f t="shared" ref="Q55:Q56" si="51">S55-O55</f>
        <v>0</v>
      </c>
      <c r="R55" s="194">
        <f>P55+N55</f>
        <v>200.9</v>
      </c>
      <c r="S55" s="630">
        <f>TRUNC(R55*E55,2)</f>
        <v>751.36</v>
      </c>
      <c r="T55" s="194">
        <f t="shared" si="47"/>
        <v>0</v>
      </c>
      <c r="U55" s="630">
        <f t="shared" ref="U55:U56" si="52">T55*E55</f>
        <v>0</v>
      </c>
    </row>
    <row r="56" spans="1:21" ht="38.25">
      <c r="A56" s="190" t="s">
        <v>107</v>
      </c>
      <c r="B56" s="191">
        <v>30304</v>
      </c>
      <c r="C56" s="657" t="s">
        <v>109</v>
      </c>
      <c r="D56" s="192" t="s">
        <v>58</v>
      </c>
      <c r="E56" s="193">
        <v>56.45</v>
      </c>
      <c r="F56" s="194">
        <v>30.14</v>
      </c>
      <c r="G56" s="194"/>
      <c r="H56" s="194"/>
      <c r="I56" s="193">
        <f>F56+G56-H56</f>
        <v>30.14</v>
      </c>
      <c r="J56" s="193">
        <f>I56*E56</f>
        <v>1701.403</v>
      </c>
      <c r="K56" s="193"/>
      <c r="L56" s="193"/>
      <c r="M56" s="622">
        <f>I56*E56</f>
        <v>1701.403</v>
      </c>
      <c r="N56" s="194">
        <v>30.14</v>
      </c>
      <c r="O56" s="622">
        <f t="shared" ref="O56" si="53">TRUNC(N56*E56,2)</f>
        <v>1701.4</v>
      </c>
      <c r="P56" s="560">
        <v>0</v>
      </c>
      <c r="Q56" s="622">
        <f t="shared" si="51"/>
        <v>0</v>
      </c>
      <c r="R56" s="194">
        <f t="shared" ref="R56" si="54">P56+N56</f>
        <v>30.14</v>
      </c>
      <c r="S56" s="630">
        <f t="shared" ref="S56" si="55">TRUNC(R56*E56,2)</f>
        <v>1701.4</v>
      </c>
      <c r="T56" s="194">
        <f t="shared" si="47"/>
        <v>0</v>
      </c>
      <c r="U56" s="630">
        <f t="shared" si="52"/>
        <v>0</v>
      </c>
    </row>
    <row r="57" spans="1:21">
      <c r="A57" s="138"/>
      <c r="B57" s="132"/>
      <c r="C57" s="123"/>
      <c r="D57" s="123"/>
      <c r="E57" s="123"/>
      <c r="F57" s="123"/>
      <c r="G57" s="123"/>
      <c r="H57" s="123"/>
      <c r="I57" s="123"/>
      <c r="J57" s="123"/>
      <c r="K57" s="123"/>
      <c r="L57" s="123"/>
      <c r="M57" s="623"/>
      <c r="N57" s="123"/>
      <c r="O57" s="623"/>
      <c r="P57" s="123"/>
      <c r="Q57" s="623"/>
      <c r="R57" s="123"/>
      <c r="S57" s="631"/>
      <c r="T57" s="123"/>
      <c r="U57" s="631"/>
    </row>
    <row r="58" spans="1:21" s="213" customFormat="1">
      <c r="A58" s="210" t="s">
        <v>22</v>
      </c>
      <c r="B58" s="211"/>
      <c r="C58" s="655" t="s">
        <v>56</v>
      </c>
      <c r="D58" s="197"/>
      <c r="E58" s="198"/>
      <c r="F58" s="199"/>
      <c r="G58" s="199"/>
      <c r="H58" s="199"/>
      <c r="I58" s="200"/>
      <c r="J58" s="200">
        <f>SUBTOTAL(9,J59:J63)</f>
        <v>4949.4133999999995</v>
      </c>
      <c r="K58" s="200"/>
      <c r="L58" s="200"/>
      <c r="M58" s="620"/>
      <c r="N58" s="201"/>
      <c r="O58" s="620">
        <f>SUBTOTAL(9,O59:O63)</f>
        <v>4949.41</v>
      </c>
      <c r="P58" s="201"/>
      <c r="Q58" s="620">
        <f>SUBTOTAL(9,Q59:Q63)</f>
        <v>0</v>
      </c>
      <c r="R58" s="200"/>
      <c r="S58" s="620">
        <f>SUBTOTAL(9,S59:S63)</f>
        <v>4949.41</v>
      </c>
      <c r="T58" s="200">
        <f t="shared" ref="T58:T66" si="56">F58-R58</f>
        <v>0</v>
      </c>
      <c r="U58" s="620">
        <f>SUBTOTAL(9,U59:U63)</f>
        <v>0</v>
      </c>
    </row>
    <row r="59" spans="1:21" s="131" customFormat="1">
      <c r="A59" s="137" t="s">
        <v>110</v>
      </c>
      <c r="B59" s="133"/>
      <c r="C59" s="658" t="s">
        <v>111</v>
      </c>
      <c r="D59" s="126"/>
      <c r="E59" s="127"/>
      <c r="F59" s="128"/>
      <c r="G59" s="128"/>
      <c r="H59" s="128"/>
      <c r="I59" s="129"/>
      <c r="J59" s="129">
        <f>SUBTOTAL(9,J60:J63)</f>
        <v>4949.4133999999995</v>
      </c>
      <c r="K59" s="129"/>
      <c r="L59" s="129"/>
      <c r="M59" s="624"/>
      <c r="N59" s="130"/>
      <c r="O59" s="624">
        <f>SUBTOTAL(9,O60:O63)</f>
        <v>4949.41</v>
      </c>
      <c r="P59" s="130"/>
      <c r="Q59" s="624">
        <f>SUBTOTAL(9,Q60:Q63)</f>
        <v>0</v>
      </c>
      <c r="R59" s="129"/>
      <c r="S59" s="624">
        <f>SUBTOTAL(9,S60:S63)</f>
        <v>4949.41</v>
      </c>
      <c r="T59" s="129">
        <f t="shared" si="56"/>
        <v>0</v>
      </c>
      <c r="U59" s="624">
        <f>SUBTOTAL(9,U60:U63)</f>
        <v>0</v>
      </c>
    </row>
    <row r="60" spans="1:21">
      <c r="A60" s="190" t="s">
        <v>112</v>
      </c>
      <c r="B60" s="191">
        <v>30103</v>
      </c>
      <c r="C60" s="657" t="s">
        <v>116</v>
      </c>
      <c r="D60" s="192" t="s">
        <v>58</v>
      </c>
      <c r="E60" s="193">
        <v>9.81</v>
      </c>
      <c r="F60" s="194">
        <v>75.569999999999993</v>
      </c>
      <c r="G60" s="194"/>
      <c r="H60" s="194"/>
      <c r="I60" s="193">
        <f>F60+G60-H60</f>
        <v>75.569999999999993</v>
      </c>
      <c r="J60" s="193">
        <f>I60*E60</f>
        <v>741.34169999999995</v>
      </c>
      <c r="K60" s="193"/>
      <c r="L60" s="193"/>
      <c r="M60" s="622">
        <f>I60*E60</f>
        <v>741.34169999999995</v>
      </c>
      <c r="N60" s="194">
        <v>75.569999999999993</v>
      </c>
      <c r="O60" s="622">
        <f t="shared" ref="O60" si="57">TRUNC(N60*E60,2)</f>
        <v>741.34</v>
      </c>
      <c r="P60" s="560">
        <v>0</v>
      </c>
      <c r="Q60" s="622">
        <f t="shared" ref="Q60" si="58">S60-O60</f>
        <v>0</v>
      </c>
      <c r="R60" s="194">
        <f t="shared" ref="R60" si="59">P60+N60</f>
        <v>75.569999999999993</v>
      </c>
      <c r="S60" s="630">
        <f t="shared" ref="S60" si="60">TRUNC(R60*E60,2)</f>
        <v>741.34</v>
      </c>
      <c r="T60" s="194">
        <f t="shared" si="56"/>
        <v>0</v>
      </c>
      <c r="U60" s="630">
        <f t="shared" ref="U60:U63" si="61">T60*E60</f>
        <v>0</v>
      </c>
    </row>
    <row r="61" spans="1:21" ht="25.5">
      <c r="A61" s="190" t="s">
        <v>113</v>
      </c>
      <c r="B61" s="191">
        <v>30210</v>
      </c>
      <c r="C61" s="657" t="s">
        <v>117</v>
      </c>
      <c r="D61" s="192" t="s">
        <v>58</v>
      </c>
      <c r="E61" s="193">
        <v>25.99</v>
      </c>
      <c r="F61" s="194">
        <v>12.88</v>
      </c>
      <c r="G61" s="194"/>
      <c r="H61" s="194"/>
      <c r="I61" s="193">
        <f t="shared" ref="I61:I63" si="62">F61+G61-H61</f>
        <v>12.88</v>
      </c>
      <c r="J61" s="193">
        <f t="shared" ref="J61:J63" si="63">I61*E61</f>
        <v>334.75119999999998</v>
      </c>
      <c r="K61" s="193"/>
      <c r="L61" s="193"/>
      <c r="M61" s="622">
        <f t="shared" ref="M61:M63" si="64">I61*E61</f>
        <v>334.75119999999998</v>
      </c>
      <c r="N61" s="194">
        <v>12.88</v>
      </c>
      <c r="O61" s="622">
        <f>TRUNC(N61*E61,2)</f>
        <v>334.75</v>
      </c>
      <c r="P61" s="560">
        <v>0</v>
      </c>
      <c r="Q61" s="622">
        <f>S61-O61</f>
        <v>0</v>
      </c>
      <c r="R61" s="194">
        <f>P61+N61</f>
        <v>12.88</v>
      </c>
      <c r="S61" s="630">
        <f>TRUNC(R61*E61,2)</f>
        <v>334.75</v>
      </c>
      <c r="T61" s="194">
        <f t="shared" si="56"/>
        <v>0</v>
      </c>
      <c r="U61" s="630">
        <f t="shared" si="61"/>
        <v>0</v>
      </c>
    </row>
    <row r="62" spans="1:21">
      <c r="A62" s="190" t="s">
        <v>114</v>
      </c>
      <c r="B62" s="191">
        <v>10404</v>
      </c>
      <c r="C62" s="657" t="s">
        <v>118</v>
      </c>
      <c r="D62" s="192" t="s">
        <v>59</v>
      </c>
      <c r="E62" s="193">
        <v>111.49</v>
      </c>
      <c r="F62" s="194">
        <v>3</v>
      </c>
      <c r="G62" s="194"/>
      <c r="H62" s="194"/>
      <c r="I62" s="193">
        <f t="shared" si="62"/>
        <v>3</v>
      </c>
      <c r="J62" s="193">
        <f t="shared" si="63"/>
        <v>334.46999999999997</v>
      </c>
      <c r="K62" s="193"/>
      <c r="L62" s="193"/>
      <c r="M62" s="622">
        <f t="shared" si="64"/>
        <v>334.46999999999997</v>
      </c>
      <c r="N62" s="194">
        <v>3</v>
      </c>
      <c r="O62" s="622">
        <f t="shared" ref="O62:O63" si="65">TRUNC(N62*E62,2)</f>
        <v>334.47</v>
      </c>
      <c r="P62" s="560">
        <v>0</v>
      </c>
      <c r="Q62" s="622">
        <f t="shared" ref="Q62:Q63" si="66">S62-O62</f>
        <v>0</v>
      </c>
      <c r="R62" s="194">
        <f t="shared" ref="R62:R63" si="67">P62+N62</f>
        <v>3</v>
      </c>
      <c r="S62" s="630">
        <f t="shared" ref="S62:S63" si="68">TRUNC(R62*E62,2)</f>
        <v>334.47</v>
      </c>
      <c r="T62" s="194">
        <f t="shared" si="56"/>
        <v>0</v>
      </c>
      <c r="U62" s="630">
        <f t="shared" si="61"/>
        <v>0</v>
      </c>
    </row>
    <row r="63" spans="1:21" ht="38.25">
      <c r="A63" s="190" t="s">
        <v>115</v>
      </c>
      <c r="B63" s="191">
        <v>30304</v>
      </c>
      <c r="C63" s="657" t="s">
        <v>109</v>
      </c>
      <c r="D63" s="192" t="s">
        <v>58</v>
      </c>
      <c r="E63" s="193">
        <v>56.45</v>
      </c>
      <c r="F63" s="194">
        <v>62.69</v>
      </c>
      <c r="G63" s="194"/>
      <c r="H63" s="194"/>
      <c r="I63" s="193">
        <f t="shared" si="62"/>
        <v>62.69</v>
      </c>
      <c r="J63" s="193">
        <f t="shared" si="63"/>
        <v>3538.8505</v>
      </c>
      <c r="K63" s="193"/>
      <c r="L63" s="193"/>
      <c r="M63" s="622">
        <f t="shared" si="64"/>
        <v>3538.8505</v>
      </c>
      <c r="N63" s="194">
        <v>62.69</v>
      </c>
      <c r="O63" s="622">
        <f t="shared" si="65"/>
        <v>3538.85</v>
      </c>
      <c r="P63" s="560">
        <v>0</v>
      </c>
      <c r="Q63" s="622">
        <f t="shared" si="66"/>
        <v>0</v>
      </c>
      <c r="R63" s="194">
        <f t="shared" si="67"/>
        <v>62.69</v>
      </c>
      <c r="S63" s="630">
        <f t="shared" si="68"/>
        <v>3538.85</v>
      </c>
      <c r="T63" s="194">
        <f t="shared" si="56"/>
        <v>0</v>
      </c>
      <c r="U63" s="630">
        <f t="shared" si="61"/>
        <v>0</v>
      </c>
    </row>
    <row r="64" spans="1:21" s="213" customFormat="1">
      <c r="A64" s="210" t="s">
        <v>23</v>
      </c>
      <c r="B64" s="211"/>
      <c r="C64" s="655" t="s">
        <v>119</v>
      </c>
      <c r="D64" s="197"/>
      <c r="E64" s="198"/>
      <c r="F64" s="199"/>
      <c r="G64" s="199"/>
      <c r="H64" s="199"/>
      <c r="I64" s="200"/>
      <c r="J64" s="200">
        <f>SUBTOTAL(9,J65:J135)</f>
        <v>370258.19620000012</v>
      </c>
      <c r="K64" s="200"/>
      <c r="L64" s="200"/>
      <c r="M64" s="620"/>
      <c r="N64" s="201"/>
      <c r="O64" s="620">
        <f>SUBTOTAL(9,O65:O135)</f>
        <v>221597.22000000009</v>
      </c>
      <c r="P64" s="201"/>
      <c r="Q64" s="620">
        <f>SUBTOTAL(9,Q65:Q135)</f>
        <v>0</v>
      </c>
      <c r="R64" s="200"/>
      <c r="S64" s="620">
        <f>SUBTOTAL(9,S65:S135)</f>
        <v>365465.69000000018</v>
      </c>
      <c r="T64" s="200">
        <f t="shared" si="56"/>
        <v>0</v>
      </c>
      <c r="U64" s="620">
        <f>SUBTOTAL(9,U65:U135)</f>
        <v>4791.6359999999968</v>
      </c>
    </row>
    <row r="65" spans="1:21" s="131" customFormat="1">
      <c r="A65" s="137" t="s">
        <v>121</v>
      </c>
      <c r="B65" s="133"/>
      <c r="C65" s="658" t="s">
        <v>98</v>
      </c>
      <c r="D65" s="126"/>
      <c r="E65" s="127"/>
      <c r="F65" s="128"/>
      <c r="G65" s="128"/>
      <c r="H65" s="128"/>
      <c r="I65" s="129"/>
      <c r="J65" s="129">
        <f>SUBTOTAL(9,J66:J67)</f>
        <v>2421.797</v>
      </c>
      <c r="K65" s="129"/>
      <c r="L65" s="129"/>
      <c r="M65" s="624"/>
      <c r="N65" s="130"/>
      <c r="O65" s="624">
        <f>SUBTOTAL(9,O66)</f>
        <v>1544.92</v>
      </c>
      <c r="P65" s="130"/>
      <c r="Q65" s="624">
        <f>SUBTOTAL(9,Q66)</f>
        <v>0</v>
      </c>
      <c r="R65" s="129"/>
      <c r="S65" s="624">
        <f>SUBTOTAL(9,S66)</f>
        <v>1544.92</v>
      </c>
      <c r="T65" s="129">
        <f t="shared" si="56"/>
        <v>0</v>
      </c>
      <c r="U65" s="624">
        <f>SUBTOTAL(9,U66)</f>
        <v>0</v>
      </c>
    </row>
    <row r="66" spans="1:21" ht="14.25" customHeight="1">
      <c r="A66" s="190" t="s">
        <v>120</v>
      </c>
      <c r="B66" s="191">
        <v>10501</v>
      </c>
      <c r="C66" s="657" t="s">
        <v>122</v>
      </c>
      <c r="D66" s="192" t="s">
        <v>57</v>
      </c>
      <c r="E66" s="193">
        <v>7.69</v>
      </c>
      <c r="F66" s="194">
        <v>200.9</v>
      </c>
      <c r="G66" s="194"/>
      <c r="H66" s="194"/>
      <c r="I66" s="193">
        <f t="shared" ref="I66" si="69">F66+G66-H66</f>
        <v>200.9</v>
      </c>
      <c r="J66" s="193">
        <f t="shared" ref="J66" si="70">I66*E66</f>
        <v>1544.921</v>
      </c>
      <c r="K66" s="193"/>
      <c r="L66" s="193"/>
      <c r="M66" s="622">
        <f t="shared" ref="M66" si="71">I66*E66</f>
        <v>1544.921</v>
      </c>
      <c r="N66" s="194">
        <f>'2.3.1.1'!R18</f>
        <v>200.9</v>
      </c>
      <c r="O66" s="622">
        <f t="shared" ref="O66" si="72">TRUNC(N66*E66,2)</f>
        <v>1544.92</v>
      </c>
      <c r="P66" s="194">
        <f>'2.3.1.1'!R19</f>
        <v>0</v>
      </c>
      <c r="Q66" s="622">
        <f t="shared" ref="Q66" si="73">S66-O66</f>
        <v>0</v>
      </c>
      <c r="R66" s="194">
        <f t="shared" ref="R66:R67" si="74">P66+N66</f>
        <v>200.9</v>
      </c>
      <c r="S66" s="630">
        <f t="shared" ref="S66:S67" si="75">TRUNC(R66*E66,2)</f>
        <v>1544.92</v>
      </c>
      <c r="T66" s="194">
        <f t="shared" si="56"/>
        <v>0</v>
      </c>
      <c r="U66" s="630">
        <f t="shared" ref="U66:U67" si="76">T66*E66</f>
        <v>0</v>
      </c>
    </row>
    <row r="67" spans="1:21">
      <c r="A67" s="190" t="s">
        <v>1094</v>
      </c>
      <c r="B67" s="191" t="str">
        <f>REPLANILHAMENTO!B53</f>
        <v>020346</v>
      </c>
      <c r="C67" s="657" t="str">
        <f>REPLANILHAMENTO!D53</f>
        <v>Locação de andaime metálico para fachada - tipo torre (aluguel mensal)</v>
      </c>
      <c r="D67" s="192" t="str">
        <f>REPLANILHAMENTO!E53</f>
        <v>m</v>
      </c>
      <c r="E67" s="193">
        <f>REPLANILHAMENTO!F53</f>
        <v>8.0299999999999994</v>
      </c>
      <c r="F67" s="194">
        <v>0</v>
      </c>
      <c r="G67" s="194">
        <f>REPLANILHAMENTO!H53</f>
        <v>109.2</v>
      </c>
      <c r="H67" s="194"/>
      <c r="I67" s="194">
        <f>F67+G67-H67</f>
        <v>109.2</v>
      </c>
      <c r="J67" s="193">
        <f>I67*E67</f>
        <v>876.87599999999998</v>
      </c>
      <c r="K67" s="193">
        <f>G67*E67</f>
        <v>876.87599999999998</v>
      </c>
      <c r="L67" s="193"/>
      <c r="M67" s="622">
        <f>J67+K67-L67</f>
        <v>1753.752</v>
      </c>
      <c r="N67" s="560">
        <v>109.2</v>
      </c>
      <c r="O67" s="622">
        <v>0</v>
      </c>
      <c r="P67" s="560">
        <v>0</v>
      </c>
      <c r="Q67" s="622">
        <f>P67*E67</f>
        <v>0</v>
      </c>
      <c r="R67" s="622">
        <f t="shared" si="74"/>
        <v>109.2</v>
      </c>
      <c r="S67" s="622">
        <f t="shared" si="75"/>
        <v>876.87</v>
      </c>
      <c r="T67" s="194">
        <f>I67-R67</f>
        <v>0</v>
      </c>
      <c r="U67" s="630">
        <f t="shared" si="76"/>
        <v>0</v>
      </c>
    </row>
    <row r="68" spans="1:21">
      <c r="A68" s="138"/>
      <c r="B68" s="132"/>
      <c r="C68" s="123"/>
      <c r="D68" s="123"/>
      <c r="E68" s="123"/>
      <c r="F68" s="123"/>
      <c r="G68" s="123"/>
      <c r="H68" s="123"/>
      <c r="I68" s="123"/>
      <c r="J68" s="123"/>
      <c r="K68" s="123"/>
      <c r="L68" s="123"/>
      <c r="M68" s="623"/>
      <c r="N68" s="123"/>
      <c r="O68" s="623"/>
      <c r="P68" s="123"/>
      <c r="Q68" s="623"/>
      <c r="R68" s="123"/>
      <c r="S68" s="631"/>
      <c r="T68" s="123"/>
      <c r="U68" s="631"/>
    </row>
    <row r="69" spans="1:21" s="131" customFormat="1">
      <c r="A69" s="137" t="s">
        <v>123</v>
      </c>
      <c r="B69" s="133"/>
      <c r="C69" s="658" t="s">
        <v>124</v>
      </c>
      <c r="D69" s="126"/>
      <c r="E69" s="127"/>
      <c r="F69" s="128"/>
      <c r="G69" s="128"/>
      <c r="H69" s="128"/>
      <c r="I69" s="129">
        <v>121328.59</v>
      </c>
      <c r="J69" s="129">
        <f>SUBTOTAL(9,J70:J80)</f>
        <v>121328.59760000001</v>
      </c>
      <c r="K69" s="129"/>
      <c r="L69" s="129"/>
      <c r="M69" s="624"/>
      <c r="N69" s="130"/>
      <c r="O69" s="624">
        <f>SUBTOTAL(9,O70:O80)</f>
        <v>116536.23</v>
      </c>
      <c r="P69" s="130"/>
      <c r="Q69" s="624">
        <f>SUBTOTAL(9,Q70:Q80)</f>
        <v>0</v>
      </c>
      <c r="R69" s="129"/>
      <c r="S69" s="624">
        <f>SUBTOTAL(9,S70:S80)</f>
        <v>116536.23</v>
      </c>
      <c r="T69" s="129">
        <f t="shared" ref="T69:T83" si="77">F69-R69</f>
        <v>0</v>
      </c>
      <c r="U69" s="624">
        <f>SUBTOTAL(9,U70:U80)</f>
        <v>4791.6359999999968</v>
      </c>
    </row>
    <row r="70" spans="1:21" ht="25.5">
      <c r="A70" s="190" t="s">
        <v>125</v>
      </c>
      <c r="B70" s="191" t="s">
        <v>136</v>
      </c>
      <c r="C70" s="657" t="s">
        <v>141</v>
      </c>
      <c r="D70" s="192" t="s">
        <v>60</v>
      </c>
      <c r="E70" s="193">
        <v>462.96</v>
      </c>
      <c r="F70" s="194">
        <v>85</v>
      </c>
      <c r="G70" s="194"/>
      <c r="H70" s="194"/>
      <c r="I70" s="193">
        <f t="shared" ref="I70:I80" si="78">F70+G70-H70</f>
        <v>85</v>
      </c>
      <c r="J70" s="193">
        <f t="shared" ref="J70:J80" si="79">I70*E70</f>
        <v>39351.599999999999</v>
      </c>
      <c r="K70" s="193"/>
      <c r="L70" s="193"/>
      <c r="M70" s="622">
        <f t="shared" ref="M70:M80" si="80">I70*E70</f>
        <v>39351.599999999999</v>
      </c>
      <c r="N70" s="194">
        <f>'2.3.2.1'!R26</f>
        <v>74.650000000000006</v>
      </c>
      <c r="O70" s="622">
        <f t="shared" ref="O70" si="81">TRUNC(N70*E70,2)</f>
        <v>34559.96</v>
      </c>
      <c r="P70" s="560">
        <f>'2.3.2.1'!R27</f>
        <v>0</v>
      </c>
      <c r="Q70" s="622">
        <f t="shared" ref="Q70" si="82">S70-O70</f>
        <v>0</v>
      </c>
      <c r="R70" s="194">
        <f>P70+N70</f>
        <v>74.650000000000006</v>
      </c>
      <c r="S70" s="630">
        <f t="shared" ref="S70" si="83">TRUNC(R70*E70,2)</f>
        <v>34559.96</v>
      </c>
      <c r="T70" s="194">
        <f t="shared" si="77"/>
        <v>10.349999999999994</v>
      </c>
      <c r="U70" s="630">
        <f t="shared" ref="U70:U80" si="84">T70*E70</f>
        <v>4791.6359999999968</v>
      </c>
    </row>
    <row r="71" spans="1:21">
      <c r="A71" s="190" t="s">
        <v>126</v>
      </c>
      <c r="B71" s="191" t="s">
        <v>137</v>
      </c>
      <c r="C71" s="657" t="s">
        <v>142</v>
      </c>
      <c r="D71" s="192" t="s">
        <v>49</v>
      </c>
      <c r="E71" s="193">
        <v>596.34</v>
      </c>
      <c r="F71" s="194">
        <v>35.71</v>
      </c>
      <c r="G71" s="194"/>
      <c r="H71" s="194"/>
      <c r="I71" s="194">
        <f t="shared" si="78"/>
        <v>35.71</v>
      </c>
      <c r="J71" s="193">
        <f t="shared" si="79"/>
        <v>21295.3014</v>
      </c>
      <c r="K71" s="193"/>
      <c r="L71" s="193"/>
      <c r="M71" s="622">
        <f t="shared" si="80"/>
        <v>21295.3014</v>
      </c>
      <c r="N71" s="194">
        <f>'2.3.2.2'!R18</f>
        <v>35.708800000000004</v>
      </c>
      <c r="O71" s="622">
        <f>TRUNC(N71*E71,2)</f>
        <v>21294.58</v>
      </c>
      <c r="P71" s="194">
        <v>0</v>
      </c>
      <c r="Q71" s="630">
        <f>S71-O71</f>
        <v>0</v>
      </c>
      <c r="R71" s="194">
        <f>P71+N71</f>
        <v>35.708800000000004</v>
      </c>
      <c r="S71" s="630">
        <f>TRUNC(R71*E71,2)</f>
        <v>21294.58</v>
      </c>
      <c r="T71" s="194">
        <v>0</v>
      </c>
      <c r="U71" s="630">
        <f t="shared" si="84"/>
        <v>0</v>
      </c>
    </row>
    <row r="72" spans="1:21" ht="27" customHeight="1">
      <c r="A72" s="190" t="s">
        <v>127</v>
      </c>
      <c r="B72" s="191" t="s">
        <v>138</v>
      </c>
      <c r="C72" s="657" t="s">
        <v>143</v>
      </c>
      <c r="D72" s="192" t="s">
        <v>29</v>
      </c>
      <c r="E72" s="193">
        <v>4.82</v>
      </c>
      <c r="F72" s="194">
        <v>512</v>
      </c>
      <c r="G72" s="194"/>
      <c r="H72" s="194"/>
      <c r="I72" s="193">
        <f t="shared" si="78"/>
        <v>512</v>
      </c>
      <c r="J72" s="193">
        <f t="shared" si="79"/>
        <v>2467.84</v>
      </c>
      <c r="K72" s="193"/>
      <c r="L72" s="193"/>
      <c r="M72" s="622">
        <f t="shared" si="80"/>
        <v>2467.84</v>
      </c>
      <c r="N72" s="194">
        <f>'2.3.2.3'!R18</f>
        <v>512</v>
      </c>
      <c r="O72" s="622">
        <f t="shared" ref="O72:O78" si="85">TRUNC(N72*E72,2)</f>
        <v>2467.84</v>
      </c>
      <c r="P72" s="194">
        <f>'2.3.2.3'!R19</f>
        <v>0</v>
      </c>
      <c r="Q72" s="622">
        <f t="shared" ref="Q72:Q78" si="86">S72-O72</f>
        <v>0</v>
      </c>
      <c r="R72" s="194">
        <f t="shared" ref="R72:R78" si="87">P72+N72</f>
        <v>512</v>
      </c>
      <c r="S72" s="630">
        <f t="shared" ref="S72:S78" si="88">TRUNC(R72*E72,2)</f>
        <v>2467.84</v>
      </c>
      <c r="T72" s="194">
        <f>I72-R72</f>
        <v>0</v>
      </c>
      <c r="U72" s="630">
        <f t="shared" si="84"/>
        <v>0</v>
      </c>
    </row>
    <row r="73" spans="1:21" ht="25.5">
      <c r="A73" s="190" t="s">
        <v>128</v>
      </c>
      <c r="B73" s="191" t="s">
        <v>139</v>
      </c>
      <c r="C73" s="657" t="s">
        <v>144</v>
      </c>
      <c r="D73" s="192" t="s">
        <v>29</v>
      </c>
      <c r="E73" s="193">
        <v>6.12</v>
      </c>
      <c r="F73" s="194">
        <v>4419.01</v>
      </c>
      <c r="G73" s="194"/>
      <c r="H73" s="194"/>
      <c r="I73" s="193">
        <f t="shared" si="78"/>
        <v>4419.01</v>
      </c>
      <c r="J73" s="193">
        <f t="shared" si="79"/>
        <v>27044.341200000003</v>
      </c>
      <c r="K73" s="193"/>
      <c r="L73" s="193"/>
      <c r="M73" s="622">
        <f t="shared" si="80"/>
        <v>27044.341200000003</v>
      </c>
      <c r="N73" s="194">
        <f>'2.3.2.4'!R18</f>
        <v>4419.01</v>
      </c>
      <c r="O73" s="622">
        <f t="shared" si="85"/>
        <v>27044.34</v>
      </c>
      <c r="P73" s="194">
        <f>'2.3.2.4'!R19</f>
        <v>0</v>
      </c>
      <c r="Q73" s="622">
        <f t="shared" si="86"/>
        <v>0</v>
      </c>
      <c r="R73" s="194">
        <f t="shared" si="87"/>
        <v>4419.01</v>
      </c>
      <c r="S73" s="630">
        <f t="shared" si="88"/>
        <v>27044.34</v>
      </c>
      <c r="T73" s="194">
        <f t="shared" ref="T73:T80" si="89">I73-R73</f>
        <v>0</v>
      </c>
      <c r="U73" s="630">
        <f t="shared" si="84"/>
        <v>0</v>
      </c>
    </row>
    <row r="74" spans="1:21" ht="25.5">
      <c r="A74" s="190" t="s">
        <v>129</v>
      </c>
      <c r="B74" s="191">
        <v>30101</v>
      </c>
      <c r="C74" s="657" t="s">
        <v>145</v>
      </c>
      <c r="D74" s="192" t="s">
        <v>58</v>
      </c>
      <c r="E74" s="193">
        <v>48.58</v>
      </c>
      <c r="F74" s="194">
        <v>6.3</v>
      </c>
      <c r="G74" s="194"/>
      <c r="H74" s="194"/>
      <c r="I74" s="193">
        <f t="shared" si="78"/>
        <v>6.3</v>
      </c>
      <c r="J74" s="193">
        <f t="shared" si="79"/>
        <v>306.05399999999997</v>
      </c>
      <c r="K74" s="193"/>
      <c r="L74" s="193"/>
      <c r="M74" s="622">
        <f t="shared" si="80"/>
        <v>306.05399999999997</v>
      </c>
      <c r="N74" s="194">
        <f>'2.3.2.5'!R18</f>
        <v>6.3</v>
      </c>
      <c r="O74" s="622">
        <f t="shared" si="85"/>
        <v>306.05</v>
      </c>
      <c r="P74" s="194">
        <f>'2.3.2.5'!R19</f>
        <v>0</v>
      </c>
      <c r="Q74" s="622">
        <f t="shared" si="86"/>
        <v>0</v>
      </c>
      <c r="R74" s="194">
        <f t="shared" si="87"/>
        <v>6.3</v>
      </c>
      <c r="S74" s="630">
        <f t="shared" si="88"/>
        <v>306.05</v>
      </c>
      <c r="T74" s="194">
        <f t="shared" si="89"/>
        <v>0</v>
      </c>
      <c r="U74" s="630">
        <f t="shared" si="84"/>
        <v>0</v>
      </c>
    </row>
    <row r="75" spans="1:21" ht="63" customHeight="1">
      <c r="A75" s="190" t="s">
        <v>130</v>
      </c>
      <c r="B75" s="191">
        <v>40339</v>
      </c>
      <c r="C75" s="657" t="s">
        <v>146</v>
      </c>
      <c r="D75" s="192" t="s">
        <v>57</v>
      </c>
      <c r="E75" s="193">
        <v>91.04</v>
      </c>
      <c r="F75" s="194">
        <v>108</v>
      </c>
      <c r="G75" s="194"/>
      <c r="H75" s="194"/>
      <c r="I75" s="193">
        <f t="shared" si="78"/>
        <v>108</v>
      </c>
      <c r="J75" s="193">
        <f t="shared" si="79"/>
        <v>9832.3200000000015</v>
      </c>
      <c r="K75" s="193"/>
      <c r="L75" s="193"/>
      <c r="M75" s="622">
        <f t="shared" si="80"/>
        <v>9832.3200000000015</v>
      </c>
      <c r="N75" s="194">
        <v>108</v>
      </c>
      <c r="O75" s="622">
        <f t="shared" si="85"/>
        <v>9832.32</v>
      </c>
      <c r="P75" s="194"/>
      <c r="Q75" s="622">
        <f t="shared" si="86"/>
        <v>0</v>
      </c>
      <c r="R75" s="194">
        <f t="shared" si="87"/>
        <v>108</v>
      </c>
      <c r="S75" s="630">
        <f t="shared" si="88"/>
        <v>9832.32</v>
      </c>
      <c r="T75" s="194">
        <f t="shared" si="89"/>
        <v>0</v>
      </c>
      <c r="U75" s="630">
        <f t="shared" si="84"/>
        <v>0</v>
      </c>
    </row>
    <row r="76" spans="1:21" ht="25.5">
      <c r="A76" s="190" t="s">
        <v>131</v>
      </c>
      <c r="B76" s="191">
        <v>40328</v>
      </c>
      <c r="C76" s="657" t="s">
        <v>147</v>
      </c>
      <c r="D76" s="192" t="s">
        <v>29</v>
      </c>
      <c r="E76" s="193">
        <v>7.98</v>
      </c>
      <c r="F76" s="194">
        <v>594</v>
      </c>
      <c r="G76" s="194"/>
      <c r="H76" s="194"/>
      <c r="I76" s="193">
        <f t="shared" si="78"/>
        <v>594</v>
      </c>
      <c r="J76" s="193">
        <f t="shared" si="79"/>
        <v>4740.12</v>
      </c>
      <c r="K76" s="193"/>
      <c r="L76" s="193"/>
      <c r="M76" s="622">
        <f t="shared" si="80"/>
        <v>4740.12</v>
      </c>
      <c r="N76" s="194">
        <v>594</v>
      </c>
      <c r="O76" s="622">
        <f t="shared" si="85"/>
        <v>4740.12</v>
      </c>
      <c r="P76" s="194"/>
      <c r="Q76" s="622">
        <f t="shared" si="86"/>
        <v>0</v>
      </c>
      <c r="R76" s="194">
        <f t="shared" si="87"/>
        <v>594</v>
      </c>
      <c r="S76" s="630">
        <f t="shared" si="88"/>
        <v>4740.12</v>
      </c>
      <c r="T76" s="194">
        <f t="shared" si="89"/>
        <v>0</v>
      </c>
      <c r="U76" s="630">
        <f t="shared" si="84"/>
        <v>0</v>
      </c>
    </row>
    <row r="77" spans="1:21" ht="25.5">
      <c r="A77" s="190" t="s">
        <v>132</v>
      </c>
      <c r="B77" s="191">
        <v>40245</v>
      </c>
      <c r="C77" s="657" t="s">
        <v>148</v>
      </c>
      <c r="D77" s="192" t="s">
        <v>29</v>
      </c>
      <c r="E77" s="193">
        <v>8.41</v>
      </c>
      <c r="F77" s="194">
        <v>40</v>
      </c>
      <c r="G77" s="194"/>
      <c r="H77" s="194"/>
      <c r="I77" s="193">
        <f t="shared" si="78"/>
        <v>40</v>
      </c>
      <c r="J77" s="193">
        <f t="shared" si="79"/>
        <v>336.4</v>
      </c>
      <c r="K77" s="193"/>
      <c r="L77" s="193"/>
      <c r="M77" s="622">
        <f t="shared" si="80"/>
        <v>336.4</v>
      </c>
      <c r="N77" s="194">
        <v>40</v>
      </c>
      <c r="O77" s="622">
        <f t="shared" si="85"/>
        <v>336.4</v>
      </c>
      <c r="P77" s="194"/>
      <c r="Q77" s="622">
        <f t="shared" si="86"/>
        <v>0</v>
      </c>
      <c r="R77" s="194">
        <f t="shared" si="87"/>
        <v>40</v>
      </c>
      <c r="S77" s="630">
        <f t="shared" si="88"/>
        <v>336.4</v>
      </c>
      <c r="T77" s="194">
        <f t="shared" si="89"/>
        <v>0</v>
      </c>
      <c r="U77" s="630">
        <f t="shared" si="84"/>
        <v>0</v>
      </c>
    </row>
    <row r="78" spans="1:21" ht="25.5">
      <c r="A78" s="190" t="s">
        <v>133</v>
      </c>
      <c r="B78" s="191">
        <v>40246</v>
      </c>
      <c r="C78" s="657" t="s">
        <v>149</v>
      </c>
      <c r="D78" s="192" t="s">
        <v>29</v>
      </c>
      <c r="E78" s="193">
        <v>8.08</v>
      </c>
      <c r="F78" s="194">
        <v>29</v>
      </c>
      <c r="G78" s="194"/>
      <c r="H78" s="194"/>
      <c r="I78" s="193">
        <f t="shared" si="78"/>
        <v>29</v>
      </c>
      <c r="J78" s="193">
        <f t="shared" si="79"/>
        <v>234.32</v>
      </c>
      <c r="K78" s="193"/>
      <c r="L78" s="193"/>
      <c r="M78" s="622">
        <f t="shared" si="80"/>
        <v>234.32</v>
      </c>
      <c r="N78" s="194">
        <v>29</v>
      </c>
      <c r="O78" s="622">
        <f t="shared" si="85"/>
        <v>234.32</v>
      </c>
      <c r="P78" s="194"/>
      <c r="Q78" s="622">
        <f t="shared" si="86"/>
        <v>0</v>
      </c>
      <c r="R78" s="194">
        <f t="shared" si="87"/>
        <v>29</v>
      </c>
      <c r="S78" s="630">
        <f t="shared" si="88"/>
        <v>234.32</v>
      </c>
      <c r="T78" s="194">
        <f t="shared" si="89"/>
        <v>0</v>
      </c>
      <c r="U78" s="630">
        <f t="shared" si="84"/>
        <v>0</v>
      </c>
    </row>
    <row r="79" spans="1:21" ht="42.75" customHeight="1">
      <c r="A79" s="190" t="s">
        <v>134</v>
      </c>
      <c r="B79" s="191" t="s">
        <v>140</v>
      </c>
      <c r="C79" s="657" t="s">
        <v>150</v>
      </c>
      <c r="D79" s="192" t="s">
        <v>58</v>
      </c>
      <c r="E79" s="193">
        <v>486.08</v>
      </c>
      <c r="F79" s="194">
        <v>14.5</v>
      </c>
      <c r="G79" s="194"/>
      <c r="H79" s="194"/>
      <c r="I79" s="193">
        <f t="shared" si="78"/>
        <v>14.5</v>
      </c>
      <c r="J79" s="193">
        <f t="shared" si="79"/>
        <v>7048.16</v>
      </c>
      <c r="K79" s="193"/>
      <c r="L79" s="193"/>
      <c r="M79" s="622">
        <f t="shared" si="80"/>
        <v>7048.16</v>
      </c>
      <c r="N79" s="194">
        <v>14.5</v>
      </c>
      <c r="O79" s="622">
        <f>TRUNC(N79*E79,2)</f>
        <v>7048.16</v>
      </c>
      <c r="P79" s="194"/>
      <c r="Q79" s="622">
        <f>S79-O79</f>
        <v>0</v>
      </c>
      <c r="R79" s="194">
        <f>P79+N79</f>
        <v>14.5</v>
      </c>
      <c r="S79" s="630">
        <f>TRUNC(R79*E79,2)</f>
        <v>7048.16</v>
      </c>
      <c r="T79" s="194">
        <f t="shared" si="89"/>
        <v>0</v>
      </c>
      <c r="U79" s="630">
        <f t="shared" si="84"/>
        <v>0</v>
      </c>
    </row>
    <row r="80" spans="1:21">
      <c r="A80" s="190" t="s">
        <v>135</v>
      </c>
      <c r="B80" s="191">
        <v>40813</v>
      </c>
      <c r="C80" s="657" t="s">
        <v>151</v>
      </c>
      <c r="D80" s="192" t="s">
        <v>57</v>
      </c>
      <c r="E80" s="193">
        <v>64.3</v>
      </c>
      <c r="F80" s="194">
        <v>134.87</v>
      </c>
      <c r="G80" s="194"/>
      <c r="H80" s="194"/>
      <c r="I80" s="193">
        <f t="shared" si="78"/>
        <v>134.87</v>
      </c>
      <c r="J80" s="193">
        <f t="shared" si="79"/>
        <v>8672.1409999999996</v>
      </c>
      <c r="K80" s="193"/>
      <c r="L80" s="193"/>
      <c r="M80" s="622">
        <f t="shared" si="80"/>
        <v>8672.1409999999996</v>
      </c>
      <c r="N80" s="194">
        <v>134.87</v>
      </c>
      <c r="O80" s="622">
        <f>TRUNC(N80*E80,2)</f>
        <v>8672.14</v>
      </c>
      <c r="P80" s="194"/>
      <c r="Q80" s="622">
        <f>S80-O80</f>
        <v>0</v>
      </c>
      <c r="R80" s="194">
        <f>P80+N80</f>
        <v>134.87</v>
      </c>
      <c r="S80" s="630">
        <f>TRUNC(R80*E80,2)</f>
        <v>8672.14</v>
      </c>
      <c r="T80" s="194">
        <f t="shared" si="89"/>
        <v>0</v>
      </c>
      <c r="U80" s="630">
        <f t="shared" si="84"/>
        <v>0</v>
      </c>
    </row>
    <row r="81" spans="1:21">
      <c r="A81" s="138"/>
      <c r="B81" s="132"/>
      <c r="C81" s="123"/>
      <c r="D81" s="123"/>
      <c r="E81" s="123"/>
      <c r="F81" s="123"/>
      <c r="G81" s="123"/>
      <c r="H81" s="123"/>
      <c r="I81" s="123"/>
      <c r="J81" s="123"/>
      <c r="K81" s="123"/>
      <c r="L81" s="123"/>
      <c r="M81" s="623"/>
      <c r="N81" s="123"/>
      <c r="O81" s="623"/>
      <c r="P81" s="123"/>
      <c r="Q81" s="623"/>
      <c r="R81" s="123"/>
      <c r="S81" s="631"/>
      <c r="T81" s="123"/>
      <c r="U81" s="631"/>
    </row>
    <row r="82" spans="1:21" s="131" customFormat="1">
      <c r="A82" s="137" t="s">
        <v>152</v>
      </c>
      <c r="B82" s="133"/>
      <c r="C82" s="658" t="s">
        <v>153</v>
      </c>
      <c r="D82" s="126"/>
      <c r="E82" s="127"/>
      <c r="F82" s="128"/>
      <c r="G82" s="128"/>
      <c r="H82" s="128"/>
      <c r="I82" s="129"/>
      <c r="J82" s="129">
        <f>SUBTOTAL(9,J83)</f>
        <v>15164.919</v>
      </c>
      <c r="K82" s="129"/>
      <c r="L82" s="129"/>
      <c r="M82" s="624"/>
      <c r="N82" s="130"/>
      <c r="O82" s="624">
        <f>SUBTOTAL(9,O83)</f>
        <v>15164.91</v>
      </c>
      <c r="P82" s="130"/>
      <c r="Q82" s="624">
        <f>SUBTOTAL(9,Q83)</f>
        <v>0</v>
      </c>
      <c r="R82" s="129"/>
      <c r="S82" s="624">
        <f>SUBTOTAL(9,S83)</f>
        <v>15164.91</v>
      </c>
      <c r="T82" s="129">
        <f t="shared" si="77"/>
        <v>0</v>
      </c>
      <c r="U82" s="624">
        <f>SUBTOTAL(9,U83)</f>
        <v>0</v>
      </c>
    </row>
    <row r="83" spans="1:21" ht="25.5">
      <c r="A83" s="190" t="s">
        <v>154</v>
      </c>
      <c r="B83" s="191" t="s">
        <v>155</v>
      </c>
      <c r="C83" s="657" t="s">
        <v>156</v>
      </c>
      <c r="D83" s="192" t="s">
        <v>50</v>
      </c>
      <c r="E83" s="193">
        <v>91.41</v>
      </c>
      <c r="F83" s="194">
        <v>165.9</v>
      </c>
      <c r="G83" s="194"/>
      <c r="H83" s="194"/>
      <c r="I83" s="193">
        <f>F83+G83-H83</f>
        <v>165.9</v>
      </c>
      <c r="J83" s="193">
        <f t="shared" ref="J83" si="90">I83*E83</f>
        <v>15164.919</v>
      </c>
      <c r="K83" s="193"/>
      <c r="L83" s="193"/>
      <c r="M83" s="622">
        <f t="shared" ref="M83" si="91">I83*E83</f>
        <v>15164.919</v>
      </c>
      <c r="N83" s="194">
        <v>165.9</v>
      </c>
      <c r="O83" s="622">
        <f t="shared" ref="O83" si="92">TRUNC(N83*E83,2)</f>
        <v>15164.91</v>
      </c>
      <c r="P83" s="560">
        <v>0</v>
      </c>
      <c r="Q83" s="622">
        <f t="shared" ref="Q83" si="93">S83-O83</f>
        <v>0</v>
      </c>
      <c r="R83" s="194">
        <f t="shared" ref="R83" si="94">P83+N83</f>
        <v>165.9</v>
      </c>
      <c r="S83" s="630">
        <f t="shared" ref="S83" si="95">TRUNC(R83*E83,2)</f>
        <v>15164.91</v>
      </c>
      <c r="T83" s="194">
        <f t="shared" si="77"/>
        <v>0</v>
      </c>
      <c r="U83" s="630">
        <f t="shared" ref="U83" si="96">T83*E83</f>
        <v>0</v>
      </c>
    </row>
    <row r="84" spans="1:21">
      <c r="A84" s="138"/>
      <c r="B84" s="132"/>
      <c r="C84" s="123"/>
      <c r="D84" s="123"/>
      <c r="E84" s="123"/>
      <c r="F84" s="123"/>
      <c r="G84" s="123"/>
      <c r="H84" s="123"/>
      <c r="I84" s="123"/>
      <c r="J84" s="123"/>
      <c r="K84" s="123"/>
      <c r="L84" s="123"/>
      <c r="M84" s="623"/>
      <c r="N84" s="123"/>
      <c r="O84" s="623"/>
      <c r="P84" s="123"/>
      <c r="Q84" s="623"/>
      <c r="R84" s="123"/>
      <c r="S84" s="631"/>
      <c r="T84" s="123"/>
      <c r="U84" s="631"/>
    </row>
    <row r="85" spans="1:21" s="131" customFormat="1">
      <c r="A85" s="137" t="s">
        <v>157</v>
      </c>
      <c r="B85" s="133"/>
      <c r="C85" s="658" t="s">
        <v>158</v>
      </c>
      <c r="D85" s="126"/>
      <c r="E85" s="127"/>
      <c r="F85" s="128"/>
      <c r="G85" s="128"/>
      <c r="H85" s="128"/>
      <c r="I85" s="129"/>
      <c r="J85" s="129">
        <f>SUBTOTAL(9,J86:J88)</f>
        <v>3771.0080999999996</v>
      </c>
      <c r="K85" s="129"/>
      <c r="L85" s="129"/>
      <c r="M85" s="624"/>
      <c r="N85" s="130"/>
      <c r="O85" s="624">
        <f>SUBTOTAL(9,O86:O88)</f>
        <v>0</v>
      </c>
      <c r="P85" s="130"/>
      <c r="Q85" s="624">
        <f>SUBTOTAL(9,Q86:Q88)</f>
        <v>0</v>
      </c>
      <c r="R85" s="129"/>
      <c r="S85" s="624">
        <f>SUBTOTAL(9,S86:S88)</f>
        <v>3771.0000000000005</v>
      </c>
      <c r="T85" s="129">
        <f t="shared" ref="T85:T88" si="97">F85-R85</f>
        <v>0</v>
      </c>
      <c r="U85" s="624">
        <f>SUBTOTAL(9,U86:U88)</f>
        <v>0</v>
      </c>
    </row>
    <row r="86" spans="1:21" ht="25.5">
      <c r="A86" s="190" t="s">
        <v>159</v>
      </c>
      <c r="B86" s="191" t="s">
        <v>155</v>
      </c>
      <c r="C86" s="657" t="s">
        <v>156</v>
      </c>
      <c r="D86" s="192" t="s">
        <v>50</v>
      </c>
      <c r="E86" s="193">
        <v>91.41</v>
      </c>
      <c r="F86" s="194">
        <v>29.33</v>
      </c>
      <c r="G86" s="194"/>
      <c r="H86" s="194"/>
      <c r="I86" s="193">
        <f>F86+G86-H86</f>
        <v>29.33</v>
      </c>
      <c r="J86" s="193">
        <f t="shared" ref="J86:J88" si="98">I86*E86</f>
        <v>2681.0552999999995</v>
      </c>
      <c r="K86" s="193"/>
      <c r="L86" s="193"/>
      <c r="M86" s="622">
        <f t="shared" ref="M86:M88" si="99">I86*E86</f>
        <v>2681.0552999999995</v>
      </c>
      <c r="N86" s="194">
        <v>0</v>
      </c>
      <c r="O86" s="622">
        <f t="shared" ref="O86" si="100">TRUNC(N86*E86,2)</f>
        <v>0</v>
      </c>
      <c r="P86" s="194"/>
      <c r="Q86" s="622">
        <f t="shared" ref="Q86:Q88" si="101">P86*E86</f>
        <v>0</v>
      </c>
      <c r="R86" s="194">
        <v>29.33</v>
      </c>
      <c r="S86" s="630">
        <f t="shared" ref="S86" si="102">TRUNC(R86*E86,2)</f>
        <v>2681.05</v>
      </c>
      <c r="T86" s="194">
        <f t="shared" si="97"/>
        <v>0</v>
      </c>
      <c r="U86" s="630">
        <f t="shared" ref="U86:U88" si="103">T86*E86</f>
        <v>0</v>
      </c>
    </row>
    <row r="87" spans="1:21">
      <c r="A87" s="190" t="s">
        <v>160</v>
      </c>
      <c r="B87" s="191">
        <v>200323</v>
      </c>
      <c r="C87" s="657" t="s">
        <v>162</v>
      </c>
      <c r="D87" s="192" t="s">
        <v>58</v>
      </c>
      <c r="E87" s="193">
        <v>125.94</v>
      </c>
      <c r="F87" s="194">
        <v>6.62</v>
      </c>
      <c r="G87" s="194"/>
      <c r="H87" s="194"/>
      <c r="I87" s="193">
        <f t="shared" ref="I87:I88" si="104">F87+G87-H87</f>
        <v>6.62</v>
      </c>
      <c r="J87" s="193">
        <f t="shared" si="98"/>
        <v>833.72280000000001</v>
      </c>
      <c r="K87" s="193"/>
      <c r="L87" s="193"/>
      <c r="M87" s="622">
        <f t="shared" si="99"/>
        <v>833.72280000000001</v>
      </c>
      <c r="N87" s="194">
        <v>0</v>
      </c>
      <c r="O87" s="622">
        <f>TRUNC(N87*E87,2)</f>
        <v>0</v>
      </c>
      <c r="P87" s="194"/>
      <c r="Q87" s="622">
        <f t="shared" si="101"/>
        <v>0</v>
      </c>
      <c r="R87" s="194">
        <v>6.62</v>
      </c>
      <c r="S87" s="630">
        <f>TRUNC(R87*E87,2)</f>
        <v>833.72</v>
      </c>
      <c r="T87" s="194">
        <f t="shared" si="97"/>
        <v>0</v>
      </c>
      <c r="U87" s="630">
        <f t="shared" si="103"/>
        <v>0</v>
      </c>
    </row>
    <row r="88" spans="1:21" ht="38.25">
      <c r="A88" s="190" t="s">
        <v>161</v>
      </c>
      <c r="B88" s="191">
        <v>50501</v>
      </c>
      <c r="C88" s="657" t="s">
        <v>916</v>
      </c>
      <c r="D88" s="192" t="s">
        <v>57</v>
      </c>
      <c r="E88" s="193">
        <v>94.9</v>
      </c>
      <c r="F88" s="194">
        <v>2.7</v>
      </c>
      <c r="G88" s="194"/>
      <c r="H88" s="194"/>
      <c r="I88" s="193">
        <f t="shared" si="104"/>
        <v>2.7</v>
      </c>
      <c r="J88" s="193">
        <f t="shared" si="98"/>
        <v>256.23</v>
      </c>
      <c r="K88" s="193"/>
      <c r="L88" s="193"/>
      <c r="M88" s="622">
        <f t="shared" si="99"/>
        <v>256.23</v>
      </c>
      <c r="N88" s="194">
        <v>0</v>
      </c>
      <c r="O88" s="622">
        <f t="shared" ref="O88" si="105">TRUNC(N88*E88,2)</f>
        <v>0</v>
      </c>
      <c r="P88" s="194"/>
      <c r="Q88" s="622">
        <f t="shared" si="101"/>
        <v>0</v>
      </c>
      <c r="R88" s="194">
        <v>2.7</v>
      </c>
      <c r="S88" s="630">
        <f t="shared" ref="S88" si="106">TRUNC(R88*E88,2)</f>
        <v>256.23</v>
      </c>
      <c r="T88" s="194">
        <f t="shared" si="97"/>
        <v>0</v>
      </c>
      <c r="U88" s="630">
        <f t="shared" si="103"/>
        <v>0</v>
      </c>
    </row>
    <row r="89" spans="1:21">
      <c r="A89" s="138"/>
      <c r="B89" s="132"/>
      <c r="C89" s="123"/>
      <c r="D89" s="123"/>
      <c r="E89" s="123"/>
      <c r="F89" s="123"/>
      <c r="G89" s="123"/>
      <c r="H89" s="123"/>
      <c r="I89" s="123"/>
      <c r="J89" s="123"/>
      <c r="K89" s="123"/>
      <c r="L89" s="123"/>
      <c r="M89" s="623"/>
      <c r="N89" s="123"/>
      <c r="O89" s="623"/>
      <c r="P89" s="123"/>
      <c r="Q89" s="623"/>
      <c r="R89" s="123"/>
      <c r="S89" s="631"/>
      <c r="T89" s="123"/>
      <c r="U89" s="631"/>
    </row>
    <row r="90" spans="1:21" s="131" customFormat="1">
      <c r="A90" s="137" t="s">
        <v>163</v>
      </c>
      <c r="B90" s="133"/>
      <c r="C90" s="658" t="s">
        <v>164</v>
      </c>
      <c r="D90" s="126"/>
      <c r="E90" s="127"/>
      <c r="F90" s="128"/>
      <c r="G90" s="128"/>
      <c r="H90" s="128"/>
      <c r="I90" s="129"/>
      <c r="J90" s="129">
        <f>SUBTOTAL(9,J91:J95)</f>
        <v>9601.4940000000006</v>
      </c>
      <c r="K90" s="129"/>
      <c r="L90" s="129"/>
      <c r="M90" s="624"/>
      <c r="N90" s="130"/>
      <c r="O90" s="624">
        <f>SUBTOTAL(9,O91:O95)</f>
        <v>9601.49</v>
      </c>
      <c r="P90" s="130"/>
      <c r="Q90" s="624">
        <f>SUBTOTAL(9,Q91:Q95)</f>
        <v>0</v>
      </c>
      <c r="R90" s="129"/>
      <c r="S90" s="624">
        <f>SUBTOTAL(9,S91:S95)</f>
        <v>9601.49</v>
      </c>
      <c r="T90" s="129">
        <f t="shared" ref="T90:T95" si="107">F90-R90</f>
        <v>0</v>
      </c>
      <c r="U90" s="624">
        <f>SUBTOTAL(9,U91:U95)</f>
        <v>0</v>
      </c>
    </row>
    <row r="91" spans="1:21" ht="51">
      <c r="A91" s="190" t="s">
        <v>165</v>
      </c>
      <c r="B91" s="191">
        <v>40339</v>
      </c>
      <c r="C91" s="657" t="s">
        <v>184</v>
      </c>
      <c r="D91" s="192" t="s">
        <v>57</v>
      </c>
      <c r="E91" s="193">
        <v>91.04</v>
      </c>
      <c r="F91" s="194">
        <v>51</v>
      </c>
      <c r="G91" s="194"/>
      <c r="H91" s="194"/>
      <c r="I91" s="193">
        <f t="shared" ref="I91:I95" si="108">F91+G91-H91</f>
        <v>51</v>
      </c>
      <c r="J91" s="193">
        <f t="shared" ref="J91:J95" si="109">I91*E91</f>
        <v>4643.04</v>
      </c>
      <c r="K91" s="193"/>
      <c r="L91" s="193"/>
      <c r="M91" s="622">
        <f t="shared" ref="M91:M95" si="110">I91*E91</f>
        <v>4643.04</v>
      </c>
      <c r="N91" s="194">
        <v>51</v>
      </c>
      <c r="O91" s="622">
        <f t="shared" ref="O91" si="111">TRUNC(N91*E91,2)</f>
        <v>4643.04</v>
      </c>
      <c r="P91" s="194">
        <v>0</v>
      </c>
      <c r="Q91" s="622">
        <f t="shared" ref="Q91" si="112">S91-O91</f>
        <v>0</v>
      </c>
      <c r="R91" s="194">
        <f t="shared" ref="R91" si="113">P91+N91</f>
        <v>51</v>
      </c>
      <c r="S91" s="630">
        <f t="shared" ref="S91" si="114">TRUNC(R91*E91,2)</f>
        <v>4643.04</v>
      </c>
      <c r="T91" s="194">
        <f t="shared" si="107"/>
        <v>0</v>
      </c>
      <c r="U91" s="630">
        <f t="shared" ref="U91:U95" si="115">T91*E91</f>
        <v>0</v>
      </c>
    </row>
    <row r="92" spans="1:21" ht="25.5">
      <c r="A92" s="190" t="s">
        <v>166</v>
      </c>
      <c r="B92" s="191">
        <v>40328</v>
      </c>
      <c r="C92" s="657" t="s">
        <v>147</v>
      </c>
      <c r="D92" s="192" t="s">
        <v>29</v>
      </c>
      <c r="E92" s="193">
        <v>7.98</v>
      </c>
      <c r="F92" s="194">
        <v>160</v>
      </c>
      <c r="G92" s="194"/>
      <c r="H92" s="194"/>
      <c r="I92" s="193">
        <f t="shared" si="108"/>
        <v>160</v>
      </c>
      <c r="J92" s="193">
        <f t="shared" si="109"/>
        <v>1276.8000000000002</v>
      </c>
      <c r="K92" s="193"/>
      <c r="L92" s="193"/>
      <c r="M92" s="622">
        <f t="shared" si="110"/>
        <v>1276.8000000000002</v>
      </c>
      <c r="N92" s="194">
        <v>160</v>
      </c>
      <c r="O92" s="622">
        <f>TRUNC(N92*E92,2)</f>
        <v>1276.8</v>
      </c>
      <c r="P92" s="194">
        <v>0</v>
      </c>
      <c r="Q92" s="622">
        <f>S92-O92</f>
        <v>0</v>
      </c>
      <c r="R92" s="194">
        <f>P92+N92</f>
        <v>160</v>
      </c>
      <c r="S92" s="630">
        <f>TRUNC(R92*E92,2)</f>
        <v>1276.8</v>
      </c>
      <c r="T92" s="194">
        <f t="shared" si="107"/>
        <v>0</v>
      </c>
      <c r="U92" s="630">
        <f t="shared" si="115"/>
        <v>0</v>
      </c>
    </row>
    <row r="93" spans="1:21" ht="25.5">
      <c r="A93" s="190" t="s">
        <v>167</v>
      </c>
      <c r="B93" s="191">
        <v>40245</v>
      </c>
      <c r="C93" s="657" t="s">
        <v>148</v>
      </c>
      <c r="D93" s="192" t="s">
        <v>29</v>
      </c>
      <c r="E93" s="193">
        <v>8.41</v>
      </c>
      <c r="F93" s="194">
        <v>199</v>
      </c>
      <c r="G93" s="194"/>
      <c r="H93" s="194"/>
      <c r="I93" s="193">
        <f t="shared" si="108"/>
        <v>199</v>
      </c>
      <c r="J93" s="193">
        <f t="shared" si="109"/>
        <v>1673.59</v>
      </c>
      <c r="K93" s="193"/>
      <c r="L93" s="193"/>
      <c r="M93" s="622">
        <f t="shared" si="110"/>
        <v>1673.59</v>
      </c>
      <c r="N93" s="194">
        <v>199</v>
      </c>
      <c r="O93" s="622">
        <f t="shared" ref="O93:O95" si="116">TRUNC(N93*E93,2)</f>
        <v>1673.59</v>
      </c>
      <c r="P93" s="194">
        <v>0</v>
      </c>
      <c r="Q93" s="622">
        <f t="shared" ref="Q93:Q95" si="117">S93-O93</f>
        <v>0</v>
      </c>
      <c r="R93" s="194">
        <f t="shared" ref="R93:R95" si="118">P93+N93</f>
        <v>199</v>
      </c>
      <c r="S93" s="630">
        <f t="shared" ref="S93:S95" si="119">TRUNC(R93*E93,2)</f>
        <v>1673.59</v>
      </c>
      <c r="T93" s="194">
        <f t="shared" si="107"/>
        <v>0</v>
      </c>
      <c r="U93" s="630">
        <f t="shared" si="115"/>
        <v>0</v>
      </c>
    </row>
    <row r="94" spans="1:21" ht="25.5">
      <c r="A94" s="190" t="s">
        <v>168</v>
      </c>
      <c r="B94" s="191">
        <v>40246</v>
      </c>
      <c r="C94" s="657" t="s">
        <v>149</v>
      </c>
      <c r="D94" s="192" t="s">
        <v>29</v>
      </c>
      <c r="E94" s="193">
        <v>8.08</v>
      </c>
      <c r="F94" s="194">
        <v>50</v>
      </c>
      <c r="G94" s="194"/>
      <c r="H94" s="194"/>
      <c r="I94" s="193">
        <f t="shared" si="108"/>
        <v>50</v>
      </c>
      <c r="J94" s="193">
        <f t="shared" si="109"/>
        <v>404</v>
      </c>
      <c r="K94" s="193"/>
      <c r="L94" s="193"/>
      <c r="M94" s="622">
        <f t="shared" si="110"/>
        <v>404</v>
      </c>
      <c r="N94" s="194">
        <v>50</v>
      </c>
      <c r="O94" s="622">
        <f t="shared" si="116"/>
        <v>404</v>
      </c>
      <c r="P94" s="194">
        <v>0</v>
      </c>
      <c r="Q94" s="622">
        <f t="shared" si="117"/>
        <v>0</v>
      </c>
      <c r="R94" s="194">
        <f t="shared" si="118"/>
        <v>50</v>
      </c>
      <c r="S94" s="630">
        <f t="shared" si="119"/>
        <v>404</v>
      </c>
      <c r="T94" s="194">
        <f t="shared" si="107"/>
        <v>0</v>
      </c>
      <c r="U94" s="630">
        <f t="shared" si="115"/>
        <v>0</v>
      </c>
    </row>
    <row r="95" spans="1:21" ht="38.25">
      <c r="A95" s="190" t="s">
        <v>169</v>
      </c>
      <c r="B95" s="191" t="s">
        <v>140</v>
      </c>
      <c r="C95" s="657" t="s">
        <v>150</v>
      </c>
      <c r="D95" s="192" t="s">
        <v>58</v>
      </c>
      <c r="E95" s="193">
        <v>486.08</v>
      </c>
      <c r="F95" s="194">
        <v>3.3</v>
      </c>
      <c r="G95" s="194"/>
      <c r="H95" s="194"/>
      <c r="I95" s="193">
        <f t="shared" si="108"/>
        <v>3.3</v>
      </c>
      <c r="J95" s="193">
        <f t="shared" si="109"/>
        <v>1604.0639999999999</v>
      </c>
      <c r="K95" s="193"/>
      <c r="L95" s="193"/>
      <c r="M95" s="622">
        <f t="shared" si="110"/>
        <v>1604.0639999999999</v>
      </c>
      <c r="N95" s="194">
        <v>3.3</v>
      </c>
      <c r="O95" s="622">
        <f t="shared" si="116"/>
        <v>1604.06</v>
      </c>
      <c r="P95" s="194">
        <v>0</v>
      </c>
      <c r="Q95" s="622">
        <f t="shared" si="117"/>
        <v>0</v>
      </c>
      <c r="R95" s="194">
        <f t="shared" si="118"/>
        <v>3.3</v>
      </c>
      <c r="S95" s="630">
        <f t="shared" si="119"/>
        <v>1604.06</v>
      </c>
      <c r="T95" s="194">
        <f t="shared" si="107"/>
        <v>0</v>
      </c>
      <c r="U95" s="630">
        <f t="shared" si="115"/>
        <v>0</v>
      </c>
    </row>
    <row r="96" spans="1:21">
      <c r="A96" s="138"/>
      <c r="B96" s="132"/>
      <c r="C96" s="123"/>
      <c r="D96" s="123"/>
      <c r="E96" s="123"/>
      <c r="F96" s="123"/>
      <c r="G96" s="123"/>
      <c r="H96" s="123"/>
      <c r="I96" s="123"/>
      <c r="J96" s="123"/>
      <c r="K96" s="123"/>
      <c r="L96" s="123"/>
      <c r="M96" s="623"/>
      <c r="N96" s="123"/>
      <c r="O96" s="623"/>
      <c r="P96" s="123"/>
      <c r="Q96" s="623"/>
      <c r="R96" s="123"/>
      <c r="S96" s="631"/>
      <c r="T96" s="123"/>
      <c r="U96" s="631"/>
    </row>
    <row r="97" spans="1:21" s="131" customFormat="1">
      <c r="A97" s="137" t="s">
        <v>170</v>
      </c>
      <c r="B97" s="133"/>
      <c r="C97" s="658" t="s">
        <v>171</v>
      </c>
      <c r="D97" s="126"/>
      <c r="E97" s="127"/>
      <c r="F97" s="128"/>
      <c r="G97" s="128"/>
      <c r="H97" s="128"/>
      <c r="I97" s="129"/>
      <c r="J97" s="129">
        <f>SUBTOTAL(9,J98:J102)</f>
        <v>20580.705999999998</v>
      </c>
      <c r="K97" s="129"/>
      <c r="L97" s="129"/>
      <c r="M97" s="624"/>
      <c r="N97" s="130"/>
      <c r="O97" s="624">
        <f>SUBTOTAL(9,O98:O102)</f>
        <v>20580.7</v>
      </c>
      <c r="P97" s="130"/>
      <c r="Q97" s="624">
        <f>SUBTOTAL(9,Q98:Q102)</f>
        <v>0</v>
      </c>
      <c r="R97" s="129"/>
      <c r="S97" s="624">
        <f>SUBTOTAL(9,S98:S102)</f>
        <v>20580.7</v>
      </c>
      <c r="T97" s="129">
        <f t="shared" ref="T97:T102" si="120">F97-R97</f>
        <v>0</v>
      </c>
      <c r="U97" s="624">
        <f>SUBTOTAL(9,U98:U102)</f>
        <v>0</v>
      </c>
    </row>
    <row r="98" spans="1:21" ht="51">
      <c r="A98" s="190" t="s">
        <v>172</v>
      </c>
      <c r="B98" s="191">
        <v>40339</v>
      </c>
      <c r="C98" s="657" t="s">
        <v>146</v>
      </c>
      <c r="D98" s="192" t="s">
        <v>57</v>
      </c>
      <c r="E98" s="193">
        <v>91.04</v>
      </c>
      <c r="F98" s="194">
        <v>100</v>
      </c>
      <c r="G98" s="194"/>
      <c r="H98" s="194"/>
      <c r="I98" s="193">
        <f t="shared" ref="I98:I102" si="121">F98+G98-H98</f>
        <v>100</v>
      </c>
      <c r="J98" s="193">
        <f t="shared" ref="J98:J102" si="122">I98*E98</f>
        <v>9104</v>
      </c>
      <c r="K98" s="193"/>
      <c r="L98" s="193"/>
      <c r="M98" s="622">
        <f t="shared" ref="M98:M102" si="123">I98*E98</f>
        <v>9104</v>
      </c>
      <c r="N98" s="194">
        <v>100</v>
      </c>
      <c r="O98" s="622">
        <f t="shared" ref="O98" si="124">TRUNC(N98*E98,2)</f>
        <v>9104</v>
      </c>
      <c r="P98" s="194"/>
      <c r="Q98" s="622">
        <f t="shared" ref="Q98" si="125">S98-O98</f>
        <v>0</v>
      </c>
      <c r="R98" s="194">
        <f t="shared" ref="R98" si="126">P98+N98</f>
        <v>100</v>
      </c>
      <c r="S98" s="630">
        <f t="shared" ref="S98" si="127">TRUNC(R98*E98,2)</f>
        <v>9104</v>
      </c>
      <c r="T98" s="194">
        <f t="shared" si="120"/>
        <v>0</v>
      </c>
      <c r="U98" s="630">
        <f t="shared" ref="U98:U102" si="128">T98*E98</f>
        <v>0</v>
      </c>
    </row>
    <row r="99" spans="1:21" ht="25.5">
      <c r="A99" s="190" t="s">
        <v>173</v>
      </c>
      <c r="B99" s="191">
        <v>40328</v>
      </c>
      <c r="C99" s="657" t="s">
        <v>147</v>
      </c>
      <c r="D99" s="192" t="s">
        <v>29</v>
      </c>
      <c r="E99" s="193">
        <v>7.98</v>
      </c>
      <c r="F99" s="194">
        <v>481</v>
      </c>
      <c r="G99" s="194"/>
      <c r="H99" s="194"/>
      <c r="I99" s="193">
        <f t="shared" si="121"/>
        <v>481</v>
      </c>
      <c r="J99" s="193">
        <f t="shared" si="122"/>
        <v>3838.38</v>
      </c>
      <c r="K99" s="193"/>
      <c r="L99" s="193"/>
      <c r="M99" s="622">
        <f t="shared" si="123"/>
        <v>3838.38</v>
      </c>
      <c r="N99" s="194">
        <v>481</v>
      </c>
      <c r="O99" s="622">
        <f>TRUNC(N99*E99,2)</f>
        <v>3838.38</v>
      </c>
      <c r="P99" s="194"/>
      <c r="Q99" s="622">
        <f>S99-O99</f>
        <v>0</v>
      </c>
      <c r="R99" s="194">
        <f>P99+N99</f>
        <v>481</v>
      </c>
      <c r="S99" s="630">
        <f>TRUNC(R99*E99,2)</f>
        <v>3838.38</v>
      </c>
      <c r="T99" s="194">
        <f t="shared" si="120"/>
        <v>0</v>
      </c>
      <c r="U99" s="630">
        <f t="shared" si="128"/>
        <v>0</v>
      </c>
    </row>
    <row r="100" spans="1:21" ht="25.5">
      <c r="A100" s="190" t="s">
        <v>174</v>
      </c>
      <c r="B100" s="191">
        <v>40245</v>
      </c>
      <c r="C100" s="657" t="s">
        <v>148</v>
      </c>
      <c r="D100" s="192" t="s">
        <v>29</v>
      </c>
      <c r="E100" s="193">
        <v>8.41</v>
      </c>
      <c r="F100" s="194">
        <v>287</v>
      </c>
      <c r="G100" s="194"/>
      <c r="H100" s="194"/>
      <c r="I100" s="193">
        <f t="shared" si="121"/>
        <v>287</v>
      </c>
      <c r="J100" s="193">
        <f t="shared" si="122"/>
        <v>2413.67</v>
      </c>
      <c r="K100" s="193"/>
      <c r="L100" s="193"/>
      <c r="M100" s="622">
        <f t="shared" si="123"/>
        <v>2413.67</v>
      </c>
      <c r="N100" s="194">
        <v>287</v>
      </c>
      <c r="O100" s="622">
        <f t="shared" ref="O100:O102" si="129">TRUNC(N100*E100,2)</f>
        <v>2413.67</v>
      </c>
      <c r="P100" s="194"/>
      <c r="Q100" s="622">
        <f t="shared" ref="Q100:Q102" si="130">S100-O100</f>
        <v>0</v>
      </c>
      <c r="R100" s="194">
        <f t="shared" ref="R100:R102" si="131">P100+N100</f>
        <v>287</v>
      </c>
      <c r="S100" s="630">
        <f t="shared" ref="S100:S102" si="132">TRUNC(R100*E100,2)</f>
        <v>2413.67</v>
      </c>
      <c r="T100" s="194">
        <f t="shared" si="120"/>
        <v>0</v>
      </c>
      <c r="U100" s="630">
        <f t="shared" si="128"/>
        <v>0</v>
      </c>
    </row>
    <row r="101" spans="1:21" ht="25.5">
      <c r="A101" s="190" t="s">
        <v>175</v>
      </c>
      <c r="B101" s="191">
        <v>40246</v>
      </c>
      <c r="C101" s="657" t="s">
        <v>149</v>
      </c>
      <c r="D101" s="192" t="s">
        <v>29</v>
      </c>
      <c r="E101" s="193">
        <v>8.08</v>
      </c>
      <c r="F101" s="194">
        <v>33</v>
      </c>
      <c r="G101" s="194"/>
      <c r="H101" s="194"/>
      <c r="I101" s="193">
        <f t="shared" si="121"/>
        <v>33</v>
      </c>
      <c r="J101" s="193">
        <f t="shared" si="122"/>
        <v>266.64</v>
      </c>
      <c r="K101" s="193"/>
      <c r="L101" s="193"/>
      <c r="M101" s="622">
        <f t="shared" si="123"/>
        <v>266.64</v>
      </c>
      <c r="N101" s="194">
        <v>33</v>
      </c>
      <c r="O101" s="622">
        <f t="shared" si="129"/>
        <v>266.64</v>
      </c>
      <c r="P101" s="194"/>
      <c r="Q101" s="622">
        <f t="shared" si="130"/>
        <v>0</v>
      </c>
      <c r="R101" s="194">
        <f t="shared" si="131"/>
        <v>33</v>
      </c>
      <c r="S101" s="630">
        <f t="shared" si="132"/>
        <v>266.64</v>
      </c>
      <c r="T101" s="194">
        <f t="shared" si="120"/>
        <v>0</v>
      </c>
      <c r="U101" s="630">
        <f t="shared" si="128"/>
        <v>0</v>
      </c>
    </row>
    <row r="102" spans="1:21" ht="51">
      <c r="A102" s="190" t="s">
        <v>176</v>
      </c>
      <c r="B102" s="191" t="s">
        <v>140</v>
      </c>
      <c r="C102" s="657" t="s">
        <v>177</v>
      </c>
      <c r="D102" s="192" t="s">
        <v>58</v>
      </c>
      <c r="E102" s="193">
        <v>486.08</v>
      </c>
      <c r="F102" s="194">
        <v>10.199999999999999</v>
      </c>
      <c r="G102" s="194"/>
      <c r="H102" s="194"/>
      <c r="I102" s="193">
        <f t="shared" si="121"/>
        <v>10.199999999999999</v>
      </c>
      <c r="J102" s="193">
        <f t="shared" si="122"/>
        <v>4958.0159999999996</v>
      </c>
      <c r="K102" s="193"/>
      <c r="L102" s="193"/>
      <c r="M102" s="622">
        <f t="shared" si="123"/>
        <v>4958.0159999999996</v>
      </c>
      <c r="N102" s="194">
        <v>10.199999999999999</v>
      </c>
      <c r="O102" s="622">
        <f t="shared" si="129"/>
        <v>4958.01</v>
      </c>
      <c r="P102" s="194"/>
      <c r="Q102" s="622">
        <f t="shared" si="130"/>
        <v>0</v>
      </c>
      <c r="R102" s="194">
        <f t="shared" si="131"/>
        <v>10.199999999999999</v>
      </c>
      <c r="S102" s="630">
        <f t="shared" si="132"/>
        <v>4958.01</v>
      </c>
      <c r="T102" s="194">
        <f t="shared" si="120"/>
        <v>0</v>
      </c>
      <c r="U102" s="630">
        <f t="shared" si="128"/>
        <v>0</v>
      </c>
    </row>
    <row r="103" spans="1:21">
      <c r="A103" s="138"/>
      <c r="B103" s="132"/>
      <c r="C103" s="123"/>
      <c r="D103" s="123"/>
      <c r="E103" s="123"/>
      <c r="F103" s="123"/>
      <c r="G103" s="123"/>
      <c r="H103" s="123"/>
      <c r="I103" s="123"/>
      <c r="J103" s="123"/>
      <c r="K103" s="123"/>
      <c r="L103" s="123"/>
      <c r="M103" s="623"/>
      <c r="N103" s="123"/>
      <c r="O103" s="623"/>
      <c r="P103" s="123"/>
      <c r="Q103" s="623"/>
      <c r="R103" s="123"/>
      <c r="S103" s="631"/>
      <c r="T103" s="123"/>
      <c r="U103" s="631"/>
    </row>
    <row r="104" spans="1:21" s="131" customFormat="1">
      <c r="A104" s="137" t="s">
        <v>178</v>
      </c>
      <c r="B104" s="133"/>
      <c r="C104" s="658" t="s">
        <v>179</v>
      </c>
      <c r="D104" s="126"/>
      <c r="E104" s="127"/>
      <c r="F104" s="128"/>
      <c r="G104" s="128"/>
      <c r="H104" s="128"/>
      <c r="I104" s="129"/>
      <c r="J104" s="129">
        <f>SUBTOTAL(9,J105:J108)</f>
        <v>23928.707199999997</v>
      </c>
      <c r="K104" s="129"/>
      <c r="L104" s="129"/>
      <c r="M104" s="624"/>
      <c r="N104" s="130"/>
      <c r="O104" s="624">
        <f>SUBTOTAL(9,O105:O108)</f>
        <v>23928.7</v>
      </c>
      <c r="P104" s="130"/>
      <c r="Q104" s="624">
        <f>SUBTOTAL(9,Q105:Q108)</f>
        <v>0</v>
      </c>
      <c r="R104" s="129"/>
      <c r="S104" s="624">
        <f>SUBTOTAL(9,S105:S108)</f>
        <v>23928.7</v>
      </c>
      <c r="T104" s="129">
        <f t="shared" ref="T104:T180" si="133">F104-R104</f>
        <v>0</v>
      </c>
      <c r="U104" s="624">
        <f>SUBTOTAL(9,U105:U108)</f>
        <v>0</v>
      </c>
    </row>
    <row r="105" spans="1:21" ht="51">
      <c r="A105" s="190" t="s">
        <v>180</v>
      </c>
      <c r="B105" s="191">
        <v>40339</v>
      </c>
      <c r="C105" s="657" t="s">
        <v>184</v>
      </c>
      <c r="D105" s="192" t="s">
        <v>57</v>
      </c>
      <c r="E105" s="193">
        <v>91.04</v>
      </c>
      <c r="F105" s="194">
        <v>33</v>
      </c>
      <c r="G105" s="194"/>
      <c r="H105" s="194"/>
      <c r="I105" s="193">
        <f t="shared" ref="I105:I108" si="134">F105+G105-H105</f>
        <v>33</v>
      </c>
      <c r="J105" s="193">
        <f t="shared" ref="J105:J108" si="135">I105*E105</f>
        <v>3004.32</v>
      </c>
      <c r="K105" s="193"/>
      <c r="L105" s="193"/>
      <c r="M105" s="622">
        <f t="shared" ref="M105:M108" si="136">I105*E105</f>
        <v>3004.32</v>
      </c>
      <c r="N105" s="194">
        <v>33</v>
      </c>
      <c r="O105" s="622">
        <f t="shared" ref="O105" si="137">TRUNC(N105*E105,2)</f>
        <v>3004.32</v>
      </c>
      <c r="P105" s="194"/>
      <c r="Q105" s="622">
        <f t="shared" ref="Q105" si="138">S105-O105</f>
        <v>0</v>
      </c>
      <c r="R105" s="194">
        <f t="shared" ref="R105" si="139">P105+N105</f>
        <v>33</v>
      </c>
      <c r="S105" s="630">
        <f t="shared" ref="S105" si="140">TRUNC(R105*E105,2)</f>
        <v>3004.32</v>
      </c>
      <c r="T105" s="194">
        <f t="shared" si="133"/>
        <v>0</v>
      </c>
      <c r="U105" s="630">
        <f t="shared" ref="U105:U108" si="141">T105*E105</f>
        <v>0</v>
      </c>
    </row>
    <row r="106" spans="1:21" ht="25.5">
      <c r="A106" s="190" t="s">
        <v>181</v>
      </c>
      <c r="B106" s="191">
        <v>40328</v>
      </c>
      <c r="C106" s="657" t="s">
        <v>147</v>
      </c>
      <c r="D106" s="192" t="s">
        <v>29</v>
      </c>
      <c r="E106" s="193">
        <v>7.98</v>
      </c>
      <c r="F106" s="194">
        <v>344</v>
      </c>
      <c r="G106" s="194"/>
      <c r="H106" s="194"/>
      <c r="I106" s="193">
        <f t="shared" si="134"/>
        <v>344</v>
      </c>
      <c r="J106" s="193">
        <f t="shared" si="135"/>
        <v>2745.1200000000003</v>
      </c>
      <c r="K106" s="193"/>
      <c r="L106" s="193"/>
      <c r="M106" s="622">
        <f t="shared" si="136"/>
        <v>2745.1200000000003</v>
      </c>
      <c r="N106" s="194">
        <v>344</v>
      </c>
      <c r="O106" s="622">
        <f>TRUNC(N106*E106,2)</f>
        <v>2745.12</v>
      </c>
      <c r="P106" s="194"/>
      <c r="Q106" s="622">
        <f>S106-O106</f>
        <v>0</v>
      </c>
      <c r="R106" s="194">
        <f>P106+N106</f>
        <v>344</v>
      </c>
      <c r="S106" s="630">
        <f>TRUNC(R106*E106,2)</f>
        <v>2745.12</v>
      </c>
      <c r="T106" s="194">
        <f t="shared" si="133"/>
        <v>0</v>
      </c>
      <c r="U106" s="630">
        <f t="shared" si="141"/>
        <v>0</v>
      </c>
    </row>
    <row r="107" spans="1:21" ht="51">
      <c r="A107" s="190" t="s">
        <v>182</v>
      </c>
      <c r="B107" s="191" t="s">
        <v>140</v>
      </c>
      <c r="C107" s="657" t="s">
        <v>177</v>
      </c>
      <c r="D107" s="192" t="s">
        <v>58</v>
      </c>
      <c r="E107" s="193">
        <v>486.08</v>
      </c>
      <c r="F107" s="194">
        <v>7.34</v>
      </c>
      <c r="G107" s="194"/>
      <c r="H107" s="194"/>
      <c r="I107" s="193">
        <f t="shared" si="134"/>
        <v>7.34</v>
      </c>
      <c r="J107" s="193">
        <f t="shared" si="135"/>
        <v>3567.8271999999997</v>
      </c>
      <c r="K107" s="193"/>
      <c r="L107" s="193"/>
      <c r="M107" s="622">
        <f t="shared" si="136"/>
        <v>3567.8271999999997</v>
      </c>
      <c r="N107" s="194">
        <v>7.34</v>
      </c>
      <c r="O107" s="622">
        <f t="shared" ref="O107:O108" si="142">TRUNC(N107*E107,2)</f>
        <v>3567.82</v>
      </c>
      <c r="P107" s="194"/>
      <c r="Q107" s="622">
        <f t="shared" ref="Q107:Q108" si="143">S107-O107</f>
        <v>0</v>
      </c>
      <c r="R107" s="194">
        <f t="shared" ref="R107:R108" si="144">P107+N107</f>
        <v>7.34</v>
      </c>
      <c r="S107" s="630">
        <f t="shared" ref="S107:S108" si="145">TRUNC(R107*E107,2)</f>
        <v>3567.82</v>
      </c>
      <c r="T107" s="194">
        <f t="shared" si="133"/>
        <v>0</v>
      </c>
      <c r="U107" s="630">
        <f t="shared" si="141"/>
        <v>0</v>
      </c>
    </row>
    <row r="108" spans="1:21" ht="25.5">
      <c r="A108" s="190" t="s">
        <v>183</v>
      </c>
      <c r="B108" s="191">
        <v>40602</v>
      </c>
      <c r="C108" s="657" t="s">
        <v>185</v>
      </c>
      <c r="D108" s="192" t="s">
        <v>57</v>
      </c>
      <c r="E108" s="193">
        <v>79.41</v>
      </c>
      <c r="F108" s="194">
        <v>184</v>
      </c>
      <c r="G108" s="194"/>
      <c r="H108" s="194"/>
      <c r="I108" s="193">
        <f t="shared" si="134"/>
        <v>184</v>
      </c>
      <c r="J108" s="193">
        <f t="shared" si="135"/>
        <v>14611.439999999999</v>
      </c>
      <c r="K108" s="193"/>
      <c r="L108" s="193"/>
      <c r="M108" s="622">
        <f t="shared" si="136"/>
        <v>14611.439999999999</v>
      </c>
      <c r="N108" s="194">
        <v>184</v>
      </c>
      <c r="O108" s="622">
        <f t="shared" si="142"/>
        <v>14611.44</v>
      </c>
      <c r="P108" s="194"/>
      <c r="Q108" s="622">
        <f t="shared" si="143"/>
        <v>0</v>
      </c>
      <c r="R108" s="194">
        <f t="shared" si="144"/>
        <v>184</v>
      </c>
      <c r="S108" s="630">
        <f t="shared" si="145"/>
        <v>14611.44</v>
      </c>
      <c r="T108" s="194">
        <f t="shared" si="133"/>
        <v>0</v>
      </c>
      <c r="U108" s="630">
        <f t="shared" si="141"/>
        <v>0</v>
      </c>
    </row>
    <row r="109" spans="1:21">
      <c r="A109" s="138"/>
      <c r="B109" s="132"/>
      <c r="C109" s="123"/>
      <c r="D109" s="123"/>
      <c r="E109" s="123"/>
      <c r="F109" s="123"/>
      <c r="G109" s="123"/>
      <c r="H109" s="123"/>
      <c r="I109" s="123"/>
      <c r="J109" s="123"/>
      <c r="K109" s="123"/>
      <c r="L109" s="123"/>
      <c r="M109" s="623"/>
      <c r="N109" s="123"/>
      <c r="O109" s="623"/>
      <c r="P109" s="123"/>
      <c r="Q109" s="623"/>
      <c r="R109" s="123"/>
      <c r="S109" s="631"/>
      <c r="T109" s="123"/>
      <c r="U109" s="631"/>
    </row>
    <row r="110" spans="1:21" s="131" customFormat="1">
      <c r="A110" s="137" t="s">
        <v>186</v>
      </c>
      <c r="B110" s="133"/>
      <c r="C110" s="658" t="s">
        <v>187</v>
      </c>
      <c r="D110" s="126"/>
      <c r="E110" s="127"/>
      <c r="F110" s="128"/>
      <c r="G110" s="128"/>
      <c r="H110" s="128"/>
      <c r="I110" s="129"/>
      <c r="J110" s="129">
        <f>SUBTOTAL(9,J111:J116)</f>
        <v>52096.830300000009</v>
      </c>
      <c r="K110" s="129"/>
      <c r="L110" s="129"/>
      <c r="M110" s="624"/>
      <c r="N110" s="130"/>
      <c r="O110" s="624">
        <f>SUBTOTAL(9,O111:O116)</f>
        <v>15131.98</v>
      </c>
      <c r="P110" s="130"/>
      <c r="Q110" s="624">
        <f>SUBTOTAL(9,Q111:Q116)</f>
        <v>0</v>
      </c>
      <c r="R110" s="129"/>
      <c r="S110" s="624">
        <f>SUBTOTAL(9,S111:S116)</f>
        <v>52096.80000000001</v>
      </c>
      <c r="T110" s="129">
        <f t="shared" si="133"/>
        <v>0</v>
      </c>
      <c r="U110" s="624">
        <f>SUBTOTAL(9,U111:U116)</f>
        <v>0</v>
      </c>
    </row>
    <row r="111" spans="1:21" ht="51">
      <c r="A111" s="190" t="s">
        <v>188</v>
      </c>
      <c r="B111" s="191">
        <v>90102</v>
      </c>
      <c r="C111" s="657" t="s">
        <v>194</v>
      </c>
      <c r="D111" s="192" t="s">
        <v>57</v>
      </c>
      <c r="E111" s="193">
        <v>89.99</v>
      </c>
      <c r="F111" s="194">
        <v>208.03</v>
      </c>
      <c r="G111" s="194"/>
      <c r="H111" s="194"/>
      <c r="I111" s="193">
        <f t="shared" ref="I111:I116" si="146">F111+G111-H111</f>
        <v>208.03</v>
      </c>
      <c r="J111" s="193">
        <f t="shared" ref="J111:J116" si="147">I111*E111</f>
        <v>18720.619699999999</v>
      </c>
      <c r="K111" s="193"/>
      <c r="L111" s="193"/>
      <c r="M111" s="622">
        <f t="shared" ref="M111:M116" si="148">I111*E111</f>
        <v>18720.619699999999</v>
      </c>
      <c r="N111" s="194">
        <v>0</v>
      </c>
      <c r="O111" s="622">
        <f t="shared" ref="O111" si="149">TRUNC(N111*E111,2)</f>
        <v>0</v>
      </c>
      <c r="P111" s="194"/>
      <c r="Q111" s="622">
        <f>P111*E111</f>
        <v>0</v>
      </c>
      <c r="R111" s="194">
        <v>208.03</v>
      </c>
      <c r="S111" s="630">
        <f t="shared" ref="S111" si="150">TRUNC(R111*E111,2)</f>
        <v>18720.61</v>
      </c>
      <c r="T111" s="194">
        <f t="shared" si="133"/>
        <v>0</v>
      </c>
      <c r="U111" s="630">
        <f t="shared" ref="U111:U116" si="151">T111*E111</f>
        <v>0</v>
      </c>
    </row>
    <row r="112" spans="1:21" ht="51">
      <c r="A112" s="190" t="s">
        <v>189</v>
      </c>
      <c r="B112" s="191">
        <v>90223</v>
      </c>
      <c r="C112" s="657" t="s">
        <v>195</v>
      </c>
      <c r="D112" s="192" t="s">
        <v>57</v>
      </c>
      <c r="E112" s="193">
        <v>124.46</v>
      </c>
      <c r="F112" s="194">
        <v>209.41</v>
      </c>
      <c r="G112" s="194"/>
      <c r="H112" s="194"/>
      <c r="I112" s="193">
        <f t="shared" si="146"/>
        <v>209.41</v>
      </c>
      <c r="J112" s="193">
        <f t="shared" si="147"/>
        <v>26063.168599999997</v>
      </c>
      <c r="K112" s="193"/>
      <c r="L112" s="193"/>
      <c r="M112" s="622">
        <f t="shared" si="148"/>
        <v>26063.168599999997</v>
      </c>
      <c r="N112" s="194">
        <v>62.822999999999993</v>
      </c>
      <c r="O112" s="622">
        <f>TRUNC(N112*E112,2)</f>
        <v>7818.95</v>
      </c>
      <c r="P112" s="194"/>
      <c r="Q112" s="622">
        <f>P112*E112</f>
        <v>0</v>
      </c>
      <c r="R112" s="194">
        <v>209.40999999999997</v>
      </c>
      <c r="S112" s="630">
        <f>TRUNC(R112*E112,2)</f>
        <v>26063.16</v>
      </c>
      <c r="T112" s="194">
        <f t="shared" si="133"/>
        <v>0</v>
      </c>
      <c r="U112" s="630">
        <f t="shared" si="151"/>
        <v>0</v>
      </c>
    </row>
    <row r="113" spans="1:21" ht="51">
      <c r="A113" s="190" t="s">
        <v>190</v>
      </c>
      <c r="B113" s="191">
        <v>40339</v>
      </c>
      <c r="C113" s="657" t="s">
        <v>196</v>
      </c>
      <c r="D113" s="192" t="s">
        <v>57</v>
      </c>
      <c r="E113" s="193">
        <v>91.04</v>
      </c>
      <c r="F113" s="194">
        <v>23.5</v>
      </c>
      <c r="G113" s="194"/>
      <c r="H113" s="194"/>
      <c r="I113" s="193">
        <f t="shared" si="146"/>
        <v>23.5</v>
      </c>
      <c r="J113" s="193">
        <f t="shared" si="147"/>
        <v>2139.44</v>
      </c>
      <c r="K113" s="193"/>
      <c r="L113" s="193"/>
      <c r="M113" s="622">
        <f t="shared" si="148"/>
        <v>2139.44</v>
      </c>
      <c r="N113" s="194">
        <v>23.5</v>
      </c>
      <c r="O113" s="622">
        <f t="shared" ref="O113:O116" si="152">TRUNC(N113*E113,2)</f>
        <v>2139.44</v>
      </c>
      <c r="P113" s="194"/>
      <c r="Q113" s="622">
        <f t="shared" ref="Q113:Q116" si="153">S113-O113</f>
        <v>0</v>
      </c>
      <c r="R113" s="194">
        <f t="shared" ref="R113:R116" si="154">P113+N113</f>
        <v>23.5</v>
      </c>
      <c r="S113" s="630">
        <f t="shared" ref="S113:S116" si="155">TRUNC(R113*E113,2)</f>
        <v>2139.44</v>
      </c>
      <c r="T113" s="194">
        <f t="shared" si="133"/>
        <v>0</v>
      </c>
      <c r="U113" s="630">
        <f t="shared" si="151"/>
        <v>0</v>
      </c>
    </row>
    <row r="114" spans="1:21" ht="25.5">
      <c r="A114" s="190" t="s">
        <v>191</v>
      </c>
      <c r="B114" s="191">
        <v>40328</v>
      </c>
      <c r="C114" s="657" t="s">
        <v>197</v>
      </c>
      <c r="D114" s="192" t="s">
        <v>29</v>
      </c>
      <c r="E114" s="193">
        <v>7.98</v>
      </c>
      <c r="F114" s="194">
        <v>112</v>
      </c>
      <c r="G114" s="194"/>
      <c r="H114" s="194"/>
      <c r="I114" s="193">
        <f t="shared" si="146"/>
        <v>112</v>
      </c>
      <c r="J114" s="193">
        <f t="shared" si="147"/>
        <v>893.76</v>
      </c>
      <c r="K114" s="193"/>
      <c r="L114" s="193"/>
      <c r="M114" s="622">
        <f t="shared" si="148"/>
        <v>893.76</v>
      </c>
      <c r="N114" s="194">
        <v>112</v>
      </c>
      <c r="O114" s="622">
        <f t="shared" si="152"/>
        <v>893.76</v>
      </c>
      <c r="P114" s="194"/>
      <c r="Q114" s="622">
        <f t="shared" si="153"/>
        <v>0</v>
      </c>
      <c r="R114" s="194">
        <f t="shared" si="154"/>
        <v>112</v>
      </c>
      <c r="S114" s="630">
        <f t="shared" si="155"/>
        <v>893.76</v>
      </c>
      <c r="T114" s="194">
        <f t="shared" si="133"/>
        <v>0</v>
      </c>
      <c r="U114" s="630">
        <f t="shared" si="151"/>
        <v>0</v>
      </c>
    </row>
    <row r="115" spans="1:21" ht="51">
      <c r="A115" s="190" t="s">
        <v>192</v>
      </c>
      <c r="B115" s="191" t="s">
        <v>140</v>
      </c>
      <c r="C115" s="657" t="s">
        <v>198</v>
      </c>
      <c r="D115" s="192" t="s">
        <v>58</v>
      </c>
      <c r="E115" s="193">
        <v>486.08</v>
      </c>
      <c r="F115" s="194">
        <v>1.2</v>
      </c>
      <c r="G115" s="194"/>
      <c r="H115" s="194"/>
      <c r="I115" s="193">
        <f t="shared" si="146"/>
        <v>1.2</v>
      </c>
      <c r="J115" s="193">
        <f t="shared" si="147"/>
        <v>583.29599999999994</v>
      </c>
      <c r="K115" s="193"/>
      <c r="L115" s="193"/>
      <c r="M115" s="622">
        <f t="shared" si="148"/>
        <v>583.29599999999994</v>
      </c>
      <c r="N115" s="194">
        <v>1.2</v>
      </c>
      <c r="O115" s="622">
        <f t="shared" si="152"/>
        <v>583.29</v>
      </c>
      <c r="P115" s="194"/>
      <c r="Q115" s="622">
        <f t="shared" si="153"/>
        <v>0</v>
      </c>
      <c r="R115" s="194">
        <f t="shared" si="154"/>
        <v>1.2</v>
      </c>
      <c r="S115" s="630">
        <f t="shared" si="155"/>
        <v>583.29</v>
      </c>
      <c r="T115" s="194">
        <f t="shared" si="133"/>
        <v>0</v>
      </c>
      <c r="U115" s="630">
        <f t="shared" si="151"/>
        <v>0</v>
      </c>
    </row>
    <row r="116" spans="1:21" ht="51">
      <c r="A116" s="190" t="s">
        <v>193</v>
      </c>
      <c r="B116" s="191">
        <v>50602</v>
      </c>
      <c r="C116" s="657" t="s">
        <v>199</v>
      </c>
      <c r="D116" s="192" t="s">
        <v>57</v>
      </c>
      <c r="E116" s="193">
        <v>62.2</v>
      </c>
      <c r="F116" s="194">
        <v>59.43</v>
      </c>
      <c r="G116" s="194"/>
      <c r="H116" s="194"/>
      <c r="I116" s="193">
        <f t="shared" si="146"/>
        <v>59.43</v>
      </c>
      <c r="J116" s="193">
        <f t="shared" si="147"/>
        <v>3696.5460000000003</v>
      </c>
      <c r="K116" s="193"/>
      <c r="L116" s="193"/>
      <c r="M116" s="622">
        <f t="shared" si="148"/>
        <v>3696.5460000000003</v>
      </c>
      <c r="N116" s="194">
        <v>59.43</v>
      </c>
      <c r="O116" s="622">
        <f t="shared" si="152"/>
        <v>3696.54</v>
      </c>
      <c r="P116" s="194">
        <v>0</v>
      </c>
      <c r="Q116" s="622">
        <f t="shared" si="153"/>
        <v>0</v>
      </c>
      <c r="R116" s="194">
        <f t="shared" si="154"/>
        <v>59.43</v>
      </c>
      <c r="S116" s="630">
        <f t="shared" si="155"/>
        <v>3696.54</v>
      </c>
      <c r="T116" s="194">
        <f t="shared" si="133"/>
        <v>0</v>
      </c>
      <c r="U116" s="630">
        <f t="shared" si="151"/>
        <v>0</v>
      </c>
    </row>
    <row r="117" spans="1:21">
      <c r="A117" s="138"/>
      <c r="B117" s="132"/>
      <c r="C117" s="123"/>
      <c r="D117" s="123"/>
      <c r="E117" s="123"/>
      <c r="F117" s="123"/>
      <c r="G117" s="123"/>
      <c r="H117" s="123"/>
      <c r="I117" s="123"/>
      <c r="J117" s="123"/>
      <c r="K117" s="123"/>
      <c r="L117" s="123"/>
      <c r="M117" s="623"/>
      <c r="N117" s="123"/>
      <c r="O117" s="623"/>
      <c r="P117" s="123"/>
      <c r="Q117" s="623"/>
      <c r="R117" s="123"/>
      <c r="S117" s="631"/>
      <c r="T117" s="123"/>
      <c r="U117" s="631"/>
    </row>
    <row r="118" spans="1:21" s="131" customFormat="1">
      <c r="A118" s="137" t="s">
        <v>200</v>
      </c>
      <c r="B118" s="133"/>
      <c r="C118" s="658" t="s">
        <v>201</v>
      </c>
      <c r="D118" s="126"/>
      <c r="E118" s="127"/>
      <c r="F118" s="128"/>
      <c r="G118" s="128"/>
      <c r="H118" s="128"/>
      <c r="I118" s="129"/>
      <c r="J118" s="129">
        <f>SUBTOTAL(9,J119:J122)</f>
        <v>6351.6699999999992</v>
      </c>
      <c r="K118" s="129"/>
      <c r="L118" s="129"/>
      <c r="M118" s="624"/>
      <c r="N118" s="130"/>
      <c r="O118" s="624">
        <f>SUBTOTAL(9,O119:O122)</f>
        <v>0</v>
      </c>
      <c r="P118" s="130"/>
      <c r="Q118" s="624">
        <f>SUBTOTAL(9,Q119:Q122)</f>
        <v>0</v>
      </c>
      <c r="R118" s="129"/>
      <c r="S118" s="624">
        <f>SUBTOTAL(9,S119:S122)</f>
        <v>6351.66</v>
      </c>
      <c r="T118" s="129">
        <f t="shared" si="133"/>
        <v>0</v>
      </c>
      <c r="U118" s="624">
        <f>SUBTOTAL(9,U119:U122)</f>
        <v>0</v>
      </c>
    </row>
    <row r="119" spans="1:21" ht="25.5">
      <c r="A119" s="190" t="s">
        <v>202</v>
      </c>
      <c r="B119" s="191" t="s">
        <v>206</v>
      </c>
      <c r="C119" s="657" t="s">
        <v>207</v>
      </c>
      <c r="D119" s="192" t="s">
        <v>60</v>
      </c>
      <c r="E119" s="193">
        <v>72.83</v>
      </c>
      <c r="F119" s="194">
        <v>39.799999999999997</v>
      </c>
      <c r="G119" s="194"/>
      <c r="H119" s="194"/>
      <c r="I119" s="193">
        <f t="shared" ref="I119:I122" si="156">F119+G119-H119</f>
        <v>39.799999999999997</v>
      </c>
      <c r="J119" s="193">
        <f t="shared" ref="J119:J122" si="157">I119*E119</f>
        <v>2898.6339999999996</v>
      </c>
      <c r="K119" s="193"/>
      <c r="L119" s="193"/>
      <c r="M119" s="622">
        <f t="shared" ref="M119:M122" si="158">I119*E119</f>
        <v>2898.6339999999996</v>
      </c>
      <c r="N119" s="194">
        <v>0</v>
      </c>
      <c r="O119" s="622">
        <f t="shared" ref="O119" si="159">TRUNC(N119*E119,2)</f>
        <v>0</v>
      </c>
      <c r="P119" s="194"/>
      <c r="Q119" s="622">
        <f t="shared" ref="Q119:Q122" si="160">P119*E119</f>
        <v>0</v>
      </c>
      <c r="R119" s="194">
        <v>39.799999999999997</v>
      </c>
      <c r="S119" s="630">
        <f t="shared" ref="S119" si="161">TRUNC(R119*E119,2)</f>
        <v>2898.63</v>
      </c>
      <c r="T119" s="194">
        <f t="shared" si="133"/>
        <v>0</v>
      </c>
      <c r="U119" s="630">
        <f t="shared" ref="U119:U122" si="162">T119*E119</f>
        <v>0</v>
      </c>
    </row>
    <row r="120" spans="1:21">
      <c r="A120" s="190" t="s">
        <v>203</v>
      </c>
      <c r="B120" s="191">
        <v>90302</v>
      </c>
      <c r="C120" s="657" t="s">
        <v>208</v>
      </c>
      <c r="D120" s="192" t="s">
        <v>51</v>
      </c>
      <c r="E120" s="193">
        <v>31.38</v>
      </c>
      <c r="F120" s="194">
        <v>62.2</v>
      </c>
      <c r="G120" s="194"/>
      <c r="H120" s="194"/>
      <c r="I120" s="193">
        <f t="shared" si="156"/>
        <v>62.2</v>
      </c>
      <c r="J120" s="193">
        <f t="shared" si="157"/>
        <v>1951.836</v>
      </c>
      <c r="K120" s="193"/>
      <c r="L120" s="193"/>
      <c r="M120" s="622">
        <f t="shared" si="158"/>
        <v>1951.836</v>
      </c>
      <c r="N120" s="194">
        <v>0</v>
      </c>
      <c r="O120" s="622">
        <f>TRUNC(N120*E120,2)</f>
        <v>0</v>
      </c>
      <c r="P120" s="194"/>
      <c r="Q120" s="622">
        <f t="shared" si="160"/>
        <v>0</v>
      </c>
      <c r="R120" s="194">
        <v>62.2</v>
      </c>
      <c r="S120" s="630">
        <f>TRUNC(R120*E120,2)</f>
        <v>1951.83</v>
      </c>
      <c r="T120" s="194">
        <f t="shared" si="133"/>
        <v>0</v>
      </c>
      <c r="U120" s="630">
        <f t="shared" si="162"/>
        <v>0</v>
      </c>
    </row>
    <row r="121" spans="1:21" ht="25.5">
      <c r="A121" s="190" t="s">
        <v>204</v>
      </c>
      <c r="B121" s="191">
        <v>141909</v>
      </c>
      <c r="C121" s="657" t="s">
        <v>209</v>
      </c>
      <c r="D121" s="192" t="s">
        <v>51</v>
      </c>
      <c r="E121" s="193">
        <v>61.57</v>
      </c>
      <c r="F121" s="194">
        <v>10</v>
      </c>
      <c r="G121" s="194"/>
      <c r="H121" s="194"/>
      <c r="I121" s="193">
        <f t="shared" si="156"/>
        <v>10</v>
      </c>
      <c r="J121" s="193">
        <f t="shared" si="157"/>
        <v>615.70000000000005</v>
      </c>
      <c r="K121" s="193"/>
      <c r="L121" s="193"/>
      <c r="M121" s="622">
        <f t="shared" si="158"/>
        <v>615.70000000000005</v>
      </c>
      <c r="N121" s="194">
        <v>0</v>
      </c>
      <c r="O121" s="622">
        <f t="shared" ref="O121:O122" si="163">TRUNC(N121*E121,2)</f>
        <v>0</v>
      </c>
      <c r="P121" s="194"/>
      <c r="Q121" s="622">
        <f t="shared" si="160"/>
        <v>0</v>
      </c>
      <c r="R121" s="194">
        <v>10</v>
      </c>
      <c r="S121" s="630">
        <f t="shared" ref="S121:S122" si="164">TRUNC(R121*E121,2)</f>
        <v>615.70000000000005</v>
      </c>
      <c r="T121" s="194">
        <f t="shared" si="133"/>
        <v>0</v>
      </c>
      <c r="U121" s="630">
        <f t="shared" si="162"/>
        <v>0</v>
      </c>
    </row>
    <row r="122" spans="1:21" ht="25.5">
      <c r="A122" s="190" t="s">
        <v>205</v>
      </c>
      <c r="B122" s="191">
        <v>140904</v>
      </c>
      <c r="C122" s="657" t="s">
        <v>210</v>
      </c>
      <c r="D122" s="192" t="s">
        <v>51</v>
      </c>
      <c r="E122" s="193">
        <v>80.5</v>
      </c>
      <c r="F122" s="194">
        <v>11</v>
      </c>
      <c r="G122" s="194"/>
      <c r="H122" s="194"/>
      <c r="I122" s="193">
        <f t="shared" si="156"/>
        <v>11</v>
      </c>
      <c r="J122" s="193">
        <f t="shared" si="157"/>
        <v>885.5</v>
      </c>
      <c r="K122" s="193"/>
      <c r="L122" s="193"/>
      <c r="M122" s="622">
        <f t="shared" si="158"/>
        <v>885.5</v>
      </c>
      <c r="N122" s="194">
        <v>0</v>
      </c>
      <c r="O122" s="622">
        <f t="shared" si="163"/>
        <v>0</v>
      </c>
      <c r="P122" s="194"/>
      <c r="Q122" s="622">
        <f t="shared" si="160"/>
        <v>0</v>
      </c>
      <c r="R122" s="194">
        <v>11</v>
      </c>
      <c r="S122" s="630">
        <f t="shared" si="164"/>
        <v>885.5</v>
      </c>
      <c r="T122" s="194">
        <f t="shared" si="133"/>
        <v>0</v>
      </c>
      <c r="U122" s="630">
        <f t="shared" si="162"/>
        <v>0</v>
      </c>
    </row>
    <row r="123" spans="1:21">
      <c r="A123" s="138"/>
      <c r="B123" s="132"/>
      <c r="C123" s="123"/>
      <c r="D123" s="123"/>
      <c r="E123" s="123"/>
      <c r="F123" s="123"/>
      <c r="G123" s="123"/>
      <c r="H123" s="123"/>
      <c r="I123" s="123"/>
      <c r="J123" s="123"/>
      <c r="K123" s="123"/>
      <c r="L123" s="123"/>
      <c r="M123" s="623"/>
      <c r="N123" s="123"/>
      <c r="O123" s="623"/>
      <c r="P123" s="123"/>
      <c r="Q123" s="623"/>
      <c r="R123" s="123"/>
      <c r="S123" s="631"/>
      <c r="T123" s="123"/>
      <c r="U123" s="631"/>
    </row>
    <row r="124" spans="1:21" s="131" customFormat="1">
      <c r="A124" s="137" t="s">
        <v>211</v>
      </c>
      <c r="B124" s="133"/>
      <c r="C124" s="658" t="s">
        <v>212</v>
      </c>
      <c r="D124" s="126"/>
      <c r="E124" s="127"/>
      <c r="F124" s="128"/>
      <c r="G124" s="128"/>
      <c r="H124" s="128"/>
      <c r="I124" s="129"/>
      <c r="J124" s="129">
        <f>SUBTOTAL(9,J125:J135)</f>
        <v>115012.46699999998</v>
      </c>
      <c r="K124" s="129"/>
      <c r="L124" s="129"/>
      <c r="M124" s="624"/>
      <c r="N124" s="130"/>
      <c r="O124" s="624">
        <f>SUBTOTAL(9,O125:O135)</f>
        <v>19108.29</v>
      </c>
      <c r="P124" s="130"/>
      <c r="Q124" s="624">
        <f>SUBTOTAL(9,Q125:Q135)</f>
        <v>0</v>
      </c>
      <c r="R124" s="129"/>
      <c r="S124" s="624">
        <f>SUBTOTAL(9,S125:S135)</f>
        <v>115012.40999999999</v>
      </c>
      <c r="T124" s="129">
        <f t="shared" si="133"/>
        <v>0</v>
      </c>
      <c r="U124" s="624">
        <f>SUBTOTAL(9,U125:U135)</f>
        <v>0</v>
      </c>
    </row>
    <row r="125" spans="1:21">
      <c r="A125" s="190" t="s">
        <v>213</v>
      </c>
      <c r="B125" s="191" t="s">
        <v>224</v>
      </c>
      <c r="C125" s="657" t="s">
        <v>229</v>
      </c>
      <c r="D125" s="192" t="s">
        <v>50</v>
      </c>
      <c r="E125" s="193">
        <v>280.31</v>
      </c>
      <c r="F125" s="194">
        <v>118.46</v>
      </c>
      <c r="G125" s="194"/>
      <c r="H125" s="194"/>
      <c r="I125" s="193">
        <f t="shared" ref="I125:I135" si="165">F125+G125-H125</f>
        <v>118.46</v>
      </c>
      <c r="J125" s="193">
        <f t="shared" ref="J125:J135" si="166">I125*E125</f>
        <v>33205.522599999997</v>
      </c>
      <c r="K125" s="193"/>
      <c r="L125" s="193"/>
      <c r="M125" s="622">
        <f t="shared" ref="M125:M135" si="167">I125*E125</f>
        <v>33205.522599999997</v>
      </c>
      <c r="N125" s="194">
        <v>0</v>
      </c>
      <c r="O125" s="622">
        <f t="shared" ref="O125" si="168">TRUNC(N125*E125,2)</f>
        <v>0</v>
      </c>
      <c r="P125" s="194"/>
      <c r="Q125" s="622">
        <f t="shared" ref="Q125:Q135" si="169">P125*E125</f>
        <v>0</v>
      </c>
      <c r="R125" s="194">
        <v>118.46</v>
      </c>
      <c r="S125" s="630">
        <f t="shared" ref="S125" si="170">TRUNC(R125*E125,2)</f>
        <v>33205.519999999997</v>
      </c>
      <c r="T125" s="194">
        <f t="shared" si="133"/>
        <v>0</v>
      </c>
      <c r="U125" s="630">
        <f t="shared" ref="U125:U135" si="171">T125*E125</f>
        <v>0</v>
      </c>
    </row>
    <row r="126" spans="1:21">
      <c r="A126" s="190" t="s">
        <v>214</v>
      </c>
      <c r="B126" s="191" t="s">
        <v>225</v>
      </c>
      <c r="C126" s="657" t="s">
        <v>230</v>
      </c>
      <c r="D126" s="192" t="s">
        <v>50</v>
      </c>
      <c r="E126" s="193">
        <v>645.84</v>
      </c>
      <c r="F126" s="194">
        <v>11.14</v>
      </c>
      <c r="G126" s="194"/>
      <c r="H126" s="194"/>
      <c r="I126" s="193">
        <f t="shared" si="165"/>
        <v>11.14</v>
      </c>
      <c r="J126" s="193">
        <f t="shared" si="166"/>
        <v>7194.6576000000005</v>
      </c>
      <c r="K126" s="193"/>
      <c r="L126" s="193"/>
      <c r="M126" s="622">
        <f t="shared" si="167"/>
        <v>7194.6576000000005</v>
      </c>
      <c r="N126" s="194">
        <v>0</v>
      </c>
      <c r="O126" s="622">
        <f>TRUNC(N126*E126,2)</f>
        <v>0</v>
      </c>
      <c r="P126" s="194"/>
      <c r="Q126" s="622">
        <f t="shared" si="169"/>
        <v>0</v>
      </c>
      <c r="R126" s="194">
        <v>11.14</v>
      </c>
      <c r="S126" s="630">
        <f>TRUNC(R126*E126,2)</f>
        <v>7194.65</v>
      </c>
      <c r="T126" s="194">
        <f t="shared" si="133"/>
        <v>0</v>
      </c>
      <c r="U126" s="630">
        <f t="shared" si="171"/>
        <v>0</v>
      </c>
    </row>
    <row r="127" spans="1:21" ht="25.5">
      <c r="A127" s="190" t="s">
        <v>215</v>
      </c>
      <c r="B127" s="191" t="s">
        <v>226</v>
      </c>
      <c r="C127" s="657" t="s">
        <v>231</v>
      </c>
      <c r="D127" s="192" t="s">
        <v>50</v>
      </c>
      <c r="E127" s="193">
        <v>651.87</v>
      </c>
      <c r="F127" s="194">
        <v>11.25</v>
      </c>
      <c r="G127" s="194"/>
      <c r="H127" s="194"/>
      <c r="I127" s="193">
        <f t="shared" si="165"/>
        <v>11.25</v>
      </c>
      <c r="J127" s="193">
        <f t="shared" si="166"/>
        <v>7333.5375000000004</v>
      </c>
      <c r="K127" s="193"/>
      <c r="L127" s="193"/>
      <c r="M127" s="622">
        <f t="shared" si="167"/>
        <v>7333.5375000000004</v>
      </c>
      <c r="N127" s="194">
        <v>0</v>
      </c>
      <c r="O127" s="622">
        <f t="shared" ref="O127:O135" si="172">TRUNC(N127*E127,2)</f>
        <v>0</v>
      </c>
      <c r="P127" s="194"/>
      <c r="Q127" s="622">
        <f t="shared" si="169"/>
        <v>0</v>
      </c>
      <c r="R127" s="194">
        <v>11.25</v>
      </c>
      <c r="S127" s="630">
        <f t="shared" ref="S127:S135" si="173">TRUNC(R127*E127,2)</f>
        <v>7333.53</v>
      </c>
      <c r="T127" s="194">
        <f t="shared" si="133"/>
        <v>0</v>
      </c>
      <c r="U127" s="630">
        <f t="shared" si="171"/>
        <v>0</v>
      </c>
    </row>
    <row r="128" spans="1:21" ht="25.5">
      <c r="A128" s="190" t="s">
        <v>216</v>
      </c>
      <c r="B128" s="191">
        <v>210322</v>
      </c>
      <c r="C128" s="657" t="s">
        <v>232</v>
      </c>
      <c r="D128" s="192" t="s">
        <v>51</v>
      </c>
      <c r="E128" s="193">
        <v>91.5</v>
      </c>
      <c r="F128" s="194">
        <v>17.55</v>
      </c>
      <c r="G128" s="194"/>
      <c r="H128" s="194"/>
      <c r="I128" s="193">
        <f t="shared" si="165"/>
        <v>17.55</v>
      </c>
      <c r="J128" s="193">
        <f t="shared" si="166"/>
        <v>1605.825</v>
      </c>
      <c r="K128" s="193"/>
      <c r="L128" s="193"/>
      <c r="M128" s="622">
        <f t="shared" si="167"/>
        <v>1605.825</v>
      </c>
      <c r="N128" s="194">
        <v>0</v>
      </c>
      <c r="O128" s="622">
        <f t="shared" si="172"/>
        <v>0</v>
      </c>
      <c r="P128" s="194"/>
      <c r="Q128" s="622">
        <f t="shared" si="169"/>
        <v>0</v>
      </c>
      <c r="R128" s="194">
        <v>17.55</v>
      </c>
      <c r="S128" s="630">
        <f t="shared" si="173"/>
        <v>1605.82</v>
      </c>
      <c r="T128" s="194">
        <f t="shared" si="133"/>
        <v>0</v>
      </c>
      <c r="U128" s="630">
        <f t="shared" si="171"/>
        <v>0</v>
      </c>
    </row>
    <row r="129" spans="1:21" ht="25.5">
      <c r="A129" s="190" t="s">
        <v>217</v>
      </c>
      <c r="B129" s="191" t="s">
        <v>227</v>
      </c>
      <c r="C129" s="657" t="s">
        <v>233</v>
      </c>
      <c r="D129" s="192" t="s">
        <v>51</v>
      </c>
      <c r="E129" s="193">
        <v>366.23</v>
      </c>
      <c r="F129" s="194">
        <v>4.1500000000000004</v>
      </c>
      <c r="G129" s="194"/>
      <c r="H129" s="194"/>
      <c r="I129" s="193">
        <f t="shared" si="165"/>
        <v>4.1500000000000004</v>
      </c>
      <c r="J129" s="193">
        <f t="shared" si="166"/>
        <v>1519.8545000000001</v>
      </c>
      <c r="K129" s="193"/>
      <c r="L129" s="193"/>
      <c r="M129" s="622">
        <f t="shared" si="167"/>
        <v>1519.8545000000001</v>
      </c>
      <c r="N129" s="194">
        <v>0</v>
      </c>
      <c r="O129" s="622">
        <f t="shared" si="172"/>
        <v>0</v>
      </c>
      <c r="P129" s="194"/>
      <c r="Q129" s="622">
        <f t="shared" si="169"/>
        <v>0</v>
      </c>
      <c r="R129" s="194">
        <v>4.1500000000000004</v>
      </c>
      <c r="S129" s="630">
        <f t="shared" si="173"/>
        <v>1519.85</v>
      </c>
      <c r="T129" s="194">
        <f t="shared" si="133"/>
        <v>0</v>
      </c>
      <c r="U129" s="630">
        <f t="shared" si="171"/>
        <v>0</v>
      </c>
    </row>
    <row r="130" spans="1:21" ht="51">
      <c r="A130" s="190" t="s">
        <v>218</v>
      </c>
      <c r="B130" s="191">
        <v>50608</v>
      </c>
      <c r="C130" s="657" t="s">
        <v>234</v>
      </c>
      <c r="D130" s="192" t="s">
        <v>57</v>
      </c>
      <c r="E130" s="193">
        <v>88.68</v>
      </c>
      <c r="F130" s="194">
        <v>6.97</v>
      </c>
      <c r="G130" s="194"/>
      <c r="H130" s="194"/>
      <c r="I130" s="193">
        <f t="shared" si="165"/>
        <v>6.97</v>
      </c>
      <c r="J130" s="193">
        <f t="shared" si="166"/>
        <v>618.09960000000001</v>
      </c>
      <c r="K130" s="193"/>
      <c r="L130" s="193"/>
      <c r="M130" s="622">
        <f t="shared" si="167"/>
        <v>618.09960000000001</v>
      </c>
      <c r="N130" s="194">
        <v>6.97</v>
      </c>
      <c r="O130" s="622">
        <f t="shared" si="172"/>
        <v>618.09</v>
      </c>
      <c r="P130" s="194">
        <v>0</v>
      </c>
      <c r="Q130" s="622">
        <f t="shared" si="169"/>
        <v>0</v>
      </c>
      <c r="R130" s="194">
        <f t="shared" ref="R130" si="174">P130+N130</f>
        <v>6.97</v>
      </c>
      <c r="S130" s="630">
        <f t="shared" si="173"/>
        <v>618.09</v>
      </c>
      <c r="T130" s="194">
        <f t="shared" si="133"/>
        <v>0</v>
      </c>
      <c r="U130" s="630">
        <f t="shared" si="171"/>
        <v>0</v>
      </c>
    </row>
    <row r="131" spans="1:21" ht="25.5">
      <c r="A131" s="190" t="s">
        <v>219</v>
      </c>
      <c r="B131" s="191">
        <v>120101</v>
      </c>
      <c r="C131" s="657" t="s">
        <v>235</v>
      </c>
      <c r="D131" s="192" t="s">
        <v>57</v>
      </c>
      <c r="E131" s="193">
        <v>5.64</v>
      </c>
      <c r="F131" s="194">
        <v>540.16999999999996</v>
      </c>
      <c r="G131" s="194"/>
      <c r="H131" s="194"/>
      <c r="I131" s="193">
        <f t="shared" si="165"/>
        <v>540.16999999999996</v>
      </c>
      <c r="J131" s="193">
        <f t="shared" si="166"/>
        <v>3046.5587999999998</v>
      </c>
      <c r="K131" s="193"/>
      <c r="L131" s="193"/>
      <c r="M131" s="622">
        <f t="shared" si="167"/>
        <v>3046.5587999999998</v>
      </c>
      <c r="N131" s="194">
        <v>270.08499999999998</v>
      </c>
      <c r="O131" s="622">
        <f t="shared" si="172"/>
        <v>1523.27</v>
      </c>
      <c r="P131" s="194"/>
      <c r="Q131" s="622">
        <f t="shared" si="169"/>
        <v>0</v>
      </c>
      <c r="R131" s="194">
        <v>540.16999999999996</v>
      </c>
      <c r="S131" s="630">
        <f t="shared" si="173"/>
        <v>3046.55</v>
      </c>
      <c r="T131" s="194">
        <f t="shared" si="133"/>
        <v>0</v>
      </c>
      <c r="U131" s="630">
        <f t="shared" si="171"/>
        <v>0</v>
      </c>
    </row>
    <row r="132" spans="1:21" ht="25.5">
      <c r="A132" s="190" t="s">
        <v>220</v>
      </c>
      <c r="B132" s="191">
        <v>120303</v>
      </c>
      <c r="C132" s="657" t="s">
        <v>236</v>
      </c>
      <c r="D132" s="192" t="s">
        <v>57</v>
      </c>
      <c r="E132" s="193">
        <v>49.24</v>
      </c>
      <c r="F132" s="194">
        <v>540.16999999999996</v>
      </c>
      <c r="G132" s="194"/>
      <c r="H132" s="194"/>
      <c r="I132" s="193">
        <f t="shared" si="165"/>
        <v>540.16999999999996</v>
      </c>
      <c r="J132" s="193">
        <f t="shared" si="166"/>
        <v>26597.970799999999</v>
      </c>
      <c r="K132" s="193"/>
      <c r="L132" s="193"/>
      <c r="M132" s="622">
        <f t="shared" si="167"/>
        <v>26597.970799999999</v>
      </c>
      <c r="N132" s="194">
        <v>270.08499999999998</v>
      </c>
      <c r="O132" s="622">
        <f t="shared" si="172"/>
        <v>13298.98</v>
      </c>
      <c r="P132" s="194"/>
      <c r="Q132" s="622">
        <f t="shared" si="169"/>
        <v>0</v>
      </c>
      <c r="R132" s="194">
        <v>540.16999999999996</v>
      </c>
      <c r="S132" s="630">
        <f t="shared" si="173"/>
        <v>26597.97</v>
      </c>
      <c r="T132" s="194">
        <f t="shared" si="133"/>
        <v>0</v>
      </c>
      <c r="U132" s="630">
        <f t="shared" si="171"/>
        <v>0</v>
      </c>
    </row>
    <row r="133" spans="1:21" ht="25.5">
      <c r="A133" s="190" t="s">
        <v>221</v>
      </c>
      <c r="B133" s="191">
        <v>190117</v>
      </c>
      <c r="C133" s="657" t="s">
        <v>237</v>
      </c>
      <c r="D133" s="192" t="s">
        <v>57</v>
      </c>
      <c r="E133" s="193">
        <v>18.27</v>
      </c>
      <c r="F133" s="194">
        <v>540.16999999999996</v>
      </c>
      <c r="G133" s="194"/>
      <c r="H133" s="194"/>
      <c r="I133" s="193">
        <f t="shared" si="165"/>
        <v>540.16999999999996</v>
      </c>
      <c r="J133" s="193">
        <f t="shared" si="166"/>
        <v>9868.9058999999997</v>
      </c>
      <c r="K133" s="193"/>
      <c r="L133" s="193"/>
      <c r="M133" s="622">
        <f t="shared" si="167"/>
        <v>9868.9058999999997</v>
      </c>
      <c r="N133" s="194">
        <v>0</v>
      </c>
      <c r="O133" s="622">
        <f t="shared" si="172"/>
        <v>0</v>
      </c>
      <c r="P133" s="194"/>
      <c r="Q133" s="622">
        <f t="shared" si="169"/>
        <v>0</v>
      </c>
      <c r="R133" s="194">
        <v>540.16999999999996</v>
      </c>
      <c r="S133" s="630">
        <f t="shared" si="173"/>
        <v>9868.9</v>
      </c>
      <c r="T133" s="194">
        <f t="shared" si="133"/>
        <v>0</v>
      </c>
      <c r="U133" s="630">
        <f t="shared" si="171"/>
        <v>0</v>
      </c>
    </row>
    <row r="134" spans="1:21" ht="51">
      <c r="A134" s="190" t="s">
        <v>222</v>
      </c>
      <c r="B134" s="191">
        <v>130230</v>
      </c>
      <c r="C134" s="657" t="s">
        <v>238</v>
      </c>
      <c r="D134" s="192" t="s">
        <v>57</v>
      </c>
      <c r="E134" s="193">
        <v>106.19</v>
      </c>
      <c r="F134" s="194">
        <v>157.13</v>
      </c>
      <c r="G134" s="194"/>
      <c r="H134" s="194"/>
      <c r="I134" s="193">
        <f t="shared" si="165"/>
        <v>157.13</v>
      </c>
      <c r="J134" s="193">
        <f t="shared" si="166"/>
        <v>16685.634699999999</v>
      </c>
      <c r="K134" s="193"/>
      <c r="L134" s="193"/>
      <c r="M134" s="622">
        <f t="shared" si="167"/>
        <v>16685.634699999999</v>
      </c>
      <c r="N134" s="194">
        <v>0</v>
      </c>
      <c r="O134" s="622">
        <f t="shared" si="172"/>
        <v>0</v>
      </c>
      <c r="P134" s="194"/>
      <c r="Q134" s="622">
        <f t="shared" si="169"/>
        <v>0</v>
      </c>
      <c r="R134" s="194">
        <v>157.13</v>
      </c>
      <c r="S134" s="630">
        <f t="shared" si="173"/>
        <v>16685.63</v>
      </c>
      <c r="T134" s="194">
        <f t="shared" si="133"/>
        <v>0</v>
      </c>
      <c r="U134" s="630">
        <f t="shared" si="171"/>
        <v>0</v>
      </c>
    </row>
    <row r="135" spans="1:21" ht="25.5">
      <c r="A135" s="190" t="s">
        <v>223</v>
      </c>
      <c r="B135" s="191" t="s">
        <v>228</v>
      </c>
      <c r="C135" s="657" t="s">
        <v>239</v>
      </c>
      <c r="D135" s="192" t="s">
        <v>72</v>
      </c>
      <c r="E135" s="193">
        <v>333.45</v>
      </c>
      <c r="F135" s="194">
        <v>22</v>
      </c>
      <c r="G135" s="194"/>
      <c r="H135" s="194"/>
      <c r="I135" s="193">
        <f t="shared" si="165"/>
        <v>22</v>
      </c>
      <c r="J135" s="193">
        <f t="shared" si="166"/>
        <v>7335.9</v>
      </c>
      <c r="K135" s="193"/>
      <c r="L135" s="193"/>
      <c r="M135" s="622">
        <f t="shared" si="167"/>
        <v>7335.9</v>
      </c>
      <c r="N135" s="194">
        <v>11</v>
      </c>
      <c r="O135" s="622">
        <f t="shared" si="172"/>
        <v>3667.95</v>
      </c>
      <c r="P135" s="194"/>
      <c r="Q135" s="622">
        <f t="shared" si="169"/>
        <v>0</v>
      </c>
      <c r="R135" s="194">
        <v>22</v>
      </c>
      <c r="S135" s="630">
        <f t="shared" si="173"/>
        <v>7335.9</v>
      </c>
      <c r="T135" s="194">
        <f t="shared" si="133"/>
        <v>0</v>
      </c>
      <c r="U135" s="630">
        <f t="shared" si="171"/>
        <v>0</v>
      </c>
    </row>
    <row r="136" spans="1:21">
      <c r="A136" s="138"/>
      <c r="B136" s="132"/>
      <c r="C136" s="123"/>
      <c r="D136" s="123"/>
      <c r="E136" s="123"/>
      <c r="F136" s="123"/>
      <c r="G136" s="123"/>
      <c r="H136" s="123"/>
      <c r="I136" s="123"/>
      <c r="J136" s="123"/>
      <c r="K136" s="123"/>
      <c r="L136" s="123"/>
      <c r="M136" s="623"/>
      <c r="N136" s="123"/>
      <c r="O136" s="623"/>
      <c r="P136" s="123"/>
      <c r="Q136" s="623"/>
      <c r="R136" s="123"/>
      <c r="S136" s="631"/>
      <c r="T136" s="123"/>
      <c r="U136" s="631"/>
    </row>
    <row r="137" spans="1:21" s="213" customFormat="1">
      <c r="A137" s="210" t="s">
        <v>24</v>
      </c>
      <c r="B137" s="211"/>
      <c r="C137" s="655" t="s">
        <v>240</v>
      </c>
      <c r="D137" s="197"/>
      <c r="E137" s="198"/>
      <c r="F137" s="199"/>
      <c r="G137" s="199"/>
      <c r="H137" s="199"/>
      <c r="I137" s="200"/>
      <c r="J137" s="200">
        <f>SUBTOTAL(9,J138:J171)</f>
        <v>597315.99990000005</v>
      </c>
      <c r="K137" s="200"/>
      <c r="L137" s="200"/>
      <c r="M137" s="620"/>
      <c r="N137" s="201"/>
      <c r="O137" s="620">
        <f>SUBTOTAL(9,O138:O171)</f>
        <v>580698.49999999988</v>
      </c>
      <c r="P137" s="201"/>
      <c r="Q137" s="620">
        <f>SUBTOTAL(9,Q138:Q171)</f>
        <v>1213.26</v>
      </c>
      <c r="R137" s="200"/>
      <c r="S137" s="620">
        <f>SUBTOTAL(9,S138:S171)</f>
        <v>605085.64999999991</v>
      </c>
      <c r="T137" s="200">
        <f t="shared" si="133"/>
        <v>0</v>
      </c>
      <c r="U137" s="620">
        <f>SUBTOTAL(9,U138:U171)</f>
        <v>0</v>
      </c>
    </row>
    <row r="138" spans="1:21" s="131" customFormat="1">
      <c r="A138" s="137" t="s">
        <v>241</v>
      </c>
      <c r="B138" s="133"/>
      <c r="C138" s="658" t="s">
        <v>242</v>
      </c>
      <c r="D138" s="126"/>
      <c r="E138" s="127"/>
      <c r="F138" s="128"/>
      <c r="G138" s="128"/>
      <c r="H138" s="128"/>
      <c r="I138" s="129"/>
      <c r="J138" s="129">
        <f>SUBTOTAL(9,J139:J150)</f>
        <v>296584.22210000007</v>
      </c>
      <c r="K138" s="129"/>
      <c r="L138" s="129"/>
      <c r="M138" s="624"/>
      <c r="N138" s="130"/>
      <c r="O138" s="624">
        <f>SUBTOTAL(9,O139:O150)</f>
        <v>289918.25</v>
      </c>
      <c r="P138" s="130"/>
      <c r="Q138" s="624">
        <f>SUBTOTAL(9,Q139:Q150)</f>
        <v>0</v>
      </c>
      <c r="R138" s="129"/>
      <c r="S138" s="624">
        <f>SUBTOTAL(9,S139:S150)</f>
        <v>304353.90000000002</v>
      </c>
      <c r="T138" s="129">
        <f t="shared" si="133"/>
        <v>0</v>
      </c>
      <c r="U138" s="624">
        <f>SUBTOTAL(9,U139:U150)</f>
        <v>0</v>
      </c>
    </row>
    <row r="139" spans="1:21" ht="25.5">
      <c r="A139" s="190" t="s">
        <v>243</v>
      </c>
      <c r="B139" s="191">
        <v>40405</v>
      </c>
      <c r="C139" s="657" t="s">
        <v>264</v>
      </c>
      <c r="D139" s="192" t="s">
        <v>57</v>
      </c>
      <c r="E139" s="193">
        <v>86.33</v>
      </c>
      <c r="F139" s="194">
        <v>341</v>
      </c>
      <c r="G139" s="194">
        <f>REPLANILHAMENTO!H115</f>
        <v>90</v>
      </c>
      <c r="H139" s="194">
        <v>0</v>
      </c>
      <c r="I139" s="193">
        <f>F139+G139-H139</f>
        <v>431</v>
      </c>
      <c r="J139" s="193">
        <f>F139*E139</f>
        <v>29438.53</v>
      </c>
      <c r="K139" s="193">
        <f>G139*E139</f>
        <v>7769.7</v>
      </c>
      <c r="L139" s="193"/>
      <c r="M139" s="622">
        <f>I139*E139</f>
        <v>37208.229999999996</v>
      </c>
      <c r="N139" s="194">
        <f>'2.4.1.1'!R24</f>
        <v>431</v>
      </c>
      <c r="O139" s="622">
        <f t="shared" ref="O139:O150" si="175">TRUNC(N139*E139,2)</f>
        <v>37208.230000000003</v>
      </c>
      <c r="P139" s="560">
        <f>'2.4.1.1'!R25</f>
        <v>0</v>
      </c>
      <c r="Q139" s="622">
        <f t="shared" ref="Q139:Q150" si="176">S139-O139</f>
        <v>0</v>
      </c>
      <c r="R139" s="194">
        <f>P139+N139</f>
        <v>431</v>
      </c>
      <c r="S139" s="630">
        <f>TRUNC(R139*E139,2)</f>
        <v>37208.230000000003</v>
      </c>
      <c r="T139" s="194">
        <v>0</v>
      </c>
      <c r="U139" s="630">
        <v>0</v>
      </c>
    </row>
    <row r="140" spans="1:21" ht="25.5">
      <c r="A140" s="190" t="s">
        <v>244</v>
      </c>
      <c r="B140" s="191" t="s">
        <v>255</v>
      </c>
      <c r="C140" s="657" t="s">
        <v>265</v>
      </c>
      <c r="D140" s="192" t="s">
        <v>29</v>
      </c>
      <c r="E140" s="193">
        <v>7.33</v>
      </c>
      <c r="F140" s="194">
        <v>3966.02</v>
      </c>
      <c r="G140" s="194"/>
      <c r="H140" s="194"/>
      <c r="I140" s="193">
        <f t="shared" ref="I140:I168" si="177">F140+G140-H140</f>
        <v>3966.02</v>
      </c>
      <c r="J140" s="193">
        <f t="shared" ref="J140:J168" si="178">I140*E140</f>
        <v>29070.926599999999</v>
      </c>
      <c r="K140" s="193"/>
      <c r="L140" s="193"/>
      <c r="M140" s="622">
        <f t="shared" ref="M140:M168" si="179">I140*E140</f>
        <v>29070.926599999999</v>
      </c>
      <c r="N140" s="194">
        <f>'2.4.1.2 '!R25</f>
        <v>3966.02</v>
      </c>
      <c r="O140" s="622">
        <f t="shared" si="175"/>
        <v>29070.92</v>
      </c>
      <c r="P140" s="560">
        <f>'2.4.1.2 '!R26</f>
        <v>0</v>
      </c>
      <c r="Q140" s="622">
        <f t="shared" si="176"/>
        <v>0</v>
      </c>
      <c r="R140" s="194">
        <f>P140+N140</f>
        <v>3966.02</v>
      </c>
      <c r="S140" s="630">
        <f t="shared" ref="S140:S150" si="180">TRUNC(R140*E140,2)</f>
        <v>29070.92</v>
      </c>
      <c r="T140" s="194">
        <f t="shared" ref="T140:T148" si="181">F140-R140</f>
        <v>0</v>
      </c>
      <c r="U140" s="630">
        <f t="shared" ref="U140:U150" si="182">T140*E140</f>
        <v>0</v>
      </c>
    </row>
    <row r="141" spans="1:21" ht="25.5">
      <c r="A141" s="190" t="s">
        <v>245</v>
      </c>
      <c r="B141" s="191">
        <v>40328</v>
      </c>
      <c r="C141" s="657" t="s">
        <v>147</v>
      </c>
      <c r="D141" s="192" t="s">
        <v>29</v>
      </c>
      <c r="E141" s="193">
        <v>7.98</v>
      </c>
      <c r="F141" s="194">
        <v>1880</v>
      </c>
      <c r="G141" s="194"/>
      <c r="H141" s="194"/>
      <c r="I141" s="193">
        <f t="shared" si="177"/>
        <v>1880</v>
      </c>
      <c r="J141" s="193">
        <f t="shared" si="178"/>
        <v>15002.400000000001</v>
      </c>
      <c r="K141" s="193"/>
      <c r="L141" s="193"/>
      <c r="M141" s="622">
        <f t="shared" si="179"/>
        <v>15002.400000000001</v>
      </c>
      <c r="N141" s="194">
        <f>'2.4.1.3 '!R25</f>
        <v>1880</v>
      </c>
      <c r="O141" s="622">
        <f t="shared" si="175"/>
        <v>15002.4</v>
      </c>
      <c r="P141" s="560">
        <f>'2.4.1.3 '!R26</f>
        <v>0</v>
      </c>
      <c r="Q141" s="622">
        <f t="shared" si="176"/>
        <v>0</v>
      </c>
      <c r="R141" s="194">
        <f t="shared" ref="R141:R150" si="183">P141+N141</f>
        <v>1880</v>
      </c>
      <c r="S141" s="630">
        <f t="shared" si="180"/>
        <v>15002.4</v>
      </c>
      <c r="T141" s="194">
        <f t="shared" si="181"/>
        <v>0</v>
      </c>
      <c r="U141" s="630">
        <f t="shared" si="182"/>
        <v>0</v>
      </c>
    </row>
    <row r="142" spans="1:21">
      <c r="A142" s="190" t="s">
        <v>246</v>
      </c>
      <c r="B142" s="191" t="s">
        <v>256</v>
      </c>
      <c r="C142" s="657" t="s">
        <v>266</v>
      </c>
      <c r="D142" s="192" t="s">
        <v>29</v>
      </c>
      <c r="E142" s="193">
        <v>11.02</v>
      </c>
      <c r="F142" s="194">
        <v>73</v>
      </c>
      <c r="G142" s="194"/>
      <c r="H142" s="194"/>
      <c r="I142" s="193">
        <f t="shared" si="177"/>
        <v>73</v>
      </c>
      <c r="J142" s="193">
        <f t="shared" si="178"/>
        <v>804.45999999999992</v>
      </c>
      <c r="K142" s="193"/>
      <c r="L142" s="193"/>
      <c r="M142" s="622">
        <f t="shared" si="179"/>
        <v>804.45999999999992</v>
      </c>
      <c r="N142" s="194">
        <f>'2.4.1.4'!R25</f>
        <v>73</v>
      </c>
      <c r="O142" s="622">
        <f t="shared" si="175"/>
        <v>804.46</v>
      </c>
      <c r="P142" s="560">
        <f>'2.4.1.4'!R26</f>
        <v>0</v>
      </c>
      <c r="Q142" s="622">
        <f t="shared" si="176"/>
        <v>0</v>
      </c>
      <c r="R142" s="194">
        <f t="shared" si="183"/>
        <v>73</v>
      </c>
      <c r="S142" s="630">
        <f t="shared" si="180"/>
        <v>804.46</v>
      </c>
      <c r="T142" s="194">
        <f t="shared" si="181"/>
        <v>0</v>
      </c>
      <c r="U142" s="630">
        <f t="shared" si="182"/>
        <v>0</v>
      </c>
    </row>
    <row r="143" spans="1:21" ht="51">
      <c r="A143" s="190" t="s">
        <v>247</v>
      </c>
      <c r="B143" s="191" t="s">
        <v>257</v>
      </c>
      <c r="C143" s="657" t="s">
        <v>267</v>
      </c>
      <c r="D143" s="192" t="s">
        <v>58</v>
      </c>
      <c r="E143" s="193">
        <v>777.83</v>
      </c>
      <c r="F143" s="194">
        <v>28.05</v>
      </c>
      <c r="G143" s="194"/>
      <c r="H143" s="194"/>
      <c r="I143" s="193">
        <f t="shared" si="177"/>
        <v>28.05</v>
      </c>
      <c r="J143" s="193">
        <f t="shared" si="178"/>
        <v>21818.131500000003</v>
      </c>
      <c r="K143" s="193"/>
      <c r="L143" s="193"/>
      <c r="M143" s="622">
        <f t="shared" si="179"/>
        <v>21818.131500000003</v>
      </c>
      <c r="N143" s="194">
        <f>'2.4.1.5'!R25</f>
        <v>28.05</v>
      </c>
      <c r="O143" s="622">
        <f t="shared" si="175"/>
        <v>21818.13</v>
      </c>
      <c r="P143" s="560">
        <f>'2.4.1.5'!R26</f>
        <v>0</v>
      </c>
      <c r="Q143" s="622">
        <f t="shared" si="176"/>
        <v>0</v>
      </c>
      <c r="R143" s="194">
        <f t="shared" si="183"/>
        <v>28.05</v>
      </c>
      <c r="S143" s="630">
        <f t="shared" si="180"/>
        <v>21818.13</v>
      </c>
      <c r="T143" s="194">
        <f t="shared" si="181"/>
        <v>0</v>
      </c>
      <c r="U143" s="630">
        <f t="shared" si="182"/>
        <v>0</v>
      </c>
    </row>
    <row r="144" spans="1:21" ht="25.5">
      <c r="A144" s="190" t="s">
        <v>248</v>
      </c>
      <c r="B144" s="191" t="s">
        <v>258</v>
      </c>
      <c r="C144" s="657" t="s">
        <v>268</v>
      </c>
      <c r="D144" s="192" t="s">
        <v>49</v>
      </c>
      <c r="E144" s="193">
        <v>641.15</v>
      </c>
      <c r="F144" s="194">
        <v>113.84</v>
      </c>
      <c r="G144" s="194"/>
      <c r="H144" s="194"/>
      <c r="I144" s="193">
        <f t="shared" si="177"/>
        <v>113.84</v>
      </c>
      <c r="J144" s="193">
        <f t="shared" si="178"/>
        <v>72988.516000000003</v>
      </c>
      <c r="K144" s="193"/>
      <c r="L144" s="193"/>
      <c r="M144" s="622">
        <f t="shared" si="179"/>
        <v>72988.516000000003</v>
      </c>
      <c r="N144" s="194">
        <f>'2.4.1.6'!R25</f>
        <v>113.84</v>
      </c>
      <c r="O144" s="622">
        <f t="shared" si="175"/>
        <v>72988.509999999995</v>
      </c>
      <c r="P144" s="560">
        <f>'2.4.1.6'!R26</f>
        <v>0</v>
      </c>
      <c r="Q144" s="622">
        <f t="shared" si="176"/>
        <v>0</v>
      </c>
      <c r="R144" s="194">
        <f t="shared" si="183"/>
        <v>113.84</v>
      </c>
      <c r="S144" s="630">
        <f t="shared" si="180"/>
        <v>72988.509999999995</v>
      </c>
      <c r="T144" s="194">
        <f t="shared" si="181"/>
        <v>0</v>
      </c>
      <c r="U144" s="630">
        <f t="shared" si="182"/>
        <v>0</v>
      </c>
    </row>
    <row r="145" spans="1:21" ht="25.5">
      <c r="A145" s="190" t="s">
        <v>249</v>
      </c>
      <c r="B145" s="191" t="s">
        <v>259</v>
      </c>
      <c r="C145" s="657" t="s">
        <v>269</v>
      </c>
      <c r="D145" s="192" t="s">
        <v>72</v>
      </c>
      <c r="E145" s="193">
        <v>14345.61</v>
      </c>
      <c r="F145" s="194">
        <v>4</v>
      </c>
      <c r="G145" s="194"/>
      <c r="H145" s="194"/>
      <c r="I145" s="193">
        <f t="shared" si="177"/>
        <v>4</v>
      </c>
      <c r="J145" s="193">
        <f t="shared" si="178"/>
        <v>57382.44</v>
      </c>
      <c r="K145" s="193"/>
      <c r="L145" s="193"/>
      <c r="M145" s="622">
        <f t="shared" si="179"/>
        <v>57382.44</v>
      </c>
      <c r="N145" s="194">
        <v>3</v>
      </c>
      <c r="O145" s="622">
        <f t="shared" si="175"/>
        <v>43036.83</v>
      </c>
      <c r="P145" s="194">
        <v>0</v>
      </c>
      <c r="Q145" s="622">
        <f>P145*E145</f>
        <v>0</v>
      </c>
      <c r="R145" s="194">
        <v>4</v>
      </c>
      <c r="S145" s="630">
        <f t="shared" si="180"/>
        <v>57382.44</v>
      </c>
      <c r="T145" s="194">
        <f t="shared" si="181"/>
        <v>0</v>
      </c>
      <c r="U145" s="630">
        <f t="shared" si="182"/>
        <v>0</v>
      </c>
    </row>
    <row r="146" spans="1:21" ht="25.5">
      <c r="A146" s="190" t="s">
        <v>250</v>
      </c>
      <c r="B146" s="191" t="s">
        <v>260</v>
      </c>
      <c r="C146" s="657" t="s">
        <v>270</v>
      </c>
      <c r="D146" s="192" t="s">
        <v>72</v>
      </c>
      <c r="E146" s="193">
        <v>5478.19</v>
      </c>
      <c r="F146" s="194">
        <v>2</v>
      </c>
      <c r="G146" s="194"/>
      <c r="H146" s="194"/>
      <c r="I146" s="193">
        <f t="shared" si="177"/>
        <v>2</v>
      </c>
      <c r="J146" s="193">
        <f t="shared" si="178"/>
        <v>10956.38</v>
      </c>
      <c r="K146" s="193"/>
      <c r="L146" s="193"/>
      <c r="M146" s="622">
        <f t="shared" si="179"/>
        <v>10956.38</v>
      </c>
      <c r="N146" s="194">
        <v>2</v>
      </c>
      <c r="O146" s="622">
        <f t="shared" si="175"/>
        <v>10956.38</v>
      </c>
      <c r="P146" s="264">
        <v>0</v>
      </c>
      <c r="Q146" s="622">
        <f t="shared" si="176"/>
        <v>0</v>
      </c>
      <c r="R146" s="194">
        <f t="shared" si="183"/>
        <v>2</v>
      </c>
      <c r="S146" s="630">
        <f t="shared" si="180"/>
        <v>10956.38</v>
      </c>
      <c r="T146" s="194">
        <f t="shared" si="181"/>
        <v>0</v>
      </c>
      <c r="U146" s="630">
        <f t="shared" si="182"/>
        <v>0</v>
      </c>
    </row>
    <row r="147" spans="1:21" ht="38.25">
      <c r="A147" s="190" t="s">
        <v>251</v>
      </c>
      <c r="B147" s="191">
        <v>40817</v>
      </c>
      <c r="C147" s="657" t="s">
        <v>271</v>
      </c>
      <c r="D147" s="192" t="s">
        <v>58</v>
      </c>
      <c r="E147" s="193">
        <v>3001.6</v>
      </c>
      <c r="F147" s="194">
        <v>0.03</v>
      </c>
      <c r="G147" s="194"/>
      <c r="H147" s="194"/>
      <c r="I147" s="193">
        <f t="shared" si="177"/>
        <v>0.03</v>
      </c>
      <c r="J147" s="193">
        <f t="shared" si="178"/>
        <v>90.047999999999988</v>
      </c>
      <c r="K147" s="193"/>
      <c r="L147" s="193"/>
      <c r="M147" s="622">
        <f t="shared" si="179"/>
        <v>90.047999999999988</v>
      </c>
      <c r="N147" s="194">
        <v>0</v>
      </c>
      <c r="O147" s="622">
        <f t="shared" si="175"/>
        <v>0</v>
      </c>
      <c r="P147" s="194">
        <v>0</v>
      </c>
      <c r="Q147" s="622">
        <f>P147*E147</f>
        <v>0</v>
      </c>
      <c r="R147" s="194">
        <v>0.03</v>
      </c>
      <c r="S147" s="630">
        <f t="shared" si="180"/>
        <v>90.04</v>
      </c>
      <c r="T147" s="194">
        <f t="shared" si="181"/>
        <v>0</v>
      </c>
      <c r="U147" s="630">
        <f t="shared" si="182"/>
        <v>0</v>
      </c>
    </row>
    <row r="148" spans="1:21">
      <c r="A148" s="190" t="s">
        <v>252</v>
      </c>
      <c r="B148" s="191" t="s">
        <v>261</v>
      </c>
      <c r="C148" s="657" t="s">
        <v>272</v>
      </c>
      <c r="D148" s="192" t="s">
        <v>72</v>
      </c>
      <c r="E148" s="193">
        <v>2011.04</v>
      </c>
      <c r="F148" s="194">
        <v>15</v>
      </c>
      <c r="G148" s="194"/>
      <c r="H148" s="194"/>
      <c r="I148" s="193">
        <f t="shared" si="177"/>
        <v>15</v>
      </c>
      <c r="J148" s="193">
        <f t="shared" si="178"/>
        <v>30165.599999999999</v>
      </c>
      <c r="K148" s="193"/>
      <c r="L148" s="193"/>
      <c r="M148" s="622">
        <f t="shared" si="179"/>
        <v>30165.599999999999</v>
      </c>
      <c r="N148" s="194">
        <v>15</v>
      </c>
      <c r="O148" s="622">
        <f t="shared" si="175"/>
        <v>30165.599999999999</v>
      </c>
      <c r="P148" s="194">
        <v>0</v>
      </c>
      <c r="Q148" s="622">
        <f t="shared" si="176"/>
        <v>0</v>
      </c>
      <c r="R148" s="194">
        <f>P148+N148</f>
        <v>15</v>
      </c>
      <c r="S148" s="630">
        <f t="shared" si="180"/>
        <v>30165.599999999999</v>
      </c>
      <c r="T148" s="194">
        <f t="shared" si="181"/>
        <v>0</v>
      </c>
      <c r="U148" s="630">
        <f t="shared" si="182"/>
        <v>0</v>
      </c>
    </row>
    <row r="149" spans="1:21" ht="25.5">
      <c r="A149" s="190" t="s">
        <v>253</v>
      </c>
      <c r="B149" s="191" t="s">
        <v>262</v>
      </c>
      <c r="C149" s="657" t="s">
        <v>273</v>
      </c>
      <c r="D149" s="192" t="s">
        <v>72</v>
      </c>
      <c r="E149" s="193">
        <v>28185.33</v>
      </c>
      <c r="F149" s="194">
        <v>1</v>
      </c>
      <c r="G149" s="194"/>
      <c r="H149" s="194"/>
      <c r="I149" s="193">
        <f t="shared" si="177"/>
        <v>1</v>
      </c>
      <c r="J149" s="193">
        <f t="shared" si="178"/>
        <v>28185.33</v>
      </c>
      <c r="K149" s="193"/>
      <c r="L149" s="193"/>
      <c r="M149" s="622">
        <f t="shared" si="179"/>
        <v>28185.33</v>
      </c>
      <c r="N149" s="194">
        <v>1</v>
      </c>
      <c r="O149" s="622">
        <f t="shared" si="175"/>
        <v>28185.33</v>
      </c>
      <c r="P149" s="194">
        <v>0</v>
      </c>
      <c r="Q149" s="622">
        <f t="shared" si="176"/>
        <v>0</v>
      </c>
      <c r="R149" s="194">
        <f t="shared" si="183"/>
        <v>1</v>
      </c>
      <c r="S149" s="630">
        <f t="shared" si="180"/>
        <v>28185.33</v>
      </c>
      <c r="T149" s="194">
        <f>F149-R149</f>
        <v>0</v>
      </c>
      <c r="U149" s="630">
        <f t="shared" si="182"/>
        <v>0</v>
      </c>
    </row>
    <row r="150" spans="1:21">
      <c r="A150" s="190" t="s">
        <v>254</v>
      </c>
      <c r="B150" s="191" t="s">
        <v>263</v>
      </c>
      <c r="C150" s="657" t="s">
        <v>274</v>
      </c>
      <c r="D150" s="192" t="s">
        <v>72</v>
      </c>
      <c r="E150" s="193">
        <v>340.73</v>
      </c>
      <c r="F150" s="194">
        <v>2</v>
      </c>
      <c r="G150" s="194"/>
      <c r="H150" s="194"/>
      <c r="I150" s="193">
        <f t="shared" si="177"/>
        <v>2</v>
      </c>
      <c r="J150" s="193">
        <f t="shared" si="178"/>
        <v>681.46</v>
      </c>
      <c r="K150" s="193"/>
      <c r="L150" s="193"/>
      <c r="M150" s="622">
        <f t="shared" si="179"/>
        <v>681.46</v>
      </c>
      <c r="N150" s="194">
        <v>2</v>
      </c>
      <c r="O150" s="622">
        <f t="shared" si="175"/>
        <v>681.46</v>
      </c>
      <c r="P150" s="194">
        <v>0</v>
      </c>
      <c r="Q150" s="622">
        <f t="shared" si="176"/>
        <v>0</v>
      </c>
      <c r="R150" s="194">
        <f t="shared" si="183"/>
        <v>2</v>
      </c>
      <c r="S150" s="630">
        <f t="shared" si="180"/>
        <v>681.46</v>
      </c>
      <c r="T150" s="194">
        <f t="shared" si="133"/>
        <v>0</v>
      </c>
      <c r="U150" s="630">
        <f t="shared" si="182"/>
        <v>0</v>
      </c>
    </row>
    <row r="151" spans="1:21" ht="29.25" customHeight="1">
      <c r="A151" s="190" t="s">
        <v>1124</v>
      </c>
      <c r="B151" s="191" t="s">
        <v>1118</v>
      </c>
      <c r="C151" s="657" t="str">
        <f>REPLANILHAMENTO!D116</f>
        <v>Pranchões e Roletes para apoio da plataforma flutuante</v>
      </c>
      <c r="D151" s="192" t="str">
        <f>REPLANILHAMENTO!E116</f>
        <v>UND</v>
      </c>
      <c r="E151" s="193">
        <f>REPLANILHAMENTO!F116</f>
        <v>13295.45</v>
      </c>
      <c r="F151" s="194">
        <v>0</v>
      </c>
      <c r="G151" s="194">
        <f>REPLANILHAMENTO!H116</f>
        <v>1</v>
      </c>
      <c r="H151" s="194">
        <v>0</v>
      </c>
      <c r="I151" s="193">
        <f>F151+G151-H151</f>
        <v>1</v>
      </c>
      <c r="J151" s="193">
        <v>0</v>
      </c>
      <c r="K151" s="193">
        <f>G151*E151</f>
        <v>13295.45</v>
      </c>
      <c r="L151" s="193"/>
      <c r="M151" s="622">
        <f>I151*E151</f>
        <v>13295.45</v>
      </c>
      <c r="N151" s="194">
        <v>0</v>
      </c>
      <c r="O151" s="622">
        <v>0</v>
      </c>
      <c r="P151" s="194">
        <f>'2.4.1.13'!R25</f>
        <v>0</v>
      </c>
      <c r="Q151" s="622">
        <f>P151*E151</f>
        <v>0</v>
      </c>
      <c r="R151" s="194">
        <f>'2.4.1.13'!R25</f>
        <v>0</v>
      </c>
      <c r="S151" s="630">
        <f>Q151</f>
        <v>0</v>
      </c>
      <c r="T151" s="194">
        <v>0</v>
      </c>
      <c r="U151" s="630">
        <v>0</v>
      </c>
    </row>
    <row r="152" spans="1:21">
      <c r="A152" s="138"/>
      <c r="B152" s="132"/>
      <c r="C152" s="123"/>
      <c r="D152" s="123"/>
      <c r="E152" s="123"/>
      <c r="F152" s="123"/>
      <c r="G152" s="123"/>
      <c r="H152" s="123"/>
      <c r="I152" s="193">
        <f t="shared" si="177"/>
        <v>0</v>
      </c>
      <c r="J152" s="193">
        <f t="shared" si="178"/>
        <v>0</v>
      </c>
      <c r="K152" s="193"/>
      <c r="L152" s="193"/>
      <c r="M152" s="622">
        <f t="shared" si="179"/>
        <v>0</v>
      </c>
      <c r="N152" s="123"/>
      <c r="O152" s="623"/>
      <c r="P152" s="123"/>
      <c r="Q152" s="623"/>
      <c r="R152" s="123"/>
      <c r="S152" s="631"/>
      <c r="T152" s="123"/>
      <c r="U152" s="631"/>
    </row>
    <row r="153" spans="1:21" s="131" customFormat="1">
      <c r="A153" s="137" t="s">
        <v>275</v>
      </c>
      <c r="B153" s="133"/>
      <c r="C153" s="658" t="s">
        <v>276</v>
      </c>
      <c r="D153" s="126"/>
      <c r="E153" s="127"/>
      <c r="F153" s="128"/>
      <c r="G153" s="128"/>
      <c r="H153" s="128"/>
      <c r="I153" s="128"/>
      <c r="J153" s="129">
        <f>SUBTOTAL(9,J154:J154)</f>
        <v>1246.9100000000001</v>
      </c>
      <c r="K153" s="128"/>
      <c r="L153" s="128"/>
      <c r="M153" s="637"/>
      <c r="N153" s="130"/>
      <c r="O153" s="624">
        <f>SUBTOTAL(9,O154:O154)</f>
        <v>1246.9100000000001</v>
      </c>
      <c r="P153" s="130"/>
      <c r="Q153" s="624">
        <f>SUBTOTAL(9,Q154:Q154)</f>
        <v>0</v>
      </c>
      <c r="R153" s="129"/>
      <c r="S153" s="624">
        <f>SUBTOTAL(9,S154:S154)</f>
        <v>1246.9100000000001</v>
      </c>
      <c r="T153" s="129">
        <f t="shared" si="133"/>
        <v>0</v>
      </c>
      <c r="U153" s="624">
        <f>SUBTOTAL(9,U154:U154)</f>
        <v>0</v>
      </c>
    </row>
    <row r="154" spans="1:21" ht="25.5">
      <c r="A154" s="190" t="s">
        <v>277</v>
      </c>
      <c r="B154" s="191" t="s">
        <v>278</v>
      </c>
      <c r="C154" s="657" t="s">
        <v>279</v>
      </c>
      <c r="D154" s="192" t="s">
        <v>72</v>
      </c>
      <c r="E154" s="193">
        <v>1246.9100000000001</v>
      </c>
      <c r="F154" s="194">
        <v>1</v>
      </c>
      <c r="G154" s="194"/>
      <c r="H154" s="194"/>
      <c r="I154" s="193">
        <f t="shared" si="177"/>
        <v>1</v>
      </c>
      <c r="J154" s="193">
        <f t="shared" si="178"/>
        <v>1246.9100000000001</v>
      </c>
      <c r="K154" s="193"/>
      <c r="L154" s="193"/>
      <c r="M154" s="622">
        <f t="shared" si="179"/>
        <v>1246.9100000000001</v>
      </c>
      <c r="N154" s="194">
        <v>1</v>
      </c>
      <c r="O154" s="622">
        <f t="shared" ref="O154" si="184">TRUNC(N154*E154,2)</f>
        <v>1246.9100000000001</v>
      </c>
      <c r="P154" s="194">
        <v>0</v>
      </c>
      <c r="Q154" s="622">
        <f t="shared" ref="Q154" si="185">S154-O154</f>
        <v>0</v>
      </c>
      <c r="R154" s="194">
        <f t="shared" ref="R154" si="186">P154+N154</f>
        <v>1</v>
      </c>
      <c r="S154" s="630">
        <f t="shared" ref="S154" si="187">TRUNC(R154*E154,2)</f>
        <v>1246.9100000000001</v>
      </c>
      <c r="T154" s="194">
        <f t="shared" si="133"/>
        <v>0</v>
      </c>
      <c r="U154" s="630">
        <f t="shared" ref="U154" si="188">T154*E154</f>
        <v>0</v>
      </c>
    </row>
    <row r="155" spans="1:21">
      <c r="A155" s="138"/>
      <c r="B155" s="132"/>
      <c r="C155" s="123"/>
      <c r="D155" s="123"/>
      <c r="E155" s="123"/>
      <c r="F155" s="123"/>
      <c r="G155" s="123"/>
      <c r="H155" s="123"/>
      <c r="I155" s="193">
        <f t="shared" si="177"/>
        <v>0</v>
      </c>
      <c r="J155" s="193">
        <f t="shared" si="178"/>
        <v>0</v>
      </c>
      <c r="K155" s="193"/>
      <c r="L155" s="193"/>
      <c r="M155" s="622">
        <f t="shared" si="179"/>
        <v>0</v>
      </c>
      <c r="N155" s="123"/>
      <c r="O155" s="623"/>
      <c r="P155" s="123"/>
      <c r="Q155" s="623"/>
      <c r="R155" s="123"/>
      <c r="S155" s="631"/>
      <c r="T155" s="123"/>
      <c r="U155" s="631"/>
    </row>
    <row r="156" spans="1:21" s="131" customFormat="1">
      <c r="A156" s="137" t="s">
        <v>280</v>
      </c>
      <c r="B156" s="133"/>
      <c r="C156" s="658" t="s">
        <v>281</v>
      </c>
      <c r="D156" s="126"/>
      <c r="E156" s="127"/>
      <c r="F156" s="128"/>
      <c r="G156" s="128"/>
      <c r="H156" s="128"/>
      <c r="I156" s="128"/>
      <c r="J156" s="129">
        <f>SUBTOTAL(9,J157:J168)</f>
        <v>290746.61999999994</v>
      </c>
      <c r="K156" s="128"/>
      <c r="L156" s="128"/>
      <c r="M156" s="637"/>
      <c r="N156" s="130"/>
      <c r="O156" s="624">
        <f>SUBTOTAL(9,O157:O168)</f>
        <v>289533.34000000003</v>
      </c>
      <c r="P156" s="130"/>
      <c r="Q156" s="624">
        <f>SUBTOTAL(9,Q157:Q168)</f>
        <v>1213.26</v>
      </c>
      <c r="R156" s="129"/>
      <c r="S156" s="624">
        <f>SUBTOTAL(9,S157:S168)</f>
        <v>290746.60000000003</v>
      </c>
      <c r="T156" s="624"/>
      <c r="U156" s="624">
        <f>SUBTOTAL(9,U157:U168)</f>
        <v>0</v>
      </c>
    </row>
    <row r="157" spans="1:21" ht="25.5">
      <c r="A157" s="190" t="s">
        <v>282</v>
      </c>
      <c r="B157" s="191" t="s">
        <v>294</v>
      </c>
      <c r="C157" s="657" t="s">
        <v>895</v>
      </c>
      <c r="D157" s="192" t="s">
        <v>315</v>
      </c>
      <c r="E157" s="193">
        <v>18178.13</v>
      </c>
      <c r="F157" s="194">
        <v>2</v>
      </c>
      <c r="G157" s="194"/>
      <c r="H157" s="194"/>
      <c r="I157" s="193">
        <f t="shared" si="177"/>
        <v>2</v>
      </c>
      <c r="J157" s="193">
        <f t="shared" si="178"/>
        <v>36356.26</v>
      </c>
      <c r="K157" s="193"/>
      <c r="L157" s="193"/>
      <c r="M157" s="622">
        <f t="shared" si="179"/>
        <v>36356.26</v>
      </c>
      <c r="N157" s="194">
        <f>'2.4.3.1 '!R20</f>
        <v>2</v>
      </c>
      <c r="O157" s="622">
        <f t="shared" ref="O157:O168" si="189">TRUNC(N157*E157,2)</f>
        <v>36356.26</v>
      </c>
      <c r="P157" s="264">
        <f>'2.4.3.1 '!R21</f>
        <v>0</v>
      </c>
      <c r="Q157" s="622">
        <f t="shared" ref="Q157:Q168" si="190">S157-O157</f>
        <v>0</v>
      </c>
      <c r="R157" s="194">
        <f t="shared" ref="R157:R168" si="191">P157+N157</f>
        <v>2</v>
      </c>
      <c r="S157" s="630">
        <f t="shared" ref="S157:S168" si="192">TRUNC(R157*E157,2)</f>
        <v>36356.26</v>
      </c>
      <c r="T157" s="194">
        <f>F157-R157</f>
        <v>0</v>
      </c>
      <c r="U157" s="630">
        <f t="shared" ref="U157:U168" si="193">T157*E157</f>
        <v>0</v>
      </c>
    </row>
    <row r="158" spans="1:21" ht="25.5">
      <c r="A158" s="190" t="s">
        <v>283</v>
      </c>
      <c r="B158" s="191" t="s">
        <v>295</v>
      </c>
      <c r="C158" s="657" t="s">
        <v>305</v>
      </c>
      <c r="D158" s="192" t="s">
        <v>51</v>
      </c>
      <c r="E158" s="193">
        <v>1268.83</v>
      </c>
      <c r="F158" s="194">
        <v>86.8</v>
      </c>
      <c r="G158" s="194"/>
      <c r="H158" s="194"/>
      <c r="I158" s="193">
        <f t="shared" si="177"/>
        <v>86.8</v>
      </c>
      <c r="J158" s="193">
        <f t="shared" si="178"/>
        <v>110134.44399999999</v>
      </c>
      <c r="K158" s="193"/>
      <c r="L158" s="193"/>
      <c r="M158" s="622">
        <f t="shared" si="179"/>
        <v>110134.44399999999</v>
      </c>
      <c r="N158" s="194">
        <v>86.8</v>
      </c>
      <c r="O158" s="622">
        <f t="shared" si="189"/>
        <v>110134.44</v>
      </c>
      <c r="P158" s="735">
        <v>0</v>
      </c>
      <c r="Q158" s="622">
        <f t="shared" si="190"/>
        <v>0</v>
      </c>
      <c r="R158" s="194">
        <f>P158+N158</f>
        <v>86.8</v>
      </c>
      <c r="S158" s="630">
        <f t="shared" si="192"/>
        <v>110134.44</v>
      </c>
      <c r="T158" s="194">
        <f>I158-R158</f>
        <v>0</v>
      </c>
      <c r="U158" s="630">
        <f t="shared" si="193"/>
        <v>0</v>
      </c>
    </row>
    <row r="159" spans="1:21" ht="25.5">
      <c r="A159" s="190" t="s">
        <v>284</v>
      </c>
      <c r="B159" s="191" t="s">
        <v>296</v>
      </c>
      <c r="C159" s="657" t="s">
        <v>306</v>
      </c>
      <c r="D159" s="192" t="s">
        <v>51</v>
      </c>
      <c r="E159" s="193">
        <v>294.97000000000003</v>
      </c>
      <c r="F159" s="194">
        <v>86.8</v>
      </c>
      <c r="G159" s="194"/>
      <c r="H159" s="194"/>
      <c r="I159" s="193">
        <f t="shared" si="177"/>
        <v>86.8</v>
      </c>
      <c r="J159" s="193">
        <f t="shared" si="178"/>
        <v>25603.396000000001</v>
      </c>
      <c r="K159" s="193"/>
      <c r="L159" s="193"/>
      <c r="M159" s="622">
        <f t="shared" si="179"/>
        <v>25603.396000000001</v>
      </c>
      <c r="N159" s="194">
        <v>86.8</v>
      </c>
      <c r="O159" s="622">
        <f t="shared" si="189"/>
        <v>25603.39</v>
      </c>
      <c r="P159" s="735">
        <v>0</v>
      </c>
      <c r="Q159" s="622">
        <f t="shared" si="190"/>
        <v>0</v>
      </c>
      <c r="R159" s="194">
        <f>P159+N159</f>
        <v>86.8</v>
      </c>
      <c r="S159" s="630">
        <f t="shared" si="192"/>
        <v>25603.39</v>
      </c>
      <c r="T159" s="194">
        <f t="shared" ref="T159:T167" si="194">I159-R159</f>
        <v>0</v>
      </c>
      <c r="U159" s="630">
        <f t="shared" si="193"/>
        <v>0</v>
      </c>
    </row>
    <row r="160" spans="1:21">
      <c r="A160" s="190" t="s">
        <v>285</v>
      </c>
      <c r="B160" s="191" t="s">
        <v>297</v>
      </c>
      <c r="C160" s="657" t="s">
        <v>307</v>
      </c>
      <c r="D160" s="192" t="s">
        <v>51</v>
      </c>
      <c r="E160" s="193">
        <v>309.62</v>
      </c>
      <c r="F160" s="194">
        <v>64</v>
      </c>
      <c r="G160" s="194"/>
      <c r="H160" s="194"/>
      <c r="I160" s="193">
        <f t="shared" si="177"/>
        <v>64</v>
      </c>
      <c r="J160" s="193">
        <f t="shared" si="178"/>
        <v>19815.68</v>
      </c>
      <c r="K160" s="193"/>
      <c r="L160" s="193"/>
      <c r="M160" s="622">
        <f t="shared" si="179"/>
        <v>19815.68</v>
      </c>
      <c r="N160" s="194">
        <v>64</v>
      </c>
      <c r="O160" s="622">
        <f t="shared" si="189"/>
        <v>19815.68</v>
      </c>
      <c r="P160" s="735">
        <v>0</v>
      </c>
      <c r="Q160" s="622">
        <f t="shared" si="190"/>
        <v>0</v>
      </c>
      <c r="R160" s="194">
        <f t="shared" si="191"/>
        <v>64</v>
      </c>
      <c r="S160" s="630">
        <f t="shared" si="192"/>
        <v>19815.68</v>
      </c>
      <c r="T160" s="194">
        <f t="shared" si="194"/>
        <v>0</v>
      </c>
      <c r="U160" s="630">
        <f t="shared" si="193"/>
        <v>0</v>
      </c>
    </row>
    <row r="161" spans="1:21" ht="25.5">
      <c r="A161" s="190" t="s">
        <v>286</v>
      </c>
      <c r="B161" s="191" t="s">
        <v>298</v>
      </c>
      <c r="C161" s="657" t="s">
        <v>308</v>
      </c>
      <c r="D161" s="192" t="s">
        <v>51</v>
      </c>
      <c r="E161" s="193">
        <v>358.26</v>
      </c>
      <c r="F161" s="194">
        <v>64</v>
      </c>
      <c r="G161" s="194"/>
      <c r="H161" s="194"/>
      <c r="I161" s="193">
        <f t="shared" si="177"/>
        <v>64</v>
      </c>
      <c r="J161" s="193">
        <f t="shared" si="178"/>
        <v>22928.639999999999</v>
      </c>
      <c r="K161" s="193"/>
      <c r="L161" s="193"/>
      <c r="M161" s="622">
        <f t="shared" si="179"/>
        <v>22928.639999999999</v>
      </c>
      <c r="N161" s="194">
        <v>64</v>
      </c>
      <c r="O161" s="622">
        <f t="shared" si="189"/>
        <v>22928.639999999999</v>
      </c>
      <c r="P161" s="735">
        <v>0</v>
      </c>
      <c r="Q161" s="622">
        <f t="shared" si="190"/>
        <v>0</v>
      </c>
      <c r="R161" s="194">
        <f t="shared" si="191"/>
        <v>64</v>
      </c>
      <c r="S161" s="630">
        <f t="shared" si="192"/>
        <v>22928.639999999999</v>
      </c>
      <c r="T161" s="194">
        <f t="shared" si="194"/>
        <v>0</v>
      </c>
      <c r="U161" s="630">
        <f t="shared" si="193"/>
        <v>0</v>
      </c>
    </row>
    <row r="162" spans="1:21" ht="25.5">
      <c r="A162" s="190" t="s">
        <v>287</v>
      </c>
      <c r="B162" s="191" t="s">
        <v>299</v>
      </c>
      <c r="C162" s="657" t="s">
        <v>309</v>
      </c>
      <c r="D162" s="192" t="s">
        <v>29</v>
      </c>
      <c r="E162" s="193">
        <v>8.1199999999999992</v>
      </c>
      <c r="F162" s="194">
        <v>5048</v>
      </c>
      <c r="G162" s="194"/>
      <c r="H162" s="194"/>
      <c r="I162" s="193">
        <f t="shared" si="177"/>
        <v>5048</v>
      </c>
      <c r="J162" s="193">
        <f t="shared" si="178"/>
        <v>40989.759999999995</v>
      </c>
      <c r="K162" s="193"/>
      <c r="L162" s="193"/>
      <c r="M162" s="622">
        <f t="shared" si="179"/>
        <v>40989.759999999995</v>
      </c>
      <c r="N162" s="194">
        <v>5048</v>
      </c>
      <c r="O162" s="622">
        <f t="shared" si="189"/>
        <v>40989.760000000002</v>
      </c>
      <c r="P162" s="735">
        <v>0</v>
      </c>
      <c r="Q162" s="622">
        <f t="shared" si="190"/>
        <v>0</v>
      </c>
      <c r="R162" s="194">
        <f t="shared" si="191"/>
        <v>5048</v>
      </c>
      <c r="S162" s="630">
        <f t="shared" si="192"/>
        <v>40989.760000000002</v>
      </c>
      <c r="T162" s="194">
        <f t="shared" si="194"/>
        <v>0</v>
      </c>
      <c r="U162" s="630">
        <f t="shared" si="193"/>
        <v>0</v>
      </c>
    </row>
    <row r="163" spans="1:21">
      <c r="A163" s="190" t="s">
        <v>288</v>
      </c>
      <c r="B163" s="191" t="s">
        <v>300</v>
      </c>
      <c r="C163" s="657" t="s">
        <v>310</v>
      </c>
      <c r="D163" s="192" t="s">
        <v>29</v>
      </c>
      <c r="E163" s="193">
        <v>0.64</v>
      </c>
      <c r="F163" s="194">
        <v>5048</v>
      </c>
      <c r="G163" s="194"/>
      <c r="H163" s="194"/>
      <c r="I163" s="193">
        <f t="shared" si="177"/>
        <v>5048</v>
      </c>
      <c r="J163" s="193">
        <f t="shared" si="178"/>
        <v>3230.7200000000003</v>
      </c>
      <c r="K163" s="193"/>
      <c r="L163" s="193"/>
      <c r="M163" s="622">
        <f t="shared" si="179"/>
        <v>3230.7200000000003</v>
      </c>
      <c r="N163" s="194">
        <v>5048</v>
      </c>
      <c r="O163" s="622">
        <f t="shared" si="189"/>
        <v>3230.72</v>
      </c>
      <c r="P163" s="735">
        <v>0</v>
      </c>
      <c r="Q163" s="622">
        <f t="shared" si="190"/>
        <v>0</v>
      </c>
      <c r="R163" s="194">
        <f t="shared" si="191"/>
        <v>5048</v>
      </c>
      <c r="S163" s="630">
        <f t="shared" si="192"/>
        <v>3230.72</v>
      </c>
      <c r="T163" s="194">
        <f t="shared" si="194"/>
        <v>0</v>
      </c>
      <c r="U163" s="630">
        <f t="shared" si="193"/>
        <v>0</v>
      </c>
    </row>
    <row r="164" spans="1:21" ht="51">
      <c r="A164" s="190" t="s">
        <v>289</v>
      </c>
      <c r="B164" s="191" t="s">
        <v>140</v>
      </c>
      <c r="C164" s="657" t="s">
        <v>177</v>
      </c>
      <c r="D164" s="192" t="s">
        <v>58</v>
      </c>
      <c r="E164" s="193">
        <v>486.08</v>
      </c>
      <c r="F164" s="194">
        <v>31.89</v>
      </c>
      <c r="G164" s="194"/>
      <c r="H164" s="194"/>
      <c r="I164" s="193">
        <f t="shared" si="177"/>
        <v>31.89</v>
      </c>
      <c r="J164" s="193">
        <f t="shared" si="178"/>
        <v>15501.091199999999</v>
      </c>
      <c r="K164" s="193"/>
      <c r="L164" s="193"/>
      <c r="M164" s="622">
        <f t="shared" si="179"/>
        <v>15501.091199999999</v>
      </c>
      <c r="N164" s="194">
        <v>31.89</v>
      </c>
      <c r="O164" s="622">
        <f t="shared" si="189"/>
        <v>15501.09</v>
      </c>
      <c r="P164" s="735">
        <v>0</v>
      </c>
      <c r="Q164" s="622">
        <f t="shared" si="190"/>
        <v>0</v>
      </c>
      <c r="R164" s="194">
        <f t="shared" si="191"/>
        <v>31.89</v>
      </c>
      <c r="S164" s="630">
        <f t="shared" si="192"/>
        <v>15501.09</v>
      </c>
      <c r="T164" s="194">
        <f t="shared" si="194"/>
        <v>0</v>
      </c>
      <c r="U164" s="630">
        <f t="shared" si="193"/>
        <v>0</v>
      </c>
    </row>
    <row r="165" spans="1:21">
      <c r="A165" s="190" t="s">
        <v>290</v>
      </c>
      <c r="B165" s="191" t="s">
        <v>301</v>
      </c>
      <c r="C165" s="657" t="s">
        <v>311</v>
      </c>
      <c r="D165" s="192" t="s">
        <v>49</v>
      </c>
      <c r="E165" s="193">
        <v>105.97</v>
      </c>
      <c r="F165" s="194">
        <v>31.89</v>
      </c>
      <c r="G165" s="194"/>
      <c r="H165" s="194"/>
      <c r="I165" s="193">
        <f t="shared" si="177"/>
        <v>31.89</v>
      </c>
      <c r="J165" s="193">
        <f t="shared" si="178"/>
        <v>3379.3833</v>
      </c>
      <c r="K165" s="193"/>
      <c r="L165" s="193"/>
      <c r="M165" s="622">
        <f t="shared" si="179"/>
        <v>3379.3833</v>
      </c>
      <c r="N165" s="194">
        <v>31.89</v>
      </c>
      <c r="O165" s="622">
        <f t="shared" si="189"/>
        <v>3379.38</v>
      </c>
      <c r="P165" s="735">
        <v>0</v>
      </c>
      <c r="Q165" s="622">
        <f t="shared" si="190"/>
        <v>0</v>
      </c>
      <c r="R165" s="194">
        <f t="shared" si="191"/>
        <v>31.89</v>
      </c>
      <c r="S165" s="630">
        <f t="shared" si="192"/>
        <v>3379.38</v>
      </c>
      <c r="T165" s="194">
        <f t="shared" si="194"/>
        <v>0</v>
      </c>
      <c r="U165" s="630">
        <f t="shared" si="193"/>
        <v>0</v>
      </c>
    </row>
    <row r="166" spans="1:21">
      <c r="A166" s="190" t="s">
        <v>291</v>
      </c>
      <c r="B166" s="191" t="s">
        <v>302</v>
      </c>
      <c r="C166" s="657" t="s">
        <v>312</v>
      </c>
      <c r="D166" s="192" t="s">
        <v>72</v>
      </c>
      <c r="E166" s="193">
        <v>1.62</v>
      </c>
      <c r="F166" s="194">
        <v>4</v>
      </c>
      <c r="G166" s="194"/>
      <c r="H166" s="194"/>
      <c r="I166" s="193">
        <f t="shared" si="177"/>
        <v>4</v>
      </c>
      <c r="J166" s="193">
        <f t="shared" si="178"/>
        <v>6.48</v>
      </c>
      <c r="K166" s="193"/>
      <c r="L166" s="193"/>
      <c r="M166" s="622">
        <f t="shared" si="179"/>
        <v>6.48</v>
      </c>
      <c r="N166" s="194">
        <v>4</v>
      </c>
      <c r="O166" s="622">
        <f t="shared" si="189"/>
        <v>6.48</v>
      </c>
      <c r="P166" s="194">
        <v>0</v>
      </c>
      <c r="Q166" s="622">
        <f t="shared" si="190"/>
        <v>0</v>
      </c>
      <c r="R166" s="194">
        <f t="shared" si="191"/>
        <v>4</v>
      </c>
      <c r="S166" s="630">
        <f t="shared" si="192"/>
        <v>6.48</v>
      </c>
      <c r="T166" s="194">
        <f t="shared" si="194"/>
        <v>0</v>
      </c>
      <c r="U166" s="630">
        <f t="shared" si="193"/>
        <v>0</v>
      </c>
    </row>
    <row r="167" spans="1:21" ht="25.5">
      <c r="A167" s="190" t="s">
        <v>292</v>
      </c>
      <c r="B167" s="191" t="s">
        <v>303</v>
      </c>
      <c r="C167" s="657" t="s">
        <v>313</v>
      </c>
      <c r="D167" s="192" t="s">
        <v>72</v>
      </c>
      <c r="E167" s="193">
        <v>5793.75</v>
      </c>
      <c r="F167" s="194">
        <v>2</v>
      </c>
      <c r="G167" s="194"/>
      <c r="H167" s="194"/>
      <c r="I167" s="193">
        <f t="shared" si="177"/>
        <v>2</v>
      </c>
      <c r="J167" s="193">
        <f t="shared" si="178"/>
        <v>11587.5</v>
      </c>
      <c r="K167" s="193"/>
      <c r="L167" s="193"/>
      <c r="M167" s="622">
        <f t="shared" si="179"/>
        <v>11587.5</v>
      </c>
      <c r="N167" s="194">
        <v>2</v>
      </c>
      <c r="O167" s="622">
        <f t="shared" si="189"/>
        <v>11587.5</v>
      </c>
      <c r="P167" s="735">
        <v>0</v>
      </c>
      <c r="Q167" s="622">
        <f t="shared" si="190"/>
        <v>0</v>
      </c>
      <c r="R167" s="194">
        <f t="shared" si="191"/>
        <v>2</v>
      </c>
      <c r="S167" s="630">
        <f t="shared" si="192"/>
        <v>11587.5</v>
      </c>
      <c r="T167" s="194">
        <f t="shared" si="194"/>
        <v>0</v>
      </c>
      <c r="U167" s="630">
        <f t="shared" si="193"/>
        <v>0</v>
      </c>
    </row>
    <row r="168" spans="1:21" s="725" customFormat="1" ht="25.5">
      <c r="A168" s="577" t="s">
        <v>293</v>
      </c>
      <c r="B168" s="578">
        <v>190418</v>
      </c>
      <c r="C168" s="722" t="s">
        <v>314</v>
      </c>
      <c r="D168" s="580" t="s">
        <v>57</v>
      </c>
      <c r="E168" s="581">
        <v>33.049999999999997</v>
      </c>
      <c r="F168" s="582">
        <v>36.71</v>
      </c>
      <c r="G168" s="582"/>
      <c r="H168" s="582"/>
      <c r="I168" s="581">
        <f t="shared" si="177"/>
        <v>36.71</v>
      </c>
      <c r="J168" s="581">
        <f t="shared" si="178"/>
        <v>1213.2655</v>
      </c>
      <c r="K168" s="581"/>
      <c r="L168" s="581"/>
      <c r="M168" s="723">
        <f t="shared" si="179"/>
        <v>1213.2655</v>
      </c>
      <c r="N168" s="582">
        <v>0</v>
      </c>
      <c r="O168" s="723">
        <f t="shared" si="189"/>
        <v>0</v>
      </c>
      <c r="P168" s="582">
        <v>36.71</v>
      </c>
      <c r="Q168" s="723">
        <f t="shared" si="190"/>
        <v>1213.26</v>
      </c>
      <c r="R168" s="582">
        <f t="shared" si="191"/>
        <v>36.71</v>
      </c>
      <c r="S168" s="724">
        <f t="shared" si="192"/>
        <v>1213.26</v>
      </c>
      <c r="T168" s="582">
        <f t="shared" si="133"/>
        <v>0</v>
      </c>
      <c r="U168" s="724">
        <f t="shared" si="193"/>
        <v>0</v>
      </c>
    </row>
    <row r="169" spans="1:21">
      <c r="A169" s="138"/>
      <c r="B169" s="132"/>
      <c r="C169" s="123"/>
      <c r="D169" s="123"/>
      <c r="E169" s="123"/>
      <c r="F169" s="123"/>
      <c r="G169" s="123"/>
      <c r="H169" s="123"/>
      <c r="I169" s="123"/>
      <c r="J169" s="123"/>
      <c r="K169" s="123"/>
      <c r="L169" s="123"/>
      <c r="M169" s="623"/>
      <c r="N169" s="123"/>
      <c r="O169" s="623"/>
      <c r="P169" s="123"/>
      <c r="Q169" s="623"/>
      <c r="R169" s="123"/>
      <c r="S169" s="631"/>
      <c r="T169" s="123"/>
      <c r="U169" s="631"/>
    </row>
    <row r="170" spans="1:21" s="131" customFormat="1">
      <c r="A170" s="137" t="s">
        <v>316</v>
      </c>
      <c r="B170" s="133"/>
      <c r="C170" s="658" t="s">
        <v>212</v>
      </c>
      <c r="D170" s="126"/>
      <c r="E170" s="127"/>
      <c r="F170" s="128"/>
      <c r="G170" s="128"/>
      <c r="H170" s="128"/>
      <c r="I170" s="129"/>
      <c r="J170" s="129">
        <f>SUBTOTAL(9,J171:J171)</f>
        <v>8738.247800000001</v>
      </c>
      <c r="K170" s="129"/>
      <c r="L170" s="129"/>
      <c r="M170" s="624"/>
      <c r="N170" s="130"/>
      <c r="O170" s="624">
        <f>SUBTOTAL(9,O171:O171)</f>
        <v>0</v>
      </c>
      <c r="P170" s="130"/>
      <c r="Q170" s="624">
        <f>SUBTOTAL(9,Q171:Q171)</f>
        <v>0</v>
      </c>
      <c r="R170" s="129"/>
      <c r="S170" s="624">
        <f>SUBTOTAL(9,S171:S171)</f>
        <v>8738.24</v>
      </c>
      <c r="T170" s="129">
        <f t="shared" si="133"/>
        <v>0</v>
      </c>
      <c r="U170" s="624">
        <f>SUBTOTAL(9,U171:U171)</f>
        <v>0</v>
      </c>
    </row>
    <row r="171" spans="1:21" ht="25.5">
      <c r="A171" s="190" t="s">
        <v>317</v>
      </c>
      <c r="B171" s="191" t="s">
        <v>227</v>
      </c>
      <c r="C171" s="657" t="s">
        <v>233</v>
      </c>
      <c r="D171" s="192" t="s">
        <v>51</v>
      </c>
      <c r="E171" s="193">
        <v>366.23</v>
      </c>
      <c r="F171" s="194">
        <v>23.86</v>
      </c>
      <c r="G171" s="194"/>
      <c r="H171" s="194"/>
      <c r="I171" s="193">
        <f t="shared" ref="I171" si="195">F171+G171-H171</f>
        <v>23.86</v>
      </c>
      <c r="J171" s="193">
        <f t="shared" ref="J171" si="196">I171*E171</f>
        <v>8738.247800000001</v>
      </c>
      <c r="K171" s="193"/>
      <c r="L171" s="193"/>
      <c r="M171" s="622">
        <f t="shared" ref="M171" si="197">I171*E171</f>
        <v>8738.247800000001</v>
      </c>
      <c r="N171" s="194">
        <v>0</v>
      </c>
      <c r="O171" s="622">
        <f t="shared" ref="O171" si="198">TRUNC(N171*E171,2)</f>
        <v>0</v>
      </c>
      <c r="P171" s="194">
        <v>0</v>
      </c>
      <c r="Q171" s="622">
        <f>P171*E171</f>
        <v>0</v>
      </c>
      <c r="R171" s="194">
        <v>23.86</v>
      </c>
      <c r="S171" s="630">
        <f t="shared" ref="S171" si="199">TRUNC(R171*E171,2)</f>
        <v>8738.24</v>
      </c>
      <c r="T171" s="194">
        <f t="shared" si="133"/>
        <v>0</v>
      </c>
      <c r="U171" s="630">
        <f t="shared" ref="U171" si="200">T171*E171</f>
        <v>0</v>
      </c>
    </row>
    <row r="172" spans="1:21">
      <c r="A172" s="138"/>
      <c r="B172" s="132"/>
      <c r="C172" s="123"/>
      <c r="D172" s="123"/>
      <c r="E172" s="123"/>
      <c r="F172" s="123"/>
      <c r="G172" s="123"/>
      <c r="H172" s="123"/>
      <c r="I172" s="123"/>
      <c r="J172" s="123"/>
      <c r="K172" s="123"/>
      <c r="L172" s="123"/>
      <c r="M172" s="623"/>
      <c r="N172" s="123"/>
      <c r="O172" s="623"/>
      <c r="P172" s="123"/>
      <c r="Q172" s="623"/>
      <c r="R172" s="123"/>
      <c r="S172" s="631"/>
      <c r="T172" s="123">
        <f t="shared" si="133"/>
        <v>0</v>
      </c>
      <c r="U172" s="631">
        <f t="shared" ref="U172" si="201">I172-S172</f>
        <v>0</v>
      </c>
    </row>
    <row r="173" spans="1:21" s="213" customFormat="1">
      <c r="A173" s="210" t="s">
        <v>25</v>
      </c>
      <c r="B173" s="211"/>
      <c r="C173" s="655" t="s">
        <v>318</v>
      </c>
      <c r="D173" s="197"/>
      <c r="E173" s="198"/>
      <c r="F173" s="199"/>
      <c r="G173" s="199"/>
      <c r="H173" s="199"/>
      <c r="I173" s="200"/>
      <c r="J173" s="200">
        <f>SUBTOTAL(9,J174:J177)</f>
        <v>427244.30440000002</v>
      </c>
      <c r="K173" s="200"/>
      <c r="L173" s="200"/>
      <c r="M173" s="620"/>
      <c r="N173" s="201"/>
      <c r="O173" s="620">
        <f>SUBTOTAL(9,O174:O177)</f>
        <v>382486.8</v>
      </c>
      <c r="P173" s="201"/>
      <c r="Q173" s="620">
        <f>SUBTOTAL(9,Q174:Q177)</f>
        <v>3812.11</v>
      </c>
      <c r="R173" s="200"/>
      <c r="S173" s="620">
        <f>SUBTOTAL(9,S174:S177)</f>
        <v>427244.3</v>
      </c>
      <c r="T173" s="200">
        <f t="shared" si="133"/>
        <v>0</v>
      </c>
      <c r="U173" s="620">
        <f>SUBTOTAL(9,U174:U177)</f>
        <v>0</v>
      </c>
    </row>
    <row r="174" spans="1:21" s="131" customFormat="1">
      <c r="A174" s="137" t="s">
        <v>319</v>
      </c>
      <c r="B174" s="133"/>
      <c r="C174" s="658" t="s">
        <v>318</v>
      </c>
      <c r="D174" s="126"/>
      <c r="E174" s="127"/>
      <c r="F174" s="128"/>
      <c r="G174" s="128"/>
      <c r="H174" s="128"/>
      <c r="I174" s="129"/>
      <c r="J174" s="129">
        <f>SUBTOTAL(9,J175:J177)</f>
        <v>427244.30440000002</v>
      </c>
      <c r="K174" s="129"/>
      <c r="L174" s="129"/>
      <c r="M174" s="624"/>
      <c r="N174" s="130"/>
      <c r="O174" s="624">
        <f>SUBTOTAL(9,O175:O177)</f>
        <v>382486.8</v>
      </c>
      <c r="P174" s="130"/>
      <c r="Q174" s="624">
        <f>SUBTOTAL(9,Q175:Q177)</f>
        <v>3812.11</v>
      </c>
      <c r="R174" s="129"/>
      <c r="S174" s="624">
        <f>SUBTOTAL(9,S175:S177)</f>
        <v>427244.3</v>
      </c>
      <c r="T174" s="129">
        <f t="shared" si="133"/>
        <v>0</v>
      </c>
      <c r="U174" s="624">
        <f>SUBTOTAL(9,U175:U177)</f>
        <v>0</v>
      </c>
    </row>
    <row r="175" spans="1:21" ht="25.5">
      <c r="A175" s="190" t="s">
        <v>320</v>
      </c>
      <c r="B175" s="191" t="s">
        <v>323</v>
      </c>
      <c r="C175" s="657" t="s">
        <v>326</v>
      </c>
      <c r="D175" s="192" t="s">
        <v>59</v>
      </c>
      <c r="E175" s="193">
        <v>409453.83</v>
      </c>
      <c r="F175" s="194">
        <v>1</v>
      </c>
      <c r="G175" s="194"/>
      <c r="H175" s="194"/>
      <c r="I175" s="193">
        <f t="shared" ref="I175:I177" si="202">F175+G175-H175</f>
        <v>1</v>
      </c>
      <c r="J175" s="193">
        <f t="shared" ref="J175:J177" si="203">I175*E175</f>
        <v>409453.83</v>
      </c>
      <c r="K175" s="193"/>
      <c r="L175" s="193"/>
      <c r="M175" s="622">
        <f t="shared" ref="M175:M177" si="204">I175*E175</f>
        <v>409453.83</v>
      </c>
      <c r="N175" s="194">
        <f>'2.5.1.1'!R18</f>
        <v>0.89999999999999991</v>
      </c>
      <c r="O175" s="622">
        <f t="shared" ref="O175" si="205">TRUNC(N175*E175,2)</f>
        <v>368508.44</v>
      </c>
      <c r="P175" s="194">
        <v>0</v>
      </c>
      <c r="Q175" s="622">
        <f>P175*E175</f>
        <v>0</v>
      </c>
      <c r="R175" s="194">
        <v>1</v>
      </c>
      <c r="S175" s="630">
        <f t="shared" ref="S175" si="206">TRUNC(R175*E175,2)</f>
        <v>409453.83</v>
      </c>
      <c r="T175" s="194">
        <f>I175-R175</f>
        <v>0</v>
      </c>
      <c r="U175" s="630">
        <f t="shared" ref="U175:U177" si="207">T175*E175</f>
        <v>0</v>
      </c>
    </row>
    <row r="176" spans="1:21" s="725" customFormat="1">
      <c r="A176" s="577" t="s">
        <v>321</v>
      </c>
      <c r="B176" s="578" t="s">
        <v>324</v>
      </c>
      <c r="C176" s="722" t="s">
        <v>327</v>
      </c>
      <c r="D176" s="580" t="s">
        <v>59</v>
      </c>
      <c r="E176" s="581">
        <v>3812.11</v>
      </c>
      <c r="F176" s="582">
        <v>1</v>
      </c>
      <c r="G176" s="582"/>
      <c r="H176" s="582"/>
      <c r="I176" s="581">
        <f t="shared" si="202"/>
        <v>1</v>
      </c>
      <c r="J176" s="581">
        <f t="shared" si="203"/>
        <v>3812.11</v>
      </c>
      <c r="K176" s="581"/>
      <c r="L176" s="581"/>
      <c r="M176" s="723">
        <f t="shared" si="204"/>
        <v>3812.11</v>
      </c>
      <c r="N176" s="582">
        <v>0</v>
      </c>
      <c r="O176" s="723">
        <f>TRUNC(N176*E176,2)</f>
        <v>0</v>
      </c>
      <c r="P176" s="582">
        <v>1</v>
      </c>
      <c r="Q176" s="723">
        <f>S176-O176</f>
        <v>3812.11</v>
      </c>
      <c r="R176" s="582">
        <f>P176+N176</f>
        <v>1</v>
      </c>
      <c r="S176" s="724">
        <f>TRUNC(R176*E176,2)</f>
        <v>3812.11</v>
      </c>
      <c r="T176" s="582">
        <f t="shared" si="133"/>
        <v>0</v>
      </c>
      <c r="U176" s="724">
        <f t="shared" si="207"/>
        <v>0</v>
      </c>
    </row>
    <row r="177" spans="1:21" ht="25.5">
      <c r="A177" s="190" t="s">
        <v>322</v>
      </c>
      <c r="B177" s="191" t="s">
        <v>325</v>
      </c>
      <c r="C177" s="657" t="s">
        <v>328</v>
      </c>
      <c r="D177" s="192" t="s">
        <v>50</v>
      </c>
      <c r="E177" s="193">
        <v>115.83</v>
      </c>
      <c r="F177" s="194">
        <v>120.68</v>
      </c>
      <c r="G177" s="194"/>
      <c r="H177" s="194"/>
      <c r="I177" s="193">
        <f t="shared" si="202"/>
        <v>120.68</v>
      </c>
      <c r="J177" s="193">
        <f t="shared" si="203"/>
        <v>13978.3644</v>
      </c>
      <c r="K177" s="193"/>
      <c r="L177" s="193"/>
      <c r="M177" s="622">
        <f t="shared" si="204"/>
        <v>13978.3644</v>
      </c>
      <c r="N177" s="194">
        <v>120.68</v>
      </c>
      <c r="O177" s="622">
        <f t="shared" ref="O177" si="208">TRUNC(N177*E177,2)</f>
        <v>13978.36</v>
      </c>
      <c r="P177" s="194">
        <v>0</v>
      </c>
      <c r="Q177" s="622">
        <f>P177*E177</f>
        <v>0</v>
      </c>
      <c r="R177" s="194">
        <f>P177+N177</f>
        <v>120.68</v>
      </c>
      <c r="S177" s="630">
        <f t="shared" ref="S177" si="209">TRUNC(R177*E177,2)</f>
        <v>13978.36</v>
      </c>
      <c r="T177" s="194">
        <f t="shared" si="133"/>
        <v>0</v>
      </c>
      <c r="U177" s="630">
        <f t="shared" si="207"/>
        <v>0</v>
      </c>
    </row>
    <row r="178" spans="1:21">
      <c r="A178" s="138"/>
      <c r="B178" s="132"/>
      <c r="C178" s="123"/>
      <c r="D178" s="123"/>
      <c r="E178" s="123"/>
      <c r="F178" s="123"/>
      <c r="G178" s="123"/>
      <c r="H178" s="123"/>
      <c r="I178" s="123"/>
      <c r="J178" s="123"/>
      <c r="K178" s="123"/>
      <c r="L178" s="123"/>
      <c r="M178" s="623"/>
      <c r="N178" s="123"/>
      <c r="O178" s="623"/>
      <c r="P178" s="123"/>
      <c r="Q178" s="623"/>
      <c r="R178" s="123"/>
      <c r="S178" s="631"/>
      <c r="T178" s="123"/>
      <c r="U178" s="631"/>
    </row>
    <row r="179" spans="1:21" s="213" customFormat="1">
      <c r="A179" s="210" t="s">
        <v>26</v>
      </c>
      <c r="B179" s="211"/>
      <c r="C179" s="655" t="s">
        <v>329</v>
      </c>
      <c r="D179" s="197"/>
      <c r="E179" s="198"/>
      <c r="F179" s="199"/>
      <c r="G179" s="199"/>
      <c r="H179" s="199"/>
      <c r="I179" s="200"/>
      <c r="J179" s="200">
        <f>SUBTOTAL(9,J180:J205)</f>
        <v>42442.573000000004</v>
      </c>
      <c r="K179" s="200"/>
      <c r="L179" s="200"/>
      <c r="M179" s="620"/>
      <c r="N179" s="201"/>
      <c r="O179" s="620">
        <f>SUBTOTAL(9,O180:O205)</f>
        <v>0</v>
      </c>
      <c r="P179" s="201"/>
      <c r="Q179" s="620">
        <f>SUBTOTAL(9,Q180:Q205)</f>
        <v>0</v>
      </c>
      <c r="R179" s="200"/>
      <c r="S179" s="620">
        <f>SUBTOTAL(9,S180:S205)</f>
        <v>42442.560000000005</v>
      </c>
      <c r="T179" s="200">
        <f t="shared" si="133"/>
        <v>0</v>
      </c>
      <c r="U179" s="620">
        <f>SUBTOTAL(9,U180:U205)</f>
        <v>0</v>
      </c>
    </row>
    <row r="180" spans="1:21" s="131" customFormat="1">
      <c r="A180" s="137" t="s">
        <v>330</v>
      </c>
      <c r="B180" s="133"/>
      <c r="C180" s="658" t="s">
        <v>329</v>
      </c>
      <c r="D180" s="126"/>
      <c r="E180" s="127"/>
      <c r="F180" s="128"/>
      <c r="G180" s="128"/>
      <c r="H180" s="128"/>
      <c r="I180" s="129"/>
      <c r="J180" s="129">
        <f>SUBTOTAL(9,J181:J199)</f>
        <v>39130.33</v>
      </c>
      <c r="K180" s="129"/>
      <c r="L180" s="129"/>
      <c r="M180" s="624"/>
      <c r="N180" s="130"/>
      <c r="O180" s="624">
        <f>SUBTOTAL(9,O181:O199)</f>
        <v>0</v>
      </c>
      <c r="P180" s="130"/>
      <c r="Q180" s="624">
        <f>SUBTOTAL(9,Q181:Q199)</f>
        <v>0</v>
      </c>
      <c r="R180" s="129"/>
      <c r="S180" s="624">
        <f>SUBTOTAL(9,S181:S199)</f>
        <v>39130.32</v>
      </c>
      <c r="T180" s="129">
        <f t="shared" si="133"/>
        <v>0</v>
      </c>
      <c r="U180" s="624">
        <f>SUBTOTAL(9,U181:U199)</f>
        <v>0</v>
      </c>
    </row>
    <row r="181" spans="1:21" ht="25.5">
      <c r="A181" s="190" t="s">
        <v>331</v>
      </c>
      <c r="B181" s="191">
        <v>151701</v>
      </c>
      <c r="C181" s="657" t="s">
        <v>685</v>
      </c>
      <c r="D181" s="192" t="s">
        <v>59</v>
      </c>
      <c r="E181" s="193">
        <v>1510.64</v>
      </c>
      <c r="F181" s="194">
        <v>1</v>
      </c>
      <c r="G181" s="194"/>
      <c r="H181" s="194"/>
      <c r="I181" s="193">
        <f t="shared" ref="I181:I199" si="210">F181+G181-H181</f>
        <v>1</v>
      </c>
      <c r="J181" s="193">
        <f t="shared" ref="J181:J199" si="211">I181*E181</f>
        <v>1510.64</v>
      </c>
      <c r="K181" s="193"/>
      <c r="L181" s="193"/>
      <c r="M181" s="622">
        <f t="shared" ref="M181:M199" si="212">I181*E181</f>
        <v>1510.64</v>
      </c>
      <c r="N181" s="194">
        <v>0</v>
      </c>
      <c r="O181" s="622">
        <f t="shared" ref="O181:O199" si="213">TRUNC(N181*E181,2)</f>
        <v>0</v>
      </c>
      <c r="P181" s="194"/>
      <c r="Q181" s="622">
        <f t="shared" ref="Q181:Q199" si="214">P181*E181</f>
        <v>0</v>
      </c>
      <c r="R181" s="194">
        <v>1</v>
      </c>
      <c r="S181" s="630">
        <f t="shared" ref="S181:S199" si="215">TRUNC(R181*E181,2)</f>
        <v>1510.64</v>
      </c>
      <c r="T181" s="194">
        <f t="shared" ref="T181:T213" si="216">F181-R181</f>
        <v>0</v>
      </c>
      <c r="U181" s="630">
        <f t="shared" ref="U181:U199" si="217">T181*E181</f>
        <v>0</v>
      </c>
    </row>
    <row r="182" spans="1:21" ht="25.5">
      <c r="A182" s="190" t="s">
        <v>332</v>
      </c>
      <c r="B182" s="191">
        <v>150312</v>
      </c>
      <c r="C182" s="657" t="s">
        <v>350</v>
      </c>
      <c r="D182" s="192" t="s">
        <v>59</v>
      </c>
      <c r="E182" s="193">
        <v>103.79</v>
      </c>
      <c r="F182" s="194">
        <v>1</v>
      </c>
      <c r="G182" s="194"/>
      <c r="H182" s="194"/>
      <c r="I182" s="193">
        <f t="shared" si="210"/>
        <v>1</v>
      </c>
      <c r="J182" s="193">
        <f t="shared" si="211"/>
        <v>103.79</v>
      </c>
      <c r="K182" s="193"/>
      <c r="L182" s="193"/>
      <c r="M182" s="622">
        <f t="shared" si="212"/>
        <v>103.79</v>
      </c>
      <c r="N182" s="194">
        <v>0</v>
      </c>
      <c r="O182" s="622">
        <f t="shared" si="213"/>
        <v>0</v>
      </c>
      <c r="P182" s="194"/>
      <c r="Q182" s="622">
        <f t="shared" si="214"/>
        <v>0</v>
      </c>
      <c r="R182" s="194">
        <v>1</v>
      </c>
      <c r="S182" s="630">
        <f t="shared" si="215"/>
        <v>103.79</v>
      </c>
      <c r="T182" s="194">
        <f t="shared" si="216"/>
        <v>0</v>
      </c>
      <c r="U182" s="630">
        <f t="shared" si="217"/>
        <v>0</v>
      </c>
    </row>
    <row r="183" spans="1:21">
      <c r="A183" s="190" t="s">
        <v>333</v>
      </c>
      <c r="B183" s="191">
        <v>150628</v>
      </c>
      <c r="C183" s="657" t="s">
        <v>351</v>
      </c>
      <c r="D183" s="192" t="s">
        <v>59</v>
      </c>
      <c r="E183" s="193">
        <v>7.47</v>
      </c>
      <c r="F183" s="194">
        <v>19</v>
      </c>
      <c r="G183" s="194"/>
      <c r="H183" s="194"/>
      <c r="I183" s="193">
        <f t="shared" si="210"/>
        <v>19</v>
      </c>
      <c r="J183" s="193">
        <f t="shared" si="211"/>
        <v>141.93</v>
      </c>
      <c r="K183" s="193"/>
      <c r="L183" s="193"/>
      <c r="M183" s="622">
        <f t="shared" si="212"/>
        <v>141.93</v>
      </c>
      <c r="N183" s="194">
        <v>0</v>
      </c>
      <c r="O183" s="622">
        <f t="shared" si="213"/>
        <v>0</v>
      </c>
      <c r="P183" s="194"/>
      <c r="Q183" s="622">
        <f t="shared" si="214"/>
        <v>0</v>
      </c>
      <c r="R183" s="194">
        <v>19</v>
      </c>
      <c r="S183" s="630">
        <f t="shared" si="215"/>
        <v>141.93</v>
      </c>
      <c r="T183" s="194">
        <f t="shared" si="216"/>
        <v>0</v>
      </c>
      <c r="U183" s="630">
        <f t="shared" si="217"/>
        <v>0</v>
      </c>
    </row>
    <row r="184" spans="1:21" ht="25.5">
      <c r="A184" s="190" t="s">
        <v>334</v>
      </c>
      <c r="B184" s="191">
        <v>151417</v>
      </c>
      <c r="C184" s="657" t="s">
        <v>352</v>
      </c>
      <c r="D184" s="192" t="s">
        <v>51</v>
      </c>
      <c r="E184" s="193">
        <v>5.86</v>
      </c>
      <c r="F184" s="194">
        <v>147.4</v>
      </c>
      <c r="G184" s="194"/>
      <c r="H184" s="194"/>
      <c r="I184" s="193">
        <f t="shared" si="210"/>
        <v>147.4</v>
      </c>
      <c r="J184" s="193">
        <f t="shared" si="211"/>
        <v>863.76400000000012</v>
      </c>
      <c r="K184" s="193"/>
      <c r="L184" s="193"/>
      <c r="M184" s="622">
        <f t="shared" si="212"/>
        <v>863.76400000000012</v>
      </c>
      <c r="N184" s="194">
        <v>0</v>
      </c>
      <c r="O184" s="622">
        <f t="shared" si="213"/>
        <v>0</v>
      </c>
      <c r="P184" s="194"/>
      <c r="Q184" s="622">
        <f t="shared" si="214"/>
        <v>0</v>
      </c>
      <c r="R184" s="194">
        <v>147.4</v>
      </c>
      <c r="S184" s="630">
        <f t="shared" si="215"/>
        <v>863.76</v>
      </c>
      <c r="T184" s="194">
        <f t="shared" si="216"/>
        <v>0</v>
      </c>
      <c r="U184" s="630">
        <f t="shared" si="217"/>
        <v>0</v>
      </c>
    </row>
    <row r="185" spans="1:21" ht="25.5">
      <c r="A185" s="190" t="s">
        <v>335</v>
      </c>
      <c r="B185" s="191">
        <v>151418</v>
      </c>
      <c r="C185" s="657" t="s">
        <v>353</v>
      </c>
      <c r="D185" s="192" t="s">
        <v>51</v>
      </c>
      <c r="E185" s="193">
        <v>6.74</v>
      </c>
      <c r="F185" s="194">
        <v>315.39999999999998</v>
      </c>
      <c r="G185" s="194"/>
      <c r="H185" s="194"/>
      <c r="I185" s="193">
        <f t="shared" si="210"/>
        <v>315.39999999999998</v>
      </c>
      <c r="J185" s="193">
        <f t="shared" si="211"/>
        <v>2125.7959999999998</v>
      </c>
      <c r="K185" s="193"/>
      <c r="L185" s="193"/>
      <c r="M185" s="622">
        <f t="shared" si="212"/>
        <v>2125.7959999999998</v>
      </c>
      <c r="N185" s="194">
        <v>0</v>
      </c>
      <c r="O185" s="622">
        <f t="shared" si="213"/>
        <v>0</v>
      </c>
      <c r="P185" s="194"/>
      <c r="Q185" s="622">
        <f t="shared" si="214"/>
        <v>0</v>
      </c>
      <c r="R185" s="194">
        <v>315.39999999999998</v>
      </c>
      <c r="S185" s="630">
        <f t="shared" si="215"/>
        <v>2125.79</v>
      </c>
      <c r="T185" s="194">
        <f t="shared" si="216"/>
        <v>0</v>
      </c>
      <c r="U185" s="630">
        <f t="shared" si="217"/>
        <v>0</v>
      </c>
    </row>
    <row r="186" spans="1:21" ht="25.5">
      <c r="A186" s="190" t="s">
        <v>336</v>
      </c>
      <c r="B186" s="191">
        <v>151420</v>
      </c>
      <c r="C186" s="657" t="s">
        <v>354</v>
      </c>
      <c r="D186" s="192" t="s">
        <v>51</v>
      </c>
      <c r="E186" s="193">
        <v>10.63</v>
      </c>
      <c r="F186" s="194">
        <v>60</v>
      </c>
      <c r="G186" s="194"/>
      <c r="H186" s="194"/>
      <c r="I186" s="193">
        <f t="shared" si="210"/>
        <v>60</v>
      </c>
      <c r="J186" s="193">
        <f t="shared" si="211"/>
        <v>637.80000000000007</v>
      </c>
      <c r="K186" s="193"/>
      <c r="L186" s="193"/>
      <c r="M186" s="622">
        <f t="shared" si="212"/>
        <v>637.80000000000007</v>
      </c>
      <c r="N186" s="194">
        <v>0</v>
      </c>
      <c r="O186" s="622">
        <f t="shared" si="213"/>
        <v>0</v>
      </c>
      <c r="P186" s="194"/>
      <c r="Q186" s="622">
        <f t="shared" si="214"/>
        <v>0</v>
      </c>
      <c r="R186" s="194">
        <v>60</v>
      </c>
      <c r="S186" s="630">
        <f t="shared" si="215"/>
        <v>637.79999999999995</v>
      </c>
      <c r="T186" s="194">
        <f t="shared" si="216"/>
        <v>0</v>
      </c>
      <c r="U186" s="630">
        <f t="shared" si="217"/>
        <v>0</v>
      </c>
    </row>
    <row r="187" spans="1:21" ht="38.25">
      <c r="A187" s="190" t="s">
        <v>337</v>
      </c>
      <c r="B187" s="191">
        <v>151809</v>
      </c>
      <c r="C187" s="657" t="s">
        <v>355</v>
      </c>
      <c r="D187" s="192" t="s">
        <v>59</v>
      </c>
      <c r="E187" s="193">
        <v>150.13</v>
      </c>
      <c r="F187" s="194">
        <v>1</v>
      </c>
      <c r="G187" s="194"/>
      <c r="H187" s="194"/>
      <c r="I187" s="193">
        <f t="shared" si="210"/>
        <v>1</v>
      </c>
      <c r="J187" s="193">
        <f t="shared" si="211"/>
        <v>150.13</v>
      </c>
      <c r="K187" s="193"/>
      <c r="L187" s="193"/>
      <c r="M187" s="622">
        <f t="shared" si="212"/>
        <v>150.13</v>
      </c>
      <c r="N187" s="194">
        <v>0</v>
      </c>
      <c r="O187" s="622">
        <f t="shared" si="213"/>
        <v>0</v>
      </c>
      <c r="P187" s="194"/>
      <c r="Q187" s="622">
        <f t="shared" si="214"/>
        <v>0</v>
      </c>
      <c r="R187" s="194">
        <v>1</v>
      </c>
      <c r="S187" s="630">
        <f t="shared" si="215"/>
        <v>150.13</v>
      </c>
      <c r="T187" s="194">
        <f t="shared" si="216"/>
        <v>0</v>
      </c>
      <c r="U187" s="630">
        <f t="shared" si="217"/>
        <v>0</v>
      </c>
    </row>
    <row r="188" spans="1:21" ht="38.25">
      <c r="A188" s="190" t="s">
        <v>338</v>
      </c>
      <c r="B188" s="191">
        <v>151803</v>
      </c>
      <c r="C188" s="657" t="s">
        <v>356</v>
      </c>
      <c r="D188" s="192" t="s">
        <v>59</v>
      </c>
      <c r="E188" s="193">
        <v>170.86</v>
      </c>
      <c r="F188" s="194">
        <v>10</v>
      </c>
      <c r="G188" s="194"/>
      <c r="H188" s="194"/>
      <c r="I188" s="193">
        <f t="shared" si="210"/>
        <v>10</v>
      </c>
      <c r="J188" s="193">
        <f t="shared" si="211"/>
        <v>1708.6000000000001</v>
      </c>
      <c r="K188" s="193"/>
      <c r="L188" s="193"/>
      <c r="M188" s="622">
        <f t="shared" si="212"/>
        <v>1708.6000000000001</v>
      </c>
      <c r="N188" s="194">
        <v>0</v>
      </c>
      <c r="O188" s="622">
        <f t="shared" si="213"/>
        <v>0</v>
      </c>
      <c r="P188" s="194"/>
      <c r="Q188" s="622">
        <f t="shared" si="214"/>
        <v>0</v>
      </c>
      <c r="R188" s="194">
        <v>10</v>
      </c>
      <c r="S188" s="630">
        <f t="shared" si="215"/>
        <v>1708.6</v>
      </c>
      <c r="T188" s="194">
        <f t="shared" si="216"/>
        <v>0</v>
      </c>
      <c r="U188" s="630">
        <f t="shared" si="217"/>
        <v>0</v>
      </c>
    </row>
    <row r="189" spans="1:21" ht="25.5">
      <c r="A189" s="190" t="s">
        <v>339</v>
      </c>
      <c r="B189" s="191">
        <v>151338</v>
      </c>
      <c r="C189" s="657" t="s">
        <v>357</v>
      </c>
      <c r="D189" s="192" t="s">
        <v>59</v>
      </c>
      <c r="E189" s="193">
        <v>18.14</v>
      </c>
      <c r="F189" s="194">
        <v>1</v>
      </c>
      <c r="G189" s="194"/>
      <c r="H189" s="194"/>
      <c r="I189" s="193">
        <f t="shared" si="210"/>
        <v>1</v>
      </c>
      <c r="J189" s="193">
        <f t="shared" si="211"/>
        <v>18.14</v>
      </c>
      <c r="K189" s="193"/>
      <c r="L189" s="193"/>
      <c r="M189" s="622">
        <f t="shared" si="212"/>
        <v>18.14</v>
      </c>
      <c r="N189" s="194">
        <v>0</v>
      </c>
      <c r="O189" s="622">
        <f t="shared" si="213"/>
        <v>0</v>
      </c>
      <c r="P189" s="194"/>
      <c r="Q189" s="622">
        <f t="shared" si="214"/>
        <v>0</v>
      </c>
      <c r="R189" s="194">
        <v>1</v>
      </c>
      <c r="S189" s="630">
        <f t="shared" si="215"/>
        <v>18.14</v>
      </c>
      <c r="T189" s="194">
        <f t="shared" si="216"/>
        <v>0</v>
      </c>
      <c r="U189" s="630">
        <f t="shared" si="217"/>
        <v>0</v>
      </c>
    </row>
    <row r="190" spans="1:21" ht="25.5">
      <c r="A190" s="190" t="s">
        <v>340</v>
      </c>
      <c r="B190" s="191">
        <v>151301</v>
      </c>
      <c r="C190" s="657" t="s">
        <v>358</v>
      </c>
      <c r="D190" s="192" t="s">
        <v>59</v>
      </c>
      <c r="E190" s="193">
        <v>18.14</v>
      </c>
      <c r="F190" s="194">
        <v>1</v>
      </c>
      <c r="G190" s="194"/>
      <c r="H190" s="194"/>
      <c r="I190" s="193">
        <f t="shared" si="210"/>
        <v>1</v>
      </c>
      <c r="J190" s="193">
        <f t="shared" si="211"/>
        <v>18.14</v>
      </c>
      <c r="K190" s="193"/>
      <c r="L190" s="193"/>
      <c r="M190" s="622">
        <f t="shared" si="212"/>
        <v>18.14</v>
      </c>
      <c r="N190" s="194">
        <v>0</v>
      </c>
      <c r="O190" s="622">
        <f t="shared" si="213"/>
        <v>0</v>
      </c>
      <c r="P190" s="194"/>
      <c r="Q190" s="622">
        <f t="shared" si="214"/>
        <v>0</v>
      </c>
      <c r="R190" s="194">
        <v>1</v>
      </c>
      <c r="S190" s="630">
        <f t="shared" si="215"/>
        <v>18.14</v>
      </c>
      <c r="T190" s="194">
        <f t="shared" si="216"/>
        <v>0</v>
      </c>
      <c r="U190" s="630">
        <f t="shared" si="217"/>
        <v>0</v>
      </c>
    </row>
    <row r="191" spans="1:21" ht="25.5">
      <c r="A191" s="190" t="s">
        <v>341</v>
      </c>
      <c r="B191" s="191">
        <v>151303</v>
      </c>
      <c r="C191" s="657" t="s">
        <v>359</v>
      </c>
      <c r="D191" s="192" t="s">
        <v>59</v>
      </c>
      <c r="E191" s="193">
        <v>18.14</v>
      </c>
      <c r="F191" s="194">
        <v>1</v>
      </c>
      <c r="G191" s="194"/>
      <c r="H191" s="194"/>
      <c r="I191" s="193">
        <f t="shared" si="210"/>
        <v>1</v>
      </c>
      <c r="J191" s="193">
        <f t="shared" si="211"/>
        <v>18.14</v>
      </c>
      <c r="K191" s="193"/>
      <c r="L191" s="193"/>
      <c r="M191" s="622">
        <f t="shared" si="212"/>
        <v>18.14</v>
      </c>
      <c r="N191" s="194">
        <v>0</v>
      </c>
      <c r="O191" s="622">
        <f t="shared" si="213"/>
        <v>0</v>
      </c>
      <c r="P191" s="194"/>
      <c r="Q191" s="622">
        <f t="shared" si="214"/>
        <v>0</v>
      </c>
      <c r="R191" s="194">
        <v>1</v>
      </c>
      <c r="S191" s="630">
        <f t="shared" si="215"/>
        <v>18.14</v>
      </c>
      <c r="T191" s="194">
        <f t="shared" si="216"/>
        <v>0</v>
      </c>
      <c r="U191" s="630">
        <f t="shared" si="217"/>
        <v>0</v>
      </c>
    </row>
    <row r="192" spans="1:21" ht="25.5">
      <c r="A192" s="190" t="s">
        <v>342</v>
      </c>
      <c r="B192" s="191">
        <v>151318</v>
      </c>
      <c r="C192" s="657" t="s">
        <v>547</v>
      </c>
      <c r="D192" s="192" t="s">
        <v>59</v>
      </c>
      <c r="E192" s="193">
        <v>22.63</v>
      </c>
      <c r="F192" s="194">
        <v>1</v>
      </c>
      <c r="G192" s="194"/>
      <c r="H192" s="194"/>
      <c r="I192" s="193">
        <f t="shared" si="210"/>
        <v>1</v>
      </c>
      <c r="J192" s="193">
        <f t="shared" si="211"/>
        <v>22.63</v>
      </c>
      <c r="K192" s="193"/>
      <c r="L192" s="193"/>
      <c r="M192" s="622">
        <f t="shared" si="212"/>
        <v>22.63</v>
      </c>
      <c r="N192" s="194">
        <v>0</v>
      </c>
      <c r="O192" s="622">
        <f t="shared" si="213"/>
        <v>0</v>
      </c>
      <c r="P192" s="194"/>
      <c r="Q192" s="622">
        <f t="shared" si="214"/>
        <v>0</v>
      </c>
      <c r="R192" s="194">
        <v>1</v>
      </c>
      <c r="S192" s="630">
        <f t="shared" si="215"/>
        <v>22.63</v>
      </c>
      <c r="T192" s="194">
        <f t="shared" si="216"/>
        <v>0</v>
      </c>
      <c r="U192" s="630">
        <f t="shared" si="217"/>
        <v>0</v>
      </c>
    </row>
    <row r="193" spans="1:21">
      <c r="A193" s="190" t="s">
        <v>343</v>
      </c>
      <c r="B193" s="191">
        <v>151350</v>
      </c>
      <c r="C193" s="657" t="s">
        <v>360</v>
      </c>
      <c r="D193" s="192" t="s">
        <v>59</v>
      </c>
      <c r="E193" s="193">
        <v>133.04</v>
      </c>
      <c r="F193" s="194">
        <v>1</v>
      </c>
      <c r="G193" s="194"/>
      <c r="H193" s="194"/>
      <c r="I193" s="193">
        <f t="shared" si="210"/>
        <v>1</v>
      </c>
      <c r="J193" s="193">
        <f t="shared" si="211"/>
        <v>133.04</v>
      </c>
      <c r="K193" s="193"/>
      <c r="L193" s="193"/>
      <c r="M193" s="622">
        <f t="shared" si="212"/>
        <v>133.04</v>
      </c>
      <c r="N193" s="194">
        <v>0</v>
      </c>
      <c r="O193" s="622">
        <f t="shared" si="213"/>
        <v>0</v>
      </c>
      <c r="P193" s="194"/>
      <c r="Q193" s="622">
        <f t="shared" si="214"/>
        <v>0</v>
      </c>
      <c r="R193" s="194">
        <v>1</v>
      </c>
      <c r="S193" s="630">
        <f t="shared" si="215"/>
        <v>133.04</v>
      </c>
      <c r="T193" s="194">
        <f t="shared" si="216"/>
        <v>0</v>
      </c>
      <c r="U193" s="630">
        <f t="shared" si="217"/>
        <v>0</v>
      </c>
    </row>
    <row r="194" spans="1:21">
      <c r="A194" s="190" t="s">
        <v>344</v>
      </c>
      <c r="B194" s="191">
        <v>151132</v>
      </c>
      <c r="C194" s="657" t="s">
        <v>361</v>
      </c>
      <c r="D194" s="192" t="s">
        <v>51</v>
      </c>
      <c r="E194" s="193">
        <v>7.5</v>
      </c>
      <c r="F194" s="194">
        <v>75.7</v>
      </c>
      <c r="G194" s="194"/>
      <c r="H194" s="194"/>
      <c r="I194" s="193">
        <f t="shared" si="210"/>
        <v>75.7</v>
      </c>
      <c r="J194" s="193">
        <f t="shared" si="211"/>
        <v>567.75</v>
      </c>
      <c r="K194" s="193"/>
      <c r="L194" s="193"/>
      <c r="M194" s="622">
        <f t="shared" si="212"/>
        <v>567.75</v>
      </c>
      <c r="N194" s="194">
        <v>0</v>
      </c>
      <c r="O194" s="622">
        <f t="shared" si="213"/>
        <v>0</v>
      </c>
      <c r="P194" s="194"/>
      <c r="Q194" s="622">
        <f t="shared" si="214"/>
        <v>0</v>
      </c>
      <c r="R194" s="194">
        <v>75.7</v>
      </c>
      <c r="S194" s="630">
        <f t="shared" si="215"/>
        <v>567.75</v>
      </c>
      <c r="T194" s="194">
        <f t="shared" si="216"/>
        <v>0</v>
      </c>
      <c r="U194" s="630">
        <f t="shared" si="217"/>
        <v>0</v>
      </c>
    </row>
    <row r="195" spans="1:21" ht="25.5">
      <c r="A195" s="190" t="s">
        <v>345</v>
      </c>
      <c r="B195" s="191">
        <v>150801</v>
      </c>
      <c r="C195" s="657" t="s">
        <v>362</v>
      </c>
      <c r="D195" s="192" t="s">
        <v>51</v>
      </c>
      <c r="E195" s="193">
        <v>12.67</v>
      </c>
      <c r="F195" s="194">
        <v>66</v>
      </c>
      <c r="G195" s="194"/>
      <c r="H195" s="194"/>
      <c r="I195" s="193">
        <f t="shared" si="210"/>
        <v>66</v>
      </c>
      <c r="J195" s="193">
        <f t="shared" si="211"/>
        <v>836.22</v>
      </c>
      <c r="K195" s="193"/>
      <c r="L195" s="193"/>
      <c r="M195" s="622">
        <f t="shared" si="212"/>
        <v>836.22</v>
      </c>
      <c r="N195" s="194">
        <v>0</v>
      </c>
      <c r="O195" s="622">
        <f t="shared" si="213"/>
        <v>0</v>
      </c>
      <c r="P195" s="194"/>
      <c r="Q195" s="622">
        <f t="shared" si="214"/>
        <v>0</v>
      </c>
      <c r="R195" s="194">
        <v>66</v>
      </c>
      <c r="S195" s="630">
        <f t="shared" si="215"/>
        <v>836.22</v>
      </c>
      <c r="T195" s="194">
        <f t="shared" si="216"/>
        <v>0</v>
      </c>
      <c r="U195" s="630">
        <f t="shared" si="217"/>
        <v>0</v>
      </c>
    </row>
    <row r="196" spans="1:21">
      <c r="A196" s="190" t="s">
        <v>346</v>
      </c>
      <c r="B196" s="191">
        <v>180110</v>
      </c>
      <c r="C196" s="657" t="s">
        <v>363</v>
      </c>
      <c r="D196" s="192" t="s">
        <v>59</v>
      </c>
      <c r="E196" s="193">
        <v>106.15</v>
      </c>
      <c r="F196" s="194">
        <v>5</v>
      </c>
      <c r="G196" s="194"/>
      <c r="H196" s="194"/>
      <c r="I196" s="193">
        <f t="shared" si="210"/>
        <v>5</v>
      </c>
      <c r="J196" s="193">
        <f t="shared" si="211"/>
        <v>530.75</v>
      </c>
      <c r="K196" s="193"/>
      <c r="L196" s="193"/>
      <c r="M196" s="622">
        <f t="shared" si="212"/>
        <v>530.75</v>
      </c>
      <c r="N196" s="194">
        <v>0</v>
      </c>
      <c r="O196" s="622">
        <f t="shared" si="213"/>
        <v>0</v>
      </c>
      <c r="P196" s="194"/>
      <c r="Q196" s="622">
        <f t="shared" si="214"/>
        <v>0</v>
      </c>
      <c r="R196" s="194">
        <v>5</v>
      </c>
      <c r="S196" s="630">
        <f t="shared" si="215"/>
        <v>530.75</v>
      </c>
      <c r="T196" s="194">
        <f t="shared" si="216"/>
        <v>0</v>
      </c>
      <c r="U196" s="630">
        <f t="shared" si="217"/>
        <v>0</v>
      </c>
    </row>
    <row r="197" spans="1:21">
      <c r="A197" s="190" t="s">
        <v>347</v>
      </c>
      <c r="B197" s="191" t="s">
        <v>367</v>
      </c>
      <c r="C197" s="657" t="s">
        <v>364</v>
      </c>
      <c r="D197" s="192" t="s">
        <v>72</v>
      </c>
      <c r="E197" s="193">
        <v>362.44</v>
      </c>
      <c r="F197" s="194">
        <v>19</v>
      </c>
      <c r="G197" s="194"/>
      <c r="H197" s="194"/>
      <c r="I197" s="193">
        <f t="shared" si="210"/>
        <v>19</v>
      </c>
      <c r="J197" s="193">
        <f t="shared" si="211"/>
        <v>6886.36</v>
      </c>
      <c r="K197" s="193"/>
      <c r="L197" s="193"/>
      <c r="M197" s="622">
        <f t="shared" si="212"/>
        <v>6886.36</v>
      </c>
      <c r="N197" s="194">
        <v>0</v>
      </c>
      <c r="O197" s="622">
        <f t="shared" si="213"/>
        <v>0</v>
      </c>
      <c r="P197" s="194"/>
      <c r="Q197" s="622">
        <f t="shared" si="214"/>
        <v>0</v>
      </c>
      <c r="R197" s="194">
        <v>19</v>
      </c>
      <c r="S197" s="630">
        <f t="shared" si="215"/>
        <v>6886.36</v>
      </c>
      <c r="T197" s="194">
        <f t="shared" si="216"/>
        <v>0</v>
      </c>
      <c r="U197" s="630">
        <f t="shared" si="217"/>
        <v>0</v>
      </c>
    </row>
    <row r="198" spans="1:21" ht="25.5">
      <c r="A198" s="190" t="s">
        <v>348</v>
      </c>
      <c r="B198" s="191" t="s">
        <v>368</v>
      </c>
      <c r="C198" s="657" t="s">
        <v>365</v>
      </c>
      <c r="D198" s="192" t="s">
        <v>72</v>
      </c>
      <c r="E198" s="193">
        <v>4976.67</v>
      </c>
      <c r="F198" s="194">
        <v>2</v>
      </c>
      <c r="G198" s="194"/>
      <c r="H198" s="194"/>
      <c r="I198" s="193">
        <f t="shared" si="210"/>
        <v>2</v>
      </c>
      <c r="J198" s="193">
        <f t="shared" si="211"/>
        <v>9953.34</v>
      </c>
      <c r="K198" s="193"/>
      <c r="L198" s="193"/>
      <c r="M198" s="622">
        <f t="shared" si="212"/>
        <v>9953.34</v>
      </c>
      <c r="N198" s="194">
        <v>0</v>
      </c>
      <c r="O198" s="622">
        <f t="shared" si="213"/>
        <v>0</v>
      </c>
      <c r="P198" s="194"/>
      <c r="Q198" s="622">
        <f t="shared" si="214"/>
        <v>0</v>
      </c>
      <c r="R198" s="194">
        <v>2</v>
      </c>
      <c r="S198" s="630">
        <f t="shared" si="215"/>
        <v>9953.34</v>
      </c>
      <c r="T198" s="194">
        <f t="shared" si="216"/>
        <v>0</v>
      </c>
      <c r="U198" s="630">
        <f t="shared" si="217"/>
        <v>0</v>
      </c>
    </row>
    <row r="199" spans="1:21" ht="25.5">
      <c r="A199" s="190" t="s">
        <v>349</v>
      </c>
      <c r="B199" s="191" t="s">
        <v>369</v>
      </c>
      <c r="C199" s="657" t="s">
        <v>366</v>
      </c>
      <c r="D199" s="192" t="s">
        <v>10</v>
      </c>
      <c r="E199" s="193">
        <v>12903.37</v>
      </c>
      <c r="F199" s="194">
        <v>1</v>
      </c>
      <c r="G199" s="194"/>
      <c r="H199" s="194"/>
      <c r="I199" s="193">
        <f t="shared" si="210"/>
        <v>1</v>
      </c>
      <c r="J199" s="193">
        <f t="shared" si="211"/>
        <v>12903.37</v>
      </c>
      <c r="K199" s="193"/>
      <c r="L199" s="193"/>
      <c r="M199" s="622">
        <f t="shared" si="212"/>
        <v>12903.37</v>
      </c>
      <c r="N199" s="194"/>
      <c r="O199" s="622">
        <f t="shared" si="213"/>
        <v>0</v>
      </c>
      <c r="P199" s="194"/>
      <c r="Q199" s="622">
        <f t="shared" si="214"/>
        <v>0</v>
      </c>
      <c r="R199" s="194">
        <v>1</v>
      </c>
      <c r="S199" s="630">
        <f t="shared" si="215"/>
        <v>12903.37</v>
      </c>
      <c r="T199" s="194">
        <f t="shared" si="216"/>
        <v>0</v>
      </c>
      <c r="U199" s="630">
        <f t="shared" si="217"/>
        <v>0</v>
      </c>
    </row>
    <row r="200" spans="1:21">
      <c r="A200" s="138"/>
      <c r="B200" s="132"/>
      <c r="C200" s="123"/>
      <c r="D200" s="123"/>
      <c r="E200" s="123"/>
      <c r="F200" s="123"/>
      <c r="G200" s="123"/>
      <c r="H200" s="123"/>
      <c r="I200" s="123"/>
      <c r="J200" s="123"/>
      <c r="K200" s="123"/>
      <c r="L200" s="123"/>
      <c r="M200" s="623"/>
      <c r="N200" s="123"/>
      <c r="O200" s="623"/>
      <c r="P200" s="123"/>
      <c r="Q200" s="623"/>
      <c r="R200" s="123"/>
      <c r="S200" s="631"/>
      <c r="T200" s="123"/>
      <c r="U200" s="631"/>
    </row>
    <row r="201" spans="1:21" s="131" customFormat="1">
      <c r="A201" s="137" t="s">
        <v>370</v>
      </c>
      <c r="B201" s="133"/>
      <c r="C201" s="658" t="s">
        <v>371</v>
      </c>
      <c r="D201" s="126"/>
      <c r="E201" s="127"/>
      <c r="F201" s="128"/>
      <c r="G201" s="128"/>
      <c r="H201" s="128"/>
      <c r="I201" s="129"/>
      <c r="J201" s="129">
        <f>SUBTOTAL(9,J202:J205)</f>
        <v>3312.2430000000004</v>
      </c>
      <c r="K201" s="129"/>
      <c r="L201" s="129"/>
      <c r="M201" s="624"/>
      <c r="N201" s="130"/>
      <c r="O201" s="624">
        <f>SUBTOTAL(9,O202:O205)</f>
        <v>0</v>
      </c>
      <c r="P201" s="130"/>
      <c r="Q201" s="624">
        <f>SUBTOTAL(9,Q202:Q205)</f>
        <v>0</v>
      </c>
      <c r="R201" s="129"/>
      <c r="S201" s="624">
        <f>SUBTOTAL(9,S202:S205)</f>
        <v>3312.2400000000002</v>
      </c>
      <c r="T201" s="129">
        <f t="shared" si="216"/>
        <v>0</v>
      </c>
      <c r="U201" s="624">
        <f>SUBTOTAL(9,U202:U205)</f>
        <v>0</v>
      </c>
    </row>
    <row r="202" spans="1:21" ht="38.25">
      <c r="A202" s="190" t="s">
        <v>372</v>
      </c>
      <c r="B202" s="191">
        <v>150610</v>
      </c>
      <c r="C202" s="657" t="s">
        <v>376</v>
      </c>
      <c r="D202" s="192" t="s">
        <v>59</v>
      </c>
      <c r="E202" s="193">
        <v>188.46</v>
      </c>
      <c r="F202" s="194">
        <v>4</v>
      </c>
      <c r="G202" s="194"/>
      <c r="H202" s="194"/>
      <c r="I202" s="193">
        <f t="shared" ref="I202:I205" si="218">F202+G202-H202</f>
        <v>4</v>
      </c>
      <c r="J202" s="193">
        <f t="shared" ref="J202:J205" si="219">I202*E202</f>
        <v>753.84</v>
      </c>
      <c r="K202" s="193"/>
      <c r="L202" s="193"/>
      <c r="M202" s="622">
        <f t="shared" ref="M202:M205" si="220">I202*E202</f>
        <v>753.84</v>
      </c>
      <c r="N202" s="194">
        <v>0</v>
      </c>
      <c r="O202" s="622">
        <f t="shared" ref="O202" si="221">TRUNC(N202*E202,2)</f>
        <v>0</v>
      </c>
      <c r="P202" s="194"/>
      <c r="Q202" s="622">
        <f t="shared" ref="Q202:Q205" si="222">P202*E202</f>
        <v>0</v>
      </c>
      <c r="R202" s="194">
        <v>4</v>
      </c>
      <c r="S202" s="630">
        <f t="shared" ref="S202" si="223">TRUNC(R202*E202,2)</f>
        <v>753.84</v>
      </c>
      <c r="T202" s="194">
        <f t="shared" si="216"/>
        <v>0</v>
      </c>
      <c r="U202" s="630">
        <f t="shared" ref="U202:U205" si="224">T202*E202</f>
        <v>0</v>
      </c>
    </row>
    <row r="203" spans="1:21" ht="38.25">
      <c r="A203" s="190" t="s">
        <v>373</v>
      </c>
      <c r="B203" s="191">
        <v>160324</v>
      </c>
      <c r="C203" s="657" t="s">
        <v>546</v>
      </c>
      <c r="D203" s="192" t="s">
        <v>59</v>
      </c>
      <c r="E203" s="193">
        <v>199.91</v>
      </c>
      <c r="F203" s="194">
        <v>1</v>
      </c>
      <c r="G203" s="194"/>
      <c r="H203" s="194"/>
      <c r="I203" s="193">
        <f t="shared" si="218"/>
        <v>1</v>
      </c>
      <c r="J203" s="193">
        <f t="shared" si="219"/>
        <v>199.91</v>
      </c>
      <c r="K203" s="193"/>
      <c r="L203" s="193"/>
      <c r="M203" s="622">
        <f t="shared" si="220"/>
        <v>199.91</v>
      </c>
      <c r="N203" s="194">
        <v>0</v>
      </c>
      <c r="O203" s="622">
        <f>TRUNC(N203*E203,2)</f>
        <v>0</v>
      </c>
      <c r="P203" s="194"/>
      <c r="Q203" s="622">
        <f t="shared" si="222"/>
        <v>0</v>
      </c>
      <c r="R203" s="194">
        <v>1</v>
      </c>
      <c r="S203" s="630">
        <f>TRUNC(R203*E203,2)</f>
        <v>199.91</v>
      </c>
      <c r="T203" s="194">
        <f t="shared" si="216"/>
        <v>0</v>
      </c>
      <c r="U203" s="630">
        <f t="shared" si="224"/>
        <v>0</v>
      </c>
    </row>
    <row r="204" spans="1:21" ht="25.5">
      <c r="A204" s="190" t="s">
        <v>374</v>
      </c>
      <c r="B204" s="191">
        <v>160317</v>
      </c>
      <c r="C204" s="657" t="s">
        <v>377</v>
      </c>
      <c r="D204" s="192" t="s">
        <v>51</v>
      </c>
      <c r="E204" s="193">
        <v>33.369999999999997</v>
      </c>
      <c r="F204" s="194">
        <v>68.900000000000006</v>
      </c>
      <c r="G204" s="194"/>
      <c r="H204" s="194"/>
      <c r="I204" s="193">
        <f t="shared" si="218"/>
        <v>68.900000000000006</v>
      </c>
      <c r="J204" s="193">
        <f t="shared" si="219"/>
        <v>2299.1930000000002</v>
      </c>
      <c r="K204" s="193"/>
      <c r="L204" s="193"/>
      <c r="M204" s="622">
        <f t="shared" si="220"/>
        <v>2299.1930000000002</v>
      </c>
      <c r="N204" s="194">
        <v>0</v>
      </c>
      <c r="O204" s="622">
        <f t="shared" ref="O204:O205" si="225">TRUNC(N204*E204,2)</f>
        <v>0</v>
      </c>
      <c r="P204" s="194"/>
      <c r="Q204" s="622">
        <f t="shared" si="222"/>
        <v>0</v>
      </c>
      <c r="R204" s="194">
        <v>68.900000000000006</v>
      </c>
      <c r="S204" s="630">
        <f t="shared" ref="S204:S205" si="226">TRUNC(R204*E204,2)</f>
        <v>2299.19</v>
      </c>
      <c r="T204" s="194">
        <f t="shared" si="216"/>
        <v>0</v>
      </c>
      <c r="U204" s="630">
        <f t="shared" si="224"/>
        <v>0</v>
      </c>
    </row>
    <row r="205" spans="1:21" ht="25.5">
      <c r="A205" s="190" t="s">
        <v>375</v>
      </c>
      <c r="B205" s="191">
        <v>160334</v>
      </c>
      <c r="C205" s="657" t="s">
        <v>378</v>
      </c>
      <c r="D205" s="192" t="s">
        <v>59</v>
      </c>
      <c r="E205" s="193">
        <v>29.65</v>
      </c>
      <c r="F205" s="194">
        <v>2</v>
      </c>
      <c r="G205" s="194"/>
      <c r="H205" s="194"/>
      <c r="I205" s="193">
        <f t="shared" si="218"/>
        <v>2</v>
      </c>
      <c r="J205" s="193">
        <f t="shared" si="219"/>
        <v>59.3</v>
      </c>
      <c r="K205" s="193"/>
      <c r="L205" s="193"/>
      <c r="M205" s="622">
        <f t="shared" si="220"/>
        <v>59.3</v>
      </c>
      <c r="N205" s="194">
        <v>0</v>
      </c>
      <c r="O205" s="622">
        <f t="shared" si="225"/>
        <v>0</v>
      </c>
      <c r="P205" s="194"/>
      <c r="Q205" s="622">
        <f t="shared" si="222"/>
        <v>0</v>
      </c>
      <c r="R205" s="194">
        <v>2</v>
      </c>
      <c r="S205" s="630">
        <f t="shared" si="226"/>
        <v>59.3</v>
      </c>
      <c r="T205" s="194">
        <f t="shared" si="216"/>
        <v>0</v>
      </c>
      <c r="U205" s="630">
        <f t="shared" si="224"/>
        <v>0</v>
      </c>
    </row>
    <row r="206" spans="1:21">
      <c r="A206" s="138"/>
      <c r="B206" s="132"/>
      <c r="C206" s="123"/>
      <c r="D206" s="123"/>
      <c r="E206" s="123"/>
      <c r="F206" s="123"/>
      <c r="G206" s="123"/>
      <c r="H206" s="123"/>
      <c r="I206" s="123"/>
      <c r="J206" s="123"/>
      <c r="K206" s="123"/>
      <c r="L206" s="123"/>
      <c r="M206" s="623"/>
      <c r="N206" s="123"/>
      <c r="O206" s="623"/>
      <c r="P206" s="123"/>
      <c r="Q206" s="623"/>
      <c r="R206" s="123"/>
      <c r="S206" s="631"/>
      <c r="T206" s="123"/>
      <c r="U206" s="631"/>
    </row>
    <row r="207" spans="1:21" s="213" customFormat="1">
      <c r="A207" s="210" t="s">
        <v>379</v>
      </c>
      <c r="B207" s="211"/>
      <c r="C207" s="655" t="s">
        <v>380</v>
      </c>
      <c r="D207" s="197"/>
      <c r="E207" s="198"/>
      <c r="F207" s="199"/>
      <c r="G207" s="199"/>
      <c r="H207" s="199"/>
      <c r="I207" s="200"/>
      <c r="J207" s="200">
        <f>SUBTOTAL(9,J208:J213)</f>
        <v>2061.3539999999998</v>
      </c>
      <c r="K207" s="200"/>
      <c r="L207" s="200"/>
      <c r="M207" s="620"/>
      <c r="N207" s="201"/>
      <c r="O207" s="620">
        <f>SUBTOTAL(9,O208:O213)</f>
        <v>0</v>
      </c>
      <c r="P207" s="201"/>
      <c r="Q207" s="620">
        <f>SUBTOTAL(9,Q208:Q213)</f>
        <v>0</v>
      </c>
      <c r="R207" s="200"/>
      <c r="S207" s="620">
        <f>SUBTOTAL(9,S208:S213)</f>
        <v>2061.35</v>
      </c>
      <c r="T207" s="200">
        <f t="shared" si="216"/>
        <v>0</v>
      </c>
      <c r="U207" s="620">
        <f>SUBTOTAL(9,U208:U213)</f>
        <v>0</v>
      </c>
    </row>
    <row r="208" spans="1:21" s="131" customFormat="1">
      <c r="A208" s="137" t="s">
        <v>381</v>
      </c>
      <c r="B208" s="133"/>
      <c r="C208" s="658" t="s">
        <v>380</v>
      </c>
      <c r="D208" s="126"/>
      <c r="E208" s="127"/>
      <c r="F208" s="128"/>
      <c r="G208" s="128"/>
      <c r="H208" s="128"/>
      <c r="I208" s="129"/>
      <c r="J208" s="129">
        <f>SUBTOTAL(9,J209:J213)</f>
        <v>2061.3539999999998</v>
      </c>
      <c r="K208" s="129"/>
      <c r="L208" s="129"/>
      <c r="M208" s="624"/>
      <c r="N208" s="130"/>
      <c r="O208" s="624">
        <f>SUBTOTAL(9,O209:O213)</f>
        <v>0</v>
      </c>
      <c r="P208" s="130"/>
      <c r="Q208" s="624">
        <f>SUBTOTAL(9,Q209:Q213)</f>
        <v>0</v>
      </c>
      <c r="R208" s="129"/>
      <c r="S208" s="624">
        <f>SUBTOTAL(9,S209:S213)</f>
        <v>2061.35</v>
      </c>
      <c r="T208" s="129">
        <f t="shared" si="216"/>
        <v>0</v>
      </c>
      <c r="U208" s="624">
        <f>SUBTOTAL(9,U209:U213)</f>
        <v>0</v>
      </c>
    </row>
    <row r="209" spans="1:21" ht="25.5">
      <c r="A209" s="190" t="s">
        <v>382</v>
      </c>
      <c r="B209" s="191">
        <v>160612</v>
      </c>
      <c r="C209" s="657" t="s">
        <v>387</v>
      </c>
      <c r="D209" s="192" t="s">
        <v>59</v>
      </c>
      <c r="E209" s="193">
        <v>29.96</v>
      </c>
      <c r="F209" s="194">
        <v>2</v>
      </c>
      <c r="G209" s="194"/>
      <c r="H209" s="194"/>
      <c r="I209" s="193">
        <f t="shared" ref="I209:I213" si="227">F209+G209-H209</f>
        <v>2</v>
      </c>
      <c r="J209" s="193">
        <f t="shared" ref="J209:J213" si="228">I209*E209</f>
        <v>59.92</v>
      </c>
      <c r="K209" s="193"/>
      <c r="L209" s="193"/>
      <c r="M209" s="622">
        <f t="shared" ref="M209:M213" si="229">I209*E209</f>
        <v>59.92</v>
      </c>
      <c r="N209" s="194">
        <v>0</v>
      </c>
      <c r="O209" s="622">
        <f t="shared" ref="O209" si="230">TRUNC(N209*E209,2)</f>
        <v>0</v>
      </c>
      <c r="P209" s="194"/>
      <c r="Q209" s="622">
        <f t="shared" ref="Q209:Q213" si="231">P209*E209</f>
        <v>0</v>
      </c>
      <c r="R209" s="194">
        <v>2</v>
      </c>
      <c r="S209" s="630">
        <f t="shared" ref="S209" si="232">TRUNC(R209*E209,2)</f>
        <v>59.92</v>
      </c>
      <c r="T209" s="194">
        <f t="shared" si="216"/>
        <v>0</v>
      </c>
      <c r="U209" s="630">
        <f t="shared" ref="U209:U213" si="233">T209*E209</f>
        <v>0</v>
      </c>
    </row>
    <row r="210" spans="1:21" ht="51">
      <c r="A210" s="190" t="s">
        <v>383</v>
      </c>
      <c r="B210" s="191">
        <v>160608</v>
      </c>
      <c r="C210" s="657" t="s">
        <v>388</v>
      </c>
      <c r="D210" s="192" t="s">
        <v>59</v>
      </c>
      <c r="E210" s="193">
        <v>320.60000000000002</v>
      </c>
      <c r="F210" s="194">
        <v>3</v>
      </c>
      <c r="G210" s="194"/>
      <c r="H210" s="194"/>
      <c r="I210" s="193">
        <f t="shared" si="227"/>
        <v>3</v>
      </c>
      <c r="J210" s="193">
        <f t="shared" si="228"/>
        <v>961.80000000000007</v>
      </c>
      <c r="K210" s="193"/>
      <c r="L210" s="193"/>
      <c r="M210" s="622">
        <f t="shared" si="229"/>
        <v>961.80000000000007</v>
      </c>
      <c r="N210" s="194">
        <v>0</v>
      </c>
      <c r="O210" s="622">
        <f>TRUNC(N210*E210,2)</f>
        <v>0</v>
      </c>
      <c r="P210" s="194"/>
      <c r="Q210" s="622">
        <f t="shared" si="231"/>
        <v>0</v>
      </c>
      <c r="R210" s="194">
        <v>3</v>
      </c>
      <c r="S210" s="630">
        <f>TRUNC(R210*E210,2)</f>
        <v>961.8</v>
      </c>
      <c r="T210" s="194">
        <f t="shared" si="216"/>
        <v>0</v>
      </c>
      <c r="U210" s="630">
        <f t="shared" si="233"/>
        <v>0</v>
      </c>
    </row>
    <row r="211" spans="1:21" ht="25.5">
      <c r="A211" s="190" t="s">
        <v>384</v>
      </c>
      <c r="B211" s="191">
        <v>160613</v>
      </c>
      <c r="C211" s="657" t="s">
        <v>389</v>
      </c>
      <c r="D211" s="192" t="s">
        <v>59</v>
      </c>
      <c r="E211" s="193">
        <v>197.45</v>
      </c>
      <c r="F211" s="194">
        <v>3</v>
      </c>
      <c r="G211" s="194"/>
      <c r="H211" s="194"/>
      <c r="I211" s="193">
        <f t="shared" si="227"/>
        <v>3</v>
      </c>
      <c r="J211" s="193">
        <f t="shared" si="228"/>
        <v>592.34999999999991</v>
      </c>
      <c r="K211" s="193"/>
      <c r="L211" s="193"/>
      <c r="M211" s="622">
        <f t="shared" si="229"/>
        <v>592.34999999999991</v>
      </c>
      <c r="N211" s="194">
        <v>0</v>
      </c>
      <c r="O211" s="622">
        <f t="shared" ref="O211:O213" si="234">TRUNC(N211*E211,2)</f>
        <v>0</v>
      </c>
      <c r="P211" s="194"/>
      <c r="Q211" s="622">
        <f t="shared" si="231"/>
        <v>0</v>
      </c>
      <c r="R211" s="194">
        <v>3</v>
      </c>
      <c r="S211" s="630">
        <f t="shared" ref="S211:S213" si="235">TRUNC(R211*E211,2)</f>
        <v>592.35</v>
      </c>
      <c r="T211" s="194">
        <f t="shared" si="216"/>
        <v>0</v>
      </c>
      <c r="U211" s="630">
        <f t="shared" si="233"/>
        <v>0</v>
      </c>
    </row>
    <row r="212" spans="1:21" ht="38.25">
      <c r="A212" s="190" t="s">
        <v>385</v>
      </c>
      <c r="B212" s="191">
        <v>160607</v>
      </c>
      <c r="C212" s="657" t="s">
        <v>390</v>
      </c>
      <c r="D212" s="192" t="s">
        <v>59</v>
      </c>
      <c r="E212" s="193">
        <v>178.48</v>
      </c>
      <c r="F212" s="194">
        <v>2</v>
      </c>
      <c r="G212" s="194"/>
      <c r="H212" s="194"/>
      <c r="I212" s="193">
        <f t="shared" si="227"/>
        <v>2</v>
      </c>
      <c r="J212" s="193">
        <f t="shared" si="228"/>
        <v>356.96</v>
      </c>
      <c r="K212" s="193"/>
      <c r="L212" s="193"/>
      <c r="M212" s="622">
        <f t="shared" si="229"/>
        <v>356.96</v>
      </c>
      <c r="N212" s="194">
        <v>0</v>
      </c>
      <c r="O212" s="622">
        <f t="shared" si="234"/>
        <v>0</v>
      </c>
      <c r="P212" s="194"/>
      <c r="Q212" s="622">
        <f t="shared" si="231"/>
        <v>0</v>
      </c>
      <c r="R212" s="194">
        <v>2</v>
      </c>
      <c r="S212" s="630">
        <f t="shared" si="235"/>
        <v>356.96</v>
      </c>
      <c r="T212" s="194">
        <f t="shared" si="216"/>
        <v>0</v>
      </c>
      <c r="U212" s="630">
        <f t="shared" si="233"/>
        <v>0</v>
      </c>
    </row>
    <row r="213" spans="1:21" ht="38.25">
      <c r="A213" s="190" t="s">
        <v>386</v>
      </c>
      <c r="B213" s="191">
        <v>190605</v>
      </c>
      <c r="C213" s="657" t="s">
        <v>544</v>
      </c>
      <c r="D213" s="192" t="s">
        <v>57</v>
      </c>
      <c r="E213" s="193">
        <v>50.18</v>
      </c>
      <c r="F213" s="194">
        <v>1.8</v>
      </c>
      <c r="G213" s="194"/>
      <c r="H213" s="194"/>
      <c r="I213" s="193">
        <f t="shared" si="227"/>
        <v>1.8</v>
      </c>
      <c r="J213" s="193">
        <f t="shared" si="228"/>
        <v>90.323999999999998</v>
      </c>
      <c r="K213" s="193"/>
      <c r="L213" s="193"/>
      <c r="M213" s="622">
        <f t="shared" si="229"/>
        <v>90.323999999999998</v>
      </c>
      <c r="N213" s="194">
        <v>0</v>
      </c>
      <c r="O213" s="622">
        <f t="shared" si="234"/>
        <v>0</v>
      </c>
      <c r="P213" s="194"/>
      <c r="Q213" s="622">
        <f t="shared" si="231"/>
        <v>0</v>
      </c>
      <c r="R213" s="194">
        <v>1.8</v>
      </c>
      <c r="S213" s="630">
        <f t="shared" si="235"/>
        <v>90.32</v>
      </c>
      <c r="T213" s="194">
        <f t="shared" si="216"/>
        <v>0</v>
      </c>
      <c r="U213" s="630">
        <f t="shared" si="233"/>
        <v>0</v>
      </c>
    </row>
    <row r="214" spans="1:21">
      <c r="A214" s="138"/>
      <c r="B214" s="132"/>
      <c r="C214" s="123"/>
      <c r="D214" s="123"/>
      <c r="E214" s="123"/>
      <c r="F214" s="123"/>
      <c r="G214" s="123"/>
      <c r="H214" s="123"/>
      <c r="I214" s="123"/>
      <c r="J214" s="123"/>
      <c r="K214" s="123"/>
      <c r="L214" s="123"/>
      <c r="M214" s="623"/>
      <c r="N214" s="123"/>
      <c r="O214" s="623"/>
      <c r="P214" s="123"/>
      <c r="Q214" s="623"/>
      <c r="R214" s="123"/>
      <c r="S214" s="631"/>
      <c r="T214" s="123"/>
      <c r="U214" s="631"/>
    </row>
    <row r="215" spans="1:21" s="654" customFormat="1">
      <c r="A215" s="202">
        <v>3</v>
      </c>
      <c r="B215" s="653" t="s">
        <v>863</v>
      </c>
      <c r="C215" s="654" t="s">
        <v>992</v>
      </c>
      <c r="D215" s="204"/>
      <c r="E215" s="205"/>
      <c r="F215" s="206"/>
      <c r="G215" s="206"/>
      <c r="H215" s="206"/>
      <c r="I215" s="207"/>
      <c r="J215" s="207">
        <f>SUBTOTAL(9,J216:J387)</f>
        <v>1365196.3011</v>
      </c>
      <c r="K215" s="207"/>
      <c r="L215" s="207"/>
      <c r="M215" s="619"/>
      <c r="N215" s="208"/>
      <c r="O215" s="619">
        <f>SUBTOTAL(9,O216:O387)</f>
        <v>1642654.3620000002</v>
      </c>
      <c r="P215" s="208"/>
      <c r="Q215" s="619">
        <f>SUBTOTAL(9,Q216:Q387)</f>
        <v>356.96</v>
      </c>
      <c r="R215" s="207"/>
      <c r="S215" s="619">
        <f>SUBTOTAL(9,S216:S387)</f>
        <v>1635900.1120000002</v>
      </c>
      <c r="T215" s="207">
        <f>F215-R215</f>
        <v>0</v>
      </c>
      <c r="U215" s="619">
        <f>SUBTOTAL(9,U216:U387)</f>
        <v>2916.6479999999988</v>
      </c>
    </row>
    <row r="216" spans="1:21" s="213" customFormat="1">
      <c r="A216" s="210" t="s">
        <v>0</v>
      </c>
      <c r="B216" s="211"/>
      <c r="C216" s="655" t="s">
        <v>65</v>
      </c>
      <c r="D216" s="197"/>
      <c r="E216" s="198"/>
      <c r="F216" s="199"/>
      <c r="G216" s="199"/>
      <c r="H216" s="199"/>
      <c r="I216" s="200"/>
      <c r="J216" s="200">
        <f>SUBTOTAL(9,J217:J222)</f>
        <v>9979.0712000000003</v>
      </c>
      <c r="K216" s="200"/>
      <c r="L216" s="200"/>
      <c r="M216" s="620"/>
      <c r="N216" s="201"/>
      <c r="O216" s="620">
        <f>SUBTOTAL(9,O217:O222)</f>
        <v>13613.91</v>
      </c>
      <c r="P216" s="201"/>
      <c r="Q216" s="620">
        <f>SUBTOTAL(9,Q217:Q222)</f>
        <v>0</v>
      </c>
      <c r="R216" s="200"/>
      <c r="S216" s="620">
        <f>SUBTOTAL(9,S217:S222)</f>
        <v>7690.0700000000006</v>
      </c>
      <c r="T216" s="200">
        <f t="shared" ref="T216:T281" si="236">F216-R216</f>
        <v>0</v>
      </c>
      <c r="U216" s="620">
        <f>SUBTOTAL(9,U217:U222)</f>
        <v>0</v>
      </c>
    </row>
    <row r="217" spans="1:21" s="131" customFormat="1">
      <c r="A217" s="137" t="s">
        <v>392</v>
      </c>
      <c r="B217" s="133"/>
      <c r="C217" s="658" t="s">
        <v>101</v>
      </c>
      <c r="D217" s="126"/>
      <c r="E217" s="127"/>
      <c r="F217" s="128"/>
      <c r="G217" s="128"/>
      <c r="H217" s="128"/>
      <c r="I217" s="129"/>
      <c r="J217" s="129">
        <f>SUBTOTAL(9,J218:J218)</f>
        <v>1783.68</v>
      </c>
      <c r="K217" s="129"/>
      <c r="L217" s="129"/>
      <c r="M217" s="624"/>
      <c r="N217" s="130"/>
      <c r="O217" s="624">
        <f>SUBTOTAL(9,O218:O218)</f>
        <v>1783.68</v>
      </c>
      <c r="P217" s="130"/>
      <c r="Q217" s="624">
        <f>SUBTOTAL(9,Q218:Q218)</f>
        <v>0</v>
      </c>
      <c r="R217" s="129"/>
      <c r="S217" s="624">
        <f>SUBTOTAL(9,S218:S218)</f>
        <v>1783.68</v>
      </c>
      <c r="T217" s="129">
        <f t="shared" si="236"/>
        <v>0</v>
      </c>
      <c r="U217" s="624">
        <f>SUBTOTAL(9,U218:U218)</f>
        <v>0</v>
      </c>
    </row>
    <row r="218" spans="1:21">
      <c r="A218" s="190" t="s">
        <v>393</v>
      </c>
      <c r="B218" s="191">
        <v>20305</v>
      </c>
      <c r="C218" s="657" t="s">
        <v>103</v>
      </c>
      <c r="D218" s="192" t="s">
        <v>57</v>
      </c>
      <c r="E218" s="193">
        <v>222.96</v>
      </c>
      <c r="F218" s="194">
        <v>8</v>
      </c>
      <c r="G218" s="194"/>
      <c r="H218" s="194"/>
      <c r="I218" s="193">
        <f t="shared" ref="I218" si="237">F218+G218-H218</f>
        <v>8</v>
      </c>
      <c r="J218" s="193">
        <f t="shared" ref="J218" si="238">I218*E218</f>
        <v>1783.68</v>
      </c>
      <c r="K218" s="193"/>
      <c r="L218" s="193"/>
      <c r="M218" s="622">
        <f t="shared" ref="M218" si="239">I218*E218</f>
        <v>1783.68</v>
      </c>
      <c r="N218" s="195">
        <v>8</v>
      </c>
      <c r="O218" s="622">
        <f>TRUNC(N218*E218,2)</f>
        <v>1783.68</v>
      </c>
      <c r="P218" s="194">
        <v>0</v>
      </c>
      <c r="Q218" s="622">
        <f t="shared" ref="Q218" si="240">S218-O218</f>
        <v>0</v>
      </c>
      <c r="R218" s="194">
        <f>P218+N218</f>
        <v>8</v>
      </c>
      <c r="S218" s="630">
        <f>TRUNC(R218*E218,2)</f>
        <v>1783.68</v>
      </c>
      <c r="T218" s="194">
        <f t="shared" si="236"/>
        <v>0</v>
      </c>
      <c r="U218" s="630">
        <f t="shared" ref="U218" si="241">T218*E218</f>
        <v>0</v>
      </c>
    </row>
    <row r="219" spans="1:21">
      <c r="A219" s="138"/>
      <c r="B219" s="132"/>
      <c r="C219" s="123"/>
      <c r="D219" s="123"/>
      <c r="E219" s="123"/>
      <c r="F219" s="123"/>
      <c r="G219" s="123"/>
      <c r="H219" s="123"/>
      <c r="I219" s="123"/>
      <c r="J219" s="123"/>
      <c r="K219" s="123"/>
      <c r="L219" s="123"/>
      <c r="M219" s="623"/>
      <c r="N219" s="123"/>
      <c r="O219" s="623"/>
      <c r="P219" s="123"/>
      <c r="Q219" s="623"/>
      <c r="R219" s="123"/>
      <c r="S219" s="631"/>
      <c r="T219" s="123"/>
      <c r="U219" s="631"/>
    </row>
    <row r="220" spans="1:21" s="131" customFormat="1">
      <c r="A220" s="137" t="s">
        <v>394</v>
      </c>
      <c r="B220" s="133"/>
      <c r="C220" s="658" t="s">
        <v>105</v>
      </c>
      <c r="D220" s="126"/>
      <c r="E220" s="127"/>
      <c r="F220" s="128"/>
      <c r="G220" s="128"/>
      <c r="H220" s="128"/>
      <c r="I220" s="129"/>
      <c r="J220" s="129">
        <f>SUBTOTAL(9,J221:J222)</f>
        <v>8195.3912</v>
      </c>
      <c r="K220" s="129"/>
      <c r="L220" s="129"/>
      <c r="M220" s="624"/>
      <c r="N220" s="130"/>
      <c r="O220" s="624">
        <f>SUBTOTAL(9,O221:O222)</f>
        <v>11830.23</v>
      </c>
      <c r="P220" s="130"/>
      <c r="Q220" s="624">
        <f>SUBTOTAL(9,Q221:Q222)</f>
        <v>0</v>
      </c>
      <c r="R220" s="129"/>
      <c r="S220" s="624">
        <f>SUBTOTAL(9,S221:S222)</f>
        <v>5906.39</v>
      </c>
      <c r="T220" s="129">
        <f t="shared" si="236"/>
        <v>0</v>
      </c>
      <c r="U220" s="624">
        <f>SUBTOTAL(9,U221:U222)</f>
        <v>0</v>
      </c>
    </row>
    <row r="221" spans="1:21">
      <c r="A221" s="190" t="s">
        <v>395</v>
      </c>
      <c r="B221" s="191">
        <v>10201</v>
      </c>
      <c r="C221" s="657" t="s">
        <v>397</v>
      </c>
      <c r="D221" s="192" t="s">
        <v>57</v>
      </c>
      <c r="E221" s="193">
        <v>22.08</v>
      </c>
      <c r="F221" s="194">
        <v>268.29000000000002</v>
      </c>
      <c r="G221" s="194"/>
      <c r="H221" s="194">
        <f>F221</f>
        <v>268.29000000000002</v>
      </c>
      <c r="I221" s="193">
        <f t="shared" ref="I221" si="242">F221+G221-H221</f>
        <v>0</v>
      </c>
      <c r="J221" s="193">
        <f>F221*E221</f>
        <v>5923.8432000000003</v>
      </c>
      <c r="K221" s="193"/>
      <c r="L221" s="193">
        <f>H221*E221</f>
        <v>5923.8432000000003</v>
      </c>
      <c r="M221" s="622">
        <f>I221*E221</f>
        <v>0</v>
      </c>
      <c r="N221" s="194">
        <v>268.29000000000002</v>
      </c>
      <c r="O221" s="622">
        <f>TRUNC(N221*E221,2)</f>
        <v>5923.84</v>
      </c>
      <c r="P221" s="194">
        <v>0</v>
      </c>
      <c r="Q221" s="622">
        <v>0</v>
      </c>
      <c r="R221" s="194">
        <v>0</v>
      </c>
      <c r="S221" s="630">
        <f>TRUNC(R221*E221,2)</f>
        <v>0</v>
      </c>
      <c r="T221" s="194">
        <v>0</v>
      </c>
      <c r="U221" s="630">
        <v>0</v>
      </c>
    </row>
    <row r="222" spans="1:21" ht="38.25">
      <c r="A222" s="190" t="s">
        <v>396</v>
      </c>
      <c r="B222" s="191">
        <v>30304</v>
      </c>
      <c r="C222" s="657" t="s">
        <v>109</v>
      </c>
      <c r="D222" s="192" t="s">
        <v>58</v>
      </c>
      <c r="E222" s="193">
        <v>56.45</v>
      </c>
      <c r="F222" s="194">
        <v>40.24</v>
      </c>
      <c r="G222" s="194">
        <f>REPLANILHAMENTO!H192</f>
        <v>64.39</v>
      </c>
      <c r="H222" s="194"/>
      <c r="I222" s="193">
        <f>F222+G222</f>
        <v>104.63</v>
      </c>
      <c r="J222" s="193">
        <f>F222*E222</f>
        <v>2271.5480000000002</v>
      </c>
      <c r="K222" s="193">
        <f>E222*G222</f>
        <v>3634.8155000000002</v>
      </c>
      <c r="L222" s="193"/>
      <c r="M222" s="622">
        <f>I222*E222</f>
        <v>5906.3635000000004</v>
      </c>
      <c r="N222" s="194">
        <f>'3.1.2.2'!R27</f>
        <v>104.63055000000001</v>
      </c>
      <c r="O222" s="622">
        <f t="shared" ref="O222" si="243">TRUNC(N222*E222,2)</f>
        <v>5906.39</v>
      </c>
      <c r="P222" s="194">
        <f>'3.1.2.2'!R28</f>
        <v>0</v>
      </c>
      <c r="Q222" s="622">
        <f>P222*E222</f>
        <v>0</v>
      </c>
      <c r="R222" s="194">
        <f>P222+N222</f>
        <v>104.63055000000001</v>
      </c>
      <c r="S222" s="630">
        <f t="shared" ref="S222" si="244">TRUNC(R222*E222,2)</f>
        <v>5906.39</v>
      </c>
      <c r="T222" s="194">
        <v>0</v>
      </c>
      <c r="U222" s="630">
        <v>0</v>
      </c>
    </row>
    <row r="223" spans="1:21">
      <c r="A223" s="190" t="s">
        <v>1264</v>
      </c>
      <c r="B223" s="191">
        <f>REPLANILHAMENTO!B191</f>
        <v>10219</v>
      </c>
      <c r="C223" s="657" t="str">
        <f>REPLANILHAMENTO!D191</f>
        <v xml:space="preserve">Demolição manual de concreto armado </v>
      </c>
      <c r="D223" s="192" t="str">
        <f>REPLANILHAMENTO!E191</f>
        <v>m3</v>
      </c>
      <c r="E223" s="193">
        <f>REPLANILHAMENTO!F191</f>
        <v>281.24374947000001</v>
      </c>
      <c r="F223" s="194">
        <v>0</v>
      </c>
      <c r="G223" s="194">
        <f>REPLANILHAMENTO!H191</f>
        <v>40.24</v>
      </c>
      <c r="H223" s="194"/>
      <c r="I223" s="193">
        <f>F223+G223</f>
        <v>40.24</v>
      </c>
      <c r="J223" s="193">
        <f>F223*E223</f>
        <v>0</v>
      </c>
      <c r="K223" s="193">
        <f>G223*E223</f>
        <v>11317.248478672802</v>
      </c>
      <c r="L223" s="193"/>
      <c r="M223" s="622">
        <f>I223*E223</f>
        <v>11317.248478672802</v>
      </c>
      <c r="N223" s="194">
        <f>'3.1.2.3'!R23</f>
        <v>40.243500000000004</v>
      </c>
      <c r="O223" s="622">
        <v>0</v>
      </c>
      <c r="P223" s="194">
        <f>'3.1.2.3'!R24</f>
        <v>0</v>
      </c>
      <c r="Q223" s="622">
        <f>P223*E223</f>
        <v>0</v>
      </c>
      <c r="R223" s="194">
        <f>P223</f>
        <v>0</v>
      </c>
      <c r="S223" s="630">
        <f>Q223</f>
        <v>0</v>
      </c>
      <c r="T223" s="194">
        <v>0</v>
      </c>
      <c r="U223" s="630">
        <v>0</v>
      </c>
    </row>
    <row r="224" spans="1:21">
      <c r="A224" s="138"/>
      <c r="B224" s="132"/>
      <c r="C224" s="123"/>
      <c r="D224" s="123"/>
      <c r="E224" s="123"/>
      <c r="F224" s="123"/>
      <c r="G224" s="123"/>
      <c r="H224" s="123"/>
      <c r="I224" s="123"/>
      <c r="J224" s="123"/>
      <c r="K224" s="123"/>
      <c r="L224" s="123"/>
      <c r="M224" s="623"/>
      <c r="N224" s="123"/>
      <c r="O224" s="623"/>
      <c r="P224" s="123"/>
      <c r="Q224" s="623"/>
      <c r="R224" s="123"/>
      <c r="S224" s="631"/>
      <c r="T224" s="123"/>
      <c r="U224" s="631"/>
    </row>
    <row r="225" spans="1:21" s="213" customFormat="1">
      <c r="A225" s="210" t="s">
        <v>398</v>
      </c>
      <c r="B225" s="211"/>
      <c r="C225" s="655" t="s">
        <v>56</v>
      </c>
      <c r="D225" s="197"/>
      <c r="E225" s="198"/>
      <c r="F225" s="199"/>
      <c r="G225" s="199"/>
      <c r="H225" s="199"/>
      <c r="I225" s="200"/>
      <c r="J225" s="200">
        <f>SUBTOTAL(9,J226:J228)</f>
        <v>23153.894400000005</v>
      </c>
      <c r="K225" s="200"/>
      <c r="L225" s="200"/>
      <c r="M225" s="620"/>
      <c r="N225" s="201"/>
      <c r="O225" s="620">
        <f>SUBTOTAL(9,O226:O228)</f>
        <v>23153.88</v>
      </c>
      <c r="P225" s="201"/>
      <c r="Q225" s="620">
        <f>SUBTOTAL(9,Q226:Q228)</f>
        <v>0</v>
      </c>
      <c r="R225" s="200"/>
      <c r="S225" s="620">
        <f>SUBTOTAL(9,S226:S228)</f>
        <v>23153.88</v>
      </c>
      <c r="T225" s="200">
        <f t="shared" si="236"/>
        <v>0</v>
      </c>
      <c r="U225" s="620">
        <f>SUBTOTAL(9,U226:U228)</f>
        <v>0</v>
      </c>
    </row>
    <row r="226" spans="1:21" s="131" customFormat="1">
      <c r="A226" s="137" t="s">
        <v>399</v>
      </c>
      <c r="B226" s="133"/>
      <c r="C226" s="658" t="s">
        <v>111</v>
      </c>
      <c r="D226" s="126"/>
      <c r="E226" s="127"/>
      <c r="F226" s="128"/>
      <c r="G226" s="128"/>
      <c r="H226" s="128"/>
      <c r="I226" s="129"/>
      <c r="J226" s="129">
        <f>SUBTOTAL(9,J227:J228)</f>
        <v>23153.894400000005</v>
      </c>
      <c r="K226" s="129"/>
      <c r="L226" s="129"/>
      <c r="M226" s="624"/>
      <c r="N226" s="130"/>
      <c r="O226" s="624">
        <f>SUBTOTAL(9,O227:O228)</f>
        <v>23153.88</v>
      </c>
      <c r="P226" s="130"/>
      <c r="Q226" s="624">
        <f>SUBTOTAL(9,Q227:Q228)</f>
        <v>0</v>
      </c>
      <c r="R226" s="129"/>
      <c r="S226" s="624">
        <f>SUBTOTAL(9,S227:S228)</f>
        <v>23153.88</v>
      </c>
      <c r="T226" s="129">
        <f t="shared" si="236"/>
        <v>0</v>
      </c>
      <c r="U226" s="624">
        <f>SUBTOTAL(9,U227:U228)</f>
        <v>0</v>
      </c>
    </row>
    <row r="227" spans="1:21">
      <c r="A227" s="190" t="s">
        <v>400</v>
      </c>
      <c r="B227" s="191">
        <v>30103</v>
      </c>
      <c r="C227" s="657" t="s">
        <v>116</v>
      </c>
      <c r="D227" s="192" t="s">
        <v>58</v>
      </c>
      <c r="E227" s="193">
        <v>9.81</v>
      </c>
      <c r="F227" s="194">
        <v>349.44</v>
      </c>
      <c r="G227" s="194"/>
      <c r="H227" s="194"/>
      <c r="I227" s="193">
        <f t="shared" ref="I227:I228" si="245">F227+G227-H227</f>
        <v>349.44</v>
      </c>
      <c r="J227" s="193">
        <f t="shared" ref="J227:J228" si="246">I227*E227</f>
        <v>3428.0064000000002</v>
      </c>
      <c r="K227" s="193"/>
      <c r="L227" s="193"/>
      <c r="M227" s="622">
        <f t="shared" ref="M227:M228" si="247">I227*E227</f>
        <v>3428.0064000000002</v>
      </c>
      <c r="N227" s="194">
        <f>144+205.44</f>
        <v>349.44</v>
      </c>
      <c r="O227" s="622">
        <f t="shared" ref="O227" si="248">TRUNC(N227*E227,2)</f>
        <v>3428</v>
      </c>
      <c r="P227" s="194">
        <v>0</v>
      </c>
      <c r="Q227" s="622">
        <f t="shared" ref="Q227" si="249">S227-O227</f>
        <v>0</v>
      </c>
      <c r="R227" s="194">
        <f t="shared" ref="R227" si="250">P227+N227</f>
        <v>349.44</v>
      </c>
      <c r="S227" s="630">
        <f t="shared" ref="S227" si="251">TRUNC(R227*E227,2)</f>
        <v>3428</v>
      </c>
      <c r="T227" s="194">
        <f t="shared" si="236"/>
        <v>0</v>
      </c>
      <c r="U227" s="630">
        <f t="shared" ref="U227:U228" si="252">T227*E227</f>
        <v>0</v>
      </c>
    </row>
    <row r="228" spans="1:21" ht="38.25">
      <c r="A228" s="190" t="s">
        <v>401</v>
      </c>
      <c r="B228" s="191">
        <v>30304</v>
      </c>
      <c r="C228" s="657" t="s">
        <v>109</v>
      </c>
      <c r="D228" s="192" t="s">
        <v>58</v>
      </c>
      <c r="E228" s="193">
        <v>56.45</v>
      </c>
      <c r="F228" s="194">
        <v>349.44</v>
      </c>
      <c r="G228" s="194"/>
      <c r="H228" s="194"/>
      <c r="I228" s="193">
        <f t="shared" si="245"/>
        <v>349.44</v>
      </c>
      <c r="J228" s="193">
        <f t="shared" si="246"/>
        <v>19725.888000000003</v>
      </c>
      <c r="K228" s="193"/>
      <c r="L228" s="193"/>
      <c r="M228" s="622">
        <f t="shared" si="247"/>
        <v>19725.888000000003</v>
      </c>
      <c r="N228" s="194">
        <f>144+205.44</f>
        <v>349.44</v>
      </c>
      <c r="O228" s="622">
        <f>TRUNC(N228*E228,2)</f>
        <v>19725.88</v>
      </c>
      <c r="P228" s="194">
        <v>0</v>
      </c>
      <c r="Q228" s="622">
        <f>S228-O228</f>
        <v>0</v>
      </c>
      <c r="R228" s="194">
        <f>P228+N228</f>
        <v>349.44</v>
      </c>
      <c r="S228" s="630">
        <f>TRUNC(R228*E228,2)</f>
        <v>19725.88</v>
      </c>
      <c r="T228" s="194">
        <f t="shared" si="236"/>
        <v>0</v>
      </c>
      <c r="U228" s="630">
        <f t="shared" si="252"/>
        <v>0</v>
      </c>
    </row>
    <row r="229" spans="1:21" s="213" customFormat="1">
      <c r="A229" s="210" t="s">
        <v>403</v>
      </c>
      <c r="B229" s="211"/>
      <c r="C229" s="655" t="s">
        <v>119</v>
      </c>
      <c r="D229" s="197"/>
      <c r="E229" s="198"/>
      <c r="F229" s="199"/>
      <c r="G229" s="199"/>
      <c r="H229" s="199"/>
      <c r="I229" s="200"/>
      <c r="J229" s="200">
        <f>SUBTOTAL(9,J230:J302)</f>
        <v>369381.32020000013</v>
      </c>
      <c r="K229" s="200"/>
      <c r="L229" s="200"/>
      <c r="M229" s="620"/>
      <c r="N229" s="201"/>
      <c r="O229" s="620">
        <f>SUBTOTAL(9,O230:O302)</f>
        <v>332158.68000000005</v>
      </c>
      <c r="P229" s="201"/>
      <c r="Q229" s="620">
        <f>SUBTOTAL(9,Q230:Q302)</f>
        <v>0</v>
      </c>
      <c r="R229" s="200"/>
      <c r="S229" s="620">
        <f>SUBTOTAL(9,S230:S302)</f>
        <v>325994.64000000013</v>
      </c>
      <c r="T229" s="200">
        <f t="shared" si="236"/>
        <v>0</v>
      </c>
      <c r="U229" s="620">
        <f>SUBTOTAL(9,U230:U302)</f>
        <v>2916.6479999999988</v>
      </c>
    </row>
    <row r="230" spans="1:21" s="131" customFormat="1">
      <c r="A230" s="137" t="s">
        <v>404</v>
      </c>
      <c r="B230" s="133"/>
      <c r="C230" s="658" t="s">
        <v>98</v>
      </c>
      <c r="D230" s="126"/>
      <c r="E230" s="127"/>
      <c r="F230" s="128"/>
      <c r="G230" s="128"/>
      <c r="H230" s="128"/>
      <c r="I230" s="129"/>
      <c r="J230" s="129">
        <f>SUBTOTAL(9,J231)</f>
        <v>1544.921</v>
      </c>
      <c r="K230" s="129"/>
      <c r="L230" s="129"/>
      <c r="M230" s="624"/>
      <c r="N230" s="130"/>
      <c r="O230" s="624">
        <f>SUBTOTAL(9,O231)</f>
        <v>1544.92</v>
      </c>
      <c r="P230" s="130"/>
      <c r="Q230" s="624">
        <f>SUBTOTAL(9,Q231)</f>
        <v>0</v>
      </c>
      <c r="R230" s="129"/>
      <c r="S230" s="624">
        <f>SUBTOTAL(9,S231:S232)</f>
        <v>1544.92</v>
      </c>
      <c r="T230" s="129">
        <f t="shared" si="236"/>
        <v>0</v>
      </c>
      <c r="U230" s="624">
        <f>SUBTOTAL(9,U231)</f>
        <v>0</v>
      </c>
    </row>
    <row r="231" spans="1:21">
      <c r="A231" s="190" t="s">
        <v>402</v>
      </c>
      <c r="B231" s="191">
        <v>10501</v>
      </c>
      <c r="C231" s="657" t="s">
        <v>122</v>
      </c>
      <c r="D231" s="192" t="s">
        <v>57</v>
      </c>
      <c r="E231" s="193">
        <v>7.69</v>
      </c>
      <c r="F231" s="194">
        <v>200.9</v>
      </c>
      <c r="G231" s="194"/>
      <c r="H231" s="194"/>
      <c r="I231" s="193">
        <f t="shared" ref="I231" si="253">F231+G231-H231</f>
        <v>200.9</v>
      </c>
      <c r="J231" s="193">
        <f t="shared" ref="J231" si="254">I231*E231</f>
        <v>1544.921</v>
      </c>
      <c r="K231" s="193"/>
      <c r="L231" s="193"/>
      <c r="M231" s="622">
        <f t="shared" ref="M231" si="255">I231*E231</f>
        <v>1544.921</v>
      </c>
      <c r="N231" s="194">
        <v>200.9</v>
      </c>
      <c r="O231" s="622">
        <f t="shared" ref="O231" si="256">TRUNC(N231*E231,2)</f>
        <v>1544.92</v>
      </c>
      <c r="P231" s="194">
        <v>0</v>
      </c>
      <c r="Q231" s="622">
        <f t="shared" ref="Q231" si="257">S231-O231</f>
        <v>0</v>
      </c>
      <c r="R231" s="194">
        <f t="shared" ref="R231" si="258">P231+N231</f>
        <v>200.9</v>
      </c>
      <c r="S231" s="630">
        <f t="shared" ref="S231" si="259">TRUNC(R231*E231,2)</f>
        <v>1544.92</v>
      </c>
      <c r="T231" s="194">
        <f t="shared" si="236"/>
        <v>0</v>
      </c>
      <c r="U231" s="630">
        <f t="shared" ref="U231" si="260">T231*E231</f>
        <v>0</v>
      </c>
    </row>
    <row r="232" spans="1:21">
      <c r="A232" s="190" t="s">
        <v>1165</v>
      </c>
      <c r="B232" s="191" t="str">
        <f>REPLANILHAMENTO!B200</f>
        <v>020346</v>
      </c>
      <c r="C232" s="657" t="str">
        <f>REPLANILHAMENTO!D200</f>
        <v>Locação de andaime metálico para fachada - tipo torre (aluguel mensal)</v>
      </c>
      <c r="D232" s="192" t="s">
        <v>51</v>
      </c>
      <c r="E232" s="193">
        <v>8.0299999999999994</v>
      </c>
      <c r="F232" s="194">
        <v>0</v>
      </c>
      <c r="G232" s="194">
        <f>REPLANILHAMENTO!H200</f>
        <v>109.2</v>
      </c>
      <c r="H232" s="194"/>
      <c r="I232" s="193">
        <f>F232+G232</f>
        <v>109.2</v>
      </c>
      <c r="J232" s="193">
        <f>F232*E232</f>
        <v>0</v>
      </c>
      <c r="K232" s="193">
        <f>G232*E232</f>
        <v>876.87599999999998</v>
      </c>
      <c r="L232" s="193"/>
      <c r="M232" s="622">
        <f>I232*E232</f>
        <v>876.87599999999998</v>
      </c>
      <c r="N232" s="194">
        <f>'3.3.1.2'!R20</f>
        <v>109.2</v>
      </c>
      <c r="O232" s="622"/>
      <c r="P232" s="194">
        <f>'3.3.1.2'!R21</f>
        <v>0</v>
      </c>
      <c r="Q232" s="622">
        <f>P232*E232</f>
        <v>0</v>
      </c>
      <c r="R232" s="194">
        <f>P232</f>
        <v>0</v>
      </c>
      <c r="S232" s="630">
        <f>Q232</f>
        <v>0</v>
      </c>
      <c r="T232" s="194">
        <v>0</v>
      </c>
      <c r="U232" s="630">
        <v>0</v>
      </c>
    </row>
    <row r="233" spans="1:21">
      <c r="A233" s="138"/>
      <c r="B233" s="132"/>
      <c r="C233" s="123"/>
      <c r="D233" s="123"/>
      <c r="E233" s="123"/>
      <c r="F233" s="123"/>
      <c r="G233" s="123"/>
      <c r="H233" s="123"/>
      <c r="I233" s="123"/>
      <c r="J233" s="123"/>
      <c r="K233" s="123"/>
      <c r="L233" s="123"/>
      <c r="M233" s="623"/>
      <c r="N233" s="123"/>
      <c r="O233" s="623"/>
      <c r="P233" s="123"/>
      <c r="Q233" s="623"/>
      <c r="R233" s="123"/>
      <c r="S233" s="631"/>
      <c r="T233" s="123"/>
      <c r="U233" s="631"/>
    </row>
    <row r="234" spans="1:21" s="131" customFormat="1">
      <c r="A234" s="137" t="s">
        <v>405</v>
      </c>
      <c r="B234" s="133"/>
      <c r="C234" s="658" t="s">
        <v>124</v>
      </c>
      <c r="D234" s="126"/>
      <c r="E234" s="127"/>
      <c r="F234" s="128"/>
      <c r="G234" s="128"/>
      <c r="H234" s="128"/>
      <c r="I234" s="129"/>
      <c r="J234" s="129">
        <f>SUBTOTAL(9,J235:J245)</f>
        <v>121328.59760000001</v>
      </c>
      <c r="K234" s="129"/>
      <c r="L234" s="129"/>
      <c r="M234" s="624"/>
      <c r="N234" s="130"/>
      <c r="O234" s="624">
        <f>SUBTOTAL(9,O235:O245)</f>
        <v>77942.05</v>
      </c>
      <c r="P234" s="130"/>
      <c r="Q234" s="624">
        <f>SUBTOTAL(9,Q235:Q245)</f>
        <v>0</v>
      </c>
      <c r="R234" s="129"/>
      <c r="S234" s="624">
        <f>SUBTOTAL(9,S235:S245)</f>
        <v>77942.05</v>
      </c>
      <c r="T234" s="129">
        <f t="shared" si="236"/>
        <v>0</v>
      </c>
      <c r="U234" s="624">
        <f>SUBTOTAL(9,U235:U245)</f>
        <v>2916.6479999999988</v>
      </c>
    </row>
    <row r="235" spans="1:21" ht="25.5">
      <c r="A235" s="190" t="s">
        <v>406</v>
      </c>
      <c r="B235" s="191" t="s">
        <v>136</v>
      </c>
      <c r="C235" s="657" t="s">
        <v>141</v>
      </c>
      <c r="D235" s="192" t="s">
        <v>60</v>
      </c>
      <c r="E235" s="193">
        <v>462.96</v>
      </c>
      <c r="F235" s="194">
        <v>85</v>
      </c>
      <c r="G235" s="194"/>
      <c r="H235" s="194"/>
      <c r="I235" s="193">
        <f t="shared" ref="I235" si="261">F235+G235-H235</f>
        <v>85</v>
      </c>
      <c r="J235" s="193">
        <f t="shared" ref="J235" si="262">I235*E235</f>
        <v>39351.599999999999</v>
      </c>
      <c r="K235" s="193"/>
      <c r="L235" s="193"/>
      <c r="M235" s="622">
        <f t="shared" ref="M235" si="263">I235*E235</f>
        <v>39351.599999999999</v>
      </c>
      <c r="N235" s="194">
        <f>'3.3.2.1'!R34</f>
        <v>78.7</v>
      </c>
      <c r="O235" s="622">
        <f t="shared" ref="O235" si="264">TRUNC(N235*E235,2)</f>
        <v>36434.949999999997</v>
      </c>
      <c r="P235" s="560">
        <f>IFERROR(VLOOKUP(A235,'3.3.2.1'!A:U,18,FALSE),)</f>
        <v>0</v>
      </c>
      <c r="Q235" s="622">
        <f t="shared" ref="Q235" si="265">S235-O235</f>
        <v>0</v>
      </c>
      <c r="R235" s="194">
        <f>P235+N235</f>
        <v>78.7</v>
      </c>
      <c r="S235" s="630">
        <f t="shared" ref="S235" si="266">TRUNC(R235*E235,2)</f>
        <v>36434.949999999997</v>
      </c>
      <c r="T235" s="194">
        <f t="shared" si="236"/>
        <v>6.2999999999999972</v>
      </c>
      <c r="U235" s="630">
        <f t="shared" ref="U235" si="267">T235*E235</f>
        <v>2916.6479999999988</v>
      </c>
    </row>
    <row r="236" spans="1:21" s="659" customFormat="1">
      <c r="A236" s="555" t="s">
        <v>407</v>
      </c>
      <c r="B236" s="556" t="s">
        <v>137</v>
      </c>
      <c r="C236" s="660" t="s">
        <v>142</v>
      </c>
      <c r="D236" s="557" t="s">
        <v>49</v>
      </c>
      <c r="E236" s="558">
        <v>596.34</v>
      </c>
      <c r="F236" s="559">
        <v>35.71</v>
      </c>
      <c r="G236" s="559"/>
      <c r="H236" s="559">
        <f>F236</f>
        <v>35.71</v>
      </c>
      <c r="I236" s="558">
        <f>F236+G236-H236</f>
        <v>0</v>
      </c>
      <c r="J236" s="558">
        <f>F236*E236</f>
        <v>21295.3014</v>
      </c>
      <c r="K236" s="558"/>
      <c r="L236" s="558">
        <f>H236*E236</f>
        <v>21295.3014</v>
      </c>
      <c r="M236" s="626">
        <f>I236*E236</f>
        <v>0</v>
      </c>
      <c r="N236" s="559">
        <v>0</v>
      </c>
      <c r="O236" s="626">
        <f>TRUNC(N236*E236,2)</f>
        <v>0</v>
      </c>
      <c r="P236" s="559">
        <f>IFERROR(VLOOKUP(A236,#REF!,18,FALSE),)</f>
        <v>0</v>
      </c>
      <c r="Q236" s="626">
        <f>S236-O236</f>
        <v>0</v>
      </c>
      <c r="R236" s="559">
        <f>P236+N236</f>
        <v>0</v>
      </c>
      <c r="S236" s="632">
        <f>TRUNC(R236*E236,2)</f>
        <v>0</v>
      </c>
      <c r="T236" s="559">
        <v>0</v>
      </c>
      <c r="U236" s="632">
        <f t="shared" ref="U236:U243" si="268">I236-S236</f>
        <v>0</v>
      </c>
    </row>
    <row r="237" spans="1:21" s="659" customFormat="1" ht="25.5">
      <c r="A237" s="555" t="s">
        <v>408</v>
      </c>
      <c r="B237" s="556" t="s">
        <v>138</v>
      </c>
      <c r="C237" s="660" t="s">
        <v>143</v>
      </c>
      <c r="D237" s="557" t="s">
        <v>29</v>
      </c>
      <c r="E237" s="558">
        <v>4.82</v>
      </c>
      <c r="F237" s="559">
        <v>512</v>
      </c>
      <c r="G237" s="559"/>
      <c r="H237" s="559">
        <f t="shared" ref="H237:H238" si="269">F237</f>
        <v>512</v>
      </c>
      <c r="I237" s="558">
        <f t="shared" ref="I237:I238" si="270">F237+G237-H237</f>
        <v>0</v>
      </c>
      <c r="J237" s="558">
        <f t="shared" ref="J237:J238" si="271">F237*E237</f>
        <v>2467.84</v>
      </c>
      <c r="K237" s="558"/>
      <c r="L237" s="558">
        <f t="shared" ref="L237:L238" si="272">H237*E237</f>
        <v>2467.84</v>
      </c>
      <c r="M237" s="626"/>
      <c r="N237" s="559">
        <v>0</v>
      </c>
      <c r="O237" s="626">
        <f t="shared" ref="O237:O243" si="273">TRUNC(N237*E237,2)</f>
        <v>0</v>
      </c>
      <c r="P237" s="559">
        <f>IFERROR(VLOOKUP(A237,#REF!,18,FALSE),)</f>
        <v>0</v>
      </c>
      <c r="Q237" s="626">
        <f t="shared" ref="Q237:Q243" si="274">S237-O237</f>
        <v>0</v>
      </c>
      <c r="R237" s="559">
        <f t="shared" ref="R237:R243" si="275">P237+N237</f>
        <v>0</v>
      </c>
      <c r="S237" s="632">
        <f t="shared" ref="S237:S243" si="276">TRUNC(R237*E237,2)</f>
        <v>0</v>
      </c>
      <c r="T237" s="559">
        <v>0</v>
      </c>
      <c r="U237" s="632">
        <f t="shared" si="268"/>
        <v>0</v>
      </c>
    </row>
    <row r="238" spans="1:21" s="659" customFormat="1" ht="25.5">
      <c r="A238" s="555" t="s">
        <v>409</v>
      </c>
      <c r="B238" s="556" t="s">
        <v>139</v>
      </c>
      <c r="C238" s="660" t="s">
        <v>144</v>
      </c>
      <c r="D238" s="557" t="s">
        <v>29</v>
      </c>
      <c r="E238" s="558">
        <v>6.12</v>
      </c>
      <c r="F238" s="559">
        <v>4419.01</v>
      </c>
      <c r="G238" s="559"/>
      <c r="H238" s="559">
        <f t="shared" si="269"/>
        <v>4419.01</v>
      </c>
      <c r="I238" s="558">
        <f t="shared" si="270"/>
        <v>0</v>
      </c>
      <c r="J238" s="558">
        <f t="shared" si="271"/>
        <v>27044.341200000003</v>
      </c>
      <c r="K238" s="558"/>
      <c r="L238" s="558">
        <f t="shared" si="272"/>
        <v>27044.341200000003</v>
      </c>
      <c r="M238" s="626"/>
      <c r="N238" s="559">
        <v>0</v>
      </c>
      <c r="O238" s="626">
        <f t="shared" si="273"/>
        <v>0</v>
      </c>
      <c r="P238" s="559">
        <f>IFERROR(VLOOKUP(A238,#REF!,18,FALSE),)</f>
        <v>0</v>
      </c>
      <c r="Q238" s="626">
        <f t="shared" si="274"/>
        <v>0</v>
      </c>
      <c r="R238" s="559">
        <f t="shared" si="275"/>
        <v>0</v>
      </c>
      <c r="S238" s="632">
        <f t="shared" si="276"/>
        <v>0</v>
      </c>
      <c r="T238" s="559">
        <v>0</v>
      </c>
      <c r="U238" s="632">
        <f t="shared" si="268"/>
        <v>0</v>
      </c>
    </row>
    <row r="239" spans="1:21" ht="25.5">
      <c r="A239" s="190" t="s">
        <v>410</v>
      </c>
      <c r="B239" s="191">
        <v>30101</v>
      </c>
      <c r="C239" s="657" t="s">
        <v>145</v>
      </c>
      <c r="D239" s="192" t="s">
        <v>58</v>
      </c>
      <c r="E239" s="193">
        <v>48.58</v>
      </c>
      <c r="F239" s="194">
        <v>6.3</v>
      </c>
      <c r="G239" s="194">
        <f>REPLANILHAMENTO!H207</f>
        <v>36.909999999999997</v>
      </c>
      <c r="H239" s="194">
        <v>0</v>
      </c>
      <c r="I239" s="193">
        <f>F239+G239-H239</f>
        <v>43.209999999999994</v>
      </c>
      <c r="J239" s="193">
        <f>F239*E239</f>
        <v>306.05399999999997</v>
      </c>
      <c r="K239" s="193">
        <f>G239*E239</f>
        <v>1793.0877999999998</v>
      </c>
      <c r="L239" s="193"/>
      <c r="M239" s="622">
        <f>I239*E239</f>
        <v>2099.1417999999994</v>
      </c>
      <c r="N239" s="194">
        <f>'3.3.2.5'!R25</f>
        <v>43.21</v>
      </c>
      <c r="O239" s="622">
        <f t="shared" si="273"/>
        <v>2099.14</v>
      </c>
      <c r="P239" s="194">
        <f>'3.3.2.5'!R26</f>
        <v>0</v>
      </c>
      <c r="Q239" s="630">
        <f>P239*E239</f>
        <v>0</v>
      </c>
      <c r="R239" s="194">
        <f>P239+N239</f>
        <v>43.21</v>
      </c>
      <c r="S239" s="630">
        <f t="shared" si="276"/>
        <v>2099.14</v>
      </c>
      <c r="T239" s="194">
        <f>I239-R239</f>
        <v>0</v>
      </c>
      <c r="U239" s="630">
        <v>0</v>
      </c>
    </row>
    <row r="240" spans="1:21" ht="51">
      <c r="A240" s="190" t="s">
        <v>411</v>
      </c>
      <c r="B240" s="191">
        <v>40339</v>
      </c>
      <c r="C240" s="657" t="s">
        <v>146</v>
      </c>
      <c r="D240" s="192" t="s">
        <v>57</v>
      </c>
      <c r="E240" s="193">
        <v>91.04</v>
      </c>
      <c r="F240" s="194">
        <v>108</v>
      </c>
      <c r="G240" s="194">
        <f>REPLANILHAMENTO!H208</f>
        <v>34.840000000000003</v>
      </c>
      <c r="H240" s="194">
        <v>0</v>
      </c>
      <c r="I240" s="193">
        <f t="shared" ref="I240:I242" si="277">F240+G240-H240</f>
        <v>142.84</v>
      </c>
      <c r="J240" s="193">
        <f t="shared" ref="J240:J242" si="278">F240*E240</f>
        <v>9832.3200000000015</v>
      </c>
      <c r="K240" s="193">
        <f t="shared" ref="K240:K242" si="279">G240*E240</f>
        <v>3171.8336000000004</v>
      </c>
      <c r="L240" s="193"/>
      <c r="M240" s="622">
        <f t="shared" ref="M240:M241" si="280">I240*E240</f>
        <v>13004.153600000001</v>
      </c>
      <c r="N240" s="194">
        <f>'3.3.2.6'!R26</f>
        <v>142.84</v>
      </c>
      <c r="O240" s="622">
        <f t="shared" si="273"/>
        <v>13004.15</v>
      </c>
      <c r="P240" s="194">
        <f>'3.3.2.6'!R27</f>
        <v>0</v>
      </c>
      <c r="Q240" s="630">
        <f t="shared" ref="Q240:Q242" si="281">P240*E240</f>
        <v>0</v>
      </c>
      <c r="R240" s="194">
        <f>P240+N240</f>
        <v>142.84</v>
      </c>
      <c r="S240" s="630">
        <f t="shared" si="276"/>
        <v>13004.15</v>
      </c>
      <c r="T240" s="194">
        <f t="shared" ref="T240:T242" si="282">I240-R240</f>
        <v>0</v>
      </c>
      <c r="U240" s="630">
        <v>0</v>
      </c>
    </row>
    <row r="241" spans="1:21" ht="25.5">
      <c r="A241" s="190" t="s">
        <v>412</v>
      </c>
      <c r="B241" s="191">
        <v>40328</v>
      </c>
      <c r="C241" s="657" t="s">
        <v>147</v>
      </c>
      <c r="D241" s="192" t="s">
        <v>29</v>
      </c>
      <c r="E241" s="193">
        <v>7.98</v>
      </c>
      <c r="F241" s="194">
        <v>594</v>
      </c>
      <c r="G241" s="194">
        <f>REPLANILHAMENTO!H209</f>
        <v>521</v>
      </c>
      <c r="H241" s="194">
        <v>0</v>
      </c>
      <c r="I241" s="193">
        <f t="shared" si="277"/>
        <v>1115</v>
      </c>
      <c r="J241" s="193">
        <f t="shared" si="278"/>
        <v>4740.12</v>
      </c>
      <c r="K241" s="193">
        <f t="shared" si="279"/>
        <v>4157.58</v>
      </c>
      <c r="L241" s="193"/>
      <c r="M241" s="622">
        <f t="shared" si="280"/>
        <v>8897.7000000000007</v>
      </c>
      <c r="N241" s="194">
        <f>'3.3.2.7'!R26</f>
        <v>1115</v>
      </c>
      <c r="O241" s="622">
        <f t="shared" si="273"/>
        <v>8897.7000000000007</v>
      </c>
      <c r="P241" s="194">
        <f>'3.3.2.7'!R27</f>
        <v>0</v>
      </c>
      <c r="Q241" s="630">
        <f t="shared" si="281"/>
        <v>0</v>
      </c>
      <c r="R241" s="194">
        <f>P241+N241</f>
        <v>1115</v>
      </c>
      <c r="S241" s="630">
        <f t="shared" si="276"/>
        <v>8897.7000000000007</v>
      </c>
      <c r="T241" s="194">
        <f t="shared" si="282"/>
        <v>0</v>
      </c>
      <c r="U241" s="630">
        <v>0</v>
      </c>
    </row>
    <row r="242" spans="1:21" ht="25.5">
      <c r="A242" s="190" t="s">
        <v>413</v>
      </c>
      <c r="B242" s="191">
        <v>40245</v>
      </c>
      <c r="C242" s="657" t="s">
        <v>148</v>
      </c>
      <c r="D242" s="192" t="s">
        <v>29</v>
      </c>
      <c r="E242" s="193">
        <v>8.41</v>
      </c>
      <c r="F242" s="194">
        <v>40</v>
      </c>
      <c r="G242" s="194">
        <f>REPLANILHAMENTO!H210</f>
        <v>26</v>
      </c>
      <c r="H242" s="194">
        <v>0</v>
      </c>
      <c r="I242" s="193">
        <f t="shared" si="277"/>
        <v>66</v>
      </c>
      <c r="J242" s="193">
        <f t="shared" si="278"/>
        <v>336.4</v>
      </c>
      <c r="K242" s="193">
        <f t="shared" si="279"/>
        <v>218.66</v>
      </c>
      <c r="L242" s="193"/>
      <c r="M242" s="622">
        <f>I242*E242</f>
        <v>555.06000000000006</v>
      </c>
      <c r="N242" s="194">
        <f>'3.3.2.8'!R26</f>
        <v>66</v>
      </c>
      <c r="O242" s="622">
        <f t="shared" si="273"/>
        <v>555.05999999999995</v>
      </c>
      <c r="P242" s="194">
        <f>'3.3.2.8'!R27</f>
        <v>0</v>
      </c>
      <c r="Q242" s="630">
        <f t="shared" si="281"/>
        <v>0</v>
      </c>
      <c r="R242" s="194">
        <f>P242+N242</f>
        <v>66</v>
      </c>
      <c r="S242" s="630">
        <f t="shared" si="276"/>
        <v>555.05999999999995</v>
      </c>
      <c r="T242" s="194">
        <f t="shared" si="282"/>
        <v>0</v>
      </c>
      <c r="U242" s="630">
        <v>0</v>
      </c>
    </row>
    <row r="243" spans="1:21" s="659" customFormat="1" ht="25.5">
      <c r="A243" s="555" t="s">
        <v>414</v>
      </c>
      <c r="B243" s="556">
        <v>40246</v>
      </c>
      <c r="C243" s="660" t="s">
        <v>149</v>
      </c>
      <c r="D243" s="557" t="s">
        <v>29</v>
      </c>
      <c r="E243" s="558">
        <v>8.08</v>
      </c>
      <c r="F243" s="559">
        <v>29</v>
      </c>
      <c r="G243" s="559"/>
      <c r="H243" s="559">
        <f>F243</f>
        <v>29</v>
      </c>
      <c r="I243" s="558">
        <f>F243+G243-H243</f>
        <v>0</v>
      </c>
      <c r="J243" s="558">
        <f>F243*E243</f>
        <v>234.32</v>
      </c>
      <c r="K243" s="558"/>
      <c r="L243" s="558">
        <f>H243*E243</f>
        <v>234.32</v>
      </c>
      <c r="M243" s="626">
        <f>I243*E243</f>
        <v>0</v>
      </c>
      <c r="N243" s="559">
        <v>0</v>
      </c>
      <c r="O243" s="626">
        <f t="shared" si="273"/>
        <v>0</v>
      </c>
      <c r="P243" s="559">
        <f>IFERROR(VLOOKUP(A243,#REF!,18,FALSE),)</f>
        <v>0</v>
      </c>
      <c r="Q243" s="626">
        <f t="shared" si="274"/>
        <v>0</v>
      </c>
      <c r="R243" s="559">
        <f t="shared" si="275"/>
        <v>0</v>
      </c>
      <c r="S243" s="632">
        <f t="shared" si="276"/>
        <v>0</v>
      </c>
      <c r="T243" s="559">
        <v>0</v>
      </c>
      <c r="U243" s="632">
        <f t="shared" si="268"/>
        <v>0</v>
      </c>
    </row>
    <row r="244" spans="1:21" ht="38.25">
      <c r="A244" s="190" t="s">
        <v>415</v>
      </c>
      <c r="B244" s="191" t="s">
        <v>140</v>
      </c>
      <c r="C244" s="657" t="s">
        <v>150</v>
      </c>
      <c r="D244" s="192" t="s">
        <v>58</v>
      </c>
      <c r="E244" s="193">
        <v>486.08</v>
      </c>
      <c r="F244" s="194">
        <v>14.5</v>
      </c>
      <c r="G244" s="194">
        <f>REPLANILHAMENTO!H213</f>
        <v>2.5300000000000011</v>
      </c>
      <c r="H244" s="194">
        <v>0</v>
      </c>
      <c r="I244" s="193">
        <f t="shared" ref="I244:I245" si="283">F244+G244-H244</f>
        <v>17.03</v>
      </c>
      <c r="J244" s="193">
        <f t="shared" ref="J244" si="284">F244*E244</f>
        <v>7048.16</v>
      </c>
      <c r="K244" s="193">
        <f>G244*E244</f>
        <v>1229.7824000000005</v>
      </c>
      <c r="L244" s="193"/>
      <c r="M244" s="622">
        <f>I244*E244</f>
        <v>8277.9423999999999</v>
      </c>
      <c r="N244" s="194">
        <f>'3.3.2.10'!R25</f>
        <v>17.032</v>
      </c>
      <c r="O244" s="622">
        <f>TRUNC(N244*E244,2)</f>
        <v>8278.91</v>
      </c>
      <c r="P244" s="194">
        <f>'3.3.2.10'!R26</f>
        <v>0</v>
      </c>
      <c r="Q244" s="630">
        <f>P244*E244</f>
        <v>0</v>
      </c>
      <c r="R244" s="194">
        <f>P244+N244</f>
        <v>17.032</v>
      </c>
      <c r="S244" s="630">
        <f>TRUNC(R244*E244,2)</f>
        <v>8278.91</v>
      </c>
      <c r="T244" s="194">
        <v>0</v>
      </c>
      <c r="U244" s="630">
        <v>0</v>
      </c>
    </row>
    <row r="245" spans="1:21">
      <c r="A245" s="190" t="s">
        <v>416</v>
      </c>
      <c r="B245" s="191">
        <v>40813</v>
      </c>
      <c r="C245" s="657" t="s">
        <v>151</v>
      </c>
      <c r="D245" s="192" t="s">
        <v>57</v>
      </c>
      <c r="E245" s="193">
        <v>64.3</v>
      </c>
      <c r="F245" s="194">
        <v>134.87</v>
      </c>
      <c r="G245" s="194"/>
      <c r="H245" s="194"/>
      <c r="I245" s="193">
        <f t="shared" si="283"/>
        <v>134.87</v>
      </c>
      <c r="J245" s="193">
        <f t="shared" ref="J245" si="285">I245*E245</f>
        <v>8672.1409999999996</v>
      </c>
      <c r="K245" s="193"/>
      <c r="L245" s="193"/>
      <c r="M245" s="622">
        <f t="shared" ref="M245" si="286">I245*E245</f>
        <v>8672.1409999999996</v>
      </c>
      <c r="N245" s="194">
        <v>134.87</v>
      </c>
      <c r="O245" s="622">
        <f>TRUNC(N245*E245,2)</f>
        <v>8672.14</v>
      </c>
      <c r="P245" s="194">
        <v>0</v>
      </c>
      <c r="Q245" s="622">
        <f>S245-O245</f>
        <v>0</v>
      </c>
      <c r="R245" s="194">
        <f>P245+N245</f>
        <v>134.87</v>
      </c>
      <c r="S245" s="630">
        <f>TRUNC(R245*E245,2)</f>
        <v>8672.14</v>
      </c>
      <c r="T245" s="194">
        <f>I245-R245</f>
        <v>0</v>
      </c>
      <c r="U245" s="630">
        <f t="shared" ref="U245" si="287">T245*E245</f>
        <v>0</v>
      </c>
    </row>
    <row r="246" spans="1:21" ht="25.5">
      <c r="A246" s="190" t="s">
        <v>1169</v>
      </c>
      <c r="B246" s="191">
        <f>REPLANILHAMENTO!B202</f>
        <v>30206</v>
      </c>
      <c r="C246" s="657" t="str">
        <f>REPLANILHAMENTO!D202</f>
        <v>Aterro manual para regularização do terreno em areia, inclusive adensamento hidráulico e fornecimento do material (máximo de 100m3)</v>
      </c>
      <c r="D246" s="192" t="s">
        <v>58</v>
      </c>
      <c r="E246" s="193">
        <f>REPLANILHAMENTO!F202</f>
        <v>118.92</v>
      </c>
      <c r="F246" s="194">
        <v>0</v>
      </c>
      <c r="G246" s="194">
        <v>40.24</v>
      </c>
      <c r="H246" s="194">
        <v>0</v>
      </c>
      <c r="I246" s="193">
        <f>F246+G246</f>
        <v>40.24</v>
      </c>
      <c r="J246" s="193">
        <f>F246*E246</f>
        <v>0</v>
      </c>
      <c r="K246" s="193">
        <f>G246*E246</f>
        <v>4785.3407999999999</v>
      </c>
      <c r="L246" s="193"/>
      <c r="M246" s="622">
        <f>I246*E246</f>
        <v>4785.3407999999999</v>
      </c>
      <c r="N246" s="194">
        <f>'3.3.2.12'!R23</f>
        <v>40.243500000000004</v>
      </c>
      <c r="O246" s="622">
        <f>TRUNC(N246*E246,2)</f>
        <v>4785.75</v>
      </c>
      <c r="P246" s="194">
        <f>'3.3.2.12'!R24</f>
        <v>0</v>
      </c>
      <c r="Q246" s="630">
        <f>P246*E246</f>
        <v>0</v>
      </c>
      <c r="R246" s="194">
        <f>P246</f>
        <v>0</v>
      </c>
      <c r="S246" s="630">
        <f>Q246</f>
        <v>0</v>
      </c>
      <c r="T246" s="194">
        <v>0</v>
      </c>
      <c r="U246" s="630">
        <v>0</v>
      </c>
    </row>
    <row r="247" spans="1:21" ht="25.5">
      <c r="A247" s="190" t="s">
        <v>1170</v>
      </c>
      <c r="B247" s="191">
        <v>130110</v>
      </c>
      <c r="C247" s="657" t="str">
        <f>REPLANILHAMENTO!D212</f>
        <v>Lastro regularizado de concreto não estrutural, espessura de 8 cm (máximo de 100m3)</v>
      </c>
      <c r="D247" s="192" t="s">
        <v>57</v>
      </c>
      <c r="E247" s="193">
        <f>REPLANILHAMENTO!F212</f>
        <v>51.84</v>
      </c>
      <c r="F247" s="194">
        <v>0</v>
      </c>
      <c r="G247" s="194">
        <v>26.59</v>
      </c>
      <c r="H247" s="194">
        <v>0</v>
      </c>
      <c r="I247" s="193">
        <f>F247+G247</f>
        <v>26.59</v>
      </c>
      <c r="J247" s="193">
        <f>F247*E247</f>
        <v>0</v>
      </c>
      <c r="K247" s="193">
        <f>G247*E247</f>
        <v>1378.4256</v>
      </c>
      <c r="L247" s="193"/>
      <c r="M247" s="622">
        <f>I247*E247</f>
        <v>1378.4256</v>
      </c>
      <c r="N247" s="194">
        <f>'3.3.2.13'!R23</f>
        <v>26.587500000000002</v>
      </c>
      <c r="O247" s="622">
        <f>TRUNC(N247*E247,2)</f>
        <v>1378.29</v>
      </c>
      <c r="P247" s="194">
        <f>'3.3.2.13'!R24</f>
        <v>0</v>
      </c>
      <c r="Q247" s="630">
        <f>P247*E247</f>
        <v>0</v>
      </c>
      <c r="R247" s="194">
        <f>P247</f>
        <v>0</v>
      </c>
      <c r="S247" s="630">
        <f>Q247</f>
        <v>0</v>
      </c>
      <c r="T247" s="194">
        <v>0</v>
      </c>
      <c r="U247" s="630">
        <v>0</v>
      </c>
    </row>
    <row r="248" spans="1:21">
      <c r="A248" s="138"/>
      <c r="B248" s="132"/>
      <c r="C248" s="123"/>
      <c r="D248" s="123"/>
      <c r="E248" s="123"/>
      <c r="F248" s="123"/>
      <c r="G248" s="123"/>
      <c r="H248" s="123"/>
      <c r="I248" s="123"/>
      <c r="J248" s="123"/>
      <c r="K248" s="123"/>
      <c r="L248" s="123"/>
      <c r="M248" s="623"/>
      <c r="N248" s="123"/>
      <c r="O248" s="623"/>
      <c r="P248" s="123"/>
      <c r="Q248" s="623"/>
      <c r="R248" s="123"/>
      <c r="S248" s="631"/>
      <c r="T248" s="123"/>
      <c r="U248" s="631"/>
    </row>
    <row r="249" spans="1:21" s="131" customFormat="1">
      <c r="A249" s="137" t="s">
        <v>417</v>
      </c>
      <c r="B249" s="133"/>
      <c r="C249" s="658" t="s">
        <v>153</v>
      </c>
      <c r="D249" s="126"/>
      <c r="E249" s="127"/>
      <c r="F249" s="128"/>
      <c r="G249" s="128"/>
      <c r="H249" s="128"/>
      <c r="I249" s="129"/>
      <c r="J249" s="129">
        <f>SUBTOTAL(9,J250)</f>
        <v>15164.919</v>
      </c>
      <c r="K249" s="129"/>
      <c r="L249" s="129"/>
      <c r="M249" s="624"/>
      <c r="N249" s="130"/>
      <c r="O249" s="624">
        <f>SUBTOTAL(9,O250)</f>
        <v>15164.91</v>
      </c>
      <c r="P249" s="130"/>
      <c r="Q249" s="624">
        <f>SUBTOTAL(9,Q250)</f>
        <v>0</v>
      </c>
      <c r="R249" s="129"/>
      <c r="S249" s="624">
        <f>SUBTOTAL(9,S250)</f>
        <v>15164.91</v>
      </c>
      <c r="T249" s="129">
        <f t="shared" si="236"/>
        <v>0</v>
      </c>
      <c r="U249" s="624">
        <f>SUBTOTAL(9,U250)</f>
        <v>0</v>
      </c>
    </row>
    <row r="250" spans="1:21" ht="25.5">
      <c r="A250" s="190" t="s">
        <v>418</v>
      </c>
      <c r="B250" s="191" t="s">
        <v>155</v>
      </c>
      <c r="C250" s="657" t="s">
        <v>156</v>
      </c>
      <c r="D250" s="192" t="s">
        <v>50</v>
      </c>
      <c r="E250" s="193">
        <v>91.41</v>
      </c>
      <c r="F250" s="194">
        <v>165.9</v>
      </c>
      <c r="G250" s="194"/>
      <c r="H250" s="194"/>
      <c r="I250" s="193">
        <f t="shared" ref="I250" si="288">F250+G250-H250</f>
        <v>165.9</v>
      </c>
      <c r="J250" s="193">
        <f t="shared" ref="J250" si="289">I250*E250</f>
        <v>15164.919</v>
      </c>
      <c r="K250" s="193"/>
      <c r="L250" s="193"/>
      <c r="M250" s="622">
        <f t="shared" ref="M250" si="290">I250*E250</f>
        <v>15164.919</v>
      </c>
      <c r="N250" s="194">
        <f>I250</f>
        <v>165.9</v>
      </c>
      <c r="O250" s="622">
        <f t="shared" ref="O250" si="291">TRUNC(N250*E250,2)</f>
        <v>15164.91</v>
      </c>
      <c r="P250" s="264">
        <f>'3.3.3.1'!R25</f>
        <v>0</v>
      </c>
      <c r="Q250" s="622">
        <f>P250*E250</f>
        <v>0</v>
      </c>
      <c r="R250" s="194">
        <f t="shared" ref="R250" si="292">P250+N250</f>
        <v>165.9</v>
      </c>
      <c r="S250" s="630">
        <f t="shared" ref="S250" si="293">TRUNC(R250*E250,2)</f>
        <v>15164.91</v>
      </c>
      <c r="T250" s="194">
        <f t="shared" si="236"/>
        <v>0</v>
      </c>
      <c r="U250" s="630">
        <f t="shared" ref="U250" si="294">T250*E250</f>
        <v>0</v>
      </c>
    </row>
    <row r="251" spans="1:21">
      <c r="A251" s="138"/>
      <c r="B251" s="132"/>
      <c r="C251" s="123"/>
      <c r="D251" s="123"/>
      <c r="E251" s="123"/>
      <c r="F251" s="123"/>
      <c r="G251" s="123"/>
      <c r="H251" s="123"/>
      <c r="I251" s="123"/>
      <c r="J251" s="123"/>
      <c r="K251" s="123"/>
      <c r="L251" s="123"/>
      <c r="M251" s="623"/>
      <c r="N251" s="123"/>
      <c r="O251" s="623"/>
      <c r="P251" s="123"/>
      <c r="Q251" s="623"/>
      <c r="R251" s="123"/>
      <c r="S251" s="631"/>
      <c r="T251" s="123"/>
      <c r="U251" s="631"/>
    </row>
    <row r="252" spans="1:21" s="131" customFormat="1">
      <c r="A252" s="137" t="s">
        <v>419</v>
      </c>
      <c r="B252" s="133"/>
      <c r="C252" s="658" t="s">
        <v>158</v>
      </c>
      <c r="D252" s="126"/>
      <c r="E252" s="127"/>
      <c r="F252" s="128"/>
      <c r="G252" s="128"/>
      <c r="H252" s="128"/>
      <c r="I252" s="129"/>
      <c r="J252" s="129">
        <f>SUBTOTAL(9,J253:J255)</f>
        <v>3771.0080999999996</v>
      </c>
      <c r="K252" s="129"/>
      <c r="L252" s="129"/>
      <c r="M252" s="624"/>
      <c r="N252" s="130"/>
      <c r="O252" s="624">
        <f>SUBTOTAL(9,O253:O255)</f>
        <v>3771.0000000000005</v>
      </c>
      <c r="P252" s="130"/>
      <c r="Q252" s="624">
        <f>SUBTOTAL(9,Q253:Q255)</f>
        <v>0</v>
      </c>
      <c r="R252" s="129"/>
      <c r="S252" s="624">
        <f>SUBTOTAL(9,S253:S255)</f>
        <v>3771.0000000000005</v>
      </c>
      <c r="T252" s="129">
        <f t="shared" si="236"/>
        <v>0</v>
      </c>
      <c r="U252" s="624">
        <f>SUBTOTAL(9,U253:U255)</f>
        <v>0</v>
      </c>
    </row>
    <row r="253" spans="1:21" ht="25.5">
      <c r="A253" s="190" t="s">
        <v>420</v>
      </c>
      <c r="B253" s="191" t="s">
        <v>155</v>
      </c>
      <c r="C253" s="657" t="s">
        <v>156</v>
      </c>
      <c r="D253" s="192" t="s">
        <v>50</v>
      </c>
      <c r="E253" s="193">
        <v>91.41</v>
      </c>
      <c r="F253" s="194">
        <v>29.33</v>
      </c>
      <c r="G253" s="194"/>
      <c r="H253" s="194"/>
      <c r="I253" s="193">
        <f t="shared" ref="I253:I255" si="295">F253+G253-H253</f>
        <v>29.33</v>
      </c>
      <c r="J253" s="193">
        <f t="shared" ref="J253:J255" si="296">I253*E253</f>
        <v>2681.0552999999995</v>
      </c>
      <c r="K253" s="193"/>
      <c r="L253" s="193"/>
      <c r="M253" s="622">
        <f t="shared" ref="M253:M255" si="297">I253*E253</f>
        <v>2681.0552999999995</v>
      </c>
      <c r="N253" s="194">
        <f>'3.3.4.1'!R23</f>
        <v>29.33</v>
      </c>
      <c r="O253" s="622">
        <f t="shared" ref="O253" si="298">TRUNC(N253*E253,2)</f>
        <v>2681.05</v>
      </c>
      <c r="P253" s="560">
        <f>'3.3.4.1'!R24</f>
        <v>0</v>
      </c>
      <c r="Q253" s="622">
        <f t="shared" ref="Q253" si="299">S253-O253</f>
        <v>0</v>
      </c>
      <c r="R253" s="194">
        <f t="shared" ref="R253" si="300">P253+N253</f>
        <v>29.33</v>
      </c>
      <c r="S253" s="630">
        <f t="shared" ref="S253" si="301">TRUNC(R253*E253,2)</f>
        <v>2681.05</v>
      </c>
      <c r="T253" s="194">
        <f t="shared" si="236"/>
        <v>0</v>
      </c>
      <c r="U253" s="630">
        <f t="shared" ref="U253:U255" si="302">T253*E253</f>
        <v>0</v>
      </c>
    </row>
    <row r="254" spans="1:21">
      <c r="A254" s="190" t="s">
        <v>421</v>
      </c>
      <c r="B254" s="191">
        <v>200323</v>
      </c>
      <c r="C254" s="657" t="s">
        <v>162</v>
      </c>
      <c r="D254" s="192" t="s">
        <v>58</v>
      </c>
      <c r="E254" s="193">
        <v>125.94</v>
      </c>
      <c r="F254" s="194">
        <v>6.62</v>
      </c>
      <c r="G254" s="194"/>
      <c r="H254" s="194"/>
      <c r="I254" s="193">
        <f t="shared" si="295"/>
        <v>6.62</v>
      </c>
      <c r="J254" s="193">
        <f t="shared" si="296"/>
        <v>833.72280000000001</v>
      </c>
      <c r="K254" s="193"/>
      <c r="L254" s="193"/>
      <c r="M254" s="622">
        <f t="shared" si="297"/>
        <v>833.72280000000001</v>
      </c>
      <c r="N254" s="194">
        <f>'3.3.4.2'!R23</f>
        <v>6.62</v>
      </c>
      <c r="O254" s="622">
        <f>TRUNC(N254*E254,2)</f>
        <v>833.72</v>
      </c>
      <c r="P254" s="560">
        <f>'3.3.4.2'!R24</f>
        <v>0</v>
      </c>
      <c r="Q254" s="622">
        <f>S254-O254</f>
        <v>0</v>
      </c>
      <c r="R254" s="194">
        <f>P254+N254</f>
        <v>6.62</v>
      </c>
      <c r="S254" s="630">
        <f>TRUNC(R254*E254,2)</f>
        <v>833.72</v>
      </c>
      <c r="T254" s="194">
        <f t="shared" si="236"/>
        <v>0</v>
      </c>
      <c r="U254" s="630">
        <f t="shared" si="302"/>
        <v>0</v>
      </c>
    </row>
    <row r="255" spans="1:21" ht="38.25">
      <c r="A255" s="190" t="s">
        <v>422</v>
      </c>
      <c r="B255" s="191">
        <v>50501</v>
      </c>
      <c r="C255" s="657" t="s">
        <v>916</v>
      </c>
      <c r="D255" s="192" t="s">
        <v>57</v>
      </c>
      <c r="E255" s="193">
        <v>94.9</v>
      </c>
      <c r="F255" s="194">
        <v>2.7</v>
      </c>
      <c r="G255" s="194"/>
      <c r="H255" s="194"/>
      <c r="I255" s="193">
        <f t="shared" si="295"/>
        <v>2.7</v>
      </c>
      <c r="J255" s="193">
        <f t="shared" si="296"/>
        <v>256.23</v>
      </c>
      <c r="K255" s="193"/>
      <c r="L255" s="193"/>
      <c r="M255" s="622">
        <f t="shared" si="297"/>
        <v>256.23</v>
      </c>
      <c r="N255" s="194">
        <f>'3.3.4.3'!R23</f>
        <v>2.7</v>
      </c>
      <c r="O255" s="622">
        <f t="shared" ref="O255" si="303">TRUNC(N255*E255,2)</f>
        <v>256.23</v>
      </c>
      <c r="P255" s="560">
        <f>'3.3.4.3'!R24</f>
        <v>0</v>
      </c>
      <c r="Q255" s="622">
        <f t="shared" ref="Q255" si="304">S255-O255</f>
        <v>0</v>
      </c>
      <c r="R255" s="194">
        <f t="shared" ref="R255" si="305">P255+N255</f>
        <v>2.7</v>
      </c>
      <c r="S255" s="630">
        <f t="shared" ref="S255" si="306">TRUNC(R255*E255,2)</f>
        <v>256.23</v>
      </c>
      <c r="T255" s="194">
        <f t="shared" si="236"/>
        <v>0</v>
      </c>
      <c r="U255" s="630">
        <f t="shared" si="302"/>
        <v>0</v>
      </c>
    </row>
    <row r="256" spans="1:21">
      <c r="A256" s="138"/>
      <c r="B256" s="132"/>
      <c r="C256" s="123"/>
      <c r="D256" s="123"/>
      <c r="E256" s="123"/>
      <c r="F256" s="123"/>
      <c r="G256" s="123"/>
      <c r="H256" s="123"/>
      <c r="I256" s="123"/>
      <c r="J256" s="123"/>
      <c r="K256" s="123"/>
      <c r="L256" s="123"/>
      <c r="M256" s="623"/>
      <c r="N256" s="123"/>
      <c r="O256" s="623"/>
      <c r="P256" s="123"/>
      <c r="Q256" s="623"/>
      <c r="R256" s="123"/>
      <c r="S256" s="631"/>
      <c r="T256" s="123"/>
      <c r="U256" s="631"/>
    </row>
    <row r="257" spans="1:21" s="131" customFormat="1">
      <c r="A257" s="137" t="s">
        <v>423</v>
      </c>
      <c r="B257" s="133"/>
      <c r="C257" s="658" t="s">
        <v>164</v>
      </c>
      <c r="D257" s="126"/>
      <c r="E257" s="127"/>
      <c r="F257" s="128"/>
      <c r="G257" s="128"/>
      <c r="H257" s="128"/>
      <c r="I257" s="129"/>
      <c r="J257" s="129">
        <f>SUBTOTAL(9,J258:J262)</f>
        <v>9601.4940000000006</v>
      </c>
      <c r="K257" s="129"/>
      <c r="L257" s="129"/>
      <c r="M257" s="624"/>
      <c r="N257" s="130"/>
      <c r="O257" s="624">
        <f>SUBTOTAL(9,O258:O262)</f>
        <v>9601.49</v>
      </c>
      <c r="P257" s="130"/>
      <c r="Q257" s="624">
        <f>SUBTOTAL(9,Q258:Q262)</f>
        <v>0</v>
      </c>
      <c r="R257" s="129"/>
      <c r="S257" s="624">
        <f>SUBTOTAL(9,S258:S262)</f>
        <v>9601.49</v>
      </c>
      <c r="T257" s="129">
        <f t="shared" si="236"/>
        <v>0</v>
      </c>
      <c r="U257" s="624">
        <f>SUBTOTAL(9,U258:U262)</f>
        <v>0</v>
      </c>
    </row>
    <row r="258" spans="1:21" ht="51">
      <c r="A258" s="190" t="s">
        <v>424</v>
      </c>
      <c r="B258" s="191">
        <v>40339</v>
      </c>
      <c r="C258" s="657" t="s">
        <v>184</v>
      </c>
      <c r="D258" s="192" t="s">
        <v>57</v>
      </c>
      <c r="E258" s="193">
        <v>91.04</v>
      </c>
      <c r="F258" s="194">
        <v>51</v>
      </c>
      <c r="G258" s="194"/>
      <c r="H258" s="194"/>
      <c r="I258" s="193">
        <f t="shared" ref="I258:I262" si="307">F258+G258-H258</f>
        <v>51</v>
      </c>
      <c r="J258" s="193">
        <f t="shared" ref="J258:J262" si="308">I258*E258</f>
        <v>4643.04</v>
      </c>
      <c r="K258" s="193"/>
      <c r="L258" s="193"/>
      <c r="M258" s="622">
        <f t="shared" ref="M258:M262" si="309">I258*E258</f>
        <v>4643.04</v>
      </c>
      <c r="N258" s="194">
        <v>51</v>
      </c>
      <c r="O258" s="622">
        <f t="shared" ref="O258" si="310">TRUNC(N258*E258,2)</f>
        <v>4643.04</v>
      </c>
      <c r="P258" s="264">
        <v>0</v>
      </c>
      <c r="Q258" s="622">
        <f t="shared" ref="Q258:Q262" si="311">P258*E258</f>
        <v>0</v>
      </c>
      <c r="R258" s="194">
        <f t="shared" ref="R258" si="312">P258+N258</f>
        <v>51</v>
      </c>
      <c r="S258" s="630">
        <f t="shared" ref="S258" si="313">TRUNC(R258*E258,2)</f>
        <v>4643.04</v>
      </c>
      <c r="T258" s="194">
        <f t="shared" si="236"/>
        <v>0</v>
      </c>
      <c r="U258" s="630">
        <f t="shared" ref="U258:U262" si="314">T258*E258</f>
        <v>0</v>
      </c>
    </row>
    <row r="259" spans="1:21" ht="25.5">
      <c r="A259" s="190" t="s">
        <v>425</v>
      </c>
      <c r="B259" s="191">
        <v>40328</v>
      </c>
      <c r="C259" s="657" t="s">
        <v>147</v>
      </c>
      <c r="D259" s="192" t="s">
        <v>29</v>
      </c>
      <c r="E259" s="193">
        <v>7.98</v>
      </c>
      <c r="F259" s="194">
        <v>160</v>
      </c>
      <c r="G259" s="194"/>
      <c r="H259" s="194"/>
      <c r="I259" s="193">
        <f t="shared" si="307"/>
        <v>160</v>
      </c>
      <c r="J259" s="193">
        <f t="shared" si="308"/>
        <v>1276.8000000000002</v>
      </c>
      <c r="K259" s="193"/>
      <c r="L259" s="193"/>
      <c r="M259" s="622">
        <f t="shared" si="309"/>
        <v>1276.8000000000002</v>
      </c>
      <c r="N259" s="194">
        <v>160</v>
      </c>
      <c r="O259" s="622">
        <f>TRUNC(N259*E259,2)</f>
        <v>1276.8</v>
      </c>
      <c r="P259" s="264">
        <v>0</v>
      </c>
      <c r="Q259" s="622">
        <f t="shared" si="311"/>
        <v>0</v>
      </c>
      <c r="R259" s="194">
        <f>P259+N259</f>
        <v>160</v>
      </c>
      <c r="S259" s="630">
        <f>TRUNC(R259*E259,2)</f>
        <v>1276.8</v>
      </c>
      <c r="T259" s="194">
        <f t="shared" si="236"/>
        <v>0</v>
      </c>
      <c r="U259" s="630">
        <f t="shared" si="314"/>
        <v>0</v>
      </c>
    </row>
    <row r="260" spans="1:21" ht="25.5">
      <c r="A260" s="190" t="s">
        <v>426</v>
      </c>
      <c r="B260" s="191">
        <v>40245</v>
      </c>
      <c r="C260" s="657" t="s">
        <v>148</v>
      </c>
      <c r="D260" s="192" t="s">
        <v>29</v>
      </c>
      <c r="E260" s="193">
        <v>8.41</v>
      </c>
      <c r="F260" s="194">
        <v>199</v>
      </c>
      <c r="G260" s="194"/>
      <c r="H260" s="194"/>
      <c r="I260" s="193">
        <f t="shared" si="307"/>
        <v>199</v>
      </c>
      <c r="J260" s="193">
        <f t="shared" si="308"/>
        <v>1673.59</v>
      </c>
      <c r="K260" s="193"/>
      <c r="L260" s="193"/>
      <c r="M260" s="622">
        <f t="shared" si="309"/>
        <v>1673.59</v>
      </c>
      <c r="N260" s="194">
        <v>199</v>
      </c>
      <c r="O260" s="622">
        <f t="shared" ref="O260:O262" si="315">TRUNC(N260*E260,2)</f>
        <v>1673.59</v>
      </c>
      <c r="P260" s="264">
        <v>0</v>
      </c>
      <c r="Q260" s="622">
        <f t="shared" si="311"/>
        <v>0</v>
      </c>
      <c r="R260" s="194">
        <f t="shared" ref="R260:R262" si="316">P260+N260</f>
        <v>199</v>
      </c>
      <c r="S260" s="630">
        <f t="shared" ref="S260:S262" si="317">TRUNC(R260*E260,2)</f>
        <v>1673.59</v>
      </c>
      <c r="T260" s="194">
        <f t="shared" si="236"/>
        <v>0</v>
      </c>
      <c r="U260" s="630">
        <f t="shared" si="314"/>
        <v>0</v>
      </c>
    </row>
    <row r="261" spans="1:21" ht="25.5">
      <c r="A261" s="190" t="s">
        <v>427</v>
      </c>
      <c r="B261" s="191">
        <v>40246</v>
      </c>
      <c r="C261" s="657" t="s">
        <v>149</v>
      </c>
      <c r="D261" s="192" t="s">
        <v>29</v>
      </c>
      <c r="E261" s="193">
        <v>8.08</v>
      </c>
      <c r="F261" s="194">
        <v>50</v>
      </c>
      <c r="G261" s="194"/>
      <c r="H261" s="194"/>
      <c r="I261" s="193">
        <f t="shared" si="307"/>
        <v>50</v>
      </c>
      <c r="J261" s="193">
        <f t="shared" si="308"/>
        <v>404</v>
      </c>
      <c r="K261" s="193"/>
      <c r="L261" s="193"/>
      <c r="M261" s="622">
        <f t="shared" si="309"/>
        <v>404</v>
      </c>
      <c r="N261" s="194">
        <v>50</v>
      </c>
      <c r="O261" s="622">
        <f t="shared" si="315"/>
        <v>404</v>
      </c>
      <c r="P261" s="264">
        <v>0</v>
      </c>
      <c r="Q261" s="622">
        <f t="shared" si="311"/>
        <v>0</v>
      </c>
      <c r="R261" s="194">
        <f t="shared" si="316"/>
        <v>50</v>
      </c>
      <c r="S261" s="630">
        <f t="shared" si="317"/>
        <v>404</v>
      </c>
      <c r="T261" s="194">
        <f t="shared" si="236"/>
        <v>0</v>
      </c>
      <c r="U261" s="630">
        <f t="shared" si="314"/>
        <v>0</v>
      </c>
    </row>
    <row r="262" spans="1:21" ht="38.25">
      <c r="A262" s="190" t="s">
        <v>428</v>
      </c>
      <c r="B262" s="191" t="s">
        <v>140</v>
      </c>
      <c r="C262" s="657" t="s">
        <v>150</v>
      </c>
      <c r="D262" s="192" t="s">
        <v>58</v>
      </c>
      <c r="E262" s="193">
        <v>486.08</v>
      </c>
      <c r="F262" s="194">
        <v>3.3</v>
      </c>
      <c r="G262" s="194"/>
      <c r="H262" s="194"/>
      <c r="I262" s="193">
        <f t="shared" si="307"/>
        <v>3.3</v>
      </c>
      <c r="J262" s="193">
        <f t="shared" si="308"/>
        <v>1604.0639999999999</v>
      </c>
      <c r="K262" s="193"/>
      <c r="L262" s="193"/>
      <c r="M262" s="622">
        <f t="shared" si="309"/>
        <v>1604.0639999999999</v>
      </c>
      <c r="N262" s="194">
        <v>3.3</v>
      </c>
      <c r="O262" s="622">
        <f t="shared" si="315"/>
        <v>1604.06</v>
      </c>
      <c r="P262" s="264">
        <v>0</v>
      </c>
      <c r="Q262" s="622">
        <f t="shared" si="311"/>
        <v>0</v>
      </c>
      <c r="R262" s="194">
        <f t="shared" si="316"/>
        <v>3.3</v>
      </c>
      <c r="S262" s="630">
        <f t="shared" si="317"/>
        <v>1604.06</v>
      </c>
      <c r="T262" s="194">
        <f t="shared" si="236"/>
        <v>0</v>
      </c>
      <c r="U262" s="630">
        <f t="shared" si="314"/>
        <v>0</v>
      </c>
    </row>
    <row r="263" spans="1:21">
      <c r="A263" s="138"/>
      <c r="B263" s="132"/>
      <c r="C263" s="123"/>
      <c r="D263" s="123"/>
      <c r="E263" s="123"/>
      <c r="F263" s="123"/>
      <c r="G263" s="123"/>
      <c r="H263" s="123"/>
      <c r="I263" s="123"/>
      <c r="J263" s="123"/>
      <c r="K263" s="123"/>
      <c r="L263" s="123"/>
      <c r="M263" s="623"/>
      <c r="N263" s="123"/>
      <c r="O263" s="623"/>
      <c r="P263" s="123"/>
      <c r="Q263" s="623"/>
      <c r="R263" s="123"/>
      <c r="S263" s="631"/>
      <c r="T263" s="123"/>
      <c r="U263" s="631"/>
    </row>
    <row r="264" spans="1:21" s="131" customFormat="1">
      <c r="A264" s="137" t="s">
        <v>429</v>
      </c>
      <c r="B264" s="133"/>
      <c r="C264" s="658" t="s">
        <v>171</v>
      </c>
      <c r="D264" s="126"/>
      <c r="E264" s="127"/>
      <c r="F264" s="128"/>
      <c r="G264" s="128"/>
      <c r="H264" s="128"/>
      <c r="I264" s="129"/>
      <c r="J264" s="129">
        <f>SUBTOTAL(9,J265:J269)</f>
        <v>20580.705999999998</v>
      </c>
      <c r="K264" s="129"/>
      <c r="L264" s="129"/>
      <c r="M264" s="624"/>
      <c r="N264" s="130"/>
      <c r="O264" s="624">
        <f>SUBTOTAL(9,O265:O269)</f>
        <v>20580.7</v>
      </c>
      <c r="P264" s="130"/>
      <c r="Q264" s="624">
        <f>SUBTOTAL(9,Q265:Q269)</f>
        <v>0</v>
      </c>
      <c r="R264" s="129"/>
      <c r="S264" s="624">
        <f>SUBTOTAL(9,S265:S269)</f>
        <v>20580.7</v>
      </c>
      <c r="T264" s="129">
        <f t="shared" si="236"/>
        <v>0</v>
      </c>
      <c r="U264" s="624">
        <f>SUBTOTAL(9,U265:U269)</f>
        <v>0</v>
      </c>
    </row>
    <row r="265" spans="1:21" ht="51">
      <c r="A265" s="190" t="s">
        <v>430</v>
      </c>
      <c r="B265" s="191">
        <v>40339</v>
      </c>
      <c r="C265" s="657" t="s">
        <v>184</v>
      </c>
      <c r="D265" s="192" t="s">
        <v>57</v>
      </c>
      <c r="E265" s="193">
        <v>91.04</v>
      </c>
      <c r="F265" s="194">
        <v>100</v>
      </c>
      <c r="G265" s="194"/>
      <c r="H265" s="194"/>
      <c r="I265" s="193">
        <f t="shared" ref="I265:I269" si="318">F265+G265-H265</f>
        <v>100</v>
      </c>
      <c r="J265" s="193">
        <f t="shared" ref="J265:J269" si="319">I265*E265</f>
        <v>9104</v>
      </c>
      <c r="K265" s="193"/>
      <c r="L265" s="193"/>
      <c r="M265" s="622">
        <f t="shared" ref="M265:M269" si="320">I265*E265</f>
        <v>9104</v>
      </c>
      <c r="N265" s="194">
        <v>100</v>
      </c>
      <c r="O265" s="622">
        <f t="shared" ref="O265" si="321">TRUNC(N265*E265,2)</f>
        <v>9104</v>
      </c>
      <c r="P265" s="264">
        <v>0</v>
      </c>
      <c r="Q265" s="625">
        <f t="shared" ref="Q265" si="322">S265-O265</f>
        <v>0</v>
      </c>
      <c r="R265" s="194">
        <f t="shared" ref="R265" si="323">P265+N265</f>
        <v>100</v>
      </c>
      <c r="S265" s="630">
        <f t="shared" ref="S265" si="324">TRUNC(R265*E265,2)</f>
        <v>9104</v>
      </c>
      <c r="T265" s="194">
        <f t="shared" si="236"/>
        <v>0</v>
      </c>
      <c r="U265" s="630">
        <f t="shared" ref="U265:U269" si="325">T265*E265</f>
        <v>0</v>
      </c>
    </row>
    <row r="266" spans="1:21" ht="25.5">
      <c r="A266" s="190" t="s">
        <v>431</v>
      </c>
      <c r="B266" s="191">
        <v>40328</v>
      </c>
      <c r="C266" s="657" t="s">
        <v>147</v>
      </c>
      <c r="D266" s="192" t="s">
        <v>29</v>
      </c>
      <c r="E266" s="193">
        <v>7.98</v>
      </c>
      <c r="F266" s="194">
        <v>481</v>
      </c>
      <c r="G266" s="194"/>
      <c r="H266" s="194"/>
      <c r="I266" s="193">
        <f t="shared" si="318"/>
        <v>481</v>
      </c>
      <c r="J266" s="193">
        <f t="shared" si="319"/>
        <v>3838.38</v>
      </c>
      <c r="K266" s="193"/>
      <c r="L266" s="193"/>
      <c r="M266" s="622">
        <f t="shared" si="320"/>
        <v>3838.38</v>
      </c>
      <c r="N266" s="194">
        <v>481</v>
      </c>
      <c r="O266" s="622">
        <f>TRUNC(N266*E266,2)</f>
        <v>3838.38</v>
      </c>
      <c r="P266" s="264">
        <v>0</v>
      </c>
      <c r="Q266" s="625">
        <f>S266-O266</f>
        <v>0</v>
      </c>
      <c r="R266" s="194">
        <f>P266+N266</f>
        <v>481</v>
      </c>
      <c r="S266" s="630">
        <f>TRUNC(R266*E266,2)</f>
        <v>3838.38</v>
      </c>
      <c r="T266" s="194">
        <f t="shared" si="236"/>
        <v>0</v>
      </c>
      <c r="U266" s="630">
        <f t="shared" si="325"/>
        <v>0</v>
      </c>
    </row>
    <row r="267" spans="1:21" ht="25.5">
      <c r="A267" s="190" t="s">
        <v>432</v>
      </c>
      <c r="B267" s="191">
        <v>40245</v>
      </c>
      <c r="C267" s="657" t="s">
        <v>148</v>
      </c>
      <c r="D267" s="192" t="s">
        <v>29</v>
      </c>
      <c r="E267" s="193">
        <v>8.41</v>
      </c>
      <c r="F267" s="194">
        <v>287</v>
      </c>
      <c r="G267" s="194"/>
      <c r="H267" s="194"/>
      <c r="I267" s="193">
        <f t="shared" si="318"/>
        <v>287</v>
      </c>
      <c r="J267" s="193">
        <f t="shared" si="319"/>
        <v>2413.67</v>
      </c>
      <c r="K267" s="193"/>
      <c r="L267" s="193"/>
      <c r="M267" s="622">
        <f t="shared" si="320"/>
        <v>2413.67</v>
      </c>
      <c r="N267" s="194">
        <v>287</v>
      </c>
      <c r="O267" s="622">
        <f t="shared" ref="O267:O269" si="326">TRUNC(N267*E267,2)</f>
        <v>2413.67</v>
      </c>
      <c r="P267" s="264">
        <v>0</v>
      </c>
      <c r="Q267" s="625">
        <f t="shared" ref="Q267:Q269" si="327">S267-O267</f>
        <v>0</v>
      </c>
      <c r="R267" s="194">
        <f t="shared" ref="R267:R269" si="328">P267+N267</f>
        <v>287</v>
      </c>
      <c r="S267" s="630">
        <f t="shared" ref="S267:S269" si="329">TRUNC(R267*E267,2)</f>
        <v>2413.67</v>
      </c>
      <c r="T267" s="194">
        <f t="shared" si="236"/>
        <v>0</v>
      </c>
      <c r="U267" s="630">
        <f t="shared" si="325"/>
        <v>0</v>
      </c>
    </row>
    <row r="268" spans="1:21" ht="25.5">
      <c r="A268" s="190" t="s">
        <v>433</v>
      </c>
      <c r="B268" s="191">
        <v>40246</v>
      </c>
      <c r="C268" s="657" t="s">
        <v>149</v>
      </c>
      <c r="D268" s="192" t="s">
        <v>29</v>
      </c>
      <c r="E268" s="193">
        <v>8.08</v>
      </c>
      <c r="F268" s="194">
        <v>33</v>
      </c>
      <c r="G268" s="194"/>
      <c r="H268" s="194"/>
      <c r="I268" s="193">
        <f t="shared" si="318"/>
        <v>33</v>
      </c>
      <c r="J268" s="193">
        <f t="shared" si="319"/>
        <v>266.64</v>
      </c>
      <c r="K268" s="193"/>
      <c r="L268" s="193"/>
      <c r="M268" s="622">
        <f t="shared" si="320"/>
        <v>266.64</v>
      </c>
      <c r="N268" s="194">
        <v>33</v>
      </c>
      <c r="O268" s="622">
        <f t="shared" si="326"/>
        <v>266.64</v>
      </c>
      <c r="P268" s="264">
        <v>0</v>
      </c>
      <c r="Q268" s="625">
        <f t="shared" si="327"/>
        <v>0</v>
      </c>
      <c r="R268" s="194">
        <f t="shared" si="328"/>
        <v>33</v>
      </c>
      <c r="S268" s="630">
        <f t="shared" si="329"/>
        <v>266.64</v>
      </c>
      <c r="T268" s="194">
        <f t="shared" si="236"/>
        <v>0</v>
      </c>
      <c r="U268" s="630">
        <f t="shared" si="325"/>
        <v>0</v>
      </c>
    </row>
    <row r="269" spans="1:21" ht="51">
      <c r="A269" s="190" t="s">
        <v>434</v>
      </c>
      <c r="B269" s="191" t="s">
        <v>140</v>
      </c>
      <c r="C269" s="657" t="s">
        <v>177</v>
      </c>
      <c r="D269" s="192" t="s">
        <v>58</v>
      </c>
      <c r="E269" s="193">
        <v>486.08</v>
      </c>
      <c r="F269" s="194">
        <v>10.199999999999999</v>
      </c>
      <c r="G269" s="194"/>
      <c r="H269" s="194"/>
      <c r="I269" s="193">
        <f t="shared" si="318"/>
        <v>10.199999999999999</v>
      </c>
      <c r="J269" s="193">
        <f t="shared" si="319"/>
        <v>4958.0159999999996</v>
      </c>
      <c r="K269" s="193"/>
      <c r="L269" s="193"/>
      <c r="M269" s="622">
        <f t="shared" si="320"/>
        <v>4958.0159999999996</v>
      </c>
      <c r="N269" s="194">
        <f>'3,3.6.5'!R27</f>
        <v>10.199999999999999</v>
      </c>
      <c r="O269" s="622">
        <f t="shared" si="326"/>
        <v>4958.01</v>
      </c>
      <c r="P269" s="264">
        <f>'3,3.6.5'!R28</f>
        <v>0</v>
      </c>
      <c r="Q269" s="625">
        <f t="shared" si="327"/>
        <v>0</v>
      </c>
      <c r="R269" s="194">
        <f t="shared" si="328"/>
        <v>10.199999999999999</v>
      </c>
      <c r="S269" s="630">
        <f t="shared" si="329"/>
        <v>4958.01</v>
      </c>
      <c r="T269" s="194">
        <f t="shared" si="236"/>
        <v>0</v>
      </c>
      <c r="U269" s="630">
        <f t="shared" si="325"/>
        <v>0</v>
      </c>
    </row>
    <row r="270" spans="1:21">
      <c r="A270" s="138"/>
      <c r="B270" s="132"/>
      <c r="C270" s="123"/>
      <c r="D270" s="123"/>
      <c r="E270" s="123"/>
      <c r="F270" s="123"/>
      <c r="G270" s="123"/>
      <c r="H270" s="123"/>
      <c r="I270" s="123"/>
      <c r="J270" s="123"/>
      <c r="K270" s="123"/>
      <c r="L270" s="123"/>
      <c r="M270" s="623"/>
      <c r="N270" s="123"/>
      <c r="O270" s="623"/>
      <c r="P270" s="123"/>
      <c r="Q270" s="623"/>
      <c r="R270" s="123"/>
      <c r="S270" s="631"/>
      <c r="T270" s="123"/>
      <c r="U270" s="631"/>
    </row>
    <row r="271" spans="1:21" s="131" customFormat="1">
      <c r="A271" s="137" t="s">
        <v>435</v>
      </c>
      <c r="B271" s="133"/>
      <c r="C271" s="658" t="s">
        <v>179</v>
      </c>
      <c r="D271" s="126"/>
      <c r="E271" s="127"/>
      <c r="F271" s="128"/>
      <c r="G271" s="128"/>
      <c r="H271" s="128"/>
      <c r="I271" s="129"/>
      <c r="J271" s="129">
        <f>SUBTOTAL(9,J272:J275)</f>
        <v>23928.707199999997</v>
      </c>
      <c r="K271" s="129"/>
      <c r="L271" s="129"/>
      <c r="M271" s="624"/>
      <c r="N271" s="130"/>
      <c r="O271" s="624">
        <f>SUBTOTAL(9,O272:O275)</f>
        <v>23928.7</v>
      </c>
      <c r="P271" s="130"/>
      <c r="Q271" s="624">
        <f>SUBTOTAL(9,Q272:Q275)</f>
        <v>0</v>
      </c>
      <c r="R271" s="129"/>
      <c r="S271" s="624">
        <f>SUBTOTAL(9,S272:S275)</f>
        <v>23928.7</v>
      </c>
      <c r="T271" s="129">
        <f t="shared" si="236"/>
        <v>0</v>
      </c>
      <c r="U271" s="624">
        <f>SUBTOTAL(9,U272:U275)</f>
        <v>0</v>
      </c>
    </row>
    <row r="272" spans="1:21" ht="51">
      <c r="A272" s="190" t="s">
        <v>436</v>
      </c>
      <c r="B272" s="191">
        <v>40339</v>
      </c>
      <c r="C272" s="657" t="s">
        <v>184</v>
      </c>
      <c r="D272" s="192" t="s">
        <v>57</v>
      </c>
      <c r="E272" s="193">
        <v>91.04</v>
      </c>
      <c r="F272" s="194">
        <v>33</v>
      </c>
      <c r="G272" s="194"/>
      <c r="H272" s="194"/>
      <c r="I272" s="193">
        <f t="shared" ref="I272:I275" si="330">F272+G272-H272</f>
        <v>33</v>
      </c>
      <c r="J272" s="193">
        <f t="shared" ref="J272:J275" si="331">I272*E272</f>
        <v>3004.32</v>
      </c>
      <c r="K272" s="193"/>
      <c r="L272" s="193"/>
      <c r="M272" s="622">
        <f t="shared" ref="M272:M275" si="332">I272*E272</f>
        <v>3004.32</v>
      </c>
      <c r="N272" s="194">
        <f>'3.3.7.1'!R26</f>
        <v>33</v>
      </c>
      <c r="O272" s="622">
        <f t="shared" ref="O272" si="333">TRUNC(N272*E272,2)</f>
        <v>3004.32</v>
      </c>
      <c r="P272" s="264">
        <f>'3.3.7.1'!R27</f>
        <v>0</v>
      </c>
      <c r="Q272" s="622">
        <f t="shared" ref="Q272:Q275" si="334">P272*E272</f>
        <v>0</v>
      </c>
      <c r="R272" s="194">
        <f t="shared" ref="R272" si="335">P272+N272</f>
        <v>33</v>
      </c>
      <c r="S272" s="630">
        <f t="shared" ref="S272" si="336">TRUNC(R272*E272,2)</f>
        <v>3004.32</v>
      </c>
      <c r="T272" s="194">
        <f t="shared" si="236"/>
        <v>0</v>
      </c>
      <c r="U272" s="630">
        <f t="shared" ref="U272:U275" si="337">T272*E272</f>
        <v>0</v>
      </c>
    </row>
    <row r="273" spans="1:21" ht="25.5">
      <c r="A273" s="190" t="s">
        <v>437</v>
      </c>
      <c r="B273" s="191">
        <v>40328</v>
      </c>
      <c r="C273" s="657" t="s">
        <v>147</v>
      </c>
      <c r="D273" s="192" t="s">
        <v>29</v>
      </c>
      <c r="E273" s="193">
        <v>7.98</v>
      </c>
      <c r="F273" s="194">
        <v>344</v>
      </c>
      <c r="G273" s="194"/>
      <c r="H273" s="194"/>
      <c r="I273" s="193">
        <f t="shared" si="330"/>
        <v>344</v>
      </c>
      <c r="J273" s="193">
        <f t="shared" si="331"/>
        <v>2745.1200000000003</v>
      </c>
      <c r="K273" s="193"/>
      <c r="L273" s="193"/>
      <c r="M273" s="622">
        <f t="shared" si="332"/>
        <v>2745.1200000000003</v>
      </c>
      <c r="N273" s="194">
        <v>344</v>
      </c>
      <c r="O273" s="622">
        <f>TRUNC(N273*E273,2)</f>
        <v>2745.12</v>
      </c>
      <c r="P273" s="264">
        <v>0</v>
      </c>
      <c r="Q273" s="622">
        <f t="shared" si="334"/>
        <v>0</v>
      </c>
      <c r="R273" s="194">
        <f>P273+N273</f>
        <v>344</v>
      </c>
      <c r="S273" s="630">
        <f>TRUNC(R273*E273,2)</f>
        <v>2745.12</v>
      </c>
      <c r="T273" s="194">
        <f t="shared" si="236"/>
        <v>0</v>
      </c>
      <c r="U273" s="630">
        <f t="shared" si="337"/>
        <v>0</v>
      </c>
    </row>
    <row r="274" spans="1:21" ht="52.5" customHeight="1">
      <c r="A274" s="190" t="s">
        <v>438</v>
      </c>
      <c r="B274" s="191" t="s">
        <v>140</v>
      </c>
      <c r="C274" s="657" t="s">
        <v>177</v>
      </c>
      <c r="D274" s="192" t="s">
        <v>58</v>
      </c>
      <c r="E274" s="193">
        <v>486.08</v>
      </c>
      <c r="F274" s="194">
        <v>7.34</v>
      </c>
      <c r="G274" s="194"/>
      <c r="H274" s="194"/>
      <c r="I274" s="193">
        <f t="shared" si="330"/>
        <v>7.34</v>
      </c>
      <c r="J274" s="193">
        <f t="shared" si="331"/>
        <v>3567.8271999999997</v>
      </c>
      <c r="K274" s="193"/>
      <c r="L274" s="193"/>
      <c r="M274" s="622">
        <f t="shared" si="332"/>
        <v>3567.8271999999997</v>
      </c>
      <c r="N274" s="194">
        <f>'3.3.7.3'!R26</f>
        <v>7.34</v>
      </c>
      <c r="O274" s="622">
        <f t="shared" ref="O274:O275" si="338">TRUNC(N274*E274,2)</f>
        <v>3567.82</v>
      </c>
      <c r="P274" s="264">
        <f>'3.3.7.3'!R27</f>
        <v>0</v>
      </c>
      <c r="Q274" s="622">
        <f t="shared" si="334"/>
        <v>0</v>
      </c>
      <c r="R274" s="194">
        <f t="shared" ref="R274:R275" si="339">P274+N274</f>
        <v>7.34</v>
      </c>
      <c r="S274" s="630">
        <f t="shared" ref="S274:S275" si="340">TRUNC(R274*E274,2)</f>
        <v>3567.82</v>
      </c>
      <c r="T274" s="194">
        <f t="shared" si="236"/>
        <v>0</v>
      </c>
      <c r="U274" s="630">
        <f t="shared" si="337"/>
        <v>0</v>
      </c>
    </row>
    <row r="275" spans="1:21" ht="25.5">
      <c r="A275" s="190" t="s">
        <v>439</v>
      </c>
      <c r="B275" s="191">
        <v>40602</v>
      </c>
      <c r="C275" s="657" t="s">
        <v>185</v>
      </c>
      <c r="D275" s="192" t="s">
        <v>57</v>
      </c>
      <c r="E275" s="193">
        <v>79.41</v>
      </c>
      <c r="F275" s="194">
        <v>184</v>
      </c>
      <c r="G275" s="194"/>
      <c r="H275" s="194"/>
      <c r="I275" s="193">
        <f t="shared" si="330"/>
        <v>184</v>
      </c>
      <c r="J275" s="193">
        <f t="shared" si="331"/>
        <v>14611.439999999999</v>
      </c>
      <c r="K275" s="193"/>
      <c r="L275" s="193"/>
      <c r="M275" s="622">
        <f t="shared" si="332"/>
        <v>14611.439999999999</v>
      </c>
      <c r="N275" s="194">
        <f>'3.3.7.4'!R26</f>
        <v>184</v>
      </c>
      <c r="O275" s="622">
        <f t="shared" si="338"/>
        <v>14611.44</v>
      </c>
      <c r="P275" s="264">
        <f>'3.3.7.4'!R27</f>
        <v>0</v>
      </c>
      <c r="Q275" s="622">
        <f t="shared" si="334"/>
        <v>0</v>
      </c>
      <c r="R275" s="194">
        <f t="shared" si="339"/>
        <v>184</v>
      </c>
      <c r="S275" s="630">
        <f t="shared" si="340"/>
        <v>14611.44</v>
      </c>
      <c r="T275" s="194">
        <f t="shared" si="236"/>
        <v>0</v>
      </c>
      <c r="U275" s="630">
        <f t="shared" si="337"/>
        <v>0</v>
      </c>
    </row>
    <row r="276" spans="1:21">
      <c r="A276" s="138"/>
      <c r="B276" s="132"/>
      <c r="C276" s="123"/>
      <c r="D276" s="123"/>
      <c r="E276" s="123"/>
      <c r="F276" s="123"/>
      <c r="G276" s="123"/>
      <c r="H276" s="123"/>
      <c r="I276" s="123"/>
      <c r="J276" s="123"/>
      <c r="K276" s="123"/>
      <c r="L276" s="123"/>
      <c r="M276" s="623"/>
      <c r="N276" s="123"/>
      <c r="O276" s="623"/>
      <c r="P276" s="123"/>
      <c r="Q276" s="623"/>
      <c r="R276" s="123"/>
      <c r="S276" s="631"/>
      <c r="T276" s="123"/>
      <c r="U276" s="631"/>
    </row>
    <row r="277" spans="1:21" s="131" customFormat="1">
      <c r="A277" s="137" t="s">
        <v>440</v>
      </c>
      <c r="B277" s="133"/>
      <c r="C277" s="658" t="s">
        <v>187</v>
      </c>
      <c r="D277" s="126"/>
      <c r="E277" s="127"/>
      <c r="F277" s="128"/>
      <c r="G277" s="128"/>
      <c r="H277" s="128"/>
      <c r="I277" s="129"/>
      <c r="J277" s="129">
        <f>SUBTOTAL(9,J278:J283)</f>
        <v>52096.830300000009</v>
      </c>
      <c r="K277" s="129"/>
      <c r="L277" s="129"/>
      <c r="M277" s="624"/>
      <c r="N277" s="130"/>
      <c r="O277" s="624">
        <f>SUBTOTAL(9,O278:O283)</f>
        <v>52096.80000000001</v>
      </c>
      <c r="P277" s="130"/>
      <c r="Q277" s="624">
        <f>SUBTOTAL(9,Q278:Q283)</f>
        <v>0</v>
      </c>
      <c r="R277" s="129"/>
      <c r="S277" s="624">
        <f>SUBTOTAL(9,S278:S283)</f>
        <v>52096.80000000001</v>
      </c>
      <c r="T277" s="129">
        <f t="shared" si="236"/>
        <v>0</v>
      </c>
      <c r="U277" s="624">
        <f>SUBTOTAL(9,U278:U283)</f>
        <v>0</v>
      </c>
    </row>
    <row r="278" spans="1:21" ht="51">
      <c r="A278" s="190" t="s">
        <v>441</v>
      </c>
      <c r="B278" s="191">
        <v>90102</v>
      </c>
      <c r="C278" s="657" t="s">
        <v>194</v>
      </c>
      <c r="D278" s="192" t="s">
        <v>57</v>
      </c>
      <c r="E278" s="193">
        <v>89.99</v>
      </c>
      <c r="F278" s="194">
        <v>208.03</v>
      </c>
      <c r="G278" s="194"/>
      <c r="H278" s="194"/>
      <c r="I278" s="193">
        <f t="shared" ref="I278:I283" si="341">F278+G278-H278</f>
        <v>208.03</v>
      </c>
      <c r="J278" s="193">
        <f t="shared" ref="J278:J283" si="342">I278*E278</f>
        <v>18720.619699999999</v>
      </c>
      <c r="K278" s="193"/>
      <c r="L278" s="193"/>
      <c r="M278" s="622">
        <f t="shared" ref="M278:M283" si="343">I278*E278</f>
        <v>18720.619699999999</v>
      </c>
      <c r="N278" s="194">
        <v>208.03</v>
      </c>
      <c r="O278" s="622">
        <f t="shared" ref="O278" si="344">TRUNC(N278*E278,2)</f>
        <v>18720.61</v>
      </c>
      <c r="P278" s="264">
        <v>0</v>
      </c>
      <c r="Q278" s="622">
        <f t="shared" ref="Q278:Q283" si="345">P278*E278</f>
        <v>0</v>
      </c>
      <c r="R278" s="194">
        <f t="shared" ref="R278" si="346">P278+N278</f>
        <v>208.03</v>
      </c>
      <c r="S278" s="630">
        <f t="shared" ref="S278" si="347">TRUNC(R278*E278,2)</f>
        <v>18720.61</v>
      </c>
      <c r="T278" s="194">
        <f t="shared" si="236"/>
        <v>0</v>
      </c>
      <c r="U278" s="630">
        <f t="shared" ref="U278:U283" si="348">T278*E278</f>
        <v>0</v>
      </c>
    </row>
    <row r="279" spans="1:21" ht="51">
      <c r="A279" s="190" t="s">
        <v>442</v>
      </c>
      <c r="B279" s="191">
        <v>90223</v>
      </c>
      <c r="C279" s="657" t="s">
        <v>195</v>
      </c>
      <c r="D279" s="192" t="s">
        <v>57</v>
      </c>
      <c r="E279" s="193">
        <v>124.46</v>
      </c>
      <c r="F279" s="194">
        <v>209.41</v>
      </c>
      <c r="G279" s="194"/>
      <c r="H279" s="194"/>
      <c r="I279" s="193">
        <f t="shared" si="341"/>
        <v>209.41</v>
      </c>
      <c r="J279" s="193">
        <f t="shared" si="342"/>
        <v>26063.168599999997</v>
      </c>
      <c r="K279" s="193"/>
      <c r="L279" s="193"/>
      <c r="M279" s="622">
        <f t="shared" si="343"/>
        <v>26063.168599999997</v>
      </c>
      <c r="N279" s="194">
        <f>'3.3.8.2'!R24</f>
        <v>209.41</v>
      </c>
      <c r="O279" s="622">
        <f>TRUNC(N279*E279,2)</f>
        <v>26063.16</v>
      </c>
      <c r="P279" s="560">
        <f>'3.3.8.2'!R25</f>
        <v>0</v>
      </c>
      <c r="Q279" s="622">
        <f t="shared" si="345"/>
        <v>0</v>
      </c>
      <c r="R279" s="194">
        <f>P279+N279</f>
        <v>209.41</v>
      </c>
      <c r="S279" s="630">
        <f>TRUNC(R279*E279,2)</f>
        <v>26063.16</v>
      </c>
      <c r="T279" s="194">
        <f t="shared" si="236"/>
        <v>0</v>
      </c>
      <c r="U279" s="630">
        <f t="shared" si="348"/>
        <v>0</v>
      </c>
    </row>
    <row r="280" spans="1:21" ht="51">
      <c r="A280" s="190" t="s">
        <v>443</v>
      </c>
      <c r="B280" s="191">
        <v>40339</v>
      </c>
      <c r="C280" s="657" t="s">
        <v>196</v>
      </c>
      <c r="D280" s="192" t="s">
        <v>57</v>
      </c>
      <c r="E280" s="193">
        <v>91.04</v>
      </c>
      <c r="F280" s="194">
        <v>23.5</v>
      </c>
      <c r="G280" s="194"/>
      <c r="H280" s="194"/>
      <c r="I280" s="193">
        <f t="shared" si="341"/>
        <v>23.5</v>
      </c>
      <c r="J280" s="193">
        <f t="shared" si="342"/>
        <v>2139.44</v>
      </c>
      <c r="K280" s="193"/>
      <c r="L280" s="193"/>
      <c r="M280" s="622">
        <f t="shared" si="343"/>
        <v>2139.44</v>
      </c>
      <c r="N280" s="194">
        <f>'3.3.8.3'!R24</f>
        <v>23.5</v>
      </c>
      <c r="O280" s="622">
        <f t="shared" ref="O280:O283" si="349">TRUNC(N280*E280,2)</f>
        <v>2139.44</v>
      </c>
      <c r="P280" s="264">
        <f>'3.3.8.3'!R25</f>
        <v>0</v>
      </c>
      <c r="Q280" s="622">
        <f t="shared" si="345"/>
        <v>0</v>
      </c>
      <c r="R280" s="194">
        <f t="shared" ref="R280:R283" si="350">P280+N280</f>
        <v>23.5</v>
      </c>
      <c r="S280" s="630">
        <f t="shared" ref="S280:S283" si="351">TRUNC(R280*E280,2)</f>
        <v>2139.44</v>
      </c>
      <c r="T280" s="194">
        <f t="shared" si="236"/>
        <v>0</v>
      </c>
      <c r="U280" s="630">
        <f t="shared" si="348"/>
        <v>0</v>
      </c>
    </row>
    <row r="281" spans="1:21" ht="25.5">
      <c r="A281" s="190" t="s">
        <v>444</v>
      </c>
      <c r="B281" s="191">
        <v>40328</v>
      </c>
      <c r="C281" s="657" t="s">
        <v>197</v>
      </c>
      <c r="D281" s="192" t="s">
        <v>29</v>
      </c>
      <c r="E281" s="193">
        <v>7.98</v>
      </c>
      <c r="F281" s="194">
        <v>112</v>
      </c>
      <c r="G281" s="194"/>
      <c r="H281" s="194"/>
      <c r="I281" s="193">
        <f t="shared" si="341"/>
        <v>112</v>
      </c>
      <c r="J281" s="193">
        <f t="shared" si="342"/>
        <v>893.76</v>
      </c>
      <c r="K281" s="193"/>
      <c r="L281" s="193"/>
      <c r="M281" s="622">
        <f t="shared" si="343"/>
        <v>893.76</v>
      </c>
      <c r="N281" s="194">
        <f>'3.3.8.4'!R24</f>
        <v>112</v>
      </c>
      <c r="O281" s="622">
        <f t="shared" si="349"/>
        <v>893.76</v>
      </c>
      <c r="P281" s="264">
        <f>'3.3.8.4'!R25</f>
        <v>0</v>
      </c>
      <c r="Q281" s="622">
        <f t="shared" si="345"/>
        <v>0</v>
      </c>
      <c r="R281" s="194">
        <f t="shared" si="350"/>
        <v>112</v>
      </c>
      <c r="S281" s="630">
        <f t="shared" si="351"/>
        <v>893.76</v>
      </c>
      <c r="T281" s="194">
        <f t="shared" si="236"/>
        <v>0</v>
      </c>
      <c r="U281" s="630">
        <f t="shared" si="348"/>
        <v>0</v>
      </c>
    </row>
    <row r="282" spans="1:21" ht="51">
      <c r="A282" s="190" t="s">
        <v>445</v>
      </c>
      <c r="B282" s="191" t="s">
        <v>140</v>
      </c>
      <c r="C282" s="657" t="s">
        <v>198</v>
      </c>
      <c r="D282" s="192" t="s">
        <v>58</v>
      </c>
      <c r="E282" s="193">
        <v>486.08</v>
      </c>
      <c r="F282" s="194">
        <v>1.2</v>
      </c>
      <c r="G282" s="194"/>
      <c r="H282" s="194"/>
      <c r="I282" s="193">
        <f t="shared" si="341"/>
        <v>1.2</v>
      </c>
      <c r="J282" s="193">
        <f t="shared" si="342"/>
        <v>583.29599999999994</v>
      </c>
      <c r="K282" s="193"/>
      <c r="L282" s="193"/>
      <c r="M282" s="622">
        <f t="shared" si="343"/>
        <v>583.29599999999994</v>
      </c>
      <c r="N282" s="194">
        <f>'3.3.8.5'!R24</f>
        <v>1.2</v>
      </c>
      <c r="O282" s="622">
        <f t="shared" si="349"/>
        <v>583.29</v>
      </c>
      <c r="P282" s="264">
        <f>'3.3.8.5'!R25</f>
        <v>0</v>
      </c>
      <c r="Q282" s="622">
        <f t="shared" si="345"/>
        <v>0</v>
      </c>
      <c r="R282" s="194">
        <f t="shared" si="350"/>
        <v>1.2</v>
      </c>
      <c r="S282" s="630">
        <f t="shared" si="351"/>
        <v>583.29</v>
      </c>
      <c r="T282" s="194">
        <f t="shared" ref="T282:T353" si="352">F282-R282</f>
        <v>0</v>
      </c>
      <c r="U282" s="630">
        <f t="shared" si="348"/>
        <v>0</v>
      </c>
    </row>
    <row r="283" spans="1:21" ht="51">
      <c r="A283" s="190" t="s">
        <v>446</v>
      </c>
      <c r="B283" s="191">
        <v>50602</v>
      </c>
      <c r="C283" s="657" t="s">
        <v>199</v>
      </c>
      <c r="D283" s="192" t="s">
        <v>57</v>
      </c>
      <c r="E283" s="193">
        <v>62.2</v>
      </c>
      <c r="F283" s="194">
        <v>59.43</v>
      </c>
      <c r="G283" s="194"/>
      <c r="H283" s="194"/>
      <c r="I283" s="193">
        <f t="shared" si="341"/>
        <v>59.43</v>
      </c>
      <c r="J283" s="193">
        <f t="shared" si="342"/>
        <v>3696.5460000000003</v>
      </c>
      <c r="K283" s="193"/>
      <c r="L283" s="193"/>
      <c r="M283" s="622">
        <f t="shared" si="343"/>
        <v>3696.5460000000003</v>
      </c>
      <c r="N283" s="194">
        <f>'3.3.8.6'!R24</f>
        <v>59.43</v>
      </c>
      <c r="O283" s="622">
        <f t="shared" si="349"/>
        <v>3696.54</v>
      </c>
      <c r="P283" s="264">
        <f>'3.3.8.6'!R25</f>
        <v>0</v>
      </c>
      <c r="Q283" s="622">
        <f t="shared" si="345"/>
        <v>0</v>
      </c>
      <c r="R283" s="194">
        <f t="shared" si="350"/>
        <v>59.43</v>
      </c>
      <c r="S283" s="630">
        <f t="shared" si="351"/>
        <v>3696.54</v>
      </c>
      <c r="T283" s="194">
        <f t="shared" si="352"/>
        <v>0</v>
      </c>
      <c r="U283" s="630">
        <f t="shared" si="348"/>
        <v>0</v>
      </c>
    </row>
    <row r="284" spans="1:21">
      <c r="A284" s="138"/>
      <c r="B284" s="132"/>
      <c r="C284" s="123"/>
      <c r="D284" s="123"/>
      <c r="E284" s="123"/>
      <c r="F284" s="123"/>
      <c r="G284" s="123"/>
      <c r="H284" s="123"/>
      <c r="I284" s="123"/>
      <c r="J284" s="123"/>
      <c r="K284" s="123"/>
      <c r="L284" s="123"/>
      <c r="M284" s="623"/>
      <c r="N284" s="123"/>
      <c r="O284" s="623"/>
      <c r="P284" s="123"/>
      <c r="Q284" s="623"/>
      <c r="R284" s="123"/>
      <c r="S284" s="631"/>
      <c r="T284" s="123"/>
      <c r="U284" s="631"/>
    </row>
    <row r="285" spans="1:21" s="131" customFormat="1">
      <c r="A285" s="137" t="s">
        <v>447</v>
      </c>
      <c r="B285" s="133"/>
      <c r="C285" s="658" t="s">
        <v>201</v>
      </c>
      <c r="D285" s="126"/>
      <c r="E285" s="127"/>
      <c r="F285" s="128"/>
      <c r="G285" s="128"/>
      <c r="H285" s="128"/>
      <c r="I285" s="129"/>
      <c r="J285" s="129">
        <f>SUBTOTAL(9,J286:J289)</f>
        <v>6351.6699999999992</v>
      </c>
      <c r="K285" s="129"/>
      <c r="L285" s="129"/>
      <c r="M285" s="624"/>
      <c r="N285" s="130"/>
      <c r="O285" s="624">
        <f>SUBTOTAL(9,O286:O289)</f>
        <v>6351.66</v>
      </c>
      <c r="P285" s="130"/>
      <c r="Q285" s="624">
        <f>SUBTOTAL(9,Q286:Q289)</f>
        <v>0</v>
      </c>
      <c r="R285" s="129"/>
      <c r="S285" s="624">
        <f>SUBTOTAL(9,S286:S289)</f>
        <v>6351.66</v>
      </c>
      <c r="T285" s="129">
        <f t="shared" si="352"/>
        <v>0</v>
      </c>
      <c r="U285" s="624">
        <f>SUBTOTAL(9,U286:U289)</f>
        <v>0</v>
      </c>
    </row>
    <row r="286" spans="1:21" ht="25.5">
      <c r="A286" s="190" t="s">
        <v>448</v>
      </c>
      <c r="B286" s="191" t="s">
        <v>206</v>
      </c>
      <c r="C286" s="657" t="s">
        <v>207</v>
      </c>
      <c r="D286" s="192" t="s">
        <v>60</v>
      </c>
      <c r="E286" s="193">
        <v>72.83</v>
      </c>
      <c r="F286" s="194">
        <v>39.799999999999997</v>
      </c>
      <c r="G286" s="194"/>
      <c r="H286" s="194"/>
      <c r="I286" s="193">
        <f t="shared" ref="I286:I289" si="353">F286+G286-H286</f>
        <v>39.799999999999997</v>
      </c>
      <c r="J286" s="193">
        <f t="shared" ref="J286:J289" si="354">I286*E286</f>
        <v>2898.6339999999996</v>
      </c>
      <c r="K286" s="193"/>
      <c r="L286" s="193"/>
      <c r="M286" s="622">
        <f t="shared" ref="M286:M289" si="355">I286*E286</f>
        <v>2898.6339999999996</v>
      </c>
      <c r="N286" s="194">
        <f>'3.3.9.1'!R23</f>
        <v>39.799999999999997</v>
      </c>
      <c r="O286" s="622">
        <f t="shared" ref="O286" si="356">TRUNC(N286*E286,2)</f>
        <v>2898.63</v>
      </c>
      <c r="P286" s="194">
        <f>'3.3.9.1'!R24</f>
        <v>0</v>
      </c>
      <c r="Q286" s="622">
        <f t="shared" ref="Q286" si="357">S286-O286</f>
        <v>0</v>
      </c>
      <c r="R286" s="194">
        <f>P286+N286</f>
        <v>39.799999999999997</v>
      </c>
      <c r="S286" s="630">
        <f t="shared" ref="S286" si="358">TRUNC(R286*E286,2)</f>
        <v>2898.63</v>
      </c>
      <c r="T286" s="194">
        <f t="shared" si="352"/>
        <v>0</v>
      </c>
      <c r="U286" s="630">
        <f t="shared" ref="U286:U289" si="359">T286*E286</f>
        <v>0</v>
      </c>
    </row>
    <row r="287" spans="1:21">
      <c r="A287" s="190" t="s">
        <v>449</v>
      </c>
      <c r="B287" s="191">
        <v>90302</v>
      </c>
      <c r="C287" s="657" t="s">
        <v>208</v>
      </c>
      <c r="D287" s="192" t="s">
        <v>51</v>
      </c>
      <c r="E287" s="193">
        <v>31.38</v>
      </c>
      <c r="F287" s="194">
        <v>62.2</v>
      </c>
      <c r="G287" s="194"/>
      <c r="H287" s="194"/>
      <c r="I287" s="193">
        <f t="shared" si="353"/>
        <v>62.2</v>
      </c>
      <c r="J287" s="193">
        <f t="shared" si="354"/>
        <v>1951.836</v>
      </c>
      <c r="K287" s="193"/>
      <c r="L287" s="193"/>
      <c r="M287" s="622">
        <f t="shared" si="355"/>
        <v>1951.836</v>
      </c>
      <c r="N287" s="194">
        <f>'3.3.9.2'!R23</f>
        <v>62.2</v>
      </c>
      <c r="O287" s="622">
        <f>TRUNC(N287*E287,2)</f>
        <v>1951.83</v>
      </c>
      <c r="P287" s="194">
        <f>'3.3.9.2'!R24</f>
        <v>0</v>
      </c>
      <c r="Q287" s="622">
        <f>S287-O287</f>
        <v>0</v>
      </c>
      <c r="R287" s="194">
        <f>P287+N287</f>
        <v>62.2</v>
      </c>
      <c r="S287" s="630">
        <f>TRUNC(R287*E287,2)</f>
        <v>1951.83</v>
      </c>
      <c r="T287" s="194">
        <f t="shared" si="352"/>
        <v>0</v>
      </c>
      <c r="U287" s="630">
        <f t="shared" si="359"/>
        <v>0</v>
      </c>
    </row>
    <row r="288" spans="1:21" ht="25.5">
      <c r="A288" s="190" t="s">
        <v>450</v>
      </c>
      <c r="B288" s="191">
        <v>141909</v>
      </c>
      <c r="C288" s="657" t="s">
        <v>209</v>
      </c>
      <c r="D288" s="192" t="s">
        <v>51</v>
      </c>
      <c r="E288" s="193">
        <v>61.57</v>
      </c>
      <c r="F288" s="194">
        <v>10</v>
      </c>
      <c r="G288" s="194"/>
      <c r="H288" s="194"/>
      <c r="I288" s="193">
        <f t="shared" si="353"/>
        <v>10</v>
      </c>
      <c r="J288" s="193">
        <f t="shared" si="354"/>
        <v>615.70000000000005</v>
      </c>
      <c r="K288" s="193"/>
      <c r="L288" s="193"/>
      <c r="M288" s="622">
        <f t="shared" si="355"/>
        <v>615.70000000000005</v>
      </c>
      <c r="N288" s="194">
        <f>'3.3.9.3'!R23</f>
        <v>10</v>
      </c>
      <c r="O288" s="622">
        <f t="shared" ref="O288:O289" si="360">TRUNC(N288*E288,2)</f>
        <v>615.70000000000005</v>
      </c>
      <c r="P288" s="194">
        <f>'3.3.9.3'!R24</f>
        <v>0</v>
      </c>
      <c r="Q288" s="622">
        <f t="shared" ref="Q288:Q289" si="361">S288-O288</f>
        <v>0</v>
      </c>
      <c r="R288" s="194">
        <f t="shared" ref="R288:R289" si="362">P288+N288</f>
        <v>10</v>
      </c>
      <c r="S288" s="630">
        <f t="shared" ref="S288:S289" si="363">TRUNC(R288*E288,2)</f>
        <v>615.70000000000005</v>
      </c>
      <c r="T288" s="194">
        <f t="shared" si="352"/>
        <v>0</v>
      </c>
      <c r="U288" s="630">
        <f t="shared" si="359"/>
        <v>0</v>
      </c>
    </row>
    <row r="289" spans="1:21" ht="25.5">
      <c r="A289" s="190" t="s">
        <v>451</v>
      </c>
      <c r="B289" s="191">
        <v>140904</v>
      </c>
      <c r="C289" s="657" t="s">
        <v>210</v>
      </c>
      <c r="D289" s="192" t="s">
        <v>51</v>
      </c>
      <c r="E289" s="193">
        <v>80.5</v>
      </c>
      <c r="F289" s="194">
        <v>11</v>
      </c>
      <c r="G289" s="194"/>
      <c r="H289" s="194"/>
      <c r="I289" s="193">
        <f t="shared" si="353"/>
        <v>11</v>
      </c>
      <c r="J289" s="193">
        <f t="shared" si="354"/>
        <v>885.5</v>
      </c>
      <c r="K289" s="193"/>
      <c r="L289" s="193"/>
      <c r="M289" s="622">
        <f t="shared" si="355"/>
        <v>885.5</v>
      </c>
      <c r="N289" s="194">
        <f>'3.3.9.4'!R23</f>
        <v>11</v>
      </c>
      <c r="O289" s="622">
        <f t="shared" si="360"/>
        <v>885.5</v>
      </c>
      <c r="P289" s="194">
        <f>'3.3.9.4'!R24</f>
        <v>0</v>
      </c>
      <c r="Q289" s="622">
        <f t="shared" si="361"/>
        <v>0</v>
      </c>
      <c r="R289" s="194">
        <f t="shared" si="362"/>
        <v>11</v>
      </c>
      <c r="S289" s="630">
        <f t="shared" si="363"/>
        <v>885.5</v>
      </c>
      <c r="T289" s="194">
        <f t="shared" si="352"/>
        <v>0</v>
      </c>
      <c r="U289" s="630">
        <f t="shared" si="359"/>
        <v>0</v>
      </c>
    </row>
    <row r="290" spans="1:21">
      <c r="A290" s="138"/>
      <c r="B290" s="132"/>
      <c r="C290" s="123"/>
      <c r="D290" s="123"/>
      <c r="E290" s="123"/>
      <c r="F290" s="123"/>
      <c r="G290" s="123"/>
      <c r="H290" s="123"/>
      <c r="I290" s="123"/>
      <c r="J290" s="123"/>
      <c r="K290" s="123"/>
      <c r="L290" s="123"/>
      <c r="M290" s="623"/>
      <c r="N290" s="123"/>
      <c r="O290" s="623"/>
      <c r="P290" s="123"/>
      <c r="Q290" s="623"/>
      <c r="R290" s="123"/>
      <c r="S290" s="631"/>
      <c r="T290" s="123"/>
      <c r="U290" s="631"/>
    </row>
    <row r="291" spans="1:21" s="131" customFormat="1">
      <c r="A291" s="137" t="s">
        <v>894</v>
      </c>
      <c r="B291" s="133"/>
      <c r="C291" s="658" t="s">
        <v>212</v>
      </c>
      <c r="D291" s="126"/>
      <c r="E291" s="127"/>
      <c r="F291" s="128"/>
      <c r="G291" s="128"/>
      <c r="H291" s="128"/>
      <c r="I291" s="129"/>
      <c r="J291" s="129">
        <f>SUBTOTAL(9,J292:J302)</f>
        <v>115012.46699999998</v>
      </c>
      <c r="K291" s="129"/>
      <c r="L291" s="129"/>
      <c r="M291" s="624"/>
      <c r="N291" s="130"/>
      <c r="O291" s="624">
        <f>SUBTOTAL(9,O292:O302)</f>
        <v>115012.40999999999</v>
      </c>
      <c r="P291" s="130"/>
      <c r="Q291" s="624">
        <f>SUBTOTAL(9,Q292:Q302)</f>
        <v>0</v>
      </c>
      <c r="R291" s="129"/>
      <c r="S291" s="624">
        <f>SUBTOTAL(9,S292:S302)</f>
        <v>115012.40999999999</v>
      </c>
      <c r="T291" s="129">
        <f t="shared" si="352"/>
        <v>0</v>
      </c>
      <c r="U291" s="624">
        <f>SUBTOTAL(9,U292:U302)</f>
        <v>0</v>
      </c>
    </row>
    <row r="292" spans="1:21" ht="21.75" customHeight="1">
      <c r="A292" s="190" t="s">
        <v>452</v>
      </c>
      <c r="B292" s="191" t="s">
        <v>224</v>
      </c>
      <c r="C292" s="657" t="s">
        <v>229</v>
      </c>
      <c r="D292" s="192" t="s">
        <v>50</v>
      </c>
      <c r="E292" s="193">
        <v>280.31</v>
      </c>
      <c r="F292" s="194">
        <v>118.46</v>
      </c>
      <c r="G292" s="194"/>
      <c r="H292" s="194"/>
      <c r="I292" s="193">
        <f t="shared" ref="I292:I302" si="364">F292+G292-H292</f>
        <v>118.46</v>
      </c>
      <c r="J292" s="193">
        <f t="shared" ref="J292:J302" si="365">I292*E292</f>
        <v>33205.522599999997</v>
      </c>
      <c r="K292" s="193"/>
      <c r="L292" s="193"/>
      <c r="M292" s="622">
        <f t="shared" ref="M292:M302" si="366">I292*E292</f>
        <v>33205.522599999997</v>
      </c>
      <c r="N292" s="194">
        <f>'3.3.10.1'!R24</f>
        <v>118.46</v>
      </c>
      <c r="O292" s="622">
        <f t="shared" ref="O292" si="367">TRUNC(N292*E292,2)</f>
        <v>33205.519999999997</v>
      </c>
      <c r="P292" s="264">
        <f>'3.3.10.1'!R25</f>
        <v>0</v>
      </c>
      <c r="Q292" s="622">
        <f>P292*E292</f>
        <v>0</v>
      </c>
      <c r="R292" s="194">
        <f t="shared" ref="R292" si="368">P292+N292</f>
        <v>118.46</v>
      </c>
      <c r="S292" s="630">
        <f t="shared" ref="S292" si="369">TRUNC(R292*E292,2)</f>
        <v>33205.519999999997</v>
      </c>
      <c r="T292" s="194">
        <f t="shared" si="352"/>
        <v>0</v>
      </c>
      <c r="U292" s="630">
        <f t="shared" ref="U292:U302" si="370">T292*E292</f>
        <v>0</v>
      </c>
    </row>
    <row r="293" spans="1:21">
      <c r="A293" s="190" t="s">
        <v>453</v>
      </c>
      <c r="B293" s="191" t="s">
        <v>225</v>
      </c>
      <c r="C293" s="657" t="s">
        <v>230</v>
      </c>
      <c r="D293" s="192" t="s">
        <v>50</v>
      </c>
      <c r="E293" s="193">
        <v>645.84</v>
      </c>
      <c r="F293" s="194">
        <v>11.14</v>
      </c>
      <c r="G293" s="194"/>
      <c r="H293" s="194"/>
      <c r="I293" s="193">
        <f t="shared" si="364"/>
        <v>11.14</v>
      </c>
      <c r="J293" s="193">
        <f t="shared" si="365"/>
        <v>7194.6576000000005</v>
      </c>
      <c r="K293" s="193"/>
      <c r="L293" s="193"/>
      <c r="M293" s="622">
        <f t="shared" si="366"/>
        <v>7194.6576000000005</v>
      </c>
      <c r="N293" s="194">
        <f>'3.3.10.2'!R17</f>
        <v>11.14</v>
      </c>
      <c r="O293" s="622">
        <f>TRUNC(N293*E293,2)</f>
        <v>7194.65</v>
      </c>
      <c r="P293" s="194">
        <f>'3.3.10.2'!R18</f>
        <v>0</v>
      </c>
      <c r="Q293" s="622">
        <f>S293-O293</f>
        <v>0</v>
      </c>
      <c r="R293" s="194">
        <f>P293+N293</f>
        <v>11.14</v>
      </c>
      <c r="S293" s="630">
        <f>TRUNC(R293*E293,2)</f>
        <v>7194.65</v>
      </c>
      <c r="T293" s="194">
        <f t="shared" si="352"/>
        <v>0</v>
      </c>
      <c r="U293" s="630">
        <f t="shared" si="370"/>
        <v>0</v>
      </c>
    </row>
    <row r="294" spans="1:21" ht="25.5">
      <c r="A294" s="190" t="s">
        <v>454</v>
      </c>
      <c r="B294" s="191" t="s">
        <v>226</v>
      </c>
      <c r="C294" s="657" t="s">
        <v>231</v>
      </c>
      <c r="D294" s="192" t="s">
        <v>50</v>
      </c>
      <c r="E294" s="193">
        <v>651.87</v>
      </c>
      <c r="F294" s="194">
        <v>11.25</v>
      </c>
      <c r="G294" s="194"/>
      <c r="H294" s="194"/>
      <c r="I294" s="193">
        <f t="shared" si="364"/>
        <v>11.25</v>
      </c>
      <c r="J294" s="193">
        <f t="shared" si="365"/>
        <v>7333.5375000000004</v>
      </c>
      <c r="K294" s="193"/>
      <c r="L294" s="193"/>
      <c r="M294" s="622">
        <f t="shared" si="366"/>
        <v>7333.5375000000004</v>
      </c>
      <c r="N294" s="194">
        <f>'3.3.10.3'!R17</f>
        <v>11.25</v>
      </c>
      <c r="O294" s="622">
        <f t="shared" ref="O294:O302" si="371">TRUNC(N294*E294,2)</f>
        <v>7333.53</v>
      </c>
      <c r="P294" s="194">
        <f>'3.3.10.3'!R18</f>
        <v>0</v>
      </c>
      <c r="Q294" s="622">
        <f t="shared" ref="Q294:Q302" si="372">S294-O294</f>
        <v>0</v>
      </c>
      <c r="R294" s="194">
        <f t="shared" ref="R294:R302" si="373">P294+N294</f>
        <v>11.25</v>
      </c>
      <c r="S294" s="630">
        <f t="shared" ref="S294:S302" si="374">TRUNC(R294*E294,2)</f>
        <v>7333.53</v>
      </c>
      <c r="T294" s="194">
        <f t="shared" si="352"/>
        <v>0</v>
      </c>
      <c r="U294" s="630">
        <f t="shared" si="370"/>
        <v>0</v>
      </c>
    </row>
    <row r="295" spans="1:21" ht="25.5">
      <c r="A295" s="190" t="s">
        <v>455</v>
      </c>
      <c r="B295" s="191">
        <v>210322</v>
      </c>
      <c r="C295" s="657" t="s">
        <v>232</v>
      </c>
      <c r="D295" s="192" t="s">
        <v>51</v>
      </c>
      <c r="E295" s="193">
        <v>91.5</v>
      </c>
      <c r="F295" s="194">
        <v>17.55</v>
      </c>
      <c r="G295" s="194"/>
      <c r="H295" s="194"/>
      <c r="I295" s="193">
        <f t="shared" si="364"/>
        <v>17.55</v>
      </c>
      <c r="J295" s="193">
        <f t="shared" si="365"/>
        <v>1605.825</v>
      </c>
      <c r="K295" s="193"/>
      <c r="L295" s="193"/>
      <c r="M295" s="622">
        <f t="shared" si="366"/>
        <v>1605.825</v>
      </c>
      <c r="N295" s="194">
        <f>'3.3.10.4'!R17</f>
        <v>17.55</v>
      </c>
      <c r="O295" s="622">
        <f t="shared" si="371"/>
        <v>1605.82</v>
      </c>
      <c r="P295" s="194">
        <f>'3.3.10.4'!R18</f>
        <v>0</v>
      </c>
      <c r="Q295" s="622">
        <f t="shared" si="372"/>
        <v>0</v>
      </c>
      <c r="R295" s="194">
        <f t="shared" si="373"/>
        <v>17.55</v>
      </c>
      <c r="S295" s="630">
        <f t="shared" si="374"/>
        <v>1605.82</v>
      </c>
      <c r="T295" s="194">
        <f t="shared" si="352"/>
        <v>0</v>
      </c>
      <c r="U295" s="630">
        <f t="shared" si="370"/>
        <v>0</v>
      </c>
    </row>
    <row r="296" spans="1:21" ht="25.5">
      <c r="A296" s="190" t="s">
        <v>456</v>
      </c>
      <c r="B296" s="191" t="s">
        <v>227</v>
      </c>
      <c r="C296" s="657" t="s">
        <v>233</v>
      </c>
      <c r="D296" s="192" t="s">
        <v>51</v>
      </c>
      <c r="E296" s="193">
        <v>366.23</v>
      </c>
      <c r="F296" s="194">
        <v>4.1500000000000004</v>
      </c>
      <c r="G296" s="194"/>
      <c r="H296" s="194"/>
      <c r="I296" s="193">
        <f t="shared" si="364"/>
        <v>4.1500000000000004</v>
      </c>
      <c r="J296" s="193">
        <f t="shared" si="365"/>
        <v>1519.8545000000001</v>
      </c>
      <c r="K296" s="193"/>
      <c r="L296" s="193"/>
      <c r="M296" s="622">
        <f t="shared" si="366"/>
        <v>1519.8545000000001</v>
      </c>
      <c r="N296" s="194">
        <f>'3.3.10.5'!R17</f>
        <v>4.1500000000000004</v>
      </c>
      <c r="O296" s="622">
        <f t="shared" si="371"/>
        <v>1519.85</v>
      </c>
      <c r="P296" s="194">
        <f>'3.3.10.5'!R18</f>
        <v>0</v>
      </c>
      <c r="Q296" s="622">
        <f t="shared" si="372"/>
        <v>0</v>
      </c>
      <c r="R296" s="194">
        <f>P296+N296</f>
        <v>4.1500000000000004</v>
      </c>
      <c r="S296" s="630">
        <f t="shared" si="374"/>
        <v>1519.85</v>
      </c>
      <c r="T296" s="194">
        <f t="shared" si="352"/>
        <v>0</v>
      </c>
      <c r="U296" s="630">
        <f t="shared" si="370"/>
        <v>0</v>
      </c>
    </row>
    <row r="297" spans="1:21" ht="51">
      <c r="A297" s="190" t="s">
        <v>457</v>
      </c>
      <c r="B297" s="191">
        <v>50608</v>
      </c>
      <c r="C297" s="657" t="s">
        <v>234</v>
      </c>
      <c r="D297" s="192" t="s">
        <v>57</v>
      </c>
      <c r="E297" s="193">
        <v>88.68</v>
      </c>
      <c r="F297" s="194">
        <v>6.97</v>
      </c>
      <c r="G297" s="194"/>
      <c r="H297" s="194"/>
      <c r="I297" s="193">
        <f t="shared" si="364"/>
        <v>6.97</v>
      </c>
      <c r="J297" s="193">
        <f t="shared" si="365"/>
        <v>618.09960000000001</v>
      </c>
      <c r="K297" s="193"/>
      <c r="L297" s="193"/>
      <c r="M297" s="622">
        <f t="shared" si="366"/>
        <v>618.09960000000001</v>
      </c>
      <c r="N297" s="194">
        <f>'3.3.10.6'!R24</f>
        <v>6.97</v>
      </c>
      <c r="O297" s="622">
        <f t="shared" si="371"/>
        <v>618.09</v>
      </c>
      <c r="P297" s="264">
        <f>'3.3.10.6'!R25</f>
        <v>0</v>
      </c>
      <c r="Q297" s="622">
        <f t="shared" si="372"/>
        <v>0</v>
      </c>
      <c r="R297" s="194">
        <f>P297+N297</f>
        <v>6.97</v>
      </c>
      <c r="S297" s="630">
        <f t="shared" si="374"/>
        <v>618.09</v>
      </c>
      <c r="T297" s="194">
        <f t="shared" si="352"/>
        <v>0</v>
      </c>
      <c r="U297" s="630">
        <f t="shared" si="370"/>
        <v>0</v>
      </c>
    </row>
    <row r="298" spans="1:21" ht="35.25" customHeight="1">
      <c r="A298" s="190" t="s">
        <v>458</v>
      </c>
      <c r="B298" s="191">
        <v>120101</v>
      </c>
      <c r="C298" s="657" t="s">
        <v>235</v>
      </c>
      <c r="D298" s="192" t="s">
        <v>57</v>
      </c>
      <c r="E298" s="193">
        <v>5.64</v>
      </c>
      <c r="F298" s="194">
        <v>540.16999999999996</v>
      </c>
      <c r="G298" s="194"/>
      <c r="H298" s="194"/>
      <c r="I298" s="193">
        <f t="shared" si="364"/>
        <v>540.16999999999996</v>
      </c>
      <c r="J298" s="193">
        <f t="shared" si="365"/>
        <v>3046.5587999999998</v>
      </c>
      <c r="K298" s="193"/>
      <c r="L298" s="193"/>
      <c r="M298" s="622">
        <f t="shared" si="366"/>
        <v>3046.5587999999998</v>
      </c>
      <c r="N298" s="194">
        <f>'3.3.10.7'!R24</f>
        <v>540.16999999999996</v>
      </c>
      <c r="O298" s="622">
        <f t="shared" si="371"/>
        <v>3046.55</v>
      </c>
      <c r="P298" s="264">
        <f>'3.3.10.7'!R25</f>
        <v>0</v>
      </c>
      <c r="Q298" s="622">
        <f t="shared" si="372"/>
        <v>0</v>
      </c>
      <c r="R298" s="194">
        <f>P298+N298</f>
        <v>540.16999999999996</v>
      </c>
      <c r="S298" s="630">
        <f t="shared" si="374"/>
        <v>3046.55</v>
      </c>
      <c r="T298" s="194">
        <f t="shared" si="352"/>
        <v>0</v>
      </c>
      <c r="U298" s="630">
        <f t="shared" si="370"/>
        <v>0</v>
      </c>
    </row>
    <row r="299" spans="1:21" ht="25.5">
      <c r="A299" s="190" t="s">
        <v>459</v>
      </c>
      <c r="B299" s="191">
        <v>120303</v>
      </c>
      <c r="C299" s="657" t="s">
        <v>236</v>
      </c>
      <c r="D299" s="192" t="s">
        <v>57</v>
      </c>
      <c r="E299" s="193">
        <v>49.24</v>
      </c>
      <c r="F299" s="194">
        <v>540.16999999999996</v>
      </c>
      <c r="G299" s="194"/>
      <c r="H299" s="194"/>
      <c r="I299" s="193">
        <f t="shared" si="364"/>
        <v>540.16999999999996</v>
      </c>
      <c r="J299" s="193">
        <f t="shared" si="365"/>
        <v>26597.970799999999</v>
      </c>
      <c r="K299" s="193"/>
      <c r="L299" s="193"/>
      <c r="M299" s="622">
        <f t="shared" si="366"/>
        <v>26597.970799999999</v>
      </c>
      <c r="N299" s="194">
        <f>'3.3.10.8'!R24</f>
        <v>540.16999999999996</v>
      </c>
      <c r="O299" s="622">
        <f t="shared" si="371"/>
        <v>26597.97</v>
      </c>
      <c r="P299" s="264">
        <f>'3.3.10.8'!R25</f>
        <v>0</v>
      </c>
      <c r="Q299" s="622">
        <f t="shared" si="372"/>
        <v>0</v>
      </c>
      <c r="R299" s="194">
        <f t="shared" si="373"/>
        <v>540.16999999999996</v>
      </c>
      <c r="S299" s="630">
        <f t="shared" si="374"/>
        <v>26597.97</v>
      </c>
      <c r="T299" s="194">
        <f t="shared" si="352"/>
        <v>0</v>
      </c>
      <c r="U299" s="630">
        <f t="shared" si="370"/>
        <v>0</v>
      </c>
    </row>
    <row r="300" spans="1:21" ht="25.5">
      <c r="A300" s="190" t="s">
        <v>460</v>
      </c>
      <c r="B300" s="191">
        <v>190117</v>
      </c>
      <c r="C300" s="657" t="s">
        <v>237</v>
      </c>
      <c r="D300" s="192" t="s">
        <v>57</v>
      </c>
      <c r="E300" s="193">
        <v>18.27</v>
      </c>
      <c r="F300" s="194">
        <v>540.16999999999996</v>
      </c>
      <c r="G300" s="194"/>
      <c r="H300" s="194"/>
      <c r="I300" s="193">
        <f t="shared" si="364"/>
        <v>540.16999999999996</v>
      </c>
      <c r="J300" s="193">
        <f t="shared" si="365"/>
        <v>9868.9058999999997</v>
      </c>
      <c r="K300" s="193"/>
      <c r="L300" s="193"/>
      <c r="M300" s="622">
        <f t="shared" si="366"/>
        <v>9868.9058999999997</v>
      </c>
      <c r="N300" s="194">
        <f>'3.3.10.9'!R24</f>
        <v>540.16999999999996</v>
      </c>
      <c r="O300" s="622">
        <f t="shared" si="371"/>
        <v>9868.9</v>
      </c>
      <c r="P300" s="264">
        <f>'3.3.10.9'!R25</f>
        <v>0</v>
      </c>
      <c r="Q300" s="622">
        <f t="shared" si="372"/>
        <v>0</v>
      </c>
      <c r="R300" s="194">
        <f t="shared" si="373"/>
        <v>540.16999999999996</v>
      </c>
      <c r="S300" s="630">
        <f t="shared" si="374"/>
        <v>9868.9</v>
      </c>
      <c r="T300" s="194">
        <f t="shared" si="352"/>
        <v>0</v>
      </c>
      <c r="U300" s="630">
        <f t="shared" si="370"/>
        <v>0</v>
      </c>
    </row>
    <row r="301" spans="1:21" ht="52.5" customHeight="1">
      <c r="A301" s="190" t="s">
        <v>461</v>
      </c>
      <c r="B301" s="191">
        <v>130230</v>
      </c>
      <c r="C301" s="657" t="s">
        <v>238</v>
      </c>
      <c r="D301" s="192" t="s">
        <v>57</v>
      </c>
      <c r="E301" s="193">
        <v>106.19</v>
      </c>
      <c r="F301" s="194">
        <v>157.13</v>
      </c>
      <c r="G301" s="194"/>
      <c r="H301" s="194"/>
      <c r="I301" s="193">
        <f t="shared" si="364"/>
        <v>157.13</v>
      </c>
      <c r="J301" s="193">
        <f t="shared" si="365"/>
        <v>16685.634699999999</v>
      </c>
      <c r="K301" s="193"/>
      <c r="L301" s="193"/>
      <c r="M301" s="622">
        <f t="shared" si="366"/>
        <v>16685.634699999999</v>
      </c>
      <c r="N301" s="194">
        <f>'3.3.10.10'!R23</f>
        <v>157.13000000000002</v>
      </c>
      <c r="O301" s="622">
        <f t="shared" si="371"/>
        <v>16685.63</v>
      </c>
      <c r="P301" s="560">
        <f>'3.3.10.10'!R24</f>
        <v>0</v>
      </c>
      <c r="Q301" s="622">
        <f t="shared" si="372"/>
        <v>0</v>
      </c>
      <c r="R301" s="194">
        <f t="shared" si="373"/>
        <v>157.13000000000002</v>
      </c>
      <c r="S301" s="630">
        <f t="shared" si="374"/>
        <v>16685.63</v>
      </c>
      <c r="T301" s="194">
        <f>I301-R301</f>
        <v>0</v>
      </c>
      <c r="U301" s="630">
        <f t="shared" si="370"/>
        <v>0</v>
      </c>
    </row>
    <row r="302" spans="1:21" ht="25.5">
      <c r="A302" s="190" t="s">
        <v>462</v>
      </c>
      <c r="B302" s="191" t="s">
        <v>228</v>
      </c>
      <c r="C302" s="657" t="s">
        <v>239</v>
      </c>
      <c r="D302" s="192" t="s">
        <v>72</v>
      </c>
      <c r="E302" s="193">
        <v>333.45</v>
      </c>
      <c r="F302" s="194">
        <v>22</v>
      </c>
      <c r="G302" s="194"/>
      <c r="H302" s="194"/>
      <c r="I302" s="193">
        <f t="shared" si="364"/>
        <v>22</v>
      </c>
      <c r="J302" s="193">
        <f t="shared" si="365"/>
        <v>7335.9</v>
      </c>
      <c r="K302" s="193"/>
      <c r="L302" s="193"/>
      <c r="M302" s="622">
        <f t="shared" si="366"/>
        <v>7335.9</v>
      </c>
      <c r="N302" s="194">
        <v>22</v>
      </c>
      <c r="O302" s="622">
        <f t="shared" si="371"/>
        <v>7335.9</v>
      </c>
      <c r="P302" s="560">
        <v>0</v>
      </c>
      <c r="Q302" s="622">
        <f t="shared" si="372"/>
        <v>0</v>
      </c>
      <c r="R302" s="194">
        <f t="shared" si="373"/>
        <v>22</v>
      </c>
      <c r="S302" s="630">
        <f t="shared" si="374"/>
        <v>7335.9</v>
      </c>
      <c r="T302" s="194">
        <f t="shared" si="352"/>
        <v>0</v>
      </c>
      <c r="U302" s="630">
        <f t="shared" si="370"/>
        <v>0</v>
      </c>
    </row>
    <row r="303" spans="1:21">
      <c r="A303" s="138"/>
      <c r="B303" s="132"/>
      <c r="C303" s="123"/>
      <c r="D303" s="123"/>
      <c r="E303" s="123"/>
      <c r="F303" s="123"/>
      <c r="G303" s="123"/>
      <c r="H303" s="123"/>
      <c r="I303" s="123"/>
      <c r="J303" s="123"/>
      <c r="K303" s="123"/>
      <c r="L303" s="123"/>
      <c r="M303" s="623"/>
      <c r="N303" s="123"/>
      <c r="O303" s="623"/>
      <c r="P303" s="123"/>
      <c r="Q303" s="623"/>
      <c r="R303" s="123"/>
      <c r="S303" s="631"/>
      <c r="T303" s="123"/>
      <c r="U303" s="631"/>
    </row>
    <row r="304" spans="1:21" s="213" customFormat="1">
      <c r="A304" s="210" t="s">
        <v>463</v>
      </c>
      <c r="B304" s="211"/>
      <c r="C304" s="655" t="s">
        <v>240</v>
      </c>
      <c r="D304" s="197"/>
      <c r="E304" s="198"/>
      <c r="F304" s="199"/>
      <c r="G304" s="199"/>
      <c r="H304" s="199"/>
      <c r="I304" s="200"/>
      <c r="J304" s="200">
        <f>SUBTOTAL(9,J305:J344)</f>
        <v>489198.49390000006</v>
      </c>
      <c r="K304" s="200"/>
      <c r="L304" s="200"/>
      <c r="M304" s="620"/>
      <c r="N304" s="201"/>
      <c r="O304" s="620">
        <f>SUBTOTAL(9,O305:O344)</f>
        <v>805578.022</v>
      </c>
      <c r="P304" s="201"/>
      <c r="Q304" s="620">
        <f>SUBTOTAL(9,Q305:Q344)</f>
        <v>0</v>
      </c>
      <c r="R304" s="200"/>
      <c r="S304" s="620">
        <f>SUBTOTAL(9,S305:S344)</f>
        <v>805578.022</v>
      </c>
      <c r="T304" s="200">
        <f t="shared" si="352"/>
        <v>0</v>
      </c>
      <c r="U304" s="620">
        <f>SUBTOTAL(9,U305:U344)</f>
        <v>0</v>
      </c>
    </row>
    <row r="305" spans="1:21" s="131" customFormat="1">
      <c r="A305" s="137" t="s">
        <v>464</v>
      </c>
      <c r="B305" s="133"/>
      <c r="C305" s="658" t="s">
        <v>242</v>
      </c>
      <c r="D305" s="126"/>
      <c r="E305" s="127"/>
      <c r="F305" s="128"/>
      <c r="G305" s="128"/>
      <c r="H305" s="128"/>
      <c r="I305" s="129"/>
      <c r="J305" s="129">
        <f>SUBTOTAL(9,J306:J317)</f>
        <v>296584.22210000007</v>
      </c>
      <c r="K305" s="129"/>
      <c r="L305" s="129"/>
      <c r="M305" s="624"/>
      <c r="N305" s="130"/>
      <c r="O305" s="624">
        <f>SUBTOTAL(9,O306:O317)</f>
        <v>304353.90000000002</v>
      </c>
      <c r="P305" s="130"/>
      <c r="Q305" s="624">
        <f>SUBTOTAL(9,Q306:Q317)</f>
        <v>0</v>
      </c>
      <c r="R305" s="129"/>
      <c r="S305" s="624">
        <f>SUBTOTAL(9,S306:S317)</f>
        <v>304353.90000000002</v>
      </c>
      <c r="T305" s="129">
        <f t="shared" si="352"/>
        <v>0</v>
      </c>
      <c r="U305" s="624">
        <f>SUBTOTAL(9,U306:U317)</f>
        <v>0</v>
      </c>
    </row>
    <row r="306" spans="1:21" ht="25.5">
      <c r="A306" s="190" t="s">
        <v>465</v>
      </c>
      <c r="B306" s="191">
        <v>40405</v>
      </c>
      <c r="C306" s="657" t="s">
        <v>264</v>
      </c>
      <c r="D306" s="192" t="s">
        <v>57</v>
      </c>
      <c r="E306" s="193">
        <v>86.33</v>
      </c>
      <c r="F306" s="194">
        <v>341</v>
      </c>
      <c r="G306" s="194">
        <v>90</v>
      </c>
      <c r="H306" s="194">
        <v>0</v>
      </c>
      <c r="I306" s="193">
        <f t="shared" ref="I306:I317" si="375">F306+G306-H306</f>
        <v>431</v>
      </c>
      <c r="J306" s="193">
        <f>F306*E306</f>
        <v>29438.53</v>
      </c>
      <c r="K306" s="193">
        <f t="shared" ref="K306" si="376">G306*E306</f>
        <v>7769.7</v>
      </c>
      <c r="L306" s="193"/>
      <c r="M306" s="622">
        <f>I306*E306</f>
        <v>37208.229999999996</v>
      </c>
      <c r="N306" s="194">
        <f>'3.4.1.1'!R17</f>
        <v>431</v>
      </c>
      <c r="O306" s="622">
        <f t="shared" ref="O306:O317" si="377">TRUNC(N306*E306,2)</f>
        <v>37208.230000000003</v>
      </c>
      <c r="P306" s="560">
        <v>0</v>
      </c>
      <c r="Q306" s="622">
        <f>P306*E306</f>
        <v>0</v>
      </c>
      <c r="R306" s="194">
        <f>P306+N306</f>
        <v>431</v>
      </c>
      <c r="S306" s="630">
        <f t="shared" ref="S306:S317" si="378">TRUNC(R306*E306,2)</f>
        <v>37208.230000000003</v>
      </c>
      <c r="T306" s="194">
        <f>I306-R306</f>
        <v>0</v>
      </c>
      <c r="U306" s="630">
        <v>0</v>
      </c>
    </row>
    <row r="307" spans="1:21" ht="25.5">
      <c r="A307" s="190" t="s">
        <v>466</v>
      </c>
      <c r="B307" s="191" t="s">
        <v>255</v>
      </c>
      <c r="C307" s="657" t="s">
        <v>265</v>
      </c>
      <c r="D307" s="192" t="s">
        <v>29</v>
      </c>
      <c r="E307" s="193">
        <v>7.33</v>
      </c>
      <c r="F307" s="194">
        <v>3966.02</v>
      </c>
      <c r="G307" s="194"/>
      <c r="H307" s="194"/>
      <c r="I307" s="193">
        <f t="shared" si="375"/>
        <v>3966.02</v>
      </c>
      <c r="J307" s="193">
        <f t="shared" ref="J307:J317" si="379">I307*E307</f>
        <v>29070.926599999999</v>
      </c>
      <c r="K307" s="193"/>
      <c r="L307" s="193"/>
      <c r="M307" s="622">
        <f t="shared" ref="M307:M317" si="380">I307*E307</f>
        <v>29070.926599999999</v>
      </c>
      <c r="N307" s="194">
        <v>3966.02</v>
      </c>
      <c r="O307" s="622">
        <f t="shared" si="377"/>
        <v>29070.92</v>
      </c>
      <c r="P307" s="560">
        <v>0</v>
      </c>
      <c r="Q307" s="622">
        <f>S307-O307</f>
        <v>0</v>
      </c>
      <c r="R307" s="194">
        <f t="shared" ref="R307:R317" si="381">P307+N307</f>
        <v>3966.02</v>
      </c>
      <c r="S307" s="630">
        <f t="shared" si="378"/>
        <v>29070.92</v>
      </c>
      <c r="T307" s="194">
        <f t="shared" si="352"/>
        <v>0</v>
      </c>
      <c r="U307" s="630">
        <f t="shared" ref="U307" si="382">T307*E307</f>
        <v>0</v>
      </c>
    </row>
    <row r="308" spans="1:21" ht="25.5">
      <c r="A308" s="190" t="s">
        <v>467</v>
      </c>
      <c r="B308" s="191">
        <v>40328</v>
      </c>
      <c r="C308" s="657" t="s">
        <v>147</v>
      </c>
      <c r="D308" s="192" t="s">
        <v>29</v>
      </c>
      <c r="E308" s="193">
        <v>7.98</v>
      </c>
      <c r="F308" s="194">
        <v>1880</v>
      </c>
      <c r="G308" s="194"/>
      <c r="H308" s="194"/>
      <c r="I308" s="193">
        <f t="shared" si="375"/>
        <v>1880</v>
      </c>
      <c r="J308" s="193">
        <f t="shared" si="379"/>
        <v>15002.400000000001</v>
      </c>
      <c r="K308" s="193"/>
      <c r="L308" s="193"/>
      <c r="M308" s="622">
        <f t="shared" si="380"/>
        <v>15002.400000000001</v>
      </c>
      <c r="N308" s="194">
        <v>1880</v>
      </c>
      <c r="O308" s="622">
        <f t="shared" si="377"/>
        <v>15002.4</v>
      </c>
      <c r="P308" s="560">
        <v>0</v>
      </c>
      <c r="Q308" s="622">
        <f t="shared" ref="Q308:Q316" si="383">S308-O308</f>
        <v>0</v>
      </c>
      <c r="R308" s="194">
        <f t="shared" si="381"/>
        <v>1880</v>
      </c>
      <c r="S308" s="630">
        <f t="shared" si="378"/>
        <v>15002.4</v>
      </c>
      <c r="T308" s="194">
        <f t="shared" si="352"/>
        <v>0</v>
      </c>
      <c r="U308" s="635">
        <v>0</v>
      </c>
    </row>
    <row r="309" spans="1:21">
      <c r="A309" s="190" t="s">
        <v>468</v>
      </c>
      <c r="B309" s="191" t="s">
        <v>256</v>
      </c>
      <c r="C309" s="657" t="s">
        <v>266</v>
      </c>
      <c r="D309" s="192" t="s">
        <v>29</v>
      </c>
      <c r="E309" s="193">
        <v>11.02</v>
      </c>
      <c r="F309" s="194">
        <v>73</v>
      </c>
      <c r="G309" s="194"/>
      <c r="H309" s="194"/>
      <c r="I309" s="193">
        <f t="shared" si="375"/>
        <v>73</v>
      </c>
      <c r="J309" s="193">
        <f t="shared" si="379"/>
        <v>804.45999999999992</v>
      </c>
      <c r="K309" s="193"/>
      <c r="L309" s="193"/>
      <c r="M309" s="622">
        <f t="shared" si="380"/>
        <v>804.45999999999992</v>
      </c>
      <c r="N309" s="194">
        <v>73</v>
      </c>
      <c r="O309" s="622">
        <f t="shared" si="377"/>
        <v>804.46</v>
      </c>
      <c r="P309" s="560">
        <v>0</v>
      </c>
      <c r="Q309" s="622">
        <f t="shared" si="383"/>
        <v>0</v>
      </c>
      <c r="R309" s="194">
        <f t="shared" si="381"/>
        <v>73</v>
      </c>
      <c r="S309" s="630">
        <f t="shared" si="378"/>
        <v>804.46</v>
      </c>
      <c r="T309" s="194">
        <f t="shared" si="352"/>
        <v>0</v>
      </c>
      <c r="U309" s="635">
        <v>0</v>
      </c>
    </row>
    <row r="310" spans="1:21" ht="51">
      <c r="A310" s="190" t="s">
        <v>469</v>
      </c>
      <c r="B310" s="191" t="s">
        <v>257</v>
      </c>
      <c r="C310" s="657" t="s">
        <v>267</v>
      </c>
      <c r="D310" s="192" t="s">
        <v>58</v>
      </c>
      <c r="E310" s="193">
        <v>777.83</v>
      </c>
      <c r="F310" s="194">
        <v>28.05</v>
      </c>
      <c r="G310" s="194"/>
      <c r="H310" s="194"/>
      <c r="I310" s="193">
        <f t="shared" si="375"/>
        <v>28.05</v>
      </c>
      <c r="J310" s="193">
        <f t="shared" si="379"/>
        <v>21818.131500000003</v>
      </c>
      <c r="K310" s="193"/>
      <c r="L310" s="193"/>
      <c r="M310" s="622">
        <f t="shared" si="380"/>
        <v>21818.131500000003</v>
      </c>
      <c r="N310" s="194">
        <v>28.05</v>
      </c>
      <c r="O310" s="622">
        <f t="shared" si="377"/>
        <v>21818.13</v>
      </c>
      <c r="P310" s="560">
        <v>0</v>
      </c>
      <c r="Q310" s="622">
        <f t="shared" si="383"/>
        <v>0</v>
      </c>
      <c r="R310" s="194">
        <f t="shared" si="381"/>
        <v>28.05</v>
      </c>
      <c r="S310" s="630">
        <f t="shared" si="378"/>
        <v>21818.13</v>
      </c>
      <c r="T310" s="194">
        <f t="shared" si="352"/>
        <v>0</v>
      </c>
      <c r="U310" s="635">
        <v>0</v>
      </c>
    </row>
    <row r="311" spans="1:21" ht="25.5">
      <c r="A311" s="190" t="s">
        <v>470</v>
      </c>
      <c r="B311" s="191" t="s">
        <v>258</v>
      </c>
      <c r="C311" s="657" t="s">
        <v>268</v>
      </c>
      <c r="D311" s="192" t="s">
        <v>49</v>
      </c>
      <c r="E311" s="193">
        <v>641.15</v>
      </c>
      <c r="F311" s="194">
        <v>113.84</v>
      </c>
      <c r="G311" s="194"/>
      <c r="H311" s="194"/>
      <c r="I311" s="193">
        <f t="shared" si="375"/>
        <v>113.84</v>
      </c>
      <c r="J311" s="193">
        <f t="shared" si="379"/>
        <v>72988.516000000003</v>
      </c>
      <c r="K311" s="193"/>
      <c r="L311" s="193"/>
      <c r="M311" s="622">
        <f t="shared" si="380"/>
        <v>72988.516000000003</v>
      </c>
      <c r="N311" s="194">
        <v>113.84</v>
      </c>
      <c r="O311" s="622">
        <f t="shared" si="377"/>
        <v>72988.509999999995</v>
      </c>
      <c r="P311" s="194">
        <v>0</v>
      </c>
      <c r="Q311" s="622">
        <f t="shared" si="383"/>
        <v>0</v>
      </c>
      <c r="R311" s="194">
        <f t="shared" si="381"/>
        <v>113.84</v>
      </c>
      <c r="S311" s="630">
        <f t="shared" si="378"/>
        <v>72988.509999999995</v>
      </c>
      <c r="T311" s="194">
        <f t="shared" si="352"/>
        <v>0</v>
      </c>
      <c r="U311" s="635">
        <v>0</v>
      </c>
    </row>
    <row r="312" spans="1:21" ht="25.5">
      <c r="A312" s="190" t="s">
        <v>471</v>
      </c>
      <c r="B312" s="191" t="s">
        <v>259</v>
      </c>
      <c r="C312" s="657" t="s">
        <v>269</v>
      </c>
      <c r="D312" s="192" t="s">
        <v>72</v>
      </c>
      <c r="E312" s="193">
        <v>14345.61</v>
      </c>
      <c r="F312" s="194">
        <v>4</v>
      </c>
      <c r="G312" s="194"/>
      <c r="H312" s="194"/>
      <c r="I312" s="193">
        <f t="shared" si="375"/>
        <v>4</v>
      </c>
      <c r="J312" s="193">
        <f t="shared" si="379"/>
        <v>57382.44</v>
      </c>
      <c r="K312" s="193"/>
      <c r="L312" s="193"/>
      <c r="M312" s="622">
        <f t="shared" si="380"/>
        <v>57382.44</v>
      </c>
      <c r="N312" s="194">
        <v>4</v>
      </c>
      <c r="O312" s="622">
        <f t="shared" si="377"/>
        <v>57382.44</v>
      </c>
      <c r="P312" s="194">
        <v>0</v>
      </c>
      <c r="Q312" s="622">
        <f t="shared" si="383"/>
        <v>0</v>
      </c>
      <c r="R312" s="194">
        <f t="shared" si="381"/>
        <v>4</v>
      </c>
      <c r="S312" s="630">
        <f t="shared" si="378"/>
        <v>57382.44</v>
      </c>
      <c r="T312" s="194">
        <f>I312-R312</f>
        <v>0</v>
      </c>
      <c r="U312" s="635">
        <f>T312*E312</f>
        <v>0</v>
      </c>
    </row>
    <row r="313" spans="1:21" ht="25.5">
      <c r="A313" s="190" t="s">
        <v>472</v>
      </c>
      <c r="B313" s="191" t="s">
        <v>260</v>
      </c>
      <c r="C313" s="657" t="s">
        <v>270</v>
      </c>
      <c r="D313" s="192" t="s">
        <v>72</v>
      </c>
      <c r="E313" s="193">
        <v>5478.19</v>
      </c>
      <c r="F313" s="194">
        <v>2</v>
      </c>
      <c r="G313" s="194"/>
      <c r="H313" s="194"/>
      <c r="I313" s="193">
        <f t="shared" si="375"/>
        <v>2</v>
      </c>
      <c r="J313" s="193">
        <f t="shared" si="379"/>
        <v>10956.38</v>
      </c>
      <c r="K313" s="193"/>
      <c r="L313" s="193"/>
      <c r="M313" s="622">
        <f t="shared" si="380"/>
        <v>10956.38</v>
      </c>
      <c r="N313" s="194">
        <v>2</v>
      </c>
      <c r="O313" s="622">
        <f t="shared" si="377"/>
        <v>10956.38</v>
      </c>
      <c r="P313" s="194">
        <v>0</v>
      </c>
      <c r="Q313" s="622">
        <f t="shared" si="383"/>
        <v>0</v>
      </c>
      <c r="R313" s="194">
        <f t="shared" si="381"/>
        <v>2</v>
      </c>
      <c r="S313" s="630">
        <f t="shared" si="378"/>
        <v>10956.38</v>
      </c>
      <c r="T313" s="194">
        <f t="shared" si="352"/>
        <v>0</v>
      </c>
      <c r="U313" s="635">
        <v>0</v>
      </c>
    </row>
    <row r="314" spans="1:21" ht="38.25">
      <c r="A314" s="190" t="s">
        <v>473</v>
      </c>
      <c r="B314" s="191">
        <v>40817</v>
      </c>
      <c r="C314" s="657" t="s">
        <v>271</v>
      </c>
      <c r="D314" s="192" t="s">
        <v>58</v>
      </c>
      <c r="E314" s="193">
        <v>3001.6</v>
      </c>
      <c r="F314" s="194">
        <v>0.03</v>
      </c>
      <c r="G314" s="194"/>
      <c r="H314" s="194"/>
      <c r="I314" s="193">
        <f>F314+G314-H314</f>
        <v>0.03</v>
      </c>
      <c r="J314" s="193">
        <f t="shared" si="379"/>
        <v>90.047999999999988</v>
      </c>
      <c r="K314" s="193"/>
      <c r="L314" s="193"/>
      <c r="M314" s="622">
        <f t="shared" si="380"/>
        <v>90.047999999999988</v>
      </c>
      <c r="N314" s="194">
        <v>0.03</v>
      </c>
      <c r="O314" s="622">
        <f t="shared" si="377"/>
        <v>90.04</v>
      </c>
      <c r="P314" s="560">
        <v>0</v>
      </c>
      <c r="Q314" s="622">
        <f t="shared" si="383"/>
        <v>0</v>
      </c>
      <c r="R314" s="194">
        <f t="shared" si="381"/>
        <v>0.03</v>
      </c>
      <c r="S314" s="630">
        <f t="shared" si="378"/>
        <v>90.04</v>
      </c>
      <c r="T314" s="194">
        <f t="shared" si="352"/>
        <v>0</v>
      </c>
      <c r="U314" s="630">
        <f>T314*E314</f>
        <v>0</v>
      </c>
    </row>
    <row r="315" spans="1:21" ht="36.75" customHeight="1">
      <c r="A315" s="190" t="s">
        <v>474</v>
      </c>
      <c r="B315" s="191" t="s">
        <v>261</v>
      </c>
      <c r="C315" s="657" t="s">
        <v>272</v>
      </c>
      <c r="D315" s="192" t="s">
        <v>72</v>
      </c>
      <c r="E315" s="193">
        <v>2011.04</v>
      </c>
      <c r="F315" s="194">
        <v>15</v>
      </c>
      <c r="G315" s="194"/>
      <c r="H315" s="194"/>
      <c r="I315" s="193">
        <f t="shared" si="375"/>
        <v>15</v>
      </c>
      <c r="J315" s="193">
        <f t="shared" si="379"/>
        <v>30165.599999999999</v>
      </c>
      <c r="K315" s="193"/>
      <c r="L315" s="193"/>
      <c r="M315" s="622">
        <f t="shared" si="380"/>
        <v>30165.599999999999</v>
      </c>
      <c r="N315" s="194">
        <v>15</v>
      </c>
      <c r="O315" s="622">
        <f t="shared" si="377"/>
        <v>30165.599999999999</v>
      </c>
      <c r="P315" s="194">
        <v>0</v>
      </c>
      <c r="Q315" s="622">
        <f t="shared" si="383"/>
        <v>0</v>
      </c>
      <c r="R315" s="194">
        <f t="shared" si="381"/>
        <v>15</v>
      </c>
      <c r="S315" s="630">
        <f t="shared" si="378"/>
        <v>30165.599999999999</v>
      </c>
      <c r="T315" s="194">
        <f t="shared" si="352"/>
        <v>0</v>
      </c>
      <c r="U315" s="630">
        <f>T315*E315</f>
        <v>0</v>
      </c>
    </row>
    <row r="316" spans="1:21" ht="25.5">
      <c r="A316" s="190" t="s">
        <v>475</v>
      </c>
      <c r="B316" s="191" t="s">
        <v>262</v>
      </c>
      <c r="C316" s="657" t="s">
        <v>273</v>
      </c>
      <c r="D316" s="192" t="s">
        <v>72</v>
      </c>
      <c r="E316" s="193">
        <v>28185.33</v>
      </c>
      <c r="F316" s="194">
        <v>1</v>
      </c>
      <c r="G316" s="194"/>
      <c r="H316" s="194"/>
      <c r="I316" s="193">
        <f t="shared" si="375"/>
        <v>1</v>
      </c>
      <c r="J316" s="193">
        <f t="shared" si="379"/>
        <v>28185.33</v>
      </c>
      <c r="K316" s="193"/>
      <c r="L316" s="193"/>
      <c r="M316" s="622">
        <f t="shared" si="380"/>
        <v>28185.33</v>
      </c>
      <c r="N316" s="194">
        <v>1</v>
      </c>
      <c r="O316" s="622">
        <f t="shared" si="377"/>
        <v>28185.33</v>
      </c>
      <c r="P316" s="194">
        <v>0</v>
      </c>
      <c r="Q316" s="622">
        <f t="shared" si="383"/>
        <v>0</v>
      </c>
      <c r="R316" s="194">
        <f t="shared" si="381"/>
        <v>1</v>
      </c>
      <c r="S316" s="630">
        <f t="shared" si="378"/>
        <v>28185.33</v>
      </c>
      <c r="T316" s="194">
        <f t="shared" si="352"/>
        <v>0</v>
      </c>
      <c r="U316" s="630">
        <f>T316*E316</f>
        <v>0</v>
      </c>
    </row>
    <row r="317" spans="1:21">
      <c r="A317" s="190" t="s">
        <v>476</v>
      </c>
      <c r="B317" s="191" t="s">
        <v>263</v>
      </c>
      <c r="C317" s="657" t="s">
        <v>274</v>
      </c>
      <c r="D317" s="192" t="s">
        <v>72</v>
      </c>
      <c r="E317" s="193">
        <v>340.73</v>
      </c>
      <c r="F317" s="194">
        <v>2</v>
      </c>
      <c r="G317" s="194"/>
      <c r="H317" s="194"/>
      <c r="I317" s="193">
        <f t="shared" si="375"/>
        <v>2</v>
      </c>
      <c r="J317" s="193">
        <f t="shared" si="379"/>
        <v>681.46</v>
      </c>
      <c r="K317" s="193"/>
      <c r="L317" s="193"/>
      <c r="M317" s="622">
        <f t="shared" si="380"/>
        <v>681.46</v>
      </c>
      <c r="N317" s="194">
        <v>2</v>
      </c>
      <c r="O317" s="622">
        <f t="shared" si="377"/>
        <v>681.46</v>
      </c>
      <c r="P317" s="264">
        <v>0</v>
      </c>
      <c r="Q317" s="622">
        <f>P317*E317</f>
        <v>0</v>
      </c>
      <c r="R317" s="194">
        <f t="shared" si="381"/>
        <v>2</v>
      </c>
      <c r="S317" s="630">
        <f t="shared" si="378"/>
        <v>681.46</v>
      </c>
      <c r="T317" s="194">
        <f t="shared" si="352"/>
        <v>0</v>
      </c>
      <c r="U317" s="635">
        <v>0</v>
      </c>
    </row>
    <row r="318" spans="1:21">
      <c r="A318" s="190" t="s">
        <v>1178</v>
      </c>
      <c r="B318" s="191" t="s">
        <v>1118</v>
      </c>
      <c r="C318" s="657" t="s">
        <v>1119</v>
      </c>
      <c r="D318" s="192" t="s">
        <v>10</v>
      </c>
      <c r="E318" s="193">
        <v>13295.45</v>
      </c>
      <c r="F318" s="194">
        <v>0</v>
      </c>
      <c r="G318" s="194">
        <v>1</v>
      </c>
      <c r="H318" s="194">
        <v>0</v>
      </c>
      <c r="I318" s="193">
        <f>F318+G318</f>
        <v>1</v>
      </c>
      <c r="J318" s="193">
        <f>F318*E318</f>
        <v>0</v>
      </c>
      <c r="K318" s="193">
        <f>G318*E318</f>
        <v>13295.45</v>
      </c>
      <c r="L318" s="193"/>
      <c r="M318" s="622">
        <f>I318*E318</f>
        <v>13295.45</v>
      </c>
      <c r="N318" s="194">
        <v>1</v>
      </c>
      <c r="O318" s="622">
        <f>N318*E318</f>
        <v>13295.45</v>
      </c>
      <c r="P318" s="194"/>
      <c r="Q318" s="622">
        <f>P318*E318</f>
        <v>0</v>
      </c>
      <c r="R318" s="194">
        <v>1</v>
      </c>
      <c r="S318" s="630">
        <v>13295.45</v>
      </c>
      <c r="T318" s="194">
        <f>I318-R318</f>
        <v>0</v>
      </c>
      <c r="U318" s="630">
        <v>0</v>
      </c>
    </row>
    <row r="319" spans="1:21">
      <c r="A319" s="138"/>
      <c r="B319" s="132"/>
      <c r="C319" s="123"/>
      <c r="D319" s="123"/>
      <c r="E319" s="123"/>
      <c r="F319" s="123"/>
      <c r="G319" s="123"/>
      <c r="H319" s="123"/>
      <c r="I319" s="123"/>
      <c r="J319" s="123"/>
      <c r="K319" s="123"/>
      <c r="L319" s="123"/>
      <c r="M319" s="623"/>
      <c r="N319" s="123"/>
      <c r="O319" s="623"/>
      <c r="P319" s="123"/>
      <c r="Q319" s="623"/>
      <c r="R319" s="123"/>
      <c r="S319" s="631"/>
      <c r="T319" s="123"/>
      <c r="U319" s="631"/>
    </row>
    <row r="320" spans="1:21" s="131" customFormat="1">
      <c r="A320" s="137" t="s">
        <v>477</v>
      </c>
      <c r="B320" s="133"/>
      <c r="C320" s="658" t="s">
        <v>276</v>
      </c>
      <c r="D320" s="126"/>
      <c r="E320" s="127"/>
      <c r="F320" s="128"/>
      <c r="G320" s="128"/>
      <c r="H320" s="128"/>
      <c r="I320" s="129"/>
      <c r="J320" s="129">
        <f>SUBTOTAL(9,J321:J321)</f>
        <v>2219.4899999999998</v>
      </c>
      <c r="K320" s="129"/>
      <c r="L320" s="129"/>
      <c r="M320" s="624"/>
      <c r="N320" s="130"/>
      <c r="O320" s="624">
        <f>SUBTOTAL(9,O321:O321)</f>
        <v>2219.4899999999998</v>
      </c>
      <c r="P320" s="130"/>
      <c r="Q320" s="624">
        <f>SUBTOTAL(9,Q321:Q321)</f>
        <v>0</v>
      </c>
      <c r="R320" s="129"/>
      <c r="S320" s="624">
        <f>SUBTOTAL(9,S321:S321)</f>
        <v>2219.4899999999998</v>
      </c>
      <c r="T320" s="129">
        <f t="shared" si="352"/>
        <v>0</v>
      </c>
      <c r="U320" s="624">
        <f>SUM(U321)</f>
        <v>0</v>
      </c>
    </row>
    <row r="321" spans="1:21" ht="25.5">
      <c r="A321" s="190" t="s">
        <v>478</v>
      </c>
      <c r="B321" s="191" t="s">
        <v>479</v>
      </c>
      <c r="C321" s="657" t="s">
        <v>480</v>
      </c>
      <c r="D321" s="192" t="s">
        <v>72</v>
      </c>
      <c r="E321" s="193">
        <v>2219.4899999999998</v>
      </c>
      <c r="F321" s="194">
        <v>1</v>
      </c>
      <c r="G321" s="194"/>
      <c r="H321" s="194"/>
      <c r="I321" s="193">
        <f t="shared" ref="I321" si="384">F321+G321-H321</f>
        <v>1</v>
      </c>
      <c r="J321" s="193">
        <f t="shared" ref="J321" si="385">I321*E321</f>
        <v>2219.4899999999998</v>
      </c>
      <c r="K321" s="193"/>
      <c r="L321" s="193"/>
      <c r="M321" s="622">
        <f t="shared" ref="M321" si="386">I321*E321</f>
        <v>2219.4899999999998</v>
      </c>
      <c r="N321" s="194">
        <v>1</v>
      </c>
      <c r="O321" s="622">
        <f t="shared" ref="O321" si="387">TRUNC(N321*E321,2)</f>
        <v>2219.4899999999998</v>
      </c>
      <c r="P321" s="194">
        <v>0</v>
      </c>
      <c r="Q321" s="622">
        <f t="shared" ref="Q321" si="388">S321-O321</f>
        <v>0</v>
      </c>
      <c r="R321" s="194">
        <f t="shared" ref="R321" si="389">P321+N321</f>
        <v>1</v>
      </c>
      <c r="S321" s="630">
        <f t="shared" ref="S321" si="390">TRUNC(R321*E321,2)</f>
        <v>2219.4899999999998</v>
      </c>
      <c r="T321" s="194">
        <f t="shared" si="352"/>
        <v>0</v>
      </c>
      <c r="U321" s="630">
        <f>T321*E321</f>
        <v>0</v>
      </c>
    </row>
    <row r="322" spans="1:21">
      <c r="A322" s="138"/>
      <c r="B322" s="132"/>
      <c r="C322" s="123"/>
      <c r="D322" s="123"/>
      <c r="E322" s="123"/>
      <c r="F322" s="123"/>
      <c r="G322" s="123"/>
      <c r="H322" s="123"/>
      <c r="I322" s="123"/>
      <c r="J322" s="123"/>
      <c r="K322" s="123"/>
      <c r="L322" s="123"/>
      <c r="M322" s="623"/>
      <c r="N322" s="123"/>
      <c r="O322" s="623"/>
      <c r="P322" s="123"/>
      <c r="Q322" s="623"/>
      <c r="R322" s="123"/>
      <c r="S322" s="631"/>
      <c r="T322" s="123"/>
      <c r="U322" s="631"/>
    </row>
    <row r="323" spans="1:21" s="131" customFormat="1">
      <c r="A323" s="137" t="s">
        <v>481</v>
      </c>
      <c r="B323" s="133"/>
      <c r="C323" s="658" t="s">
        <v>281</v>
      </c>
      <c r="D323" s="126"/>
      <c r="E323" s="127"/>
      <c r="F323" s="128"/>
      <c r="G323" s="128"/>
      <c r="H323" s="128"/>
      <c r="I323" s="129"/>
      <c r="J323" s="129">
        <f>SUBTOTAL(9,J324:J337)</f>
        <v>181656.53399999999</v>
      </c>
      <c r="K323" s="129"/>
      <c r="L323" s="129"/>
      <c r="M323" s="624"/>
      <c r="N323" s="130"/>
      <c r="O323" s="624">
        <f>SUBTOTAL(9,O324:O337)</f>
        <v>202184.79</v>
      </c>
      <c r="P323" s="130"/>
      <c r="Q323" s="624">
        <f>SUBTOTAL(9,Q324:Q341)</f>
        <v>0</v>
      </c>
      <c r="R323" s="129"/>
      <c r="S323" s="624">
        <f>SUBTOTAL(9,S324:S337)</f>
        <v>202184.79</v>
      </c>
      <c r="T323" s="129">
        <f t="shared" si="352"/>
        <v>0</v>
      </c>
      <c r="U323" s="624">
        <f>SUM(U324:U341)</f>
        <v>0</v>
      </c>
    </row>
    <row r="324" spans="1:21" ht="38.25">
      <c r="A324" s="190" t="s">
        <v>482</v>
      </c>
      <c r="B324" s="191" t="s">
        <v>496</v>
      </c>
      <c r="C324" s="657" t="s">
        <v>499</v>
      </c>
      <c r="D324" s="192" t="s">
        <v>315</v>
      </c>
      <c r="E324" s="193">
        <v>11945.63</v>
      </c>
      <c r="F324" s="194">
        <v>2</v>
      </c>
      <c r="G324" s="194"/>
      <c r="H324" s="194"/>
      <c r="I324" s="193">
        <f t="shared" ref="I324:I341" si="391">F324+G324-H324</f>
        <v>2</v>
      </c>
      <c r="J324" s="193">
        <f t="shared" ref="J324" si="392">I324*E324</f>
        <v>23891.26</v>
      </c>
      <c r="K324" s="193"/>
      <c r="L324" s="193"/>
      <c r="M324" s="622">
        <f t="shared" ref="M324:M341" si="393">I324*E324</f>
        <v>23891.26</v>
      </c>
      <c r="N324" s="194">
        <v>2</v>
      </c>
      <c r="O324" s="622">
        <f t="shared" ref="O324:O337" si="394">TRUNC(N324*E324,2)</f>
        <v>23891.26</v>
      </c>
      <c r="P324" s="194">
        <v>0</v>
      </c>
      <c r="Q324" s="622">
        <f t="shared" ref="Q324:Q337" si="395">S324-O324</f>
        <v>0</v>
      </c>
      <c r="R324" s="194">
        <f t="shared" ref="R324:R337" si="396">P324+N324</f>
        <v>2</v>
      </c>
      <c r="S324" s="630">
        <f t="shared" ref="S324:S337" si="397">TRUNC(R324*E324,2)</f>
        <v>23891.26</v>
      </c>
      <c r="T324" s="194">
        <f t="shared" si="352"/>
        <v>0</v>
      </c>
      <c r="U324" s="630">
        <v>0</v>
      </c>
    </row>
    <row r="325" spans="1:21" s="659" customFormat="1" ht="25.5">
      <c r="A325" s="555" t="s">
        <v>483</v>
      </c>
      <c r="B325" s="556" t="s">
        <v>295</v>
      </c>
      <c r="C325" s="660" t="s">
        <v>305</v>
      </c>
      <c r="D325" s="557" t="s">
        <v>51</v>
      </c>
      <c r="E325" s="558">
        <v>1268.83</v>
      </c>
      <c r="F325" s="559">
        <v>35.799999999999997</v>
      </c>
      <c r="G325" s="559">
        <v>0</v>
      </c>
      <c r="H325" s="559">
        <f>F325</f>
        <v>35.799999999999997</v>
      </c>
      <c r="I325" s="558">
        <f t="shared" si="391"/>
        <v>0</v>
      </c>
      <c r="J325" s="558">
        <f t="shared" ref="J325:J334" si="398">F325*E325</f>
        <v>45424.113999999994</v>
      </c>
      <c r="K325" s="558">
        <f t="shared" ref="K325:K334" si="399">G325*E325</f>
        <v>0</v>
      </c>
      <c r="L325" s="558">
        <f t="shared" ref="L325:L334" si="400">H325*E325</f>
        <v>45424.113999999994</v>
      </c>
      <c r="M325" s="626">
        <f t="shared" si="393"/>
        <v>0</v>
      </c>
      <c r="N325" s="559">
        <v>0</v>
      </c>
      <c r="O325" s="626">
        <f t="shared" si="394"/>
        <v>0</v>
      </c>
      <c r="P325" s="559">
        <f>IFERROR(VLOOKUP(A325,#REF!,18,FALSE),)</f>
        <v>0</v>
      </c>
      <c r="Q325" s="626">
        <f t="shared" si="395"/>
        <v>0</v>
      </c>
      <c r="R325" s="559">
        <f t="shared" si="396"/>
        <v>0</v>
      </c>
      <c r="S325" s="632">
        <f t="shared" si="397"/>
        <v>0</v>
      </c>
      <c r="T325" s="559">
        <v>0</v>
      </c>
      <c r="U325" s="632"/>
    </row>
    <row r="326" spans="1:21" ht="29.25" customHeight="1">
      <c r="A326" s="190" t="s">
        <v>484</v>
      </c>
      <c r="B326" s="191" t="s">
        <v>296</v>
      </c>
      <c r="C326" s="657" t="s">
        <v>306</v>
      </c>
      <c r="D326" s="192" t="s">
        <v>51</v>
      </c>
      <c r="E326" s="193">
        <v>294.97000000000003</v>
      </c>
      <c r="F326" s="194">
        <v>35.799999999999997</v>
      </c>
      <c r="G326" s="194">
        <f>REPLANILHAMENTO!H283</f>
        <v>138.19999999999999</v>
      </c>
      <c r="H326" s="194"/>
      <c r="I326" s="193">
        <f t="shared" si="391"/>
        <v>174</v>
      </c>
      <c r="J326" s="193">
        <f t="shared" si="398"/>
        <v>10559.925999999999</v>
      </c>
      <c r="K326" s="193">
        <f t="shared" si="399"/>
        <v>40764.853999999999</v>
      </c>
      <c r="L326" s="193">
        <f t="shared" si="400"/>
        <v>0</v>
      </c>
      <c r="M326" s="622">
        <f t="shared" si="393"/>
        <v>51324.780000000006</v>
      </c>
      <c r="N326" s="194">
        <f>'3.4.3.3'!R19</f>
        <v>174</v>
      </c>
      <c r="O326" s="622">
        <f t="shared" si="394"/>
        <v>51324.78</v>
      </c>
      <c r="P326" s="194">
        <f>'3.4.3.3'!R20</f>
        <v>0</v>
      </c>
      <c r="Q326" s="622">
        <f t="shared" si="395"/>
        <v>0</v>
      </c>
      <c r="R326" s="194">
        <f t="shared" si="396"/>
        <v>174</v>
      </c>
      <c r="S326" s="630">
        <f t="shared" si="397"/>
        <v>51324.78</v>
      </c>
      <c r="T326" s="194">
        <f>I326-R326</f>
        <v>0</v>
      </c>
      <c r="U326" s="630">
        <f>T326*E326</f>
        <v>0</v>
      </c>
    </row>
    <row r="327" spans="1:21" s="659" customFormat="1">
      <c r="A327" s="555" t="s">
        <v>485</v>
      </c>
      <c r="B327" s="556" t="s">
        <v>297</v>
      </c>
      <c r="C327" s="660" t="s">
        <v>307</v>
      </c>
      <c r="D327" s="557" t="s">
        <v>51</v>
      </c>
      <c r="E327" s="558">
        <v>309.62</v>
      </c>
      <c r="F327" s="559">
        <v>2.8</v>
      </c>
      <c r="G327" s="559"/>
      <c r="H327" s="559">
        <f>F327</f>
        <v>2.8</v>
      </c>
      <c r="I327" s="558">
        <f t="shared" si="391"/>
        <v>0</v>
      </c>
      <c r="J327" s="558">
        <f t="shared" si="398"/>
        <v>866.93599999999992</v>
      </c>
      <c r="K327" s="558">
        <f t="shared" si="399"/>
        <v>0</v>
      </c>
      <c r="L327" s="558">
        <f t="shared" si="400"/>
        <v>866.93599999999992</v>
      </c>
      <c r="M327" s="626">
        <f t="shared" si="393"/>
        <v>0</v>
      </c>
      <c r="N327" s="559">
        <v>0</v>
      </c>
      <c r="O327" s="626">
        <f t="shared" si="394"/>
        <v>0</v>
      </c>
      <c r="P327" s="559">
        <f>IFERROR(VLOOKUP(A327,#REF!,18,FALSE),)</f>
        <v>0</v>
      </c>
      <c r="Q327" s="626">
        <f t="shared" si="395"/>
        <v>0</v>
      </c>
      <c r="R327" s="559">
        <f t="shared" si="396"/>
        <v>0</v>
      </c>
      <c r="S327" s="632">
        <f t="shared" si="397"/>
        <v>0</v>
      </c>
      <c r="T327" s="559"/>
      <c r="U327" s="632"/>
    </row>
    <row r="328" spans="1:21" ht="29.25" customHeight="1">
      <c r="A328" s="190" t="s">
        <v>486</v>
      </c>
      <c r="B328" s="191" t="s">
        <v>298</v>
      </c>
      <c r="C328" s="657" t="s">
        <v>308</v>
      </c>
      <c r="D328" s="192" t="s">
        <v>51</v>
      </c>
      <c r="E328" s="193">
        <v>358.26</v>
      </c>
      <c r="F328" s="194">
        <v>2.8</v>
      </c>
      <c r="G328" s="194">
        <v>171.2</v>
      </c>
      <c r="H328" s="194"/>
      <c r="I328" s="193">
        <f t="shared" si="391"/>
        <v>174</v>
      </c>
      <c r="J328" s="193">
        <f t="shared" si="398"/>
        <v>1003.1279999999999</v>
      </c>
      <c r="K328" s="193">
        <f t="shared" si="399"/>
        <v>61334.111999999994</v>
      </c>
      <c r="L328" s="193">
        <f t="shared" si="400"/>
        <v>0</v>
      </c>
      <c r="M328" s="622">
        <f t="shared" si="393"/>
        <v>62337.24</v>
      </c>
      <c r="N328" s="194">
        <f>'3.4.3.5'!R19</f>
        <v>174</v>
      </c>
      <c r="O328" s="622">
        <f t="shared" si="394"/>
        <v>62337.24</v>
      </c>
      <c r="P328" s="194">
        <f>'3.4.3.5'!R20</f>
        <v>0</v>
      </c>
      <c r="Q328" s="622">
        <f t="shared" si="395"/>
        <v>0</v>
      </c>
      <c r="R328" s="194">
        <f t="shared" si="396"/>
        <v>174</v>
      </c>
      <c r="S328" s="630">
        <f t="shared" si="397"/>
        <v>62337.24</v>
      </c>
      <c r="T328" s="194">
        <f>I328-R328</f>
        <v>0</v>
      </c>
      <c r="U328" s="630">
        <f>T328*E328</f>
        <v>0</v>
      </c>
    </row>
    <row r="329" spans="1:21" s="659" customFormat="1" ht="25.5">
      <c r="A329" s="555" t="s">
        <v>487</v>
      </c>
      <c r="B329" s="556" t="s">
        <v>497</v>
      </c>
      <c r="C329" s="660" t="s">
        <v>500</v>
      </c>
      <c r="D329" s="557" t="s">
        <v>51</v>
      </c>
      <c r="E329" s="558">
        <v>3440.35</v>
      </c>
      <c r="F329" s="559">
        <v>8</v>
      </c>
      <c r="G329" s="559"/>
      <c r="H329" s="559">
        <f>F329</f>
        <v>8</v>
      </c>
      <c r="I329" s="558">
        <f t="shared" si="391"/>
        <v>0</v>
      </c>
      <c r="J329" s="558">
        <f t="shared" si="398"/>
        <v>27522.799999999999</v>
      </c>
      <c r="K329" s="558">
        <f t="shared" si="399"/>
        <v>0</v>
      </c>
      <c r="L329" s="558">
        <f t="shared" si="400"/>
        <v>27522.799999999999</v>
      </c>
      <c r="M329" s="626">
        <f t="shared" si="393"/>
        <v>0</v>
      </c>
      <c r="N329" s="559">
        <v>0</v>
      </c>
      <c r="O329" s="626">
        <f t="shared" si="394"/>
        <v>0</v>
      </c>
      <c r="P329" s="559">
        <f>IFERROR(VLOOKUP(A329,#REF!,18,FALSE),)</f>
        <v>0</v>
      </c>
      <c r="Q329" s="626">
        <f t="shared" si="395"/>
        <v>0</v>
      </c>
      <c r="R329" s="559">
        <f t="shared" si="396"/>
        <v>0</v>
      </c>
      <c r="S329" s="632">
        <f t="shared" si="397"/>
        <v>0</v>
      </c>
      <c r="T329" s="559">
        <v>0</v>
      </c>
      <c r="U329" s="632"/>
    </row>
    <row r="330" spans="1:21" ht="50.25" customHeight="1">
      <c r="A330" s="190" t="s">
        <v>488</v>
      </c>
      <c r="B330" s="191" t="s">
        <v>498</v>
      </c>
      <c r="C330" s="657" t="s">
        <v>501</v>
      </c>
      <c r="D330" s="192" t="s">
        <v>51</v>
      </c>
      <c r="E330" s="193">
        <v>2019.23</v>
      </c>
      <c r="F330" s="194">
        <v>8</v>
      </c>
      <c r="G330" s="194">
        <f>REPLANILHAMENTO!H289</f>
        <v>23.200000000000003</v>
      </c>
      <c r="H330" s="194"/>
      <c r="I330" s="193">
        <f t="shared" si="391"/>
        <v>31.200000000000003</v>
      </c>
      <c r="J330" s="193">
        <f t="shared" si="398"/>
        <v>16153.84</v>
      </c>
      <c r="K330" s="193">
        <f t="shared" si="399"/>
        <v>46846.136000000006</v>
      </c>
      <c r="L330" s="193">
        <f t="shared" si="400"/>
        <v>0</v>
      </c>
      <c r="M330" s="622">
        <f t="shared" si="393"/>
        <v>62999.97600000001</v>
      </c>
      <c r="N330" s="194">
        <f>'3.4.3.7'!R19</f>
        <v>31.2</v>
      </c>
      <c r="O330" s="622">
        <f t="shared" si="394"/>
        <v>62999.97</v>
      </c>
      <c r="P330" s="194">
        <f>'3.4.3.7'!R20</f>
        <v>0</v>
      </c>
      <c r="Q330" s="622">
        <f t="shared" si="395"/>
        <v>0</v>
      </c>
      <c r="R330" s="194">
        <f t="shared" si="396"/>
        <v>31.2</v>
      </c>
      <c r="S330" s="630">
        <f t="shared" si="397"/>
        <v>62999.97</v>
      </c>
      <c r="T330" s="194">
        <f>I330-R330</f>
        <v>0</v>
      </c>
      <c r="U330" s="630">
        <f>T330*E330</f>
        <v>0</v>
      </c>
    </row>
    <row r="331" spans="1:21" s="659" customFormat="1" ht="25.5">
      <c r="A331" s="555" t="s">
        <v>489</v>
      </c>
      <c r="B331" s="556" t="s">
        <v>299</v>
      </c>
      <c r="C331" s="660" t="s">
        <v>309</v>
      </c>
      <c r="D331" s="557" t="s">
        <v>29</v>
      </c>
      <c r="E331" s="558">
        <v>8.1199999999999992</v>
      </c>
      <c r="F331" s="559">
        <v>3870</v>
      </c>
      <c r="G331" s="559"/>
      <c r="H331" s="559">
        <f>F331</f>
        <v>3870</v>
      </c>
      <c r="I331" s="558">
        <f t="shared" si="391"/>
        <v>0</v>
      </c>
      <c r="J331" s="558">
        <f t="shared" si="398"/>
        <v>31424.399999999998</v>
      </c>
      <c r="K331" s="558">
        <f t="shared" si="399"/>
        <v>0</v>
      </c>
      <c r="L331" s="558">
        <f t="shared" si="400"/>
        <v>31424.399999999998</v>
      </c>
      <c r="M331" s="626">
        <f t="shared" si="393"/>
        <v>0</v>
      </c>
      <c r="N331" s="559">
        <v>0</v>
      </c>
      <c r="O331" s="626">
        <f t="shared" si="394"/>
        <v>0</v>
      </c>
      <c r="P331" s="559">
        <f>IFERROR(VLOOKUP(A331,#REF!,18,FALSE),)</f>
        <v>0</v>
      </c>
      <c r="Q331" s="626">
        <f t="shared" si="395"/>
        <v>0</v>
      </c>
      <c r="R331" s="559">
        <f t="shared" si="396"/>
        <v>0</v>
      </c>
      <c r="S331" s="632">
        <f t="shared" si="397"/>
        <v>0</v>
      </c>
      <c r="T331" s="559"/>
      <c r="U331" s="632"/>
    </row>
    <row r="332" spans="1:21" s="659" customFormat="1">
      <c r="A332" s="555" t="s">
        <v>490</v>
      </c>
      <c r="B332" s="556" t="s">
        <v>300</v>
      </c>
      <c r="C332" s="660" t="s">
        <v>310</v>
      </c>
      <c r="D332" s="557" t="s">
        <v>29</v>
      </c>
      <c r="E332" s="558">
        <v>0.64</v>
      </c>
      <c r="F332" s="559">
        <v>3870</v>
      </c>
      <c r="G332" s="559"/>
      <c r="H332" s="559">
        <f t="shared" ref="H332:H334" si="401">F332</f>
        <v>3870</v>
      </c>
      <c r="I332" s="558">
        <f t="shared" si="391"/>
        <v>0</v>
      </c>
      <c r="J332" s="558">
        <f t="shared" si="398"/>
        <v>2476.8000000000002</v>
      </c>
      <c r="K332" s="558">
        <f t="shared" si="399"/>
        <v>0</v>
      </c>
      <c r="L332" s="558">
        <f t="shared" si="400"/>
        <v>2476.8000000000002</v>
      </c>
      <c r="M332" s="626">
        <f t="shared" si="393"/>
        <v>0</v>
      </c>
      <c r="N332" s="559">
        <v>0</v>
      </c>
      <c r="O332" s="626">
        <f t="shared" si="394"/>
        <v>0</v>
      </c>
      <c r="P332" s="559">
        <f>IFERROR(VLOOKUP(A332,#REF!,18,FALSE),)</f>
        <v>0</v>
      </c>
      <c r="Q332" s="626">
        <f t="shared" si="395"/>
        <v>0</v>
      </c>
      <c r="R332" s="559">
        <f t="shared" si="396"/>
        <v>0</v>
      </c>
      <c r="S332" s="632">
        <f t="shared" si="397"/>
        <v>0</v>
      </c>
      <c r="T332" s="559"/>
      <c r="U332" s="632"/>
    </row>
    <row r="333" spans="1:21" s="659" customFormat="1" ht="38.25">
      <c r="A333" s="555" t="s">
        <v>491</v>
      </c>
      <c r="B333" s="556" t="s">
        <v>140</v>
      </c>
      <c r="C333" s="660" t="s">
        <v>150</v>
      </c>
      <c r="D333" s="557" t="s">
        <v>58</v>
      </c>
      <c r="E333" s="558">
        <v>486.08</v>
      </c>
      <c r="F333" s="559">
        <v>16.09</v>
      </c>
      <c r="G333" s="559"/>
      <c r="H333" s="559">
        <f t="shared" si="401"/>
        <v>16.09</v>
      </c>
      <c r="I333" s="558">
        <f t="shared" si="391"/>
        <v>0</v>
      </c>
      <c r="J333" s="558">
        <f t="shared" si="398"/>
        <v>7821.0271999999995</v>
      </c>
      <c r="K333" s="558">
        <f t="shared" si="399"/>
        <v>0</v>
      </c>
      <c r="L333" s="558">
        <f t="shared" si="400"/>
        <v>7821.0271999999995</v>
      </c>
      <c r="M333" s="626">
        <f t="shared" si="393"/>
        <v>0</v>
      </c>
      <c r="N333" s="559">
        <v>0</v>
      </c>
      <c r="O333" s="626">
        <f t="shared" si="394"/>
        <v>0</v>
      </c>
      <c r="P333" s="559">
        <f>IFERROR(VLOOKUP(A333,#REF!,18,FALSE),)</f>
        <v>0</v>
      </c>
      <c r="Q333" s="626">
        <f t="shared" si="395"/>
        <v>0</v>
      </c>
      <c r="R333" s="559">
        <f t="shared" si="396"/>
        <v>0</v>
      </c>
      <c r="S333" s="632">
        <f t="shared" si="397"/>
        <v>0</v>
      </c>
      <c r="T333" s="559"/>
      <c r="U333" s="632"/>
    </row>
    <row r="334" spans="1:21" s="659" customFormat="1">
      <c r="A334" s="555" t="s">
        <v>492</v>
      </c>
      <c r="B334" s="556" t="s">
        <v>301</v>
      </c>
      <c r="C334" s="660" t="s">
        <v>311</v>
      </c>
      <c r="D334" s="557" t="s">
        <v>49</v>
      </c>
      <c r="E334" s="558">
        <v>105.97</v>
      </c>
      <c r="F334" s="559">
        <v>16.09</v>
      </c>
      <c r="G334" s="559"/>
      <c r="H334" s="559">
        <f t="shared" si="401"/>
        <v>16.09</v>
      </c>
      <c r="I334" s="558">
        <f t="shared" si="391"/>
        <v>0</v>
      </c>
      <c r="J334" s="558">
        <f t="shared" si="398"/>
        <v>1705.0572999999999</v>
      </c>
      <c r="K334" s="558">
        <f t="shared" si="399"/>
        <v>0</v>
      </c>
      <c r="L334" s="558">
        <f t="shared" si="400"/>
        <v>1705.0572999999999</v>
      </c>
      <c r="M334" s="626">
        <f t="shared" si="393"/>
        <v>0</v>
      </c>
      <c r="N334" s="559">
        <v>0</v>
      </c>
      <c r="O334" s="626">
        <f t="shared" si="394"/>
        <v>0</v>
      </c>
      <c r="P334" s="559">
        <f>IFERROR(VLOOKUP(A334,#REF!,18,FALSE),)</f>
        <v>0</v>
      </c>
      <c r="Q334" s="626">
        <f t="shared" si="395"/>
        <v>0</v>
      </c>
      <c r="R334" s="559">
        <f t="shared" si="396"/>
        <v>0</v>
      </c>
      <c r="S334" s="632">
        <f t="shared" si="397"/>
        <v>0</v>
      </c>
      <c r="T334" s="559"/>
      <c r="U334" s="632"/>
    </row>
    <row r="335" spans="1:21" ht="33" customHeight="1">
      <c r="A335" s="190" t="s">
        <v>493</v>
      </c>
      <c r="B335" s="191" t="s">
        <v>302</v>
      </c>
      <c r="C335" s="657" t="s">
        <v>312</v>
      </c>
      <c r="D335" s="192" t="s">
        <v>72</v>
      </c>
      <c r="E335" s="193">
        <v>1.62</v>
      </c>
      <c r="F335" s="194">
        <v>4</v>
      </c>
      <c r="G335" s="194"/>
      <c r="H335" s="194"/>
      <c r="I335" s="193">
        <f t="shared" si="391"/>
        <v>4</v>
      </c>
      <c r="J335" s="193">
        <f t="shared" ref="J335" si="402">I335*E335</f>
        <v>6.48</v>
      </c>
      <c r="K335" s="193"/>
      <c r="L335" s="193"/>
      <c r="M335" s="622">
        <f t="shared" si="393"/>
        <v>6.48</v>
      </c>
      <c r="N335" s="194">
        <f>'3.4.3.12'!R19</f>
        <v>4</v>
      </c>
      <c r="O335" s="622">
        <f t="shared" si="394"/>
        <v>6.48</v>
      </c>
      <c r="P335" s="194">
        <f>'3.4.3.12'!R20</f>
        <v>0</v>
      </c>
      <c r="Q335" s="622">
        <f t="shared" si="395"/>
        <v>0</v>
      </c>
      <c r="R335" s="194">
        <f t="shared" si="396"/>
        <v>4</v>
      </c>
      <c r="S335" s="630">
        <f t="shared" si="397"/>
        <v>6.48</v>
      </c>
      <c r="T335" s="194">
        <f t="shared" si="352"/>
        <v>0</v>
      </c>
      <c r="U335" s="630">
        <f>T335*E335</f>
        <v>0</v>
      </c>
    </row>
    <row r="336" spans="1:21" s="659" customFormat="1" ht="25.5">
      <c r="A336" s="555" t="s">
        <v>494</v>
      </c>
      <c r="B336" s="556" t="s">
        <v>303</v>
      </c>
      <c r="C336" s="660" t="s">
        <v>313</v>
      </c>
      <c r="D336" s="557" t="s">
        <v>72</v>
      </c>
      <c r="E336" s="558">
        <v>5793.75</v>
      </c>
      <c r="F336" s="559">
        <v>2</v>
      </c>
      <c r="G336" s="559"/>
      <c r="H336" s="559">
        <f>F336</f>
        <v>2</v>
      </c>
      <c r="I336" s="558">
        <f t="shared" si="391"/>
        <v>0</v>
      </c>
      <c r="J336" s="558">
        <f t="shared" ref="J336:J341" si="403">F336*E336</f>
        <v>11587.5</v>
      </c>
      <c r="K336" s="558">
        <f t="shared" ref="K336:K341" si="404">G336*E336</f>
        <v>0</v>
      </c>
      <c r="L336" s="558">
        <f t="shared" ref="L336:L341" si="405">H336*E336</f>
        <v>11587.5</v>
      </c>
      <c r="M336" s="626">
        <f t="shared" si="393"/>
        <v>0</v>
      </c>
      <c r="N336" s="559">
        <v>0</v>
      </c>
      <c r="O336" s="626">
        <f t="shared" si="394"/>
        <v>0</v>
      </c>
      <c r="P336" s="559">
        <f>IFERROR(VLOOKUP(A336,#REF!,18,FALSE),)</f>
        <v>0</v>
      </c>
      <c r="Q336" s="626">
        <f t="shared" si="395"/>
        <v>0</v>
      </c>
      <c r="R336" s="559">
        <f t="shared" si="396"/>
        <v>0</v>
      </c>
      <c r="S336" s="632">
        <f t="shared" si="397"/>
        <v>0</v>
      </c>
      <c r="T336" s="559"/>
      <c r="U336" s="632"/>
    </row>
    <row r="337" spans="1:21" ht="25.5">
      <c r="A337" s="190" t="s">
        <v>495</v>
      </c>
      <c r="B337" s="191">
        <v>190418</v>
      </c>
      <c r="C337" s="657" t="s">
        <v>314</v>
      </c>
      <c r="D337" s="192" t="s">
        <v>57</v>
      </c>
      <c r="E337" s="193">
        <v>33.049999999999997</v>
      </c>
      <c r="F337" s="194">
        <v>36.71</v>
      </c>
      <c r="G337" s="194">
        <f>REPLANILHAMENTO!H297</f>
        <v>12.46</v>
      </c>
      <c r="H337" s="194"/>
      <c r="I337" s="193">
        <f t="shared" si="391"/>
        <v>49.17</v>
      </c>
      <c r="J337" s="193">
        <f t="shared" si="403"/>
        <v>1213.2655</v>
      </c>
      <c r="K337" s="193">
        <f t="shared" si="404"/>
        <v>411.803</v>
      </c>
      <c r="L337" s="193">
        <f t="shared" si="405"/>
        <v>0</v>
      </c>
      <c r="M337" s="622">
        <f t="shared" si="393"/>
        <v>1625.0684999999999</v>
      </c>
      <c r="N337" s="194">
        <v>49.17</v>
      </c>
      <c r="O337" s="622">
        <f t="shared" si="394"/>
        <v>1625.06</v>
      </c>
      <c r="P337" s="194">
        <v>0</v>
      </c>
      <c r="Q337" s="622">
        <f t="shared" si="395"/>
        <v>0</v>
      </c>
      <c r="R337" s="194">
        <f t="shared" si="396"/>
        <v>49.17</v>
      </c>
      <c r="S337" s="630">
        <f t="shared" si="397"/>
        <v>1625.06</v>
      </c>
      <c r="T337" s="194">
        <f>I337-R337</f>
        <v>0</v>
      </c>
      <c r="U337" s="630">
        <f>T337*E337</f>
        <v>0</v>
      </c>
    </row>
    <row r="338" spans="1:21" ht="25.5">
      <c r="A338" s="190" t="s">
        <v>1186</v>
      </c>
      <c r="B338" s="191" t="str">
        <f>REPLANILHAMENTO!B282</f>
        <v>COMP-A02</v>
      </c>
      <c r="C338" s="657" t="str">
        <f>REPLANILHAMENTO!D282</f>
        <v>Camisa metálica com espessura de 12.7 mm, D = 355 mm, cravada, exclusive escavação e concretagem</v>
      </c>
      <c r="D338" s="192" t="s">
        <v>51</v>
      </c>
      <c r="E338" s="193">
        <f>REPLANILHAMENTO!F282</f>
        <v>742.5</v>
      </c>
      <c r="F338" s="194">
        <v>0</v>
      </c>
      <c r="G338" s="194">
        <v>174</v>
      </c>
      <c r="H338" s="194">
        <v>0</v>
      </c>
      <c r="I338" s="193">
        <f>F338+G338-H338</f>
        <v>174</v>
      </c>
      <c r="J338" s="193">
        <f t="shared" si="403"/>
        <v>0</v>
      </c>
      <c r="K338" s="193">
        <f t="shared" si="404"/>
        <v>129195</v>
      </c>
      <c r="L338" s="193">
        <f t="shared" si="405"/>
        <v>0</v>
      </c>
      <c r="M338" s="622">
        <f t="shared" si="393"/>
        <v>129195</v>
      </c>
      <c r="N338" s="194">
        <f>'3.4.3.15'!R19</f>
        <v>174</v>
      </c>
      <c r="O338" s="622">
        <f>N338*E338</f>
        <v>129195</v>
      </c>
      <c r="P338" s="194">
        <f>'3.4.3.15'!R20</f>
        <v>0</v>
      </c>
      <c r="Q338" s="622">
        <f>P338*E338</f>
        <v>0</v>
      </c>
      <c r="R338" s="194">
        <f>N338+P338</f>
        <v>174</v>
      </c>
      <c r="S338" s="630">
        <f>R338*E338</f>
        <v>129195</v>
      </c>
      <c r="T338" s="194">
        <f>I338-R338</f>
        <v>0</v>
      </c>
      <c r="U338" s="630">
        <f>T338*E338</f>
        <v>0</v>
      </c>
    </row>
    <row r="339" spans="1:21" ht="25.5">
      <c r="A339" s="190" t="s">
        <v>1187</v>
      </c>
      <c r="B339" s="191" t="s">
        <v>1182</v>
      </c>
      <c r="C339" s="657" t="str">
        <f>REPLANILHAMENTO!D285</f>
        <v>Estaca raiz perfurada em solo, diâm. 410mm com injeção de arg. incl. fornecimento de todos materiais</v>
      </c>
      <c r="D339" s="192" t="s">
        <v>51</v>
      </c>
      <c r="E339" s="193">
        <f>REPLANILHAMENTO!F285</f>
        <v>578.87</v>
      </c>
      <c r="F339" s="194">
        <v>0</v>
      </c>
      <c r="G339" s="194">
        <f>REPLANILHAMENTO!H285</f>
        <v>174</v>
      </c>
      <c r="H339" s="194">
        <v>0</v>
      </c>
      <c r="I339" s="193">
        <f>F339+G339-H339</f>
        <v>174</v>
      </c>
      <c r="J339" s="193">
        <f t="shared" si="403"/>
        <v>0</v>
      </c>
      <c r="K339" s="193">
        <f t="shared" si="404"/>
        <v>100723.38</v>
      </c>
      <c r="L339" s="193">
        <f t="shared" si="405"/>
        <v>0</v>
      </c>
      <c r="M339" s="622">
        <f t="shared" si="393"/>
        <v>100723.38</v>
      </c>
      <c r="N339" s="194">
        <f>'3.4.3.16'!R28</f>
        <v>174</v>
      </c>
      <c r="O339" s="622">
        <f t="shared" ref="O339:O341" si="406">N339*E339</f>
        <v>100723.38</v>
      </c>
      <c r="P339" s="194">
        <f>'3.4.3.16'!R29</f>
        <v>0</v>
      </c>
      <c r="Q339" s="622">
        <f t="shared" ref="Q339:Q341" si="407">P339*E339</f>
        <v>0</v>
      </c>
      <c r="R339" s="194">
        <f t="shared" ref="R339:R341" si="408">N339+P339</f>
        <v>174</v>
      </c>
      <c r="S339" s="630">
        <f t="shared" ref="S339:S341" si="409">R339*E339</f>
        <v>100723.38</v>
      </c>
      <c r="T339" s="194">
        <f t="shared" ref="T339:T341" si="410">I339-R339</f>
        <v>0</v>
      </c>
      <c r="U339" s="630">
        <f>T339*E339</f>
        <v>0</v>
      </c>
    </row>
    <row r="340" spans="1:21" ht="24" customHeight="1">
      <c r="A340" s="190" t="s">
        <v>1189</v>
      </c>
      <c r="B340" s="191" t="s">
        <v>1184</v>
      </c>
      <c r="C340" s="657" t="str">
        <f>REPLANILHAMENTO!D288</f>
        <v>Estaca raiz perfurada em rocha, diâm. 310mm com injeção de arg. incl. fornecimento de todos materiais</v>
      </c>
      <c r="D340" s="192" t="s">
        <v>51</v>
      </c>
      <c r="E340" s="193">
        <f>REPLANILHAMENTO!F288</f>
        <v>1018.16</v>
      </c>
      <c r="F340" s="194"/>
      <c r="G340" s="194">
        <v>31.2</v>
      </c>
      <c r="H340" s="194"/>
      <c r="I340" s="193">
        <f t="shared" si="391"/>
        <v>31.2</v>
      </c>
      <c r="J340" s="193">
        <f t="shared" si="403"/>
        <v>0</v>
      </c>
      <c r="K340" s="193">
        <f t="shared" si="404"/>
        <v>31766.591999999997</v>
      </c>
      <c r="L340" s="193">
        <f t="shared" si="405"/>
        <v>0</v>
      </c>
      <c r="M340" s="622">
        <f t="shared" si="393"/>
        <v>31766.591999999997</v>
      </c>
      <c r="N340" s="194">
        <f>'3.4.3.17'!R25</f>
        <v>31.200000000000006</v>
      </c>
      <c r="O340" s="622">
        <f t="shared" si="406"/>
        <v>31766.592000000004</v>
      </c>
      <c r="P340" s="194">
        <f>'3.4.3.17'!R26</f>
        <v>0</v>
      </c>
      <c r="Q340" s="622">
        <f t="shared" si="407"/>
        <v>0</v>
      </c>
      <c r="R340" s="194">
        <f t="shared" si="408"/>
        <v>31.200000000000006</v>
      </c>
      <c r="S340" s="630">
        <f t="shared" si="409"/>
        <v>31766.592000000004</v>
      </c>
      <c r="T340" s="194">
        <f t="shared" si="410"/>
        <v>0</v>
      </c>
      <c r="U340" s="630">
        <f t="shared" ref="U340:U341" si="411">T340*E340</f>
        <v>0</v>
      </c>
    </row>
    <row r="341" spans="1:21" ht="24" customHeight="1">
      <c r="A341" s="190" t="s">
        <v>1191</v>
      </c>
      <c r="B341" s="191" t="s">
        <v>1188</v>
      </c>
      <c r="C341" s="657" t="str">
        <f>REPLANILHAMENTO!D296</f>
        <v>Tubo de travamento de 12,7 mm D = 300 mm L = 5,10 m - fornecimento e instalação</v>
      </c>
      <c r="D341" s="192" t="str">
        <f>REPLANILHAMENTO!E296</f>
        <v>un</v>
      </c>
      <c r="E341" s="193">
        <f>REPLANILHAMENTO!F296</f>
        <v>6550.59</v>
      </c>
      <c r="F341" s="194"/>
      <c r="G341" s="194">
        <v>2</v>
      </c>
      <c r="H341" s="194"/>
      <c r="I341" s="193">
        <f t="shared" si="391"/>
        <v>2</v>
      </c>
      <c r="J341" s="193">
        <f t="shared" si="403"/>
        <v>0</v>
      </c>
      <c r="K341" s="193">
        <f t="shared" si="404"/>
        <v>13101.18</v>
      </c>
      <c r="L341" s="193">
        <f t="shared" si="405"/>
        <v>0</v>
      </c>
      <c r="M341" s="622">
        <f t="shared" si="393"/>
        <v>13101.18</v>
      </c>
      <c r="N341" s="194">
        <v>2</v>
      </c>
      <c r="O341" s="622">
        <f t="shared" si="406"/>
        <v>13101.18</v>
      </c>
      <c r="P341" s="194">
        <v>0</v>
      </c>
      <c r="Q341" s="622">
        <f t="shared" si="407"/>
        <v>0</v>
      </c>
      <c r="R341" s="194">
        <f t="shared" si="408"/>
        <v>2</v>
      </c>
      <c r="S341" s="630">
        <f t="shared" si="409"/>
        <v>13101.18</v>
      </c>
      <c r="T341" s="194">
        <f t="shared" si="410"/>
        <v>0</v>
      </c>
      <c r="U341" s="630">
        <f t="shared" si="411"/>
        <v>0</v>
      </c>
    </row>
    <row r="342" spans="1:21">
      <c r="A342" s="138"/>
      <c r="B342" s="132"/>
      <c r="C342" s="123"/>
      <c r="D342" s="123"/>
      <c r="E342" s="123"/>
      <c r="F342" s="123"/>
      <c r="G342" s="123"/>
      <c r="H342" s="123"/>
      <c r="I342" s="123"/>
      <c r="J342" s="123"/>
      <c r="K342" s="123"/>
      <c r="L342" s="123"/>
      <c r="M342" s="623"/>
      <c r="N342" s="123"/>
      <c r="O342" s="623"/>
      <c r="P342" s="623"/>
      <c r="Q342" s="623"/>
      <c r="R342" s="123"/>
      <c r="S342" s="631"/>
      <c r="T342" s="123"/>
      <c r="U342" s="631"/>
    </row>
    <row r="343" spans="1:21" s="131" customFormat="1" ht="11.25" customHeight="1">
      <c r="A343" s="137" t="s">
        <v>502</v>
      </c>
      <c r="B343" s="133"/>
      <c r="C343" s="658" t="s">
        <v>212</v>
      </c>
      <c r="D343" s="126"/>
      <c r="E343" s="127"/>
      <c r="F343" s="128"/>
      <c r="G343" s="128"/>
      <c r="H343" s="128"/>
      <c r="I343" s="129"/>
      <c r="J343" s="129">
        <f>SUBTOTAL(9,J344:J344)</f>
        <v>8738.247800000001</v>
      </c>
      <c r="K343" s="129"/>
      <c r="L343" s="129"/>
      <c r="M343" s="624"/>
      <c r="N343" s="130"/>
      <c r="O343" s="624">
        <f>SUBTOTAL(9,O344:O344)</f>
        <v>8738.24</v>
      </c>
      <c r="P343" s="130"/>
      <c r="Q343" s="624">
        <f>SUBTOTAL(9,Q344:Q344)</f>
        <v>0</v>
      </c>
      <c r="R343" s="129"/>
      <c r="S343" s="624">
        <f>SUBTOTAL(9,S344:S344)</f>
        <v>8738.24</v>
      </c>
      <c r="T343" s="129">
        <f t="shared" si="352"/>
        <v>0</v>
      </c>
      <c r="U343" s="624">
        <f>SUBTOTAL(9,U344:U344)</f>
        <v>0</v>
      </c>
    </row>
    <row r="344" spans="1:21" ht="25.5">
      <c r="A344" s="190" t="s">
        <v>503</v>
      </c>
      <c r="B344" s="191" t="s">
        <v>227</v>
      </c>
      <c r="C344" s="657" t="s">
        <v>233</v>
      </c>
      <c r="D344" s="192" t="s">
        <v>51</v>
      </c>
      <c r="E344" s="193">
        <v>366.23</v>
      </c>
      <c r="F344" s="194">
        <v>23.86</v>
      </c>
      <c r="G344" s="194"/>
      <c r="H344" s="194"/>
      <c r="I344" s="193">
        <f t="shared" ref="I344" si="412">F344+G344-H344</f>
        <v>23.86</v>
      </c>
      <c r="J344" s="193">
        <f t="shared" ref="J344" si="413">I344*E344</f>
        <v>8738.247800000001</v>
      </c>
      <c r="K344" s="193"/>
      <c r="L344" s="193"/>
      <c r="M344" s="622">
        <f t="shared" ref="M344" si="414">I344*E344</f>
        <v>8738.247800000001</v>
      </c>
      <c r="N344" s="194">
        <v>23.86</v>
      </c>
      <c r="O344" s="622">
        <f t="shared" ref="O344" si="415">TRUNC(N344*E344,2)</f>
        <v>8738.24</v>
      </c>
      <c r="P344" s="560">
        <v>0</v>
      </c>
      <c r="Q344" s="622">
        <f t="shared" ref="Q344" si="416">S344-O344</f>
        <v>0</v>
      </c>
      <c r="R344" s="194">
        <f t="shared" ref="R344" si="417">P344+N344</f>
        <v>23.86</v>
      </c>
      <c r="S344" s="630">
        <f t="shared" ref="S344" si="418">TRUNC(R344*E344,2)</f>
        <v>8738.24</v>
      </c>
      <c r="T344" s="194">
        <f t="shared" si="352"/>
        <v>0</v>
      </c>
      <c r="U344" s="630">
        <f>T344*E344</f>
        <v>0</v>
      </c>
    </row>
    <row r="345" spans="1:21">
      <c r="A345" s="138"/>
      <c r="B345" s="132"/>
      <c r="C345" s="123"/>
      <c r="D345" s="123"/>
      <c r="E345" s="123"/>
      <c r="F345" s="123"/>
      <c r="G345" s="123"/>
      <c r="H345" s="123"/>
      <c r="I345" s="123"/>
      <c r="J345" s="123"/>
      <c r="K345" s="123"/>
      <c r="L345" s="123"/>
      <c r="M345" s="623"/>
      <c r="N345" s="123"/>
      <c r="O345" s="623"/>
      <c r="P345" s="123"/>
      <c r="Q345" s="623"/>
      <c r="R345" s="123"/>
      <c r="S345" s="631"/>
      <c r="T345" s="123"/>
      <c r="U345" s="631"/>
    </row>
    <row r="346" spans="1:21" s="213" customFormat="1">
      <c r="A346" s="210" t="s">
        <v>504</v>
      </c>
      <c r="B346" s="211"/>
      <c r="C346" s="655" t="s">
        <v>318</v>
      </c>
      <c r="D346" s="197"/>
      <c r="E346" s="198"/>
      <c r="F346" s="199"/>
      <c r="G346" s="199"/>
      <c r="H346" s="199"/>
      <c r="I346" s="200"/>
      <c r="J346" s="200">
        <f>SUBTOTAL(9,J347:J351)</f>
        <v>428979.5944</v>
      </c>
      <c r="K346" s="200"/>
      <c r="L346" s="200"/>
      <c r="M346" s="620"/>
      <c r="N346" s="201"/>
      <c r="O346" s="620">
        <f>SUBTOTAL(9,O347:O351)</f>
        <v>428979.58999999997</v>
      </c>
      <c r="P346" s="201"/>
      <c r="Q346" s="620">
        <f>SUBTOTAL(9,Q347:Q351)</f>
        <v>0</v>
      </c>
      <c r="R346" s="200"/>
      <c r="S346" s="620">
        <f>SUBTOTAL(9,S347:S351)</f>
        <v>428979.58999999997</v>
      </c>
      <c r="T346" s="200">
        <f t="shared" si="352"/>
        <v>0</v>
      </c>
      <c r="U346" s="620">
        <f>SUBTOTAL(9,U347:U351)</f>
        <v>0</v>
      </c>
    </row>
    <row r="347" spans="1:21" s="131" customFormat="1">
      <c r="A347" s="137" t="s">
        <v>505</v>
      </c>
      <c r="B347" s="133"/>
      <c r="C347" s="658" t="s">
        <v>318</v>
      </c>
      <c r="D347" s="126"/>
      <c r="E347" s="127"/>
      <c r="F347" s="128"/>
      <c r="G347" s="128"/>
      <c r="H347" s="128"/>
      <c r="I347" s="129"/>
      <c r="J347" s="129">
        <f>SUBTOTAL(9,J348:J351)</f>
        <v>428979.5944</v>
      </c>
      <c r="K347" s="129"/>
      <c r="L347" s="129"/>
      <c r="M347" s="624"/>
      <c r="N347" s="130"/>
      <c r="O347" s="624">
        <f>SUBTOTAL(9,O348:O351)</f>
        <v>428979.58999999997</v>
      </c>
      <c r="P347" s="130"/>
      <c r="Q347" s="624">
        <f>SUBTOTAL(9,Q348:Q351)</f>
        <v>0</v>
      </c>
      <c r="R347" s="129"/>
      <c r="S347" s="624">
        <f>SUBTOTAL(9,S348:S351)</f>
        <v>428979.58999999997</v>
      </c>
      <c r="T347" s="129">
        <f t="shared" si="352"/>
        <v>0</v>
      </c>
      <c r="U347" s="624">
        <f>SUBTOTAL(9,U348:U351)</f>
        <v>0</v>
      </c>
    </row>
    <row r="348" spans="1:21" ht="24" customHeight="1">
      <c r="A348" s="190" t="s">
        <v>506</v>
      </c>
      <c r="B348" s="191" t="s">
        <v>323</v>
      </c>
      <c r="C348" s="657" t="s">
        <v>326</v>
      </c>
      <c r="D348" s="192" t="s">
        <v>59</v>
      </c>
      <c r="E348" s="193">
        <v>409453.83</v>
      </c>
      <c r="F348" s="194">
        <v>1</v>
      </c>
      <c r="G348" s="194"/>
      <c r="H348" s="194"/>
      <c r="I348" s="193">
        <f t="shared" ref="I348:I351" si="419">F348+G348-H348</f>
        <v>1</v>
      </c>
      <c r="J348" s="193">
        <f t="shared" ref="J348:J351" si="420">I348*E348</f>
        <v>409453.83</v>
      </c>
      <c r="K348" s="193"/>
      <c r="L348" s="193"/>
      <c r="M348" s="622">
        <f t="shared" ref="M348:M351" si="421">I348*E348</f>
        <v>409453.83</v>
      </c>
      <c r="N348" s="194">
        <f>'3.5.1.1'!R20</f>
        <v>0.99999999999999989</v>
      </c>
      <c r="O348" s="622">
        <f t="shared" ref="O348" si="422">TRUNC(N348*E348,2)</f>
        <v>409453.83</v>
      </c>
      <c r="P348" s="194">
        <f>'3.5.1.1'!R21</f>
        <v>0</v>
      </c>
      <c r="Q348" s="622">
        <f t="shared" ref="Q348" si="423">S348-O348</f>
        <v>0</v>
      </c>
      <c r="R348" s="194">
        <f t="shared" ref="R348" si="424">P348+N348</f>
        <v>0.99999999999999989</v>
      </c>
      <c r="S348" s="630">
        <f t="shared" ref="S348" si="425">TRUNC(R348*E348,2)</f>
        <v>409453.83</v>
      </c>
      <c r="T348" s="194">
        <f t="shared" si="352"/>
        <v>0</v>
      </c>
      <c r="U348" s="630">
        <f>T348*E348</f>
        <v>0</v>
      </c>
    </row>
    <row r="349" spans="1:21" ht="24" customHeight="1">
      <c r="A349" s="190" t="s">
        <v>507</v>
      </c>
      <c r="B349" s="191" t="s">
        <v>324</v>
      </c>
      <c r="C349" s="657" t="s">
        <v>327</v>
      </c>
      <c r="D349" s="192" t="s">
        <v>59</v>
      </c>
      <c r="E349" s="193">
        <v>3812.11</v>
      </c>
      <c r="F349" s="194">
        <v>1</v>
      </c>
      <c r="G349" s="194"/>
      <c r="H349" s="194"/>
      <c r="I349" s="193">
        <f t="shared" si="419"/>
        <v>1</v>
      </c>
      <c r="J349" s="193">
        <f t="shared" si="420"/>
        <v>3812.11</v>
      </c>
      <c r="K349" s="193"/>
      <c r="L349" s="193"/>
      <c r="M349" s="622">
        <f t="shared" si="421"/>
        <v>3812.11</v>
      </c>
      <c r="N349" s="194">
        <f>'3.5.1.2'!R20</f>
        <v>1</v>
      </c>
      <c r="O349" s="622">
        <f>TRUNC(N349*E349,2)</f>
        <v>3812.11</v>
      </c>
      <c r="P349" s="194">
        <f>'3.5.1.2'!R21</f>
        <v>0</v>
      </c>
      <c r="Q349" s="622">
        <f>S349-O349</f>
        <v>0</v>
      </c>
      <c r="R349" s="194">
        <f>P349+N349</f>
        <v>1</v>
      </c>
      <c r="S349" s="630">
        <f>TRUNC(R349*E349,2)</f>
        <v>3812.11</v>
      </c>
      <c r="T349" s="194">
        <f t="shared" si="352"/>
        <v>0</v>
      </c>
      <c r="U349" s="630">
        <f t="shared" ref="U349:U351" si="426">T349*E349</f>
        <v>0</v>
      </c>
    </row>
    <row r="350" spans="1:21" ht="24" customHeight="1">
      <c r="A350" s="190" t="s">
        <v>508</v>
      </c>
      <c r="B350" s="191" t="s">
        <v>510</v>
      </c>
      <c r="C350" s="657" t="s">
        <v>548</v>
      </c>
      <c r="D350" s="192" t="s">
        <v>72</v>
      </c>
      <c r="E350" s="193">
        <v>1735.29</v>
      </c>
      <c r="F350" s="194">
        <v>1</v>
      </c>
      <c r="G350" s="194"/>
      <c r="H350" s="194"/>
      <c r="I350" s="193">
        <f t="shared" si="419"/>
        <v>1</v>
      </c>
      <c r="J350" s="193">
        <f t="shared" si="420"/>
        <v>1735.29</v>
      </c>
      <c r="K350" s="193"/>
      <c r="L350" s="193"/>
      <c r="M350" s="622">
        <f t="shared" si="421"/>
        <v>1735.29</v>
      </c>
      <c r="N350" s="194">
        <f>'3.5.1.3'!R20</f>
        <v>1</v>
      </c>
      <c r="O350" s="622">
        <f>TRUNC(N350*E350,2)</f>
        <v>1735.29</v>
      </c>
      <c r="P350" s="194">
        <f>'3.5.1.3'!R21</f>
        <v>0</v>
      </c>
      <c r="Q350" s="622">
        <f>S350-O350</f>
        <v>0</v>
      </c>
      <c r="R350" s="194">
        <f>P350+N350</f>
        <v>1</v>
      </c>
      <c r="S350" s="630">
        <f>TRUNC(R350*E350,2)</f>
        <v>1735.29</v>
      </c>
      <c r="T350" s="194">
        <f t="shared" si="352"/>
        <v>0</v>
      </c>
      <c r="U350" s="630">
        <f t="shared" si="426"/>
        <v>0</v>
      </c>
    </row>
    <row r="351" spans="1:21" ht="24" customHeight="1">
      <c r="A351" s="190" t="s">
        <v>509</v>
      </c>
      <c r="B351" s="191" t="s">
        <v>325</v>
      </c>
      <c r="C351" s="657" t="s">
        <v>328</v>
      </c>
      <c r="D351" s="192" t="s">
        <v>50</v>
      </c>
      <c r="E351" s="193">
        <v>115.83</v>
      </c>
      <c r="F351" s="194">
        <v>120.68</v>
      </c>
      <c r="G351" s="194"/>
      <c r="H351" s="194"/>
      <c r="I351" s="193">
        <f t="shared" si="419"/>
        <v>120.68</v>
      </c>
      <c r="J351" s="193">
        <f t="shared" si="420"/>
        <v>13978.3644</v>
      </c>
      <c r="K351" s="193"/>
      <c r="L351" s="193"/>
      <c r="M351" s="622">
        <f t="shared" si="421"/>
        <v>13978.3644</v>
      </c>
      <c r="N351" s="194">
        <f>'3.5.1.4'!R19</f>
        <v>120.68</v>
      </c>
      <c r="O351" s="622">
        <f t="shared" ref="O351" si="427">TRUNC(N351*E351,2)</f>
        <v>13978.36</v>
      </c>
      <c r="P351" s="194">
        <f>'3.5.1.4'!R20</f>
        <v>0</v>
      </c>
      <c r="Q351" s="622">
        <f t="shared" ref="Q351" si="428">S351-O351</f>
        <v>0</v>
      </c>
      <c r="R351" s="194">
        <f t="shared" ref="R351" si="429">P351+N351</f>
        <v>120.68</v>
      </c>
      <c r="S351" s="630">
        <f t="shared" ref="S351" si="430">TRUNC(R351*E351,2)</f>
        <v>13978.36</v>
      </c>
      <c r="T351" s="194">
        <f t="shared" si="352"/>
        <v>0</v>
      </c>
      <c r="U351" s="630">
        <f t="shared" si="426"/>
        <v>0</v>
      </c>
    </row>
    <row r="352" spans="1:21">
      <c r="A352" s="138"/>
      <c r="B352" s="132"/>
      <c r="C352" s="123"/>
      <c r="D352" s="123"/>
      <c r="E352" s="123"/>
      <c r="F352" s="123"/>
      <c r="G352" s="123"/>
      <c r="H352" s="123"/>
      <c r="I352" s="123"/>
      <c r="J352" s="123"/>
      <c r="K352" s="123"/>
      <c r="L352" s="123"/>
      <c r="M352" s="623"/>
      <c r="N352" s="123"/>
      <c r="O352" s="623"/>
      <c r="P352" s="123"/>
      <c r="Q352" s="623"/>
      <c r="R352" s="123"/>
      <c r="S352" s="631"/>
      <c r="T352" s="123"/>
      <c r="U352" s="631"/>
    </row>
    <row r="353" spans="1:21" s="213" customFormat="1">
      <c r="A353" s="210" t="s">
        <v>511</v>
      </c>
      <c r="B353" s="211"/>
      <c r="C353" s="655" t="s">
        <v>329</v>
      </c>
      <c r="D353" s="197"/>
      <c r="E353" s="198"/>
      <c r="F353" s="199"/>
      <c r="G353" s="199"/>
      <c r="H353" s="199"/>
      <c r="I353" s="200"/>
      <c r="J353" s="200">
        <f>SUBTOTAL(9,J354:J379)</f>
        <v>42442.573000000004</v>
      </c>
      <c r="K353" s="200"/>
      <c r="L353" s="200"/>
      <c r="M353" s="620"/>
      <c r="N353" s="201"/>
      <c r="O353" s="620">
        <f>SUBTOTAL(9,O354:O379)</f>
        <v>37465.890000000007</v>
      </c>
      <c r="P353" s="201"/>
      <c r="Q353" s="620">
        <f>SUBTOTAL(9,Q354:Q379)</f>
        <v>0</v>
      </c>
      <c r="R353" s="200"/>
      <c r="S353" s="620">
        <f>SUBTOTAL(9,S354:S379)</f>
        <v>42442.560000000005</v>
      </c>
      <c r="T353" s="200">
        <f t="shared" si="352"/>
        <v>0</v>
      </c>
      <c r="U353" s="620">
        <f>SUBTOTAL(9,U354:U379)</f>
        <v>0</v>
      </c>
    </row>
    <row r="354" spans="1:21" s="131" customFormat="1">
      <c r="A354" s="137" t="s">
        <v>512</v>
      </c>
      <c r="B354" s="133"/>
      <c r="C354" s="658" t="s">
        <v>329</v>
      </c>
      <c r="D354" s="126"/>
      <c r="E354" s="127"/>
      <c r="F354" s="128"/>
      <c r="G354" s="128"/>
      <c r="H354" s="128"/>
      <c r="I354" s="129"/>
      <c r="J354" s="129">
        <f>SUBTOTAL(9,J355:J373)</f>
        <v>39130.33</v>
      </c>
      <c r="K354" s="129"/>
      <c r="L354" s="129"/>
      <c r="M354" s="624"/>
      <c r="N354" s="130"/>
      <c r="O354" s="624">
        <f>SUBTOTAL(9,O355:O373)</f>
        <v>34153.65</v>
      </c>
      <c r="P354" s="130"/>
      <c r="Q354" s="624">
        <f>SUBTOTAL(9,Q355:Q373)</f>
        <v>0</v>
      </c>
      <c r="R354" s="129"/>
      <c r="S354" s="624">
        <f>SUBTOTAL(9,S355:S373)</f>
        <v>39130.32</v>
      </c>
      <c r="T354" s="129">
        <f t="shared" ref="T354:T387" si="431">F354-R354</f>
        <v>0</v>
      </c>
      <c r="U354" s="624">
        <f>SUBTOTAL(9,U355:U373)</f>
        <v>0</v>
      </c>
    </row>
    <row r="355" spans="1:21" ht="25.5">
      <c r="A355" s="190" t="s">
        <v>513</v>
      </c>
      <c r="B355" s="191">
        <v>151701</v>
      </c>
      <c r="C355" s="657" t="s">
        <v>685</v>
      </c>
      <c r="D355" s="192" t="s">
        <v>59</v>
      </c>
      <c r="E355" s="193">
        <v>1510.64</v>
      </c>
      <c r="F355" s="194">
        <v>1</v>
      </c>
      <c r="G355" s="194"/>
      <c r="H355" s="194"/>
      <c r="I355" s="193">
        <f t="shared" ref="I355:I373" si="432">F355+G355-H355</f>
        <v>1</v>
      </c>
      <c r="J355" s="193">
        <f t="shared" ref="J355:J373" si="433">I355*E355</f>
        <v>1510.64</v>
      </c>
      <c r="K355" s="193"/>
      <c r="L355" s="193"/>
      <c r="M355" s="622">
        <f t="shared" ref="M355:M373" si="434">I355*E355</f>
        <v>1510.64</v>
      </c>
      <c r="N355" s="194">
        <v>1</v>
      </c>
      <c r="O355" s="622">
        <f t="shared" ref="O355:O373" si="435">TRUNC(N355*E355,2)</f>
        <v>1510.64</v>
      </c>
      <c r="P355" s="194"/>
      <c r="Q355" s="622">
        <f t="shared" ref="Q355:Q373" si="436">S355-O355</f>
        <v>0</v>
      </c>
      <c r="R355" s="194">
        <f t="shared" ref="R355:R373" si="437">P355+N355</f>
        <v>1</v>
      </c>
      <c r="S355" s="630">
        <f t="shared" ref="S355:S373" si="438">TRUNC(R355*E355,2)</f>
        <v>1510.64</v>
      </c>
      <c r="T355" s="194">
        <f t="shared" si="431"/>
        <v>0</v>
      </c>
      <c r="U355" s="630">
        <f t="shared" ref="U355" si="439">T355*E355</f>
        <v>0</v>
      </c>
    </row>
    <row r="356" spans="1:21" ht="25.5">
      <c r="A356" s="190" t="s">
        <v>514</v>
      </c>
      <c r="B356" s="191">
        <v>150312</v>
      </c>
      <c r="C356" s="657" t="s">
        <v>350</v>
      </c>
      <c r="D356" s="192" t="s">
        <v>59</v>
      </c>
      <c r="E356" s="193">
        <v>103.79</v>
      </c>
      <c r="F356" s="194">
        <v>1</v>
      </c>
      <c r="G356" s="194"/>
      <c r="H356" s="194"/>
      <c r="I356" s="193">
        <f t="shared" si="432"/>
        <v>1</v>
      </c>
      <c r="J356" s="193">
        <f t="shared" si="433"/>
        <v>103.79</v>
      </c>
      <c r="K356" s="193"/>
      <c r="L356" s="193"/>
      <c r="M356" s="622">
        <f t="shared" si="434"/>
        <v>103.79</v>
      </c>
      <c r="N356" s="194">
        <v>1</v>
      </c>
      <c r="O356" s="622">
        <f t="shared" si="435"/>
        <v>103.79</v>
      </c>
      <c r="P356" s="194"/>
      <c r="Q356" s="622">
        <f t="shared" si="436"/>
        <v>0</v>
      </c>
      <c r="R356" s="194">
        <f t="shared" si="437"/>
        <v>1</v>
      </c>
      <c r="S356" s="630">
        <f t="shared" si="438"/>
        <v>103.79</v>
      </c>
      <c r="T356" s="194">
        <f t="shared" si="431"/>
        <v>0</v>
      </c>
      <c r="U356" s="630">
        <v>0</v>
      </c>
    </row>
    <row r="357" spans="1:21">
      <c r="A357" s="190" t="s">
        <v>515</v>
      </c>
      <c r="B357" s="191">
        <v>150628</v>
      </c>
      <c r="C357" s="657" t="s">
        <v>351</v>
      </c>
      <c r="D357" s="192" t="s">
        <v>59</v>
      </c>
      <c r="E357" s="193">
        <v>7.47</v>
      </c>
      <c r="F357" s="194">
        <v>19</v>
      </c>
      <c r="G357" s="194"/>
      <c r="H357" s="194"/>
      <c r="I357" s="193">
        <f t="shared" si="432"/>
        <v>19</v>
      </c>
      <c r="J357" s="193">
        <f t="shared" si="433"/>
        <v>141.93</v>
      </c>
      <c r="K357" s="193"/>
      <c r="L357" s="193"/>
      <c r="M357" s="622">
        <f t="shared" si="434"/>
        <v>141.93</v>
      </c>
      <c r="N357" s="194">
        <v>19</v>
      </c>
      <c r="O357" s="622">
        <f t="shared" si="435"/>
        <v>141.93</v>
      </c>
      <c r="P357" s="194"/>
      <c r="Q357" s="622">
        <f t="shared" si="436"/>
        <v>0</v>
      </c>
      <c r="R357" s="194">
        <f t="shared" si="437"/>
        <v>19</v>
      </c>
      <c r="S357" s="630">
        <f t="shared" si="438"/>
        <v>141.93</v>
      </c>
      <c r="T357" s="194">
        <f t="shared" si="431"/>
        <v>0</v>
      </c>
      <c r="U357" s="630">
        <v>0</v>
      </c>
    </row>
    <row r="358" spans="1:21" ht="25.5">
      <c r="A358" s="190" t="s">
        <v>516</v>
      </c>
      <c r="B358" s="191">
        <v>151417</v>
      </c>
      <c r="C358" s="657" t="s">
        <v>352</v>
      </c>
      <c r="D358" s="192" t="s">
        <v>51</v>
      </c>
      <c r="E358" s="193">
        <v>5.86</v>
      </c>
      <c r="F358" s="194">
        <v>147.4</v>
      </c>
      <c r="G358" s="194"/>
      <c r="H358" s="194"/>
      <c r="I358" s="193">
        <f t="shared" si="432"/>
        <v>147.4</v>
      </c>
      <c r="J358" s="193">
        <f t="shared" si="433"/>
        <v>863.76400000000012</v>
      </c>
      <c r="K358" s="193"/>
      <c r="L358" s="193"/>
      <c r="M358" s="622">
        <f t="shared" si="434"/>
        <v>863.76400000000012</v>
      </c>
      <c r="N358" s="194">
        <v>147.4</v>
      </c>
      <c r="O358" s="622">
        <f t="shared" si="435"/>
        <v>863.76</v>
      </c>
      <c r="P358" s="194"/>
      <c r="Q358" s="622">
        <f t="shared" si="436"/>
        <v>0</v>
      </c>
      <c r="R358" s="194">
        <f t="shared" si="437"/>
        <v>147.4</v>
      </c>
      <c r="S358" s="630">
        <f t="shared" si="438"/>
        <v>863.76</v>
      </c>
      <c r="T358" s="194">
        <f t="shared" si="431"/>
        <v>0</v>
      </c>
      <c r="U358" s="630">
        <v>0</v>
      </c>
    </row>
    <row r="359" spans="1:21" ht="25.5">
      <c r="A359" s="190" t="s">
        <v>517</v>
      </c>
      <c r="B359" s="191">
        <v>151418</v>
      </c>
      <c r="C359" s="657" t="s">
        <v>353</v>
      </c>
      <c r="D359" s="192" t="s">
        <v>51</v>
      </c>
      <c r="E359" s="193">
        <v>6.74</v>
      </c>
      <c r="F359" s="194">
        <v>315.39999999999998</v>
      </c>
      <c r="G359" s="194"/>
      <c r="H359" s="194"/>
      <c r="I359" s="193">
        <f t="shared" si="432"/>
        <v>315.39999999999998</v>
      </c>
      <c r="J359" s="193">
        <f t="shared" si="433"/>
        <v>2125.7959999999998</v>
      </c>
      <c r="K359" s="193"/>
      <c r="L359" s="193"/>
      <c r="M359" s="622">
        <f t="shared" si="434"/>
        <v>2125.7959999999998</v>
      </c>
      <c r="N359" s="194">
        <v>315.39999999999998</v>
      </c>
      <c r="O359" s="622">
        <f t="shared" si="435"/>
        <v>2125.79</v>
      </c>
      <c r="P359" s="194"/>
      <c r="Q359" s="622">
        <f t="shared" si="436"/>
        <v>0</v>
      </c>
      <c r="R359" s="194">
        <f t="shared" si="437"/>
        <v>315.39999999999998</v>
      </c>
      <c r="S359" s="630">
        <f t="shared" si="438"/>
        <v>2125.79</v>
      </c>
      <c r="T359" s="194">
        <f t="shared" si="431"/>
        <v>0</v>
      </c>
      <c r="U359" s="630">
        <v>0</v>
      </c>
    </row>
    <row r="360" spans="1:21" ht="25.5">
      <c r="A360" s="190" t="s">
        <v>518</v>
      </c>
      <c r="B360" s="191">
        <v>151420</v>
      </c>
      <c r="C360" s="657" t="s">
        <v>354</v>
      </c>
      <c r="D360" s="192" t="s">
        <v>51</v>
      </c>
      <c r="E360" s="193">
        <v>10.63</v>
      </c>
      <c r="F360" s="194">
        <v>60</v>
      </c>
      <c r="G360" s="194"/>
      <c r="H360" s="194"/>
      <c r="I360" s="193">
        <f t="shared" si="432"/>
        <v>60</v>
      </c>
      <c r="J360" s="193">
        <f t="shared" si="433"/>
        <v>637.80000000000007</v>
      </c>
      <c r="K360" s="193"/>
      <c r="L360" s="193"/>
      <c r="M360" s="622">
        <f t="shared" si="434"/>
        <v>637.80000000000007</v>
      </c>
      <c r="N360" s="194">
        <v>60</v>
      </c>
      <c r="O360" s="622">
        <f t="shared" si="435"/>
        <v>637.79999999999995</v>
      </c>
      <c r="P360" s="194"/>
      <c r="Q360" s="622">
        <f t="shared" si="436"/>
        <v>0</v>
      </c>
      <c r="R360" s="194">
        <f t="shared" si="437"/>
        <v>60</v>
      </c>
      <c r="S360" s="630">
        <f t="shared" si="438"/>
        <v>637.79999999999995</v>
      </c>
      <c r="T360" s="194">
        <f t="shared" si="431"/>
        <v>0</v>
      </c>
      <c r="U360" s="630">
        <v>0</v>
      </c>
    </row>
    <row r="361" spans="1:21" ht="38.25">
      <c r="A361" s="190" t="s">
        <v>519</v>
      </c>
      <c r="B361" s="191">
        <v>151809</v>
      </c>
      <c r="C361" s="657" t="s">
        <v>355</v>
      </c>
      <c r="D361" s="192" t="s">
        <v>59</v>
      </c>
      <c r="E361" s="193">
        <v>150.13</v>
      </c>
      <c r="F361" s="194">
        <v>1</v>
      </c>
      <c r="G361" s="194"/>
      <c r="H361" s="194"/>
      <c r="I361" s="193">
        <f t="shared" si="432"/>
        <v>1</v>
      </c>
      <c r="J361" s="193">
        <f t="shared" si="433"/>
        <v>150.13</v>
      </c>
      <c r="K361" s="193"/>
      <c r="L361" s="193"/>
      <c r="M361" s="622">
        <f t="shared" si="434"/>
        <v>150.13</v>
      </c>
      <c r="N361" s="194">
        <v>1</v>
      </c>
      <c r="O361" s="622">
        <f t="shared" si="435"/>
        <v>150.13</v>
      </c>
      <c r="P361" s="194"/>
      <c r="Q361" s="622">
        <f t="shared" si="436"/>
        <v>0</v>
      </c>
      <c r="R361" s="194">
        <f t="shared" si="437"/>
        <v>1</v>
      </c>
      <c r="S361" s="630">
        <f t="shared" si="438"/>
        <v>150.13</v>
      </c>
      <c r="T361" s="194">
        <f t="shared" si="431"/>
        <v>0</v>
      </c>
      <c r="U361" s="630">
        <v>0</v>
      </c>
    </row>
    <row r="362" spans="1:21" ht="38.25">
      <c r="A362" s="190" t="s">
        <v>520</v>
      </c>
      <c r="B362" s="191">
        <v>151803</v>
      </c>
      <c r="C362" s="657" t="s">
        <v>356</v>
      </c>
      <c r="D362" s="192" t="s">
        <v>59</v>
      </c>
      <c r="E362" s="193">
        <v>170.86</v>
      </c>
      <c r="F362" s="194">
        <v>10</v>
      </c>
      <c r="G362" s="194"/>
      <c r="H362" s="194"/>
      <c r="I362" s="193">
        <f t="shared" si="432"/>
        <v>10</v>
      </c>
      <c r="J362" s="193">
        <f t="shared" si="433"/>
        <v>1708.6000000000001</v>
      </c>
      <c r="K362" s="193"/>
      <c r="L362" s="193"/>
      <c r="M362" s="622">
        <f t="shared" si="434"/>
        <v>1708.6000000000001</v>
      </c>
      <c r="N362" s="194">
        <v>10</v>
      </c>
      <c r="O362" s="622">
        <f t="shared" si="435"/>
        <v>1708.6</v>
      </c>
      <c r="P362" s="194"/>
      <c r="Q362" s="622">
        <f t="shared" si="436"/>
        <v>0</v>
      </c>
      <c r="R362" s="194">
        <f t="shared" si="437"/>
        <v>10</v>
      </c>
      <c r="S362" s="630">
        <f t="shared" si="438"/>
        <v>1708.6</v>
      </c>
      <c r="T362" s="194">
        <f t="shared" si="431"/>
        <v>0</v>
      </c>
      <c r="U362" s="630">
        <v>0</v>
      </c>
    </row>
    <row r="363" spans="1:21" ht="25.5">
      <c r="A363" s="190" t="s">
        <v>521</v>
      </c>
      <c r="B363" s="191">
        <v>151338</v>
      </c>
      <c r="C363" s="657" t="s">
        <v>357</v>
      </c>
      <c r="D363" s="192" t="s">
        <v>59</v>
      </c>
      <c r="E363" s="193">
        <v>18.14</v>
      </c>
      <c r="F363" s="194">
        <v>1</v>
      </c>
      <c r="G363" s="194"/>
      <c r="H363" s="194"/>
      <c r="I363" s="193">
        <f t="shared" si="432"/>
        <v>1</v>
      </c>
      <c r="J363" s="193">
        <f t="shared" si="433"/>
        <v>18.14</v>
      </c>
      <c r="K363" s="193"/>
      <c r="L363" s="193"/>
      <c r="M363" s="622">
        <f t="shared" si="434"/>
        <v>18.14</v>
      </c>
      <c r="N363" s="194">
        <v>1</v>
      </c>
      <c r="O363" s="622">
        <f t="shared" si="435"/>
        <v>18.14</v>
      </c>
      <c r="P363" s="194">
        <v>0</v>
      </c>
      <c r="Q363" s="622">
        <f t="shared" si="436"/>
        <v>0</v>
      </c>
      <c r="R363" s="194">
        <f t="shared" si="437"/>
        <v>1</v>
      </c>
      <c r="S363" s="630">
        <f t="shared" si="438"/>
        <v>18.14</v>
      </c>
      <c r="T363" s="194">
        <f t="shared" si="431"/>
        <v>0</v>
      </c>
      <c r="U363" s="630">
        <v>0</v>
      </c>
    </row>
    <row r="364" spans="1:21" ht="25.5">
      <c r="A364" s="190" t="s">
        <v>522</v>
      </c>
      <c r="B364" s="191">
        <v>151301</v>
      </c>
      <c r="C364" s="657" t="s">
        <v>358</v>
      </c>
      <c r="D364" s="192" t="s">
        <v>59</v>
      </c>
      <c r="E364" s="193">
        <v>18.14</v>
      </c>
      <c r="F364" s="194">
        <v>1</v>
      </c>
      <c r="G364" s="194"/>
      <c r="H364" s="194"/>
      <c r="I364" s="193">
        <f t="shared" si="432"/>
        <v>1</v>
      </c>
      <c r="J364" s="193">
        <f t="shared" si="433"/>
        <v>18.14</v>
      </c>
      <c r="K364" s="193"/>
      <c r="L364" s="193"/>
      <c r="M364" s="622">
        <f t="shared" si="434"/>
        <v>18.14</v>
      </c>
      <c r="N364" s="194">
        <v>1</v>
      </c>
      <c r="O364" s="622">
        <f t="shared" si="435"/>
        <v>18.14</v>
      </c>
      <c r="P364" s="194">
        <v>0</v>
      </c>
      <c r="Q364" s="622">
        <f t="shared" si="436"/>
        <v>0</v>
      </c>
      <c r="R364" s="194">
        <f t="shared" si="437"/>
        <v>1</v>
      </c>
      <c r="S364" s="630">
        <f t="shared" si="438"/>
        <v>18.14</v>
      </c>
      <c r="T364" s="194">
        <f t="shared" si="431"/>
        <v>0</v>
      </c>
      <c r="U364" s="630">
        <v>0</v>
      </c>
    </row>
    <row r="365" spans="1:21" ht="25.5">
      <c r="A365" s="190" t="s">
        <v>523</v>
      </c>
      <c r="B365" s="191">
        <v>151303</v>
      </c>
      <c r="C365" s="657" t="s">
        <v>359</v>
      </c>
      <c r="D365" s="192" t="s">
        <v>59</v>
      </c>
      <c r="E365" s="193">
        <v>18.14</v>
      </c>
      <c r="F365" s="194">
        <v>1</v>
      </c>
      <c r="G365" s="194"/>
      <c r="H365" s="194"/>
      <c r="I365" s="193">
        <f t="shared" si="432"/>
        <v>1</v>
      </c>
      <c r="J365" s="193">
        <f t="shared" si="433"/>
        <v>18.14</v>
      </c>
      <c r="K365" s="193"/>
      <c r="L365" s="193"/>
      <c r="M365" s="622">
        <f t="shared" si="434"/>
        <v>18.14</v>
      </c>
      <c r="N365" s="194">
        <v>1</v>
      </c>
      <c r="O365" s="622">
        <f t="shared" si="435"/>
        <v>18.14</v>
      </c>
      <c r="P365" s="194">
        <v>0</v>
      </c>
      <c r="Q365" s="622">
        <f t="shared" si="436"/>
        <v>0</v>
      </c>
      <c r="R365" s="194">
        <f t="shared" si="437"/>
        <v>1</v>
      </c>
      <c r="S365" s="630">
        <f t="shared" si="438"/>
        <v>18.14</v>
      </c>
      <c r="T365" s="194">
        <f t="shared" si="431"/>
        <v>0</v>
      </c>
      <c r="U365" s="630">
        <v>0</v>
      </c>
    </row>
    <row r="366" spans="1:21" ht="25.5">
      <c r="A366" s="190" t="s">
        <v>524</v>
      </c>
      <c r="B366" s="191">
        <v>151318</v>
      </c>
      <c r="C366" s="657" t="s">
        <v>547</v>
      </c>
      <c r="D366" s="192" t="s">
        <v>59</v>
      </c>
      <c r="E366" s="193">
        <v>22.63</v>
      </c>
      <c r="F366" s="194">
        <v>1</v>
      </c>
      <c r="G366" s="194"/>
      <c r="H366" s="194"/>
      <c r="I366" s="193">
        <f t="shared" si="432"/>
        <v>1</v>
      </c>
      <c r="J366" s="193">
        <f t="shared" si="433"/>
        <v>22.63</v>
      </c>
      <c r="K366" s="193"/>
      <c r="L366" s="193"/>
      <c r="M366" s="622">
        <f t="shared" si="434"/>
        <v>22.63</v>
      </c>
      <c r="N366" s="194">
        <v>1</v>
      </c>
      <c r="O366" s="622">
        <f t="shared" si="435"/>
        <v>22.63</v>
      </c>
      <c r="P366" s="194">
        <v>0</v>
      </c>
      <c r="Q366" s="622">
        <f t="shared" si="436"/>
        <v>0</v>
      </c>
      <c r="R366" s="194">
        <f t="shared" si="437"/>
        <v>1</v>
      </c>
      <c r="S366" s="630">
        <f t="shared" si="438"/>
        <v>22.63</v>
      </c>
      <c r="T366" s="194">
        <f t="shared" si="431"/>
        <v>0</v>
      </c>
      <c r="U366" s="630">
        <v>0</v>
      </c>
    </row>
    <row r="367" spans="1:21">
      <c r="A367" s="190" t="s">
        <v>525</v>
      </c>
      <c r="B367" s="191">
        <v>151350</v>
      </c>
      <c r="C367" s="657" t="s">
        <v>360</v>
      </c>
      <c r="D367" s="192" t="s">
        <v>59</v>
      </c>
      <c r="E367" s="193">
        <v>133.04</v>
      </c>
      <c r="F367" s="194">
        <v>1</v>
      </c>
      <c r="G367" s="194"/>
      <c r="H367" s="194"/>
      <c r="I367" s="193">
        <f t="shared" si="432"/>
        <v>1</v>
      </c>
      <c r="J367" s="193">
        <f t="shared" si="433"/>
        <v>133.04</v>
      </c>
      <c r="K367" s="193"/>
      <c r="L367" s="193"/>
      <c r="M367" s="622">
        <f t="shared" si="434"/>
        <v>133.04</v>
      </c>
      <c r="N367" s="194">
        <v>1</v>
      </c>
      <c r="O367" s="622">
        <f t="shared" si="435"/>
        <v>133.04</v>
      </c>
      <c r="P367" s="194">
        <f>IFERROR(VLOOKUP(A367,#REF!,18,FALSE),)</f>
        <v>0</v>
      </c>
      <c r="Q367" s="622">
        <f t="shared" si="436"/>
        <v>0</v>
      </c>
      <c r="R367" s="194">
        <f t="shared" si="437"/>
        <v>1</v>
      </c>
      <c r="S367" s="630">
        <f t="shared" si="438"/>
        <v>133.04</v>
      </c>
      <c r="T367" s="194">
        <f t="shared" si="431"/>
        <v>0</v>
      </c>
      <c r="U367" s="630">
        <v>0</v>
      </c>
    </row>
    <row r="368" spans="1:21">
      <c r="A368" s="190" t="s">
        <v>526</v>
      </c>
      <c r="B368" s="191">
        <v>151132</v>
      </c>
      <c r="C368" s="657" t="s">
        <v>361</v>
      </c>
      <c r="D368" s="192" t="s">
        <v>51</v>
      </c>
      <c r="E368" s="193">
        <v>7.5</v>
      </c>
      <c r="F368" s="194">
        <v>75.7</v>
      </c>
      <c r="G368" s="194"/>
      <c r="H368" s="194"/>
      <c r="I368" s="193">
        <f t="shared" si="432"/>
        <v>75.7</v>
      </c>
      <c r="J368" s="193">
        <f t="shared" si="433"/>
        <v>567.75</v>
      </c>
      <c r="K368" s="193"/>
      <c r="L368" s="193"/>
      <c r="M368" s="622">
        <f t="shared" si="434"/>
        <v>567.75</v>
      </c>
      <c r="N368" s="194">
        <v>75.7</v>
      </c>
      <c r="O368" s="622">
        <f t="shared" si="435"/>
        <v>567.75</v>
      </c>
      <c r="P368" s="194">
        <f>IFERROR(VLOOKUP(A368,#REF!,18,FALSE),)</f>
        <v>0</v>
      </c>
      <c r="Q368" s="622">
        <f t="shared" si="436"/>
        <v>0</v>
      </c>
      <c r="R368" s="194">
        <f t="shared" si="437"/>
        <v>75.7</v>
      </c>
      <c r="S368" s="630">
        <f t="shared" si="438"/>
        <v>567.75</v>
      </c>
      <c r="T368" s="194">
        <f t="shared" si="431"/>
        <v>0</v>
      </c>
      <c r="U368" s="630">
        <v>0</v>
      </c>
    </row>
    <row r="369" spans="1:21" ht="25.5">
      <c r="A369" s="190" t="s">
        <v>527</v>
      </c>
      <c r="B369" s="191">
        <v>150801</v>
      </c>
      <c r="C369" s="657" t="s">
        <v>362</v>
      </c>
      <c r="D369" s="192" t="s">
        <v>51</v>
      </c>
      <c r="E369" s="193">
        <v>12.67</v>
      </c>
      <c r="F369" s="194">
        <v>66</v>
      </c>
      <c r="G369" s="194"/>
      <c r="H369" s="194"/>
      <c r="I369" s="193">
        <f t="shared" si="432"/>
        <v>66</v>
      </c>
      <c r="J369" s="193">
        <f t="shared" si="433"/>
        <v>836.22</v>
      </c>
      <c r="K369" s="193"/>
      <c r="L369" s="193"/>
      <c r="M369" s="622">
        <f t="shared" si="434"/>
        <v>836.22</v>
      </c>
      <c r="N369" s="194">
        <v>66</v>
      </c>
      <c r="O369" s="622">
        <f t="shared" si="435"/>
        <v>836.22</v>
      </c>
      <c r="P369" s="194">
        <f>IFERROR(VLOOKUP(A369,#REF!,18,FALSE),)</f>
        <v>0</v>
      </c>
      <c r="Q369" s="622">
        <f t="shared" si="436"/>
        <v>0</v>
      </c>
      <c r="R369" s="194">
        <f t="shared" si="437"/>
        <v>66</v>
      </c>
      <c r="S369" s="630">
        <f t="shared" si="438"/>
        <v>836.22</v>
      </c>
      <c r="T369" s="194">
        <f t="shared" si="431"/>
        <v>0</v>
      </c>
      <c r="U369" s="630">
        <v>0</v>
      </c>
    </row>
    <row r="370" spans="1:21">
      <c r="A370" s="190" t="s">
        <v>528</v>
      </c>
      <c r="B370" s="191">
        <v>180110</v>
      </c>
      <c r="C370" s="657" t="s">
        <v>363</v>
      </c>
      <c r="D370" s="192" t="s">
        <v>59</v>
      </c>
      <c r="E370" s="193">
        <v>106.15</v>
      </c>
      <c r="F370" s="194">
        <v>5</v>
      </c>
      <c r="G370" s="194"/>
      <c r="H370" s="194"/>
      <c r="I370" s="193">
        <f t="shared" si="432"/>
        <v>5</v>
      </c>
      <c r="J370" s="193">
        <f t="shared" si="433"/>
        <v>530.75</v>
      </c>
      <c r="K370" s="193"/>
      <c r="L370" s="193"/>
      <c r="M370" s="622">
        <f t="shared" si="434"/>
        <v>530.75</v>
      </c>
      <c r="N370" s="194">
        <v>5</v>
      </c>
      <c r="O370" s="622">
        <f t="shared" si="435"/>
        <v>530.75</v>
      </c>
      <c r="P370" s="194">
        <v>0</v>
      </c>
      <c r="Q370" s="622">
        <f t="shared" si="436"/>
        <v>0</v>
      </c>
      <c r="R370" s="194">
        <f t="shared" si="437"/>
        <v>5</v>
      </c>
      <c r="S370" s="630">
        <f t="shared" si="438"/>
        <v>530.75</v>
      </c>
      <c r="T370" s="194">
        <f t="shared" si="431"/>
        <v>0</v>
      </c>
      <c r="U370" s="630">
        <v>0</v>
      </c>
    </row>
    <row r="371" spans="1:21" ht="14.25" customHeight="1">
      <c r="A371" s="190" t="s">
        <v>529</v>
      </c>
      <c r="B371" s="191" t="s">
        <v>367</v>
      </c>
      <c r="C371" s="657" t="s">
        <v>364</v>
      </c>
      <c r="D371" s="192" t="s">
        <v>72</v>
      </c>
      <c r="E371" s="193">
        <v>362.44</v>
      </c>
      <c r="F371" s="194">
        <v>19</v>
      </c>
      <c r="G371" s="194"/>
      <c r="H371" s="194"/>
      <c r="I371" s="193">
        <f t="shared" si="432"/>
        <v>19</v>
      </c>
      <c r="J371" s="193">
        <f t="shared" si="433"/>
        <v>6886.36</v>
      </c>
      <c r="K371" s="193"/>
      <c r="L371" s="193"/>
      <c r="M371" s="622">
        <f t="shared" si="434"/>
        <v>6886.36</v>
      </c>
      <c r="N371" s="194">
        <v>19</v>
      </c>
      <c r="O371" s="622">
        <f t="shared" si="435"/>
        <v>6886.36</v>
      </c>
      <c r="P371" s="194">
        <v>0</v>
      </c>
      <c r="Q371" s="622">
        <f t="shared" si="436"/>
        <v>0</v>
      </c>
      <c r="R371" s="194">
        <f t="shared" si="437"/>
        <v>19</v>
      </c>
      <c r="S371" s="630">
        <f t="shared" si="438"/>
        <v>6886.36</v>
      </c>
      <c r="T371" s="194">
        <f t="shared" si="431"/>
        <v>0</v>
      </c>
      <c r="U371" s="630">
        <v>0</v>
      </c>
    </row>
    <row r="372" spans="1:21" ht="25.5">
      <c r="A372" s="190" t="s">
        <v>530</v>
      </c>
      <c r="B372" s="191" t="s">
        <v>368</v>
      </c>
      <c r="C372" s="657" t="s">
        <v>365</v>
      </c>
      <c r="D372" s="192" t="s">
        <v>72</v>
      </c>
      <c r="E372" s="193">
        <v>4976.67</v>
      </c>
      <c r="F372" s="194">
        <v>2</v>
      </c>
      <c r="G372" s="194"/>
      <c r="H372" s="194"/>
      <c r="I372" s="193">
        <f t="shared" si="432"/>
        <v>2</v>
      </c>
      <c r="J372" s="193">
        <f t="shared" si="433"/>
        <v>9953.34</v>
      </c>
      <c r="K372" s="193"/>
      <c r="L372" s="193"/>
      <c r="M372" s="622">
        <f t="shared" si="434"/>
        <v>9953.34</v>
      </c>
      <c r="N372" s="194">
        <v>1</v>
      </c>
      <c r="O372" s="622">
        <f t="shared" si="435"/>
        <v>4976.67</v>
      </c>
      <c r="P372" s="560">
        <v>0</v>
      </c>
      <c r="Q372" s="622">
        <f>P372*E372</f>
        <v>0</v>
      </c>
      <c r="R372" s="194">
        <v>2</v>
      </c>
      <c r="S372" s="630">
        <f t="shared" si="438"/>
        <v>9953.34</v>
      </c>
      <c r="T372" s="194">
        <f>F372-R372</f>
        <v>0</v>
      </c>
      <c r="U372" s="630">
        <f>T372*E372</f>
        <v>0</v>
      </c>
    </row>
    <row r="373" spans="1:21" ht="25.5">
      <c r="A373" s="190" t="s">
        <v>531</v>
      </c>
      <c r="B373" s="191" t="s">
        <v>369</v>
      </c>
      <c r="C373" s="657" t="s">
        <v>366</v>
      </c>
      <c r="D373" s="192" t="s">
        <v>10</v>
      </c>
      <c r="E373" s="193">
        <v>12903.37</v>
      </c>
      <c r="F373" s="194">
        <v>1</v>
      </c>
      <c r="G373" s="194"/>
      <c r="H373" s="194"/>
      <c r="I373" s="193">
        <f t="shared" si="432"/>
        <v>1</v>
      </c>
      <c r="J373" s="193">
        <f t="shared" si="433"/>
        <v>12903.37</v>
      </c>
      <c r="K373" s="193"/>
      <c r="L373" s="193"/>
      <c r="M373" s="622">
        <f t="shared" si="434"/>
        <v>12903.37</v>
      </c>
      <c r="N373" s="194">
        <v>1</v>
      </c>
      <c r="O373" s="622">
        <f t="shared" si="435"/>
        <v>12903.37</v>
      </c>
      <c r="P373" s="194">
        <v>0</v>
      </c>
      <c r="Q373" s="622">
        <f t="shared" si="436"/>
        <v>0</v>
      </c>
      <c r="R373" s="194">
        <f t="shared" si="437"/>
        <v>1</v>
      </c>
      <c r="S373" s="630">
        <f t="shared" si="438"/>
        <v>12903.37</v>
      </c>
      <c r="T373" s="194">
        <f t="shared" si="431"/>
        <v>0</v>
      </c>
      <c r="U373" s="630">
        <f>T373*E373</f>
        <v>0</v>
      </c>
    </row>
    <row r="374" spans="1:21">
      <c r="A374" s="138"/>
      <c r="B374" s="132"/>
      <c r="C374" s="123"/>
      <c r="D374" s="123"/>
      <c r="E374" s="123"/>
      <c r="F374" s="123"/>
      <c r="G374" s="123"/>
      <c r="H374" s="123"/>
      <c r="I374" s="123"/>
      <c r="J374" s="123"/>
      <c r="K374" s="123"/>
      <c r="L374" s="123"/>
      <c r="M374" s="623"/>
      <c r="N374" s="123"/>
      <c r="O374" s="623"/>
      <c r="P374" s="123"/>
      <c r="Q374" s="623"/>
      <c r="R374" s="123"/>
      <c r="S374" s="631"/>
      <c r="T374" s="123"/>
      <c r="U374" s="631"/>
    </row>
    <row r="375" spans="1:21" s="131" customFormat="1">
      <c r="A375" s="137" t="s">
        <v>532</v>
      </c>
      <c r="B375" s="133"/>
      <c r="C375" s="658" t="s">
        <v>371</v>
      </c>
      <c r="D375" s="126"/>
      <c r="E375" s="127"/>
      <c r="F375" s="128"/>
      <c r="G375" s="128"/>
      <c r="H375" s="128"/>
      <c r="I375" s="129"/>
      <c r="J375" s="129">
        <f>SUBTOTAL(9,J376:J379)</f>
        <v>3312.2430000000004</v>
      </c>
      <c r="K375" s="129"/>
      <c r="L375" s="129"/>
      <c r="M375" s="624"/>
      <c r="N375" s="130"/>
      <c r="O375" s="624">
        <f>SUBTOTAL(9,O376:O379)</f>
        <v>3312.2400000000002</v>
      </c>
      <c r="P375" s="130"/>
      <c r="Q375" s="624">
        <f>SUBTOTAL(9,Q376:Q379)</f>
        <v>0</v>
      </c>
      <c r="R375" s="129"/>
      <c r="S375" s="624">
        <f>SUBTOTAL(9,S376:S379)</f>
        <v>3312.2400000000002</v>
      </c>
      <c r="T375" s="129">
        <f t="shared" si="431"/>
        <v>0</v>
      </c>
      <c r="U375" s="624">
        <f>SUBTOTAL(9,U376:U379)</f>
        <v>0</v>
      </c>
    </row>
    <row r="376" spans="1:21" ht="38.25">
      <c r="A376" s="190" t="s">
        <v>533</v>
      </c>
      <c r="B376" s="191">
        <v>150610</v>
      </c>
      <c r="C376" s="657" t="s">
        <v>376</v>
      </c>
      <c r="D376" s="192" t="s">
        <v>59</v>
      </c>
      <c r="E376" s="193">
        <v>188.46</v>
      </c>
      <c r="F376" s="194">
        <v>4</v>
      </c>
      <c r="G376" s="194"/>
      <c r="H376" s="194"/>
      <c r="I376" s="193">
        <f t="shared" ref="I376:I379" si="440">F376+G376-H376</f>
        <v>4</v>
      </c>
      <c r="J376" s="193">
        <f t="shared" ref="J376:J379" si="441">I376*E376</f>
        <v>753.84</v>
      </c>
      <c r="K376" s="193"/>
      <c r="L376" s="193"/>
      <c r="M376" s="622">
        <f t="shared" ref="M376:M379" si="442">I376*E376</f>
        <v>753.84</v>
      </c>
      <c r="N376" s="194">
        <v>4</v>
      </c>
      <c r="O376" s="622">
        <f t="shared" ref="O376" si="443">TRUNC(N376*E376,2)</f>
        <v>753.84</v>
      </c>
      <c r="P376" s="194">
        <v>0</v>
      </c>
      <c r="Q376" s="622">
        <f t="shared" ref="Q376" si="444">S376-O376</f>
        <v>0</v>
      </c>
      <c r="R376" s="194">
        <f t="shared" ref="R376" si="445">P376+N376</f>
        <v>4</v>
      </c>
      <c r="S376" s="630">
        <f t="shared" ref="S376" si="446">TRUNC(R376*E376,2)</f>
        <v>753.84</v>
      </c>
      <c r="T376" s="194">
        <f t="shared" si="431"/>
        <v>0</v>
      </c>
      <c r="U376" s="630">
        <v>0</v>
      </c>
    </row>
    <row r="377" spans="1:21" ht="38.25">
      <c r="A377" s="190" t="s">
        <v>534</v>
      </c>
      <c r="B377" s="191">
        <v>160324</v>
      </c>
      <c r="C377" s="657" t="s">
        <v>546</v>
      </c>
      <c r="D377" s="192" t="s">
        <v>59</v>
      </c>
      <c r="E377" s="193">
        <v>199.91</v>
      </c>
      <c r="F377" s="194">
        <v>1</v>
      </c>
      <c r="G377" s="194"/>
      <c r="H377" s="194"/>
      <c r="I377" s="193">
        <f t="shared" si="440"/>
        <v>1</v>
      </c>
      <c r="J377" s="193">
        <f t="shared" si="441"/>
        <v>199.91</v>
      </c>
      <c r="K377" s="193"/>
      <c r="L377" s="193"/>
      <c r="M377" s="622">
        <f t="shared" si="442"/>
        <v>199.91</v>
      </c>
      <c r="N377" s="194">
        <v>1</v>
      </c>
      <c r="O377" s="622">
        <f>TRUNC(N377*E377,2)</f>
        <v>199.91</v>
      </c>
      <c r="P377" s="194">
        <v>0</v>
      </c>
      <c r="Q377" s="622">
        <f>S377-O377</f>
        <v>0</v>
      </c>
      <c r="R377" s="194">
        <f>P377+N377</f>
        <v>1</v>
      </c>
      <c r="S377" s="630">
        <f>TRUNC(R377*E377,2)</f>
        <v>199.91</v>
      </c>
      <c r="T377" s="194">
        <f t="shared" si="431"/>
        <v>0</v>
      </c>
      <c r="U377" s="630">
        <v>0</v>
      </c>
    </row>
    <row r="378" spans="1:21" ht="25.5">
      <c r="A378" s="190" t="s">
        <v>535</v>
      </c>
      <c r="B378" s="191">
        <v>160317</v>
      </c>
      <c r="C378" s="657" t="s">
        <v>377</v>
      </c>
      <c r="D378" s="192" t="s">
        <v>51</v>
      </c>
      <c r="E378" s="193">
        <v>33.369999999999997</v>
      </c>
      <c r="F378" s="194">
        <v>68.900000000000006</v>
      </c>
      <c r="G378" s="194"/>
      <c r="H378" s="194"/>
      <c r="I378" s="193">
        <f t="shared" si="440"/>
        <v>68.900000000000006</v>
      </c>
      <c r="J378" s="193">
        <f t="shared" si="441"/>
        <v>2299.1930000000002</v>
      </c>
      <c r="K378" s="193"/>
      <c r="L378" s="193"/>
      <c r="M378" s="622">
        <f t="shared" si="442"/>
        <v>2299.1930000000002</v>
      </c>
      <c r="N378" s="194">
        <v>68.900000000000006</v>
      </c>
      <c r="O378" s="622">
        <f t="shared" ref="O378:O379" si="447">TRUNC(N378*E378,2)</f>
        <v>2299.19</v>
      </c>
      <c r="P378" s="194">
        <v>0</v>
      </c>
      <c r="Q378" s="622">
        <f t="shared" ref="Q378:Q379" si="448">S378-O378</f>
        <v>0</v>
      </c>
      <c r="R378" s="194">
        <f t="shared" ref="R378:R379" si="449">P378+N378</f>
        <v>68.900000000000006</v>
      </c>
      <c r="S378" s="630">
        <f t="shared" ref="S378:S379" si="450">TRUNC(R378*E378,2)</f>
        <v>2299.19</v>
      </c>
      <c r="T378" s="194">
        <f t="shared" si="431"/>
        <v>0</v>
      </c>
      <c r="U378" s="630">
        <v>0</v>
      </c>
    </row>
    <row r="379" spans="1:21" ht="25.5">
      <c r="A379" s="190" t="s">
        <v>536</v>
      </c>
      <c r="B379" s="191">
        <v>160334</v>
      </c>
      <c r="C379" s="657" t="s">
        <v>378</v>
      </c>
      <c r="D379" s="192" t="s">
        <v>59</v>
      </c>
      <c r="E379" s="193">
        <v>29.65</v>
      </c>
      <c r="F379" s="194">
        <v>2</v>
      </c>
      <c r="G379" s="194"/>
      <c r="H379" s="194"/>
      <c r="I379" s="193">
        <f t="shared" si="440"/>
        <v>2</v>
      </c>
      <c r="J379" s="193">
        <f t="shared" si="441"/>
        <v>59.3</v>
      </c>
      <c r="K379" s="193"/>
      <c r="L379" s="193"/>
      <c r="M379" s="622">
        <f t="shared" si="442"/>
        <v>59.3</v>
      </c>
      <c r="N379" s="194">
        <v>2</v>
      </c>
      <c r="O379" s="622">
        <f t="shared" si="447"/>
        <v>59.3</v>
      </c>
      <c r="P379" s="194">
        <v>0</v>
      </c>
      <c r="Q379" s="622">
        <f t="shared" si="448"/>
        <v>0</v>
      </c>
      <c r="R379" s="194">
        <f t="shared" si="449"/>
        <v>2</v>
      </c>
      <c r="S379" s="630">
        <f t="shared" si="450"/>
        <v>59.3</v>
      </c>
      <c r="T379" s="194">
        <f t="shared" si="431"/>
        <v>0</v>
      </c>
      <c r="U379" s="630">
        <v>0</v>
      </c>
    </row>
    <row r="380" spans="1:21">
      <c r="A380" s="138"/>
      <c r="B380" s="132"/>
      <c r="C380" s="123"/>
      <c r="D380" s="123"/>
      <c r="E380" s="123"/>
      <c r="F380" s="123"/>
      <c r="G380" s="123"/>
      <c r="H380" s="123"/>
      <c r="I380" s="123"/>
      <c r="J380" s="123"/>
      <c r="K380" s="123"/>
      <c r="L380" s="123"/>
      <c r="M380" s="623"/>
      <c r="N380" s="123"/>
      <c r="O380" s="623"/>
      <c r="P380" s="123"/>
      <c r="Q380" s="623"/>
      <c r="R380" s="123"/>
      <c r="S380" s="631"/>
      <c r="T380" s="123"/>
      <c r="U380" s="631"/>
    </row>
    <row r="381" spans="1:21" s="213" customFormat="1">
      <c r="A381" s="210" t="s">
        <v>537</v>
      </c>
      <c r="B381" s="211"/>
      <c r="C381" s="655" t="s">
        <v>380</v>
      </c>
      <c r="D381" s="197"/>
      <c r="E381" s="198"/>
      <c r="F381" s="199"/>
      <c r="G381" s="199"/>
      <c r="H381" s="199"/>
      <c r="I381" s="200"/>
      <c r="J381" s="200">
        <f>SUBTOTAL(9,J382:J387)</f>
        <v>2061.3539999999998</v>
      </c>
      <c r="K381" s="200"/>
      <c r="L381" s="200"/>
      <c r="M381" s="620"/>
      <c r="N381" s="201"/>
      <c r="O381" s="620">
        <f>SUBTOTAL(9,O382:O387)</f>
        <v>1704.3899999999999</v>
      </c>
      <c r="P381" s="201"/>
      <c r="Q381" s="620">
        <f>SUBTOTAL(9,Q382:Q387)</f>
        <v>356.96</v>
      </c>
      <c r="R381" s="200"/>
      <c r="S381" s="620">
        <f>SUBTOTAL(9,S382:S387)</f>
        <v>2061.35</v>
      </c>
      <c r="T381" s="200">
        <f t="shared" si="431"/>
        <v>0</v>
      </c>
      <c r="U381" s="620">
        <f>SUBTOTAL(9,U382:U387)</f>
        <v>0</v>
      </c>
    </row>
    <row r="382" spans="1:21" s="131" customFormat="1">
      <c r="A382" s="137" t="s">
        <v>538</v>
      </c>
      <c r="B382" s="133"/>
      <c r="C382" s="658" t="s">
        <v>380</v>
      </c>
      <c r="D382" s="126"/>
      <c r="E382" s="127"/>
      <c r="F382" s="128"/>
      <c r="G382" s="128"/>
      <c r="H382" s="128"/>
      <c r="I382" s="129"/>
      <c r="J382" s="129">
        <f>SUBTOTAL(9,J383:J387)</f>
        <v>2061.3539999999998</v>
      </c>
      <c r="K382" s="129"/>
      <c r="L382" s="129"/>
      <c r="M382" s="624"/>
      <c r="N382" s="130"/>
      <c r="O382" s="624">
        <f>SUBTOTAL(9,O383:O387)</f>
        <v>1704.3899999999999</v>
      </c>
      <c r="P382" s="130"/>
      <c r="Q382" s="624">
        <f>SUBTOTAL(9,Q383:Q387)</f>
        <v>356.96</v>
      </c>
      <c r="R382" s="129"/>
      <c r="S382" s="624">
        <f>SUBTOTAL(9,S383:S387)</f>
        <v>2061.35</v>
      </c>
      <c r="T382" s="129">
        <f t="shared" si="431"/>
        <v>0</v>
      </c>
      <c r="U382" s="624">
        <f>SUBTOTAL(9,U383:U387)</f>
        <v>0</v>
      </c>
    </row>
    <row r="383" spans="1:21" ht="25.5">
      <c r="A383" s="190" t="s">
        <v>539</v>
      </c>
      <c r="B383" s="191">
        <v>160612</v>
      </c>
      <c r="C383" s="657" t="s">
        <v>387</v>
      </c>
      <c r="D383" s="192" t="s">
        <v>59</v>
      </c>
      <c r="E383" s="193">
        <v>29.96</v>
      </c>
      <c r="F383" s="194">
        <v>2</v>
      </c>
      <c r="G383" s="194"/>
      <c r="H383" s="194"/>
      <c r="I383" s="193">
        <f t="shared" ref="I383:I387" si="451">F383+G383-H383</f>
        <v>2</v>
      </c>
      <c r="J383" s="193">
        <f t="shared" ref="J383:J387" si="452">I383*E383</f>
        <v>59.92</v>
      </c>
      <c r="K383" s="193"/>
      <c r="L383" s="193"/>
      <c r="M383" s="622">
        <f t="shared" ref="M383:M387" si="453">I383*E383</f>
        <v>59.92</v>
      </c>
      <c r="N383" s="194">
        <v>2</v>
      </c>
      <c r="O383" s="622">
        <f t="shared" ref="O383" si="454">TRUNC(N383*E383,2)</f>
        <v>59.92</v>
      </c>
      <c r="P383" s="560">
        <v>0</v>
      </c>
      <c r="Q383" s="622">
        <f t="shared" ref="Q383" si="455">S383-O383</f>
        <v>0</v>
      </c>
      <c r="R383" s="194">
        <f t="shared" ref="R383" si="456">P383+N383</f>
        <v>2</v>
      </c>
      <c r="S383" s="630">
        <f t="shared" ref="S383" si="457">TRUNC(R383*E383,2)</f>
        <v>59.92</v>
      </c>
      <c r="T383" s="194">
        <f t="shared" si="431"/>
        <v>0</v>
      </c>
      <c r="U383" s="630">
        <f>T383*E383</f>
        <v>0</v>
      </c>
    </row>
    <row r="384" spans="1:21" ht="38.25">
      <c r="A384" s="190" t="s">
        <v>540</v>
      </c>
      <c r="B384" s="191">
        <v>160608</v>
      </c>
      <c r="C384" s="657" t="s">
        <v>545</v>
      </c>
      <c r="D384" s="192" t="s">
        <v>59</v>
      </c>
      <c r="E384" s="193">
        <v>320.60000000000002</v>
      </c>
      <c r="F384" s="194">
        <v>3</v>
      </c>
      <c r="G384" s="194"/>
      <c r="H384" s="194"/>
      <c r="I384" s="193">
        <f t="shared" si="451"/>
        <v>3</v>
      </c>
      <c r="J384" s="193">
        <f t="shared" si="452"/>
        <v>961.80000000000007</v>
      </c>
      <c r="K384" s="193"/>
      <c r="L384" s="193"/>
      <c r="M384" s="622">
        <f t="shared" si="453"/>
        <v>961.80000000000007</v>
      </c>
      <c r="N384" s="194">
        <v>3</v>
      </c>
      <c r="O384" s="622">
        <f>TRUNC(N384*E384,2)</f>
        <v>961.8</v>
      </c>
      <c r="P384" s="560">
        <v>0</v>
      </c>
      <c r="Q384" s="622">
        <f>S384-O384</f>
        <v>0</v>
      </c>
      <c r="R384" s="194">
        <f>P384+N384</f>
        <v>3</v>
      </c>
      <c r="S384" s="630">
        <f>TRUNC(R384*E384,2)</f>
        <v>961.8</v>
      </c>
      <c r="T384" s="194">
        <f t="shared" si="431"/>
        <v>0</v>
      </c>
      <c r="U384" s="630">
        <f t="shared" ref="U384:U387" si="458">T384*E384</f>
        <v>0</v>
      </c>
    </row>
    <row r="385" spans="1:21" ht="25.5">
      <c r="A385" s="190" t="s">
        <v>541</v>
      </c>
      <c r="B385" s="191">
        <v>160613</v>
      </c>
      <c r="C385" s="657" t="s">
        <v>389</v>
      </c>
      <c r="D385" s="192" t="s">
        <v>59</v>
      </c>
      <c r="E385" s="193">
        <v>197.45</v>
      </c>
      <c r="F385" s="194">
        <v>3</v>
      </c>
      <c r="G385" s="194"/>
      <c r="H385" s="194"/>
      <c r="I385" s="193">
        <f t="shared" si="451"/>
        <v>3</v>
      </c>
      <c r="J385" s="193">
        <f t="shared" si="452"/>
        <v>592.34999999999991</v>
      </c>
      <c r="K385" s="193"/>
      <c r="L385" s="193"/>
      <c r="M385" s="622">
        <f t="shared" si="453"/>
        <v>592.34999999999991</v>
      </c>
      <c r="N385" s="194">
        <v>3</v>
      </c>
      <c r="O385" s="622">
        <f t="shared" ref="O385:O387" si="459">TRUNC(N385*E385,2)</f>
        <v>592.35</v>
      </c>
      <c r="P385" s="560">
        <v>0</v>
      </c>
      <c r="Q385" s="622">
        <f t="shared" ref="Q385:Q387" si="460">S385-O385</f>
        <v>0</v>
      </c>
      <c r="R385" s="194">
        <f t="shared" ref="R385:R387" si="461">P385+N385</f>
        <v>3</v>
      </c>
      <c r="S385" s="630">
        <f t="shared" ref="S385:S387" si="462">TRUNC(R385*E385,2)</f>
        <v>592.35</v>
      </c>
      <c r="T385" s="194">
        <f t="shared" si="431"/>
        <v>0</v>
      </c>
      <c r="U385" s="630">
        <f t="shared" si="458"/>
        <v>0</v>
      </c>
    </row>
    <row r="386" spans="1:21" ht="38.25">
      <c r="A386" s="190" t="s">
        <v>542</v>
      </c>
      <c r="B386" s="191">
        <v>160607</v>
      </c>
      <c r="C386" s="657" t="s">
        <v>390</v>
      </c>
      <c r="D386" s="192" t="s">
        <v>59</v>
      </c>
      <c r="E386" s="193">
        <v>178.48</v>
      </c>
      <c r="F386" s="194">
        <v>2</v>
      </c>
      <c r="G386" s="194"/>
      <c r="H386" s="194"/>
      <c r="I386" s="193">
        <f t="shared" si="451"/>
        <v>2</v>
      </c>
      <c r="J386" s="193">
        <f t="shared" si="452"/>
        <v>356.96</v>
      </c>
      <c r="K386" s="193"/>
      <c r="L386" s="193"/>
      <c r="M386" s="622">
        <f t="shared" si="453"/>
        <v>356.96</v>
      </c>
      <c r="N386" s="194">
        <v>0</v>
      </c>
      <c r="O386" s="622">
        <f t="shared" si="459"/>
        <v>0</v>
      </c>
      <c r="P386" s="560">
        <v>2</v>
      </c>
      <c r="Q386" s="622">
        <f>P386*E386</f>
        <v>356.96</v>
      </c>
      <c r="R386" s="194">
        <v>2</v>
      </c>
      <c r="S386" s="630">
        <f t="shared" si="462"/>
        <v>356.96</v>
      </c>
      <c r="T386" s="194">
        <f t="shared" si="431"/>
        <v>0</v>
      </c>
      <c r="U386" s="630">
        <f t="shared" si="458"/>
        <v>0</v>
      </c>
    </row>
    <row r="387" spans="1:21" ht="38.25">
      <c r="A387" s="190" t="s">
        <v>543</v>
      </c>
      <c r="B387" s="191">
        <v>190605</v>
      </c>
      <c r="C387" s="657" t="s">
        <v>544</v>
      </c>
      <c r="D387" s="192" t="s">
        <v>57</v>
      </c>
      <c r="E387" s="193">
        <v>50.18</v>
      </c>
      <c r="F387" s="194">
        <v>1.8</v>
      </c>
      <c r="G387" s="194"/>
      <c r="H387" s="194"/>
      <c r="I387" s="193">
        <f t="shared" si="451"/>
        <v>1.8</v>
      </c>
      <c r="J387" s="193">
        <f t="shared" si="452"/>
        <v>90.323999999999998</v>
      </c>
      <c r="K387" s="193"/>
      <c r="L387" s="193"/>
      <c r="M387" s="622">
        <f t="shared" si="453"/>
        <v>90.323999999999998</v>
      </c>
      <c r="N387" s="194">
        <v>1.8</v>
      </c>
      <c r="O387" s="622">
        <f t="shared" si="459"/>
        <v>90.32</v>
      </c>
      <c r="P387" s="560">
        <v>0</v>
      </c>
      <c r="Q387" s="622">
        <f t="shared" si="460"/>
        <v>0</v>
      </c>
      <c r="R387" s="194">
        <f t="shared" si="461"/>
        <v>1.8</v>
      </c>
      <c r="S387" s="630">
        <f t="shared" si="462"/>
        <v>90.32</v>
      </c>
      <c r="T387" s="194">
        <f t="shared" si="431"/>
        <v>0</v>
      </c>
      <c r="U387" s="630">
        <f t="shared" si="458"/>
        <v>0</v>
      </c>
    </row>
    <row r="388" spans="1:21">
      <c r="A388" s="138"/>
      <c r="B388" s="132"/>
      <c r="C388" s="123"/>
      <c r="D388" s="123"/>
      <c r="E388" s="123"/>
      <c r="F388" s="123"/>
      <c r="G388" s="123"/>
      <c r="H388" s="123"/>
      <c r="I388" s="123"/>
      <c r="J388" s="123"/>
      <c r="K388" s="123"/>
      <c r="L388" s="123"/>
      <c r="M388" s="623"/>
      <c r="N388" s="123"/>
      <c r="O388" s="623"/>
      <c r="P388" s="123"/>
      <c r="Q388" s="623"/>
      <c r="R388" s="123"/>
      <c r="S388" s="631"/>
      <c r="T388" s="123"/>
      <c r="U388" s="631"/>
    </row>
    <row r="389" spans="1:21" s="654" customFormat="1">
      <c r="A389" s="202">
        <v>4</v>
      </c>
      <c r="B389" s="653" t="s">
        <v>549</v>
      </c>
      <c r="C389" s="654" t="s">
        <v>549</v>
      </c>
      <c r="D389" s="204"/>
      <c r="E389" s="205"/>
      <c r="F389" s="206"/>
      <c r="G389" s="206"/>
      <c r="H389" s="206"/>
      <c r="I389" s="207"/>
      <c r="J389" s="207">
        <f>SUBTOTAL(9,J390:J555)</f>
        <v>1468117.0323999999</v>
      </c>
      <c r="K389" s="207"/>
      <c r="L389" s="207"/>
      <c r="M389" s="619"/>
      <c r="N389" s="208"/>
      <c r="O389" s="619">
        <f>SUBTOTAL(9,O390:O555)</f>
        <v>519675.74999999994</v>
      </c>
      <c r="P389" s="208"/>
      <c r="Q389" s="619">
        <f>SUBTOTAL(9,Q390:Q555)</f>
        <v>0</v>
      </c>
      <c r="R389" s="207"/>
      <c r="S389" s="619">
        <f>SUBTOTAL(9,S390:S555)</f>
        <v>538509.18000000005</v>
      </c>
      <c r="T389" s="207">
        <f>F389-R389</f>
        <v>0</v>
      </c>
      <c r="U389" s="619">
        <f>SUBTOTAL(9,U390:U555)</f>
        <v>938306.0423600002</v>
      </c>
    </row>
    <row r="390" spans="1:21" s="213" customFormat="1">
      <c r="A390" s="210" t="s">
        <v>1</v>
      </c>
      <c r="B390" s="211"/>
      <c r="C390" s="655" t="s">
        <v>65</v>
      </c>
      <c r="D390" s="197"/>
      <c r="E390" s="198"/>
      <c r="F390" s="199"/>
      <c r="G390" s="199"/>
      <c r="H390" s="199"/>
      <c r="I390" s="200"/>
      <c r="J390" s="200">
        <f>SUBTOTAL(9,J391:J397)</f>
        <v>7682.7566999999999</v>
      </c>
      <c r="K390" s="200"/>
      <c r="L390" s="200"/>
      <c r="M390" s="620"/>
      <c r="N390" s="201"/>
      <c r="O390" s="620">
        <f>SUBTOTAL(9,O391:O397)</f>
        <v>0</v>
      </c>
      <c r="P390" s="201"/>
      <c r="Q390" s="620">
        <f>SUBTOTAL(9,Q391:Q397)</f>
        <v>0</v>
      </c>
      <c r="R390" s="200"/>
      <c r="S390" s="620">
        <f>SUBTOTAL(9,S391:S397)</f>
        <v>0</v>
      </c>
      <c r="T390" s="200">
        <f t="shared" ref="T390:T455" si="463">F390-R390</f>
        <v>0</v>
      </c>
      <c r="U390" s="620">
        <f>SUBTOTAL(9,U391:U397)</f>
        <v>7682.7566999999999</v>
      </c>
    </row>
    <row r="391" spans="1:21" s="131" customFormat="1">
      <c r="A391" s="137" t="s">
        <v>37</v>
      </c>
      <c r="B391" s="133"/>
      <c r="C391" s="658" t="s">
        <v>101</v>
      </c>
      <c r="D391" s="126"/>
      <c r="E391" s="127"/>
      <c r="F391" s="128"/>
      <c r="G391" s="128"/>
      <c r="H391" s="128"/>
      <c r="I391" s="129"/>
      <c r="J391" s="129">
        <f>SUBTOTAL(9,J392:J392)</f>
        <v>1783.68</v>
      </c>
      <c r="K391" s="129"/>
      <c r="L391" s="129"/>
      <c r="M391" s="624"/>
      <c r="N391" s="130"/>
      <c r="O391" s="624">
        <f>SUBTOTAL(9,O392:O392)</f>
        <v>0</v>
      </c>
      <c r="P391" s="130"/>
      <c r="Q391" s="624">
        <f>SUBTOTAL(9,Q392:Q392)</f>
        <v>0</v>
      </c>
      <c r="R391" s="129"/>
      <c r="S391" s="624">
        <f>SUBTOTAL(9,S392:S392)</f>
        <v>0</v>
      </c>
      <c r="T391" s="129">
        <f t="shared" si="463"/>
        <v>0</v>
      </c>
      <c r="U391" s="624">
        <f>SUBTOTAL(9,U392:U392)</f>
        <v>1783.68</v>
      </c>
    </row>
    <row r="392" spans="1:21">
      <c r="A392" s="190" t="s">
        <v>550</v>
      </c>
      <c r="B392" s="191">
        <v>20305</v>
      </c>
      <c r="C392" s="657" t="s">
        <v>103</v>
      </c>
      <c r="D392" s="192" t="s">
        <v>57</v>
      </c>
      <c r="E392" s="193">
        <v>222.96</v>
      </c>
      <c r="F392" s="194">
        <v>8</v>
      </c>
      <c r="G392" s="194"/>
      <c r="H392" s="194"/>
      <c r="I392" s="193">
        <f t="shared" ref="I392" si="464">F392+G392-H392</f>
        <v>8</v>
      </c>
      <c r="J392" s="193">
        <f t="shared" ref="J392" si="465">I392*E392</f>
        <v>1783.68</v>
      </c>
      <c r="K392" s="193"/>
      <c r="L392" s="193"/>
      <c r="M392" s="622">
        <f t="shared" ref="M392" si="466">I392*E392</f>
        <v>1783.68</v>
      </c>
      <c r="N392" s="194">
        <v>0</v>
      </c>
      <c r="O392" s="622">
        <f>TRUNC(N392*E392,2)</f>
        <v>0</v>
      </c>
      <c r="P392" s="194">
        <v>0</v>
      </c>
      <c r="Q392" s="622">
        <f t="shared" ref="Q392" si="467">S392-O392</f>
        <v>0</v>
      </c>
      <c r="R392" s="194">
        <f>P392+N392</f>
        <v>0</v>
      </c>
      <c r="S392" s="630">
        <f>TRUNC(R392*E392,2)</f>
        <v>0</v>
      </c>
      <c r="T392" s="194">
        <f t="shared" si="463"/>
        <v>8</v>
      </c>
      <c r="U392" s="630">
        <f t="shared" ref="U392" si="468">T392*E392</f>
        <v>1783.68</v>
      </c>
    </row>
    <row r="393" spans="1:21">
      <c r="A393" s="138"/>
      <c r="B393" s="132"/>
      <c r="C393" s="123"/>
      <c r="D393" s="123"/>
      <c r="E393" s="123"/>
      <c r="F393" s="123"/>
      <c r="G393" s="123"/>
      <c r="H393" s="123"/>
      <c r="I393" s="123"/>
      <c r="J393" s="123"/>
      <c r="K393" s="123"/>
      <c r="L393" s="123"/>
      <c r="M393" s="623"/>
      <c r="N393" s="123"/>
      <c r="O393" s="623"/>
      <c r="P393" s="123"/>
      <c r="Q393" s="623"/>
      <c r="R393" s="123"/>
      <c r="S393" s="631"/>
      <c r="T393" s="123"/>
      <c r="U393" s="631"/>
    </row>
    <row r="394" spans="1:21" s="131" customFormat="1">
      <c r="A394" s="137" t="s">
        <v>38</v>
      </c>
      <c r="B394" s="133"/>
      <c r="C394" s="658" t="s">
        <v>105</v>
      </c>
      <c r="D394" s="126"/>
      <c r="E394" s="127"/>
      <c r="F394" s="128"/>
      <c r="G394" s="128"/>
      <c r="H394" s="128"/>
      <c r="I394" s="129"/>
      <c r="J394" s="129">
        <f>SUBTOTAL(9,J395:J397)</f>
        <v>5899.0766999999996</v>
      </c>
      <c r="K394" s="129"/>
      <c r="L394" s="129"/>
      <c r="M394" s="624"/>
      <c r="N394" s="130"/>
      <c r="O394" s="624">
        <f>SUBTOTAL(9,O395:O397)</f>
        <v>0</v>
      </c>
      <c r="P394" s="130"/>
      <c r="Q394" s="624">
        <f>SUBTOTAL(9,Q395:Q397)</f>
        <v>0</v>
      </c>
      <c r="R394" s="129"/>
      <c r="S394" s="624">
        <f>SUBTOTAL(9,S395:S397)</f>
        <v>0</v>
      </c>
      <c r="T394" s="129">
        <f t="shared" si="463"/>
        <v>0</v>
      </c>
      <c r="U394" s="624">
        <f>SUBTOTAL(9,U395:U397)</f>
        <v>5899.0766999999996</v>
      </c>
    </row>
    <row r="395" spans="1:21">
      <c r="A395" s="190" t="s">
        <v>551</v>
      </c>
      <c r="B395" s="191">
        <v>10201</v>
      </c>
      <c r="C395" s="657" t="s">
        <v>397</v>
      </c>
      <c r="D395" s="192" t="s">
        <v>57</v>
      </c>
      <c r="E395" s="193">
        <v>22.08</v>
      </c>
      <c r="F395" s="194">
        <v>175.68</v>
      </c>
      <c r="G395" s="194"/>
      <c r="H395" s="194"/>
      <c r="I395" s="193">
        <f t="shared" ref="I395:I397" si="469">F395+G395-H395</f>
        <v>175.68</v>
      </c>
      <c r="J395" s="193">
        <f t="shared" ref="J395:J397" si="470">I395*E395</f>
        <v>3879.0144</v>
      </c>
      <c r="K395" s="193"/>
      <c r="L395" s="193"/>
      <c r="M395" s="622">
        <f t="shared" ref="M395:M397" si="471">I395*E395</f>
        <v>3879.0144</v>
      </c>
      <c r="N395" s="195">
        <v>0</v>
      </c>
      <c r="O395" s="622">
        <f>TRUNC(N395*E395,2)</f>
        <v>0</v>
      </c>
      <c r="P395" s="194">
        <f>IFERROR(VLOOKUP(A395,'1.1.1.1'!A:U,18,FALSE),)</f>
        <v>0</v>
      </c>
      <c r="Q395" s="622">
        <f t="shared" ref="Q395:Q397" si="472">S395-O395</f>
        <v>0</v>
      </c>
      <c r="R395" s="194">
        <f>P395+N395</f>
        <v>0</v>
      </c>
      <c r="S395" s="630">
        <f>TRUNC(R395*E395,2)</f>
        <v>0</v>
      </c>
      <c r="T395" s="194">
        <f t="shared" si="463"/>
        <v>175.68</v>
      </c>
      <c r="U395" s="630">
        <f t="shared" ref="U395:U397" si="473">T395*E395</f>
        <v>3879.0144</v>
      </c>
    </row>
    <row r="396" spans="1:21">
      <c r="A396" s="190" t="s">
        <v>552</v>
      </c>
      <c r="B396" s="191">
        <v>10209</v>
      </c>
      <c r="C396" s="657" t="s">
        <v>554</v>
      </c>
      <c r="D396" s="192" t="s">
        <v>58</v>
      </c>
      <c r="E396" s="193">
        <v>50.93</v>
      </c>
      <c r="F396" s="194">
        <v>4.96</v>
      </c>
      <c r="G396" s="194"/>
      <c r="H396" s="194"/>
      <c r="I396" s="193">
        <f t="shared" si="469"/>
        <v>4.96</v>
      </c>
      <c r="J396" s="193">
        <f t="shared" si="470"/>
        <v>252.61279999999999</v>
      </c>
      <c r="K396" s="193"/>
      <c r="L396" s="193"/>
      <c r="M396" s="622">
        <f t="shared" si="471"/>
        <v>252.61279999999999</v>
      </c>
      <c r="N396" s="195">
        <v>0</v>
      </c>
      <c r="O396" s="622">
        <f t="shared" ref="O396:O397" si="474">TRUNC(N396*E396,2)</f>
        <v>0</v>
      </c>
      <c r="P396" s="194">
        <f>IFERROR(VLOOKUP(A396,#REF!,18,FALSE),)</f>
        <v>0</v>
      </c>
      <c r="Q396" s="622">
        <f t="shared" si="472"/>
        <v>0</v>
      </c>
      <c r="R396" s="194">
        <f t="shared" ref="R396:R397" si="475">P396+N396</f>
        <v>0</v>
      </c>
      <c r="S396" s="630">
        <f t="shared" ref="S396:S397" si="476">TRUNC(R396*E396,2)</f>
        <v>0</v>
      </c>
      <c r="T396" s="194">
        <f t="shared" si="463"/>
        <v>4.96</v>
      </c>
      <c r="U396" s="630">
        <f t="shared" si="473"/>
        <v>252.61279999999999</v>
      </c>
    </row>
    <row r="397" spans="1:21" ht="38.25">
      <c r="A397" s="190" t="s">
        <v>553</v>
      </c>
      <c r="B397" s="191">
        <v>30304</v>
      </c>
      <c r="C397" s="657" t="s">
        <v>109</v>
      </c>
      <c r="D397" s="192" t="s">
        <v>58</v>
      </c>
      <c r="E397" s="193">
        <v>56.45</v>
      </c>
      <c r="F397" s="194">
        <v>31.31</v>
      </c>
      <c r="G397" s="194"/>
      <c r="H397" s="194"/>
      <c r="I397" s="193">
        <f t="shared" si="469"/>
        <v>31.31</v>
      </c>
      <c r="J397" s="193">
        <f t="shared" si="470"/>
        <v>1767.4494999999999</v>
      </c>
      <c r="K397" s="193"/>
      <c r="L397" s="193"/>
      <c r="M397" s="622">
        <f t="shared" si="471"/>
        <v>1767.4494999999999</v>
      </c>
      <c r="N397" s="195">
        <v>0</v>
      </c>
      <c r="O397" s="622">
        <f t="shared" si="474"/>
        <v>0</v>
      </c>
      <c r="P397" s="194">
        <f>IFERROR(VLOOKUP(A397,#REF!,18,FALSE),)</f>
        <v>0</v>
      </c>
      <c r="Q397" s="622">
        <f t="shared" si="472"/>
        <v>0</v>
      </c>
      <c r="R397" s="194">
        <f t="shared" si="475"/>
        <v>0</v>
      </c>
      <c r="S397" s="630">
        <f t="shared" si="476"/>
        <v>0</v>
      </c>
      <c r="T397" s="194">
        <f t="shared" si="463"/>
        <v>31.31</v>
      </c>
      <c r="U397" s="630">
        <f t="shared" si="473"/>
        <v>1767.4494999999999</v>
      </c>
    </row>
    <row r="398" spans="1:21">
      <c r="A398" s="138"/>
      <c r="B398" s="132"/>
      <c r="C398" s="123"/>
      <c r="D398" s="123"/>
      <c r="E398" s="123"/>
      <c r="F398" s="123"/>
      <c r="G398" s="123"/>
      <c r="H398" s="123"/>
      <c r="I398" s="123"/>
      <c r="J398" s="123"/>
      <c r="K398" s="123"/>
      <c r="L398" s="123"/>
      <c r="M398" s="623"/>
      <c r="N398" s="123"/>
      <c r="O398" s="623"/>
      <c r="P398" s="123"/>
      <c r="Q398" s="623"/>
      <c r="R398" s="123"/>
      <c r="S398" s="631"/>
      <c r="T398" s="123"/>
      <c r="U398" s="631"/>
    </row>
    <row r="399" spans="1:21" s="213" customFormat="1">
      <c r="A399" s="210" t="s">
        <v>27</v>
      </c>
      <c r="B399" s="211"/>
      <c r="C399" s="655" t="s">
        <v>56</v>
      </c>
      <c r="D399" s="197"/>
      <c r="E399" s="198"/>
      <c r="F399" s="199"/>
      <c r="G399" s="199"/>
      <c r="H399" s="199"/>
      <c r="I399" s="200"/>
      <c r="J399" s="200">
        <f>SUBTOTAL(9,J400:J402)</f>
        <v>4745.5412000000006</v>
      </c>
      <c r="K399" s="200"/>
      <c r="L399" s="200"/>
      <c r="M399" s="620"/>
      <c r="N399" s="201"/>
      <c r="O399" s="620">
        <f>SUBTOTAL(9,O400:O402)</f>
        <v>0</v>
      </c>
      <c r="P399" s="201"/>
      <c r="Q399" s="620">
        <f>SUBTOTAL(9,Q400:Q402)</f>
        <v>0</v>
      </c>
      <c r="R399" s="200"/>
      <c r="S399" s="620">
        <f>SUBTOTAL(9,S400:S402)</f>
        <v>0</v>
      </c>
      <c r="T399" s="200">
        <f t="shared" si="463"/>
        <v>0</v>
      </c>
      <c r="U399" s="620">
        <f>SUBTOTAL(9,U400:U402)</f>
        <v>4745.5412000000006</v>
      </c>
    </row>
    <row r="400" spans="1:21" s="131" customFormat="1">
      <c r="A400" s="137" t="s">
        <v>39</v>
      </c>
      <c r="B400" s="133"/>
      <c r="C400" s="658" t="s">
        <v>111</v>
      </c>
      <c r="D400" s="126"/>
      <c r="E400" s="127"/>
      <c r="F400" s="128"/>
      <c r="G400" s="128"/>
      <c r="H400" s="128"/>
      <c r="I400" s="129"/>
      <c r="J400" s="129">
        <f>SUBTOTAL(9,J401:J402)</f>
        <v>4745.5412000000006</v>
      </c>
      <c r="K400" s="129"/>
      <c r="L400" s="129"/>
      <c r="M400" s="624"/>
      <c r="N400" s="130"/>
      <c r="O400" s="624">
        <f>SUBTOTAL(9,O401:O402)</f>
        <v>0</v>
      </c>
      <c r="P400" s="130"/>
      <c r="Q400" s="624">
        <f>SUBTOTAL(9,Q401:Q402)</f>
        <v>0</v>
      </c>
      <c r="R400" s="129"/>
      <c r="S400" s="624">
        <f>SUBTOTAL(9,S401:S402)</f>
        <v>0</v>
      </c>
      <c r="T400" s="129">
        <f t="shared" si="463"/>
        <v>0</v>
      </c>
      <c r="U400" s="624">
        <f>SUBTOTAL(9,U401:U402)</f>
        <v>4745.5412000000006</v>
      </c>
    </row>
    <row r="401" spans="1:21">
      <c r="A401" s="190" t="s">
        <v>555</v>
      </c>
      <c r="B401" s="191">
        <v>30103</v>
      </c>
      <c r="C401" s="657" t="s">
        <v>116</v>
      </c>
      <c r="D401" s="192" t="s">
        <v>58</v>
      </c>
      <c r="E401" s="193">
        <v>9.81</v>
      </c>
      <c r="F401" s="194">
        <v>71.62</v>
      </c>
      <c r="G401" s="194"/>
      <c r="H401" s="194"/>
      <c r="I401" s="193">
        <f t="shared" ref="I401:I402" si="477">F401+G401-H401</f>
        <v>71.62</v>
      </c>
      <c r="J401" s="193">
        <f t="shared" ref="J401:J402" si="478">I401*E401</f>
        <v>702.59220000000005</v>
      </c>
      <c r="K401" s="193"/>
      <c r="L401" s="193"/>
      <c r="M401" s="622">
        <f t="shared" ref="M401:M402" si="479">I401*E401</f>
        <v>702.59220000000005</v>
      </c>
      <c r="N401" s="194">
        <v>0</v>
      </c>
      <c r="O401" s="622">
        <f t="shared" ref="O401" si="480">TRUNC(N401*E401,2)</f>
        <v>0</v>
      </c>
      <c r="P401" s="194">
        <f>IFERROR(VLOOKUP(A401,'3.2.1.1'!A:U,18,FALSE),)</f>
        <v>0</v>
      </c>
      <c r="Q401" s="622">
        <f t="shared" ref="Q401" si="481">S401-O401</f>
        <v>0</v>
      </c>
      <c r="R401" s="194">
        <f t="shared" ref="R401" si="482">P401+N401</f>
        <v>0</v>
      </c>
      <c r="S401" s="630">
        <f t="shared" ref="S401" si="483">TRUNC(R401*E401,2)</f>
        <v>0</v>
      </c>
      <c r="T401" s="194">
        <f t="shared" si="463"/>
        <v>71.62</v>
      </c>
      <c r="U401" s="630">
        <f t="shared" ref="U401:U402" si="484">T401*E401</f>
        <v>702.59220000000005</v>
      </c>
    </row>
    <row r="402" spans="1:21" ht="38.25">
      <c r="A402" s="190" t="s">
        <v>556</v>
      </c>
      <c r="B402" s="191">
        <v>30304</v>
      </c>
      <c r="C402" s="657" t="s">
        <v>109</v>
      </c>
      <c r="D402" s="192" t="s">
        <v>58</v>
      </c>
      <c r="E402" s="193">
        <v>56.45</v>
      </c>
      <c r="F402" s="194">
        <v>71.62</v>
      </c>
      <c r="G402" s="194"/>
      <c r="H402" s="194"/>
      <c r="I402" s="193">
        <f t="shared" si="477"/>
        <v>71.62</v>
      </c>
      <c r="J402" s="193">
        <f t="shared" si="478"/>
        <v>4042.9490000000005</v>
      </c>
      <c r="K402" s="193"/>
      <c r="L402" s="193"/>
      <c r="M402" s="622">
        <f t="shared" si="479"/>
        <v>4042.9490000000005</v>
      </c>
      <c r="N402" s="194">
        <v>0</v>
      </c>
      <c r="O402" s="622">
        <f>TRUNC(N402*E402,2)</f>
        <v>0</v>
      </c>
      <c r="P402" s="194">
        <f>IFERROR(VLOOKUP(A402,'3.2.1.2'!A:U,18,FALSE),)</f>
        <v>0</v>
      </c>
      <c r="Q402" s="622">
        <f>S402-O402</f>
        <v>0</v>
      </c>
      <c r="R402" s="194">
        <f>P402+N402</f>
        <v>0</v>
      </c>
      <c r="S402" s="630">
        <f>TRUNC(R402*E402,2)</f>
        <v>0</v>
      </c>
      <c r="T402" s="194">
        <f t="shared" si="463"/>
        <v>71.62</v>
      </c>
      <c r="U402" s="630">
        <f t="shared" si="484"/>
        <v>4042.9490000000005</v>
      </c>
    </row>
    <row r="403" spans="1:21" s="213" customFormat="1">
      <c r="A403" s="210" t="s">
        <v>557</v>
      </c>
      <c r="B403" s="211"/>
      <c r="C403" s="655" t="s">
        <v>119</v>
      </c>
      <c r="D403" s="197"/>
      <c r="E403" s="198"/>
      <c r="F403" s="199"/>
      <c r="G403" s="199"/>
      <c r="H403" s="199"/>
      <c r="I403" s="200"/>
      <c r="J403" s="200">
        <f>SUBTOTAL(9,J404:J474)</f>
        <v>365305.14220000006</v>
      </c>
      <c r="K403" s="200"/>
      <c r="L403" s="200"/>
      <c r="M403" s="620"/>
      <c r="N403" s="201"/>
      <c r="O403" s="620">
        <f>SUBTOTAL(9,O404:O474)</f>
        <v>39351.599999999999</v>
      </c>
      <c r="P403" s="201"/>
      <c r="Q403" s="620">
        <f>SUBTOTAL(9,Q404:Q474)</f>
        <v>0</v>
      </c>
      <c r="R403" s="200"/>
      <c r="S403" s="620">
        <f>SUBTOTAL(9,S404:S474)</f>
        <v>44889.58</v>
      </c>
      <c r="T403" s="200">
        <f t="shared" si="463"/>
        <v>0</v>
      </c>
      <c r="U403" s="620">
        <f>SUBTOTAL(9,U404:U474)</f>
        <v>308048.63776000001</v>
      </c>
    </row>
    <row r="404" spans="1:21" s="131" customFormat="1">
      <c r="A404" s="137" t="s">
        <v>558</v>
      </c>
      <c r="B404" s="133"/>
      <c r="C404" s="658" t="s">
        <v>98</v>
      </c>
      <c r="D404" s="126"/>
      <c r="E404" s="127"/>
      <c r="F404" s="128"/>
      <c r="G404" s="128"/>
      <c r="H404" s="128"/>
      <c r="I404" s="129"/>
      <c r="J404" s="129">
        <f>SUBTOTAL(9,J405:J406)</f>
        <v>1390.9672</v>
      </c>
      <c r="K404" s="129"/>
      <c r="L404" s="129"/>
      <c r="M404" s="624"/>
      <c r="N404" s="130"/>
      <c r="O404" s="624">
        <f>SUBTOTAL(9,O405)</f>
        <v>0</v>
      </c>
      <c r="P404" s="130"/>
      <c r="Q404" s="624">
        <f>SUBTOTAL(9,Q405)</f>
        <v>0</v>
      </c>
      <c r="R404" s="129"/>
      <c r="S404" s="624">
        <f>SUBTOTAL(9,S405:S406)</f>
        <v>0</v>
      </c>
      <c r="T404" s="129">
        <f t="shared" si="463"/>
        <v>0</v>
      </c>
      <c r="U404" s="624">
        <f>SUBTOTAL(9,U405)</f>
        <v>1390.9672</v>
      </c>
    </row>
    <row r="405" spans="1:21">
      <c r="A405" s="190" t="s">
        <v>559</v>
      </c>
      <c r="B405" s="191">
        <v>10501</v>
      </c>
      <c r="C405" s="657" t="s">
        <v>122</v>
      </c>
      <c r="D405" s="192" t="s">
        <v>57</v>
      </c>
      <c r="E405" s="193">
        <v>7.69</v>
      </c>
      <c r="F405" s="194">
        <v>180.88</v>
      </c>
      <c r="G405" s="194"/>
      <c r="H405" s="194"/>
      <c r="I405" s="193">
        <f t="shared" ref="I405" si="485">F405+G405-H405</f>
        <v>180.88</v>
      </c>
      <c r="J405" s="193">
        <f t="shared" ref="J405" si="486">I405*E405</f>
        <v>1390.9672</v>
      </c>
      <c r="K405" s="193"/>
      <c r="L405" s="193"/>
      <c r="M405" s="622">
        <f t="shared" ref="M405" si="487">I405*E405</f>
        <v>1390.9672</v>
      </c>
      <c r="N405" s="194">
        <v>0</v>
      </c>
      <c r="O405" s="622">
        <f t="shared" ref="O405" si="488">TRUNC(N405*E405,2)</f>
        <v>0</v>
      </c>
      <c r="P405" s="194">
        <f>IFERROR(VLOOKUP(A405,#REF!,18,FALSE),)</f>
        <v>0</v>
      </c>
      <c r="Q405" s="622">
        <f t="shared" ref="Q405" si="489">S405-O405</f>
        <v>0</v>
      </c>
      <c r="R405" s="194">
        <f t="shared" ref="R405" si="490">P405+N405</f>
        <v>0</v>
      </c>
      <c r="S405" s="630">
        <f t="shared" ref="S405" si="491">TRUNC(R405*E405,2)</f>
        <v>0</v>
      </c>
      <c r="T405" s="194">
        <f t="shared" si="463"/>
        <v>180.88</v>
      </c>
      <c r="U405" s="630">
        <f t="shared" ref="U405" si="492">T405*E405</f>
        <v>1390.9672</v>
      </c>
    </row>
    <row r="406" spans="1:21">
      <c r="A406" s="190" t="s">
        <v>1198</v>
      </c>
      <c r="B406" s="191" t="s">
        <v>1093</v>
      </c>
      <c r="C406" s="657" t="str">
        <f>REPLANILHAMENTO!D354</f>
        <v>Locação de andaime metálico para fachada - tipo torre (aluguel mensal)</v>
      </c>
      <c r="D406" s="192" t="s">
        <v>51</v>
      </c>
      <c r="E406" s="193">
        <f>REPLANILHAMENTO!F354</f>
        <v>8.0299999999999994</v>
      </c>
      <c r="F406" s="194"/>
      <c r="G406" s="194">
        <f>REPLANILHAMENTO!H354</f>
        <v>109.2</v>
      </c>
      <c r="H406" s="194"/>
      <c r="I406" s="193">
        <f>F406+G406-H406</f>
        <v>109.2</v>
      </c>
      <c r="J406" s="193">
        <f>F406*E406</f>
        <v>0</v>
      </c>
      <c r="K406" s="193">
        <f>G406*E406</f>
        <v>876.87599999999998</v>
      </c>
      <c r="L406" s="193">
        <f>H406*E406</f>
        <v>0</v>
      </c>
      <c r="M406" s="622">
        <f>I406*E406</f>
        <v>876.87599999999998</v>
      </c>
      <c r="N406" s="194"/>
      <c r="O406" s="622"/>
      <c r="P406" s="194"/>
      <c r="Q406" s="622"/>
      <c r="R406" s="194"/>
      <c r="S406" s="630"/>
      <c r="T406" s="194"/>
      <c r="U406" s="630"/>
    </row>
    <row r="407" spans="1:21">
      <c r="A407" s="138"/>
      <c r="B407" s="132"/>
      <c r="C407" s="123"/>
      <c r="D407" s="123"/>
      <c r="E407" s="123"/>
      <c r="F407" s="123"/>
      <c r="G407" s="123"/>
      <c r="H407" s="123"/>
      <c r="I407" s="123"/>
      <c r="J407" s="123"/>
      <c r="K407" s="123"/>
      <c r="L407" s="123"/>
      <c r="M407" s="623"/>
      <c r="N407" s="123"/>
      <c r="O407" s="623"/>
      <c r="P407" s="123"/>
      <c r="Q407" s="623"/>
      <c r="R407" s="123"/>
      <c r="S407" s="631"/>
      <c r="T407" s="123">
        <f t="shared" si="463"/>
        <v>0</v>
      </c>
      <c r="U407" s="631">
        <f t="shared" ref="U407:U443" si="493">I407-S407</f>
        <v>0</v>
      </c>
    </row>
    <row r="408" spans="1:21" s="131" customFormat="1">
      <c r="A408" s="137" t="s">
        <v>560</v>
      </c>
      <c r="B408" s="133"/>
      <c r="C408" s="658" t="s">
        <v>124</v>
      </c>
      <c r="D408" s="126"/>
      <c r="E408" s="127"/>
      <c r="F408" s="128"/>
      <c r="G408" s="128"/>
      <c r="H408" s="128"/>
      <c r="I408" s="129"/>
      <c r="J408" s="129">
        <f>SUBTOTAL(9,J409:J419)</f>
        <v>130072.26519999999</v>
      </c>
      <c r="K408" s="129"/>
      <c r="L408" s="129"/>
      <c r="M408" s="624"/>
      <c r="N408" s="130"/>
      <c r="O408" s="624">
        <f>SUBTOTAL(9,O409:O419)</f>
        <v>39351.599999999999</v>
      </c>
      <c r="P408" s="130"/>
      <c r="Q408" s="624">
        <f>SUBTOTAL(9,Q409:Q419)</f>
        <v>0</v>
      </c>
      <c r="R408" s="129"/>
      <c r="S408" s="624">
        <f>SUBTOTAL(9,S409:S419)</f>
        <v>39351.599999999999</v>
      </c>
      <c r="T408" s="129">
        <f t="shared" si="463"/>
        <v>0</v>
      </c>
      <c r="U408" s="624">
        <f>SUBTOTAL(9,U409:U419)</f>
        <v>78353.744200000001</v>
      </c>
    </row>
    <row r="409" spans="1:21" ht="25.5">
      <c r="A409" s="190" t="s">
        <v>561</v>
      </c>
      <c r="B409" s="191" t="s">
        <v>136</v>
      </c>
      <c r="C409" s="657" t="s">
        <v>141</v>
      </c>
      <c r="D409" s="192" t="s">
        <v>60</v>
      </c>
      <c r="E409" s="193">
        <v>462.96</v>
      </c>
      <c r="F409" s="194">
        <v>85</v>
      </c>
      <c r="G409" s="194"/>
      <c r="H409" s="194"/>
      <c r="I409" s="193">
        <f t="shared" ref="I409:I419" si="494">F409+G409-H409</f>
        <v>85</v>
      </c>
      <c r="J409" s="193">
        <f t="shared" ref="J409:J419" si="495">I409*E409</f>
        <v>39351.599999999999</v>
      </c>
      <c r="K409" s="193"/>
      <c r="L409" s="193"/>
      <c r="M409" s="622">
        <f t="shared" ref="M409:M419" si="496">I409*E409</f>
        <v>39351.599999999999</v>
      </c>
      <c r="N409" s="194">
        <v>85</v>
      </c>
      <c r="O409" s="622">
        <f t="shared" ref="O409" si="497">TRUNC(N409*E409,2)</f>
        <v>39351.599999999999</v>
      </c>
      <c r="P409" s="194">
        <v>0</v>
      </c>
      <c r="Q409" s="622">
        <f t="shared" ref="Q409" si="498">S409-O409</f>
        <v>0</v>
      </c>
      <c r="R409" s="194">
        <f t="shared" ref="R409" si="499">P409+N409</f>
        <v>85</v>
      </c>
      <c r="S409" s="630">
        <f t="shared" ref="S409" si="500">TRUNC(R409*E409,2)</f>
        <v>39351.599999999999</v>
      </c>
      <c r="T409" s="194">
        <f t="shared" si="463"/>
        <v>0</v>
      </c>
      <c r="U409" s="630">
        <v>0</v>
      </c>
    </row>
    <row r="410" spans="1:21">
      <c r="A410" s="190" t="s">
        <v>562</v>
      </c>
      <c r="B410" s="191" t="s">
        <v>137</v>
      </c>
      <c r="C410" s="657" t="s">
        <v>142</v>
      </c>
      <c r="D410" s="192" t="s">
        <v>49</v>
      </c>
      <c r="E410" s="193">
        <v>596.34</v>
      </c>
      <c r="F410" s="194">
        <v>36.83</v>
      </c>
      <c r="G410" s="194"/>
      <c r="H410" s="194"/>
      <c r="I410" s="193">
        <f t="shared" si="494"/>
        <v>36.83</v>
      </c>
      <c r="J410" s="193">
        <f t="shared" si="495"/>
        <v>21963.2022</v>
      </c>
      <c r="K410" s="193"/>
      <c r="L410" s="193"/>
      <c r="M410" s="622">
        <f t="shared" si="496"/>
        <v>21963.2022</v>
      </c>
      <c r="N410" s="194">
        <v>0</v>
      </c>
      <c r="O410" s="622">
        <f>TRUNC(N410*E410,2)</f>
        <v>0</v>
      </c>
      <c r="P410" s="194">
        <f>IFERROR(VLOOKUP(A410,#REF!,18,FALSE),)</f>
        <v>0</v>
      </c>
      <c r="Q410" s="622">
        <f>S410-O410</f>
        <v>0</v>
      </c>
      <c r="R410" s="194">
        <f>P410+N410</f>
        <v>0</v>
      </c>
      <c r="S410" s="630">
        <f>TRUNC(R410*E410,2)</f>
        <v>0</v>
      </c>
      <c r="T410" s="194">
        <f t="shared" si="463"/>
        <v>36.83</v>
      </c>
      <c r="U410" s="630">
        <f t="shared" ref="U410:U418" si="501">T410*E410</f>
        <v>21963.2022</v>
      </c>
    </row>
    <row r="411" spans="1:21" ht="25.5">
      <c r="A411" s="190" t="s">
        <v>563</v>
      </c>
      <c r="B411" s="191" t="s">
        <v>138</v>
      </c>
      <c r="C411" s="657" t="s">
        <v>143</v>
      </c>
      <c r="D411" s="192" t="s">
        <v>29</v>
      </c>
      <c r="E411" s="193">
        <v>4.82</v>
      </c>
      <c r="F411" s="194">
        <v>528</v>
      </c>
      <c r="G411" s="194"/>
      <c r="H411" s="194"/>
      <c r="I411" s="193">
        <f t="shared" si="494"/>
        <v>528</v>
      </c>
      <c r="J411" s="193">
        <f t="shared" si="495"/>
        <v>2544.96</v>
      </c>
      <c r="K411" s="193"/>
      <c r="L411" s="193"/>
      <c r="M411" s="622">
        <f t="shared" si="496"/>
        <v>2544.96</v>
      </c>
      <c r="N411" s="194">
        <v>0</v>
      </c>
      <c r="O411" s="622">
        <f t="shared" ref="O411:O417" si="502">TRUNC(N411*E411,2)</f>
        <v>0</v>
      </c>
      <c r="P411" s="194">
        <f>IFERROR(VLOOKUP(A411,#REF!,18,FALSE),)</f>
        <v>0</v>
      </c>
      <c r="Q411" s="622">
        <f t="shared" ref="Q411:Q417" si="503">S411-O411</f>
        <v>0</v>
      </c>
      <c r="R411" s="194">
        <f t="shared" ref="R411:R417" si="504">P411+N411</f>
        <v>0</v>
      </c>
      <c r="S411" s="630">
        <f t="shared" ref="S411:S417" si="505">TRUNC(R411*E411,2)</f>
        <v>0</v>
      </c>
      <c r="T411" s="194">
        <f t="shared" si="463"/>
        <v>528</v>
      </c>
      <c r="U411" s="630">
        <f t="shared" si="501"/>
        <v>2544.96</v>
      </c>
    </row>
    <row r="412" spans="1:21" ht="25.5">
      <c r="A412" s="190" t="s">
        <v>564</v>
      </c>
      <c r="B412" s="191" t="s">
        <v>139</v>
      </c>
      <c r="C412" s="657" t="s">
        <v>144</v>
      </c>
      <c r="D412" s="192" t="s">
        <v>29</v>
      </c>
      <c r="E412" s="193">
        <v>6.12</v>
      </c>
      <c r="F412" s="194">
        <v>4554</v>
      </c>
      <c r="G412" s="194"/>
      <c r="H412" s="194"/>
      <c r="I412" s="193">
        <f t="shared" si="494"/>
        <v>4554</v>
      </c>
      <c r="J412" s="193">
        <f t="shared" si="495"/>
        <v>27870.48</v>
      </c>
      <c r="K412" s="193"/>
      <c r="L412" s="193"/>
      <c r="M412" s="622">
        <f t="shared" si="496"/>
        <v>27870.48</v>
      </c>
      <c r="N412" s="194">
        <v>0</v>
      </c>
      <c r="O412" s="622">
        <f t="shared" si="502"/>
        <v>0</v>
      </c>
      <c r="P412" s="194">
        <f>IFERROR(VLOOKUP(A412,#REF!,18,FALSE),)</f>
        <v>0</v>
      </c>
      <c r="Q412" s="622">
        <f t="shared" si="503"/>
        <v>0</v>
      </c>
      <c r="R412" s="194">
        <f t="shared" si="504"/>
        <v>0</v>
      </c>
      <c r="S412" s="630">
        <f t="shared" si="505"/>
        <v>0</v>
      </c>
      <c r="T412" s="194">
        <f t="shared" si="463"/>
        <v>4554</v>
      </c>
      <c r="U412" s="630">
        <f t="shared" si="501"/>
        <v>27870.48</v>
      </c>
    </row>
    <row r="413" spans="1:21" ht="25.5">
      <c r="A413" s="190" t="s">
        <v>565</v>
      </c>
      <c r="B413" s="191">
        <v>30101</v>
      </c>
      <c r="C413" s="657" t="s">
        <v>145</v>
      </c>
      <c r="D413" s="192" t="s">
        <v>58</v>
      </c>
      <c r="E413" s="193">
        <v>48.58</v>
      </c>
      <c r="F413" s="194">
        <v>5.8</v>
      </c>
      <c r="G413" s="194"/>
      <c r="H413" s="194"/>
      <c r="I413" s="193">
        <f t="shared" si="494"/>
        <v>5.8</v>
      </c>
      <c r="J413" s="193">
        <f t="shared" si="495"/>
        <v>281.76399999999995</v>
      </c>
      <c r="K413" s="193"/>
      <c r="L413" s="193"/>
      <c r="M413" s="622">
        <f t="shared" si="496"/>
        <v>281.76399999999995</v>
      </c>
      <c r="N413" s="194">
        <v>0</v>
      </c>
      <c r="O413" s="622">
        <f t="shared" si="502"/>
        <v>0</v>
      </c>
      <c r="P413" s="194">
        <f>IFERROR(VLOOKUP(A413,#REF!,18,FALSE),)</f>
        <v>0</v>
      </c>
      <c r="Q413" s="622">
        <f t="shared" si="503"/>
        <v>0</v>
      </c>
      <c r="R413" s="194">
        <f t="shared" si="504"/>
        <v>0</v>
      </c>
      <c r="S413" s="630">
        <f t="shared" si="505"/>
        <v>0</v>
      </c>
      <c r="T413" s="194">
        <f t="shared" si="463"/>
        <v>5.8</v>
      </c>
      <c r="U413" s="630">
        <f t="shared" si="501"/>
        <v>281.76399999999995</v>
      </c>
    </row>
    <row r="414" spans="1:21" ht="51">
      <c r="A414" s="190" t="s">
        <v>566</v>
      </c>
      <c r="B414" s="191">
        <v>40339</v>
      </c>
      <c r="C414" s="657" t="s">
        <v>146</v>
      </c>
      <c r="D414" s="192" t="s">
        <v>57</v>
      </c>
      <c r="E414" s="193">
        <v>91.04</v>
      </c>
      <c r="F414" s="194">
        <v>122.6</v>
      </c>
      <c r="G414" s="194"/>
      <c r="H414" s="194"/>
      <c r="I414" s="193">
        <f t="shared" si="494"/>
        <v>122.6</v>
      </c>
      <c r="J414" s="193">
        <f t="shared" si="495"/>
        <v>11161.504000000001</v>
      </c>
      <c r="K414" s="193"/>
      <c r="L414" s="193"/>
      <c r="M414" s="622">
        <f t="shared" si="496"/>
        <v>11161.504000000001</v>
      </c>
      <c r="N414" s="194">
        <v>0</v>
      </c>
      <c r="O414" s="622">
        <f t="shared" si="502"/>
        <v>0</v>
      </c>
      <c r="P414" s="194">
        <f>IFERROR(VLOOKUP(A414,#REF!,18,FALSE),)</f>
        <v>0</v>
      </c>
      <c r="Q414" s="622">
        <f t="shared" si="503"/>
        <v>0</v>
      </c>
      <c r="R414" s="194">
        <f t="shared" si="504"/>
        <v>0</v>
      </c>
      <c r="S414" s="630">
        <f t="shared" si="505"/>
        <v>0</v>
      </c>
      <c r="T414" s="194">
        <f t="shared" si="463"/>
        <v>122.6</v>
      </c>
      <c r="U414" s="630">
        <f t="shared" si="501"/>
        <v>11161.504000000001</v>
      </c>
    </row>
    <row r="415" spans="1:21" ht="25.5">
      <c r="A415" s="190" t="s">
        <v>567</v>
      </c>
      <c r="B415" s="191">
        <v>40328</v>
      </c>
      <c r="C415" s="657" t="s">
        <v>147</v>
      </c>
      <c r="D415" s="192" t="s">
        <v>29</v>
      </c>
      <c r="E415" s="193">
        <v>7.98</v>
      </c>
      <c r="F415" s="194">
        <v>584</v>
      </c>
      <c r="G415" s="194"/>
      <c r="H415" s="194"/>
      <c r="I415" s="193">
        <f t="shared" si="494"/>
        <v>584</v>
      </c>
      <c r="J415" s="193">
        <f t="shared" si="495"/>
        <v>4660.3200000000006</v>
      </c>
      <c r="K415" s="193"/>
      <c r="L415" s="193"/>
      <c r="M415" s="622">
        <f t="shared" si="496"/>
        <v>4660.3200000000006</v>
      </c>
      <c r="N415" s="194">
        <v>0</v>
      </c>
      <c r="O415" s="622">
        <f t="shared" si="502"/>
        <v>0</v>
      </c>
      <c r="P415" s="194">
        <f>IFERROR(VLOOKUP(A415,#REF!,18,FALSE),)</f>
        <v>0</v>
      </c>
      <c r="Q415" s="622">
        <f t="shared" si="503"/>
        <v>0</v>
      </c>
      <c r="R415" s="194">
        <f t="shared" si="504"/>
        <v>0</v>
      </c>
      <c r="S415" s="630">
        <f t="shared" si="505"/>
        <v>0</v>
      </c>
      <c r="T415" s="194">
        <f t="shared" si="463"/>
        <v>584</v>
      </c>
      <c r="U415" s="630">
        <f t="shared" si="501"/>
        <v>4660.3200000000006</v>
      </c>
    </row>
    <row r="416" spans="1:21" ht="25.5">
      <c r="A416" s="190" t="s">
        <v>568</v>
      </c>
      <c r="B416" s="191">
        <v>40245</v>
      </c>
      <c r="C416" s="657" t="s">
        <v>148</v>
      </c>
      <c r="D416" s="192" t="s">
        <v>29</v>
      </c>
      <c r="E416" s="193">
        <v>8.41</v>
      </c>
      <c r="F416" s="194">
        <v>144</v>
      </c>
      <c r="G416" s="194"/>
      <c r="H416" s="194"/>
      <c r="I416" s="193">
        <f t="shared" si="494"/>
        <v>144</v>
      </c>
      <c r="J416" s="193">
        <f t="shared" si="495"/>
        <v>1211.04</v>
      </c>
      <c r="K416" s="193"/>
      <c r="L416" s="193"/>
      <c r="M416" s="622">
        <f t="shared" si="496"/>
        <v>1211.04</v>
      </c>
      <c r="N416" s="194">
        <v>0</v>
      </c>
      <c r="O416" s="622">
        <f t="shared" si="502"/>
        <v>0</v>
      </c>
      <c r="P416" s="194">
        <f>IFERROR(VLOOKUP(A416,#REF!,18,FALSE),)</f>
        <v>0</v>
      </c>
      <c r="Q416" s="622">
        <f t="shared" si="503"/>
        <v>0</v>
      </c>
      <c r="R416" s="194">
        <f t="shared" si="504"/>
        <v>0</v>
      </c>
      <c r="S416" s="630">
        <f t="shared" si="505"/>
        <v>0</v>
      </c>
      <c r="T416" s="194">
        <f t="shared" si="463"/>
        <v>144</v>
      </c>
      <c r="U416" s="630">
        <f t="shared" si="501"/>
        <v>1211.04</v>
      </c>
    </row>
    <row r="417" spans="1:21" ht="25.5">
      <c r="A417" s="190" t="s">
        <v>569</v>
      </c>
      <c r="B417" s="191">
        <v>40246</v>
      </c>
      <c r="C417" s="657" t="s">
        <v>149</v>
      </c>
      <c r="D417" s="192" t="s">
        <v>29</v>
      </c>
      <c r="E417" s="193">
        <v>8.08</v>
      </c>
      <c r="F417" s="194">
        <v>37</v>
      </c>
      <c r="G417" s="194"/>
      <c r="H417" s="194"/>
      <c r="I417" s="193">
        <f t="shared" si="494"/>
        <v>37</v>
      </c>
      <c r="J417" s="193">
        <f t="shared" si="495"/>
        <v>298.95999999999998</v>
      </c>
      <c r="K417" s="193"/>
      <c r="L417" s="193"/>
      <c r="M417" s="622">
        <f t="shared" si="496"/>
        <v>298.95999999999998</v>
      </c>
      <c r="N417" s="194">
        <v>0</v>
      </c>
      <c r="O417" s="622">
        <f t="shared" si="502"/>
        <v>0</v>
      </c>
      <c r="P417" s="194">
        <f>IFERROR(VLOOKUP(A417,#REF!,18,FALSE),)</f>
        <v>0</v>
      </c>
      <c r="Q417" s="622">
        <f t="shared" si="503"/>
        <v>0</v>
      </c>
      <c r="R417" s="194">
        <f t="shared" si="504"/>
        <v>0</v>
      </c>
      <c r="S417" s="630">
        <f t="shared" si="505"/>
        <v>0</v>
      </c>
      <c r="T417" s="194">
        <f t="shared" si="463"/>
        <v>37</v>
      </c>
      <c r="U417" s="630">
        <f t="shared" si="501"/>
        <v>298.95999999999998</v>
      </c>
    </row>
    <row r="418" spans="1:21" ht="51">
      <c r="A418" s="190" t="s">
        <v>570</v>
      </c>
      <c r="B418" s="191" t="s">
        <v>140</v>
      </c>
      <c r="C418" s="657" t="s">
        <v>177</v>
      </c>
      <c r="D418" s="192" t="s">
        <v>58</v>
      </c>
      <c r="E418" s="193">
        <v>486.08</v>
      </c>
      <c r="F418" s="194">
        <v>16.8</v>
      </c>
      <c r="G418" s="194"/>
      <c r="H418" s="194"/>
      <c r="I418" s="193">
        <f t="shared" si="494"/>
        <v>16.8</v>
      </c>
      <c r="J418" s="193">
        <f t="shared" si="495"/>
        <v>8166.1440000000002</v>
      </c>
      <c r="K418" s="193"/>
      <c r="L418" s="193"/>
      <c r="M418" s="622">
        <f t="shared" si="496"/>
        <v>8166.1440000000002</v>
      </c>
      <c r="N418" s="194">
        <v>0</v>
      </c>
      <c r="O418" s="622">
        <f>TRUNC(N418*E418,2)</f>
        <v>0</v>
      </c>
      <c r="P418" s="194">
        <f>IFERROR(VLOOKUP(A418,#REF!,18,FALSE),)</f>
        <v>0</v>
      </c>
      <c r="Q418" s="622">
        <f>S418-O418</f>
        <v>0</v>
      </c>
      <c r="R418" s="194">
        <f>P418+N418</f>
        <v>0</v>
      </c>
      <c r="S418" s="630">
        <f>TRUNC(R418*E418,2)</f>
        <v>0</v>
      </c>
      <c r="T418" s="194">
        <f t="shared" si="463"/>
        <v>16.8</v>
      </c>
      <c r="U418" s="630">
        <f t="shared" si="501"/>
        <v>8166.1440000000002</v>
      </c>
    </row>
    <row r="419" spans="1:21">
      <c r="A419" s="190" t="s">
        <v>571</v>
      </c>
      <c r="B419" s="191">
        <v>40813</v>
      </c>
      <c r="C419" s="657" t="s">
        <v>151</v>
      </c>
      <c r="D419" s="192" t="s">
        <v>57</v>
      </c>
      <c r="E419" s="193">
        <v>64.3</v>
      </c>
      <c r="F419" s="194">
        <v>195.37</v>
      </c>
      <c r="G419" s="194"/>
      <c r="H419" s="194"/>
      <c r="I419" s="193">
        <f t="shared" si="494"/>
        <v>195.37</v>
      </c>
      <c r="J419" s="193">
        <f t="shared" si="495"/>
        <v>12562.290999999999</v>
      </c>
      <c r="K419" s="193"/>
      <c r="L419" s="193"/>
      <c r="M419" s="622">
        <f t="shared" si="496"/>
        <v>12562.290999999999</v>
      </c>
      <c r="N419" s="194">
        <v>0</v>
      </c>
      <c r="O419" s="622">
        <f>TRUNC(N419*E419,2)</f>
        <v>0</v>
      </c>
      <c r="P419" s="194">
        <f>IFERROR(VLOOKUP(A419,#REF!,18,FALSE),)</f>
        <v>0</v>
      </c>
      <c r="Q419" s="622">
        <f>S419-O419</f>
        <v>0</v>
      </c>
      <c r="R419" s="194">
        <f>P419+N419</f>
        <v>0</v>
      </c>
      <c r="S419" s="630">
        <f>TRUNC(R419*E419,2)</f>
        <v>0</v>
      </c>
      <c r="T419" s="194">
        <f t="shared" si="463"/>
        <v>195.37</v>
      </c>
      <c r="U419" s="630">
        <f t="shared" si="493"/>
        <v>195.37</v>
      </c>
    </row>
    <row r="420" spans="1:21">
      <c r="A420" s="138"/>
      <c r="B420" s="132"/>
      <c r="C420" s="123"/>
      <c r="D420" s="123"/>
      <c r="E420" s="123"/>
      <c r="F420" s="123"/>
      <c r="G420" s="123"/>
      <c r="H420" s="123"/>
      <c r="I420" s="123"/>
      <c r="J420" s="123"/>
      <c r="K420" s="123"/>
      <c r="L420" s="123"/>
      <c r="M420" s="623"/>
      <c r="N420" s="123"/>
      <c r="O420" s="623"/>
      <c r="P420" s="123"/>
      <c r="Q420" s="623"/>
      <c r="R420" s="123"/>
      <c r="S420" s="631"/>
      <c r="T420" s="123"/>
      <c r="U420" s="631"/>
    </row>
    <row r="421" spans="1:21" s="131" customFormat="1">
      <c r="A421" s="137" t="s">
        <v>572</v>
      </c>
      <c r="B421" s="133"/>
      <c r="C421" s="658" t="s">
        <v>153</v>
      </c>
      <c r="D421" s="126"/>
      <c r="E421" s="127"/>
      <c r="F421" s="128"/>
      <c r="G421" s="128"/>
      <c r="H421" s="128"/>
      <c r="I421" s="129"/>
      <c r="J421" s="129">
        <f>SUBTOTAL(9,J422)</f>
        <v>13844.9586</v>
      </c>
      <c r="K421" s="129"/>
      <c r="L421" s="129"/>
      <c r="M421" s="624"/>
      <c r="N421" s="130"/>
      <c r="O421" s="624">
        <f>SUBTOTAL(9,O422)</f>
        <v>0</v>
      </c>
      <c r="P421" s="130"/>
      <c r="Q421" s="624">
        <f>SUBTOTAL(9,Q422)</f>
        <v>0</v>
      </c>
      <c r="R421" s="129"/>
      <c r="S421" s="624">
        <f>SUBTOTAL(9,S422)</f>
        <v>5537.98</v>
      </c>
      <c r="T421" s="129">
        <f t="shared" si="463"/>
        <v>0</v>
      </c>
      <c r="U421" s="624">
        <f>SUBTOTAL(9,U422)</f>
        <v>8306.97516</v>
      </c>
    </row>
    <row r="422" spans="1:21" ht="25.5">
      <c r="A422" s="190" t="s">
        <v>573</v>
      </c>
      <c r="B422" s="191" t="s">
        <v>155</v>
      </c>
      <c r="C422" s="739" t="s">
        <v>156</v>
      </c>
      <c r="D422" s="192" t="s">
        <v>50</v>
      </c>
      <c r="E422" s="193">
        <v>91.41</v>
      </c>
      <c r="F422" s="194">
        <v>151.46</v>
      </c>
      <c r="G422" s="194"/>
      <c r="H422" s="194"/>
      <c r="I422" s="193">
        <f t="shared" ref="I422" si="506">F422+G422-H422</f>
        <v>151.46</v>
      </c>
      <c r="J422" s="193">
        <f t="shared" ref="J422" si="507">I422*E422</f>
        <v>13844.9586</v>
      </c>
      <c r="K422" s="193"/>
      <c r="L422" s="193"/>
      <c r="M422" s="622">
        <f t="shared" ref="M422" si="508">I422*E422</f>
        <v>13844.9586</v>
      </c>
      <c r="N422" s="194">
        <v>0</v>
      </c>
      <c r="O422" s="622">
        <f t="shared" ref="O422" si="509">TRUNC(N422*E422,2)</f>
        <v>0</v>
      </c>
      <c r="P422" s="194">
        <v>0</v>
      </c>
      <c r="Q422" s="622">
        <f>P422*E422</f>
        <v>0</v>
      </c>
      <c r="R422" s="194">
        <v>60.584000000000003</v>
      </c>
      <c r="S422" s="630">
        <f t="shared" ref="S422" si="510">TRUNC(R422*E422,2)</f>
        <v>5537.98</v>
      </c>
      <c r="T422" s="194">
        <f t="shared" si="463"/>
        <v>90.876000000000005</v>
      </c>
      <c r="U422" s="630">
        <f t="shared" ref="U422" si="511">T422*E422</f>
        <v>8306.97516</v>
      </c>
    </row>
    <row r="423" spans="1:21">
      <c r="A423" s="138"/>
      <c r="B423" s="132"/>
      <c r="C423" s="123"/>
      <c r="D423" s="123"/>
      <c r="E423" s="123"/>
      <c r="F423" s="123"/>
      <c r="G423" s="123"/>
      <c r="H423" s="123"/>
      <c r="I423" s="123"/>
      <c r="J423" s="123"/>
      <c r="K423" s="123"/>
      <c r="L423" s="123"/>
      <c r="M423" s="623"/>
      <c r="N423" s="123"/>
      <c r="O423" s="623"/>
      <c r="P423" s="123"/>
      <c r="Q423" s="623"/>
      <c r="R423" s="123"/>
      <c r="S423" s="631"/>
      <c r="T423" s="123"/>
      <c r="U423" s="631"/>
    </row>
    <row r="424" spans="1:21" s="131" customFormat="1">
      <c r="A424" s="137" t="s">
        <v>574</v>
      </c>
      <c r="B424" s="133"/>
      <c r="C424" s="658" t="s">
        <v>158</v>
      </c>
      <c r="D424" s="126"/>
      <c r="E424" s="127"/>
      <c r="F424" s="128"/>
      <c r="G424" s="128"/>
      <c r="H424" s="128"/>
      <c r="I424" s="129"/>
      <c r="J424" s="129">
        <f>SUBTOTAL(9,J425:J427)</f>
        <v>2958.9223000000002</v>
      </c>
      <c r="K424" s="129"/>
      <c r="L424" s="129"/>
      <c r="M424" s="624"/>
      <c r="N424" s="130"/>
      <c r="O424" s="624">
        <f>SUBTOTAL(9,O425:O427)</f>
        <v>0</v>
      </c>
      <c r="P424" s="130"/>
      <c r="Q424" s="624">
        <f>SUBTOTAL(9,Q425:Q427)</f>
        <v>0</v>
      </c>
      <c r="R424" s="129"/>
      <c r="S424" s="624">
        <f>SUBTOTAL(9,S425:S427)</f>
        <v>0</v>
      </c>
      <c r="T424" s="129">
        <f t="shared" si="463"/>
        <v>0</v>
      </c>
      <c r="U424" s="624">
        <f>SUBTOTAL(9,U425:U427)</f>
        <v>2958.9223000000002</v>
      </c>
    </row>
    <row r="425" spans="1:21" ht="25.5">
      <c r="A425" s="190" t="s">
        <v>575</v>
      </c>
      <c r="B425" s="191" t="s">
        <v>155</v>
      </c>
      <c r="C425" s="657" t="s">
        <v>156</v>
      </c>
      <c r="D425" s="192" t="s">
        <v>50</v>
      </c>
      <c r="E425" s="193">
        <v>91.41</v>
      </c>
      <c r="F425" s="194">
        <v>23.59</v>
      </c>
      <c r="G425" s="194"/>
      <c r="H425" s="194"/>
      <c r="I425" s="193">
        <f t="shared" ref="I425:I427" si="512">F425+G425-H425</f>
        <v>23.59</v>
      </c>
      <c r="J425" s="193">
        <f t="shared" ref="J425:J427" si="513">I425*E425</f>
        <v>2156.3618999999999</v>
      </c>
      <c r="K425" s="193"/>
      <c r="L425" s="193"/>
      <c r="M425" s="622">
        <f t="shared" ref="M425:M427" si="514">I425*E425</f>
        <v>2156.3618999999999</v>
      </c>
      <c r="N425" s="194">
        <v>0</v>
      </c>
      <c r="O425" s="622">
        <f t="shared" ref="O425" si="515">TRUNC(N425*E425,2)</f>
        <v>0</v>
      </c>
      <c r="P425" s="194">
        <f>IFERROR(VLOOKUP(A425,#REF!,18,FALSE),)</f>
        <v>0</v>
      </c>
      <c r="Q425" s="622">
        <f t="shared" ref="Q425" si="516">S425-O425</f>
        <v>0</v>
      </c>
      <c r="R425" s="194">
        <f t="shared" ref="R425" si="517">P425+N425</f>
        <v>0</v>
      </c>
      <c r="S425" s="630">
        <f t="shared" ref="S425" si="518">TRUNC(R425*E425,2)</f>
        <v>0</v>
      </c>
      <c r="T425" s="194">
        <f t="shared" si="463"/>
        <v>23.59</v>
      </c>
      <c r="U425" s="630">
        <f t="shared" ref="U425:U427" si="519">T425*E425</f>
        <v>2156.3618999999999</v>
      </c>
    </row>
    <row r="426" spans="1:21">
      <c r="A426" s="190" t="s">
        <v>576</v>
      </c>
      <c r="B426" s="191">
        <v>200323</v>
      </c>
      <c r="C426" s="657" t="s">
        <v>162</v>
      </c>
      <c r="D426" s="192" t="s">
        <v>58</v>
      </c>
      <c r="E426" s="193">
        <v>125.94</v>
      </c>
      <c r="F426" s="194">
        <v>4.76</v>
      </c>
      <c r="G426" s="194"/>
      <c r="H426" s="194"/>
      <c r="I426" s="193">
        <f t="shared" si="512"/>
        <v>4.76</v>
      </c>
      <c r="J426" s="193">
        <f t="shared" si="513"/>
        <v>599.47439999999995</v>
      </c>
      <c r="K426" s="193"/>
      <c r="L426" s="193"/>
      <c r="M426" s="622">
        <f t="shared" si="514"/>
        <v>599.47439999999995</v>
      </c>
      <c r="N426" s="194">
        <v>0</v>
      </c>
      <c r="O426" s="622">
        <f>TRUNC(N426*E426,2)</f>
        <v>0</v>
      </c>
      <c r="P426" s="194">
        <f>IFERROR(VLOOKUP(A426,#REF!,18,FALSE),)</f>
        <v>0</v>
      </c>
      <c r="Q426" s="622">
        <f>S426-O426</f>
        <v>0</v>
      </c>
      <c r="R426" s="194">
        <f>P426+N426</f>
        <v>0</v>
      </c>
      <c r="S426" s="630">
        <f>TRUNC(R426*E426,2)</f>
        <v>0</v>
      </c>
      <c r="T426" s="194">
        <f t="shared" si="463"/>
        <v>4.76</v>
      </c>
      <c r="U426" s="630">
        <f t="shared" si="519"/>
        <v>599.47439999999995</v>
      </c>
    </row>
    <row r="427" spans="1:21" ht="38.25">
      <c r="A427" s="190" t="s">
        <v>577</v>
      </c>
      <c r="B427" s="191">
        <v>50501</v>
      </c>
      <c r="C427" s="657" t="s">
        <v>916</v>
      </c>
      <c r="D427" s="192" t="s">
        <v>57</v>
      </c>
      <c r="E427" s="193">
        <v>94.9</v>
      </c>
      <c r="F427" s="194">
        <v>2.14</v>
      </c>
      <c r="G427" s="194"/>
      <c r="H427" s="194"/>
      <c r="I427" s="193">
        <f t="shared" si="512"/>
        <v>2.14</v>
      </c>
      <c r="J427" s="193">
        <f t="shared" si="513"/>
        <v>203.08600000000001</v>
      </c>
      <c r="K427" s="193"/>
      <c r="L427" s="193"/>
      <c r="M427" s="622">
        <f t="shared" si="514"/>
        <v>203.08600000000001</v>
      </c>
      <c r="N427" s="194">
        <v>0</v>
      </c>
      <c r="O427" s="622">
        <f t="shared" ref="O427" si="520">TRUNC(N427*E427,2)</f>
        <v>0</v>
      </c>
      <c r="P427" s="194">
        <f>IFERROR(VLOOKUP(A427,#REF!,18,FALSE),)</f>
        <v>0</v>
      </c>
      <c r="Q427" s="622">
        <f t="shared" ref="Q427" si="521">S427-O427</f>
        <v>0</v>
      </c>
      <c r="R427" s="194">
        <f t="shared" ref="R427" si="522">P427+N427</f>
        <v>0</v>
      </c>
      <c r="S427" s="630">
        <f t="shared" ref="S427" si="523">TRUNC(R427*E427,2)</f>
        <v>0</v>
      </c>
      <c r="T427" s="194">
        <f t="shared" si="463"/>
        <v>2.14</v>
      </c>
      <c r="U427" s="630">
        <f t="shared" si="519"/>
        <v>203.08600000000001</v>
      </c>
    </row>
    <row r="428" spans="1:21">
      <c r="A428" s="138"/>
      <c r="B428" s="132"/>
      <c r="C428" s="123"/>
      <c r="D428" s="123"/>
      <c r="E428" s="123"/>
      <c r="F428" s="123"/>
      <c r="G428" s="123"/>
      <c r="H428" s="123"/>
      <c r="I428" s="123"/>
      <c r="J428" s="123"/>
      <c r="K428" s="123"/>
      <c r="L428" s="123"/>
      <c r="M428" s="623"/>
      <c r="N428" s="123"/>
      <c r="O428" s="623"/>
      <c r="P428" s="123"/>
      <c r="Q428" s="623"/>
      <c r="R428" s="123"/>
      <c r="S428" s="631"/>
      <c r="T428" s="123"/>
      <c r="U428" s="631"/>
    </row>
    <row r="429" spans="1:21" s="131" customFormat="1">
      <c r="A429" s="137" t="s">
        <v>578</v>
      </c>
      <c r="B429" s="133"/>
      <c r="C429" s="658" t="s">
        <v>164</v>
      </c>
      <c r="D429" s="126"/>
      <c r="E429" s="127"/>
      <c r="F429" s="128"/>
      <c r="G429" s="128"/>
      <c r="H429" s="128"/>
      <c r="I429" s="129"/>
      <c r="J429" s="129">
        <f>SUBTOTAL(9,J430:J434)</f>
        <v>9240.366</v>
      </c>
      <c r="K429" s="129"/>
      <c r="L429" s="129"/>
      <c r="M429" s="624"/>
      <c r="N429" s="130"/>
      <c r="O429" s="624">
        <f>SUBTOTAL(9,O430:O434)</f>
        <v>0</v>
      </c>
      <c r="P429" s="130"/>
      <c r="Q429" s="624">
        <f>SUBTOTAL(9,Q430:Q434)</f>
        <v>0</v>
      </c>
      <c r="R429" s="129"/>
      <c r="S429" s="624">
        <f>SUBTOTAL(9,S430:S434)</f>
        <v>0</v>
      </c>
      <c r="T429" s="129">
        <f t="shared" si="463"/>
        <v>0</v>
      </c>
      <c r="U429" s="624">
        <f>SUBTOTAL(9,U430:U434)</f>
        <v>9240.366</v>
      </c>
    </row>
    <row r="430" spans="1:21" ht="51">
      <c r="A430" s="190" t="s">
        <v>579</v>
      </c>
      <c r="B430" s="191">
        <v>40339</v>
      </c>
      <c r="C430" s="657" t="s">
        <v>146</v>
      </c>
      <c r="D430" s="192" t="s">
        <v>57</v>
      </c>
      <c r="E430" s="193">
        <v>91.04</v>
      </c>
      <c r="F430" s="194">
        <v>52.4</v>
      </c>
      <c r="G430" s="194"/>
      <c r="H430" s="194"/>
      <c r="I430" s="193">
        <f t="shared" ref="I430:I434" si="524">F430+G430-H430</f>
        <v>52.4</v>
      </c>
      <c r="J430" s="193">
        <f t="shared" ref="J430:J434" si="525">I430*E430</f>
        <v>4770.4960000000001</v>
      </c>
      <c r="K430" s="193"/>
      <c r="L430" s="193"/>
      <c r="M430" s="622">
        <f t="shared" ref="M430:M434" si="526">I430*E430</f>
        <v>4770.4960000000001</v>
      </c>
      <c r="N430" s="194">
        <v>0</v>
      </c>
      <c r="O430" s="622">
        <f t="shared" ref="O430" si="527">TRUNC(N430*E430,2)</f>
        <v>0</v>
      </c>
      <c r="P430" s="194">
        <f>IFERROR(VLOOKUP(A430,#REF!,18,FALSE),)</f>
        <v>0</v>
      </c>
      <c r="Q430" s="622">
        <f t="shared" ref="Q430" si="528">S430-O430</f>
        <v>0</v>
      </c>
      <c r="R430" s="194">
        <f t="shared" ref="R430" si="529">P430+N430</f>
        <v>0</v>
      </c>
      <c r="S430" s="630">
        <f t="shared" ref="S430" si="530">TRUNC(R430*E430,2)</f>
        <v>0</v>
      </c>
      <c r="T430" s="194">
        <f t="shared" si="463"/>
        <v>52.4</v>
      </c>
      <c r="U430" s="630">
        <f t="shared" ref="U430:U434" si="531">T430*E430</f>
        <v>4770.4960000000001</v>
      </c>
    </row>
    <row r="431" spans="1:21" ht="25.5">
      <c r="A431" s="190" t="s">
        <v>580</v>
      </c>
      <c r="B431" s="191">
        <v>40328</v>
      </c>
      <c r="C431" s="657" t="s">
        <v>147</v>
      </c>
      <c r="D431" s="192" t="s">
        <v>29</v>
      </c>
      <c r="E431" s="193">
        <v>7.98</v>
      </c>
      <c r="F431" s="194">
        <v>210</v>
      </c>
      <c r="G431" s="194"/>
      <c r="H431" s="194"/>
      <c r="I431" s="193">
        <f t="shared" si="524"/>
        <v>210</v>
      </c>
      <c r="J431" s="193">
        <f t="shared" si="525"/>
        <v>1675.8000000000002</v>
      </c>
      <c r="K431" s="193"/>
      <c r="L431" s="193"/>
      <c r="M431" s="622">
        <f t="shared" si="526"/>
        <v>1675.8000000000002</v>
      </c>
      <c r="N431" s="194">
        <v>0</v>
      </c>
      <c r="O431" s="622">
        <f>TRUNC(N431*E431,2)</f>
        <v>0</v>
      </c>
      <c r="P431" s="194">
        <f>IFERROR(VLOOKUP(A431,#REF!,18,FALSE),)</f>
        <v>0</v>
      </c>
      <c r="Q431" s="622">
        <f>S431-O431</f>
        <v>0</v>
      </c>
      <c r="R431" s="194">
        <f>P431+N431</f>
        <v>0</v>
      </c>
      <c r="S431" s="630">
        <f>TRUNC(R431*E431,2)</f>
        <v>0</v>
      </c>
      <c r="T431" s="194">
        <f t="shared" si="463"/>
        <v>210</v>
      </c>
      <c r="U431" s="630">
        <f t="shared" si="531"/>
        <v>1675.8000000000002</v>
      </c>
    </row>
    <row r="432" spans="1:21" ht="25.5">
      <c r="A432" s="190" t="s">
        <v>581</v>
      </c>
      <c r="B432" s="191">
        <v>40245</v>
      </c>
      <c r="C432" s="657" t="s">
        <v>148</v>
      </c>
      <c r="D432" s="192" t="s">
        <v>29</v>
      </c>
      <c r="E432" s="193">
        <v>8.41</v>
      </c>
      <c r="F432" s="194">
        <v>55</v>
      </c>
      <c r="G432" s="194"/>
      <c r="H432" s="194"/>
      <c r="I432" s="193">
        <f t="shared" si="524"/>
        <v>55</v>
      </c>
      <c r="J432" s="193">
        <f t="shared" si="525"/>
        <v>462.55</v>
      </c>
      <c r="K432" s="193"/>
      <c r="L432" s="193"/>
      <c r="M432" s="622">
        <f t="shared" si="526"/>
        <v>462.55</v>
      </c>
      <c r="N432" s="194">
        <v>0</v>
      </c>
      <c r="O432" s="622">
        <f t="shared" ref="O432:O434" si="532">TRUNC(N432*E432,2)</f>
        <v>0</v>
      </c>
      <c r="P432" s="194">
        <f>IFERROR(VLOOKUP(A432,#REF!,18,FALSE),)</f>
        <v>0</v>
      </c>
      <c r="Q432" s="622">
        <f t="shared" ref="Q432:Q434" si="533">S432-O432</f>
        <v>0</v>
      </c>
      <c r="R432" s="194">
        <f t="shared" ref="R432:R434" si="534">P432+N432</f>
        <v>0</v>
      </c>
      <c r="S432" s="630">
        <f t="shared" ref="S432:S434" si="535">TRUNC(R432*E432,2)</f>
        <v>0</v>
      </c>
      <c r="T432" s="194">
        <f t="shared" si="463"/>
        <v>55</v>
      </c>
      <c r="U432" s="630">
        <f t="shared" si="531"/>
        <v>462.55</v>
      </c>
    </row>
    <row r="433" spans="1:21" ht="25.5">
      <c r="A433" s="190" t="s">
        <v>582</v>
      </c>
      <c r="B433" s="191">
        <v>40246</v>
      </c>
      <c r="C433" s="657" t="s">
        <v>149</v>
      </c>
      <c r="D433" s="192" t="s">
        <v>29</v>
      </c>
      <c r="E433" s="193">
        <v>8.08</v>
      </c>
      <c r="F433" s="194">
        <v>78</v>
      </c>
      <c r="G433" s="194"/>
      <c r="H433" s="194"/>
      <c r="I433" s="193">
        <f t="shared" si="524"/>
        <v>78</v>
      </c>
      <c r="J433" s="193">
        <f t="shared" si="525"/>
        <v>630.24</v>
      </c>
      <c r="K433" s="193"/>
      <c r="L433" s="193"/>
      <c r="M433" s="622">
        <f t="shared" si="526"/>
        <v>630.24</v>
      </c>
      <c r="N433" s="194">
        <v>0</v>
      </c>
      <c r="O433" s="622">
        <f t="shared" si="532"/>
        <v>0</v>
      </c>
      <c r="P433" s="194">
        <f>IFERROR(VLOOKUP(A433,#REF!,18,FALSE),)</f>
        <v>0</v>
      </c>
      <c r="Q433" s="622">
        <f t="shared" si="533"/>
        <v>0</v>
      </c>
      <c r="R433" s="194">
        <f t="shared" si="534"/>
        <v>0</v>
      </c>
      <c r="S433" s="630">
        <f t="shared" si="535"/>
        <v>0</v>
      </c>
      <c r="T433" s="194">
        <f t="shared" si="463"/>
        <v>78</v>
      </c>
      <c r="U433" s="630">
        <f t="shared" si="531"/>
        <v>630.24</v>
      </c>
    </row>
    <row r="434" spans="1:21" ht="38.25">
      <c r="A434" s="190" t="s">
        <v>583</v>
      </c>
      <c r="B434" s="191" t="s">
        <v>140</v>
      </c>
      <c r="C434" s="657" t="s">
        <v>150</v>
      </c>
      <c r="D434" s="192" t="s">
        <v>58</v>
      </c>
      <c r="E434" s="193">
        <v>486.08</v>
      </c>
      <c r="F434" s="194">
        <v>3.5</v>
      </c>
      <c r="G434" s="194"/>
      <c r="H434" s="194"/>
      <c r="I434" s="193">
        <f t="shared" si="524"/>
        <v>3.5</v>
      </c>
      <c r="J434" s="193">
        <f t="shared" si="525"/>
        <v>1701.28</v>
      </c>
      <c r="K434" s="193"/>
      <c r="L434" s="193"/>
      <c r="M434" s="622">
        <f t="shared" si="526"/>
        <v>1701.28</v>
      </c>
      <c r="N434" s="194">
        <v>0</v>
      </c>
      <c r="O434" s="622">
        <f t="shared" si="532"/>
        <v>0</v>
      </c>
      <c r="P434" s="194">
        <f>IFERROR(VLOOKUP(A434,#REF!,18,FALSE),)</f>
        <v>0</v>
      </c>
      <c r="Q434" s="622">
        <f t="shared" si="533"/>
        <v>0</v>
      </c>
      <c r="R434" s="194">
        <f t="shared" si="534"/>
        <v>0</v>
      </c>
      <c r="S434" s="630">
        <f t="shared" si="535"/>
        <v>0</v>
      </c>
      <c r="T434" s="194">
        <f t="shared" si="463"/>
        <v>3.5</v>
      </c>
      <c r="U434" s="630">
        <f t="shared" si="531"/>
        <v>1701.28</v>
      </c>
    </row>
    <row r="435" spans="1:21">
      <c r="A435" s="138"/>
      <c r="B435" s="132"/>
      <c r="C435" s="123"/>
      <c r="D435" s="123"/>
      <c r="E435" s="123"/>
      <c r="F435" s="123"/>
      <c r="G435" s="123"/>
      <c r="H435" s="123"/>
      <c r="I435" s="123"/>
      <c r="J435" s="123"/>
      <c r="K435" s="123"/>
      <c r="L435" s="123"/>
      <c r="M435" s="623"/>
      <c r="N435" s="123"/>
      <c r="O435" s="623"/>
      <c r="P435" s="123"/>
      <c r="Q435" s="623"/>
      <c r="R435" s="123"/>
      <c r="S435" s="631"/>
      <c r="T435" s="123"/>
      <c r="U435" s="631"/>
    </row>
    <row r="436" spans="1:21" s="131" customFormat="1">
      <c r="A436" s="137" t="s">
        <v>584</v>
      </c>
      <c r="B436" s="133"/>
      <c r="C436" s="658" t="s">
        <v>171</v>
      </c>
      <c r="D436" s="126"/>
      <c r="E436" s="127"/>
      <c r="F436" s="128"/>
      <c r="G436" s="128"/>
      <c r="H436" s="128"/>
      <c r="I436" s="129"/>
      <c r="J436" s="129">
        <f>SUBTOTAL(9,J437:J441)</f>
        <v>18264.59</v>
      </c>
      <c r="K436" s="129"/>
      <c r="L436" s="129"/>
      <c r="M436" s="624"/>
      <c r="N436" s="130"/>
      <c r="O436" s="624">
        <f>SUBTOTAL(9,O437:O441)</f>
        <v>0</v>
      </c>
      <c r="P436" s="130"/>
      <c r="Q436" s="624">
        <f>SUBTOTAL(9,Q437:Q441)</f>
        <v>0</v>
      </c>
      <c r="R436" s="129"/>
      <c r="S436" s="624">
        <f>SUBTOTAL(9,S437:S441)</f>
        <v>0</v>
      </c>
      <c r="T436" s="129">
        <f t="shared" si="463"/>
        <v>0</v>
      </c>
      <c r="U436" s="624">
        <f>SUBTOTAL(9,U437:U441)</f>
        <v>18264.59</v>
      </c>
    </row>
    <row r="437" spans="1:21" ht="51">
      <c r="A437" s="190" t="s">
        <v>585</v>
      </c>
      <c r="B437" s="191">
        <v>40339</v>
      </c>
      <c r="C437" s="657" t="s">
        <v>146</v>
      </c>
      <c r="D437" s="192" t="s">
        <v>57</v>
      </c>
      <c r="E437" s="193">
        <v>91.04</v>
      </c>
      <c r="F437" s="194">
        <v>87.7</v>
      </c>
      <c r="G437" s="194"/>
      <c r="H437" s="194"/>
      <c r="I437" s="193">
        <f t="shared" ref="I437:I441" si="536">F437+G437-H437</f>
        <v>87.7</v>
      </c>
      <c r="J437" s="193">
        <f t="shared" ref="J437:J441" si="537">I437*E437</f>
        <v>7984.2080000000005</v>
      </c>
      <c r="K437" s="193"/>
      <c r="L437" s="193"/>
      <c r="M437" s="622">
        <f t="shared" ref="M437:M441" si="538">I437*E437</f>
        <v>7984.2080000000005</v>
      </c>
      <c r="N437" s="194">
        <v>0</v>
      </c>
      <c r="O437" s="622">
        <f t="shared" ref="O437" si="539">TRUNC(N437*E437,2)</f>
        <v>0</v>
      </c>
      <c r="P437" s="194">
        <f>IFERROR(VLOOKUP(A437,#REF!,18,FALSE),)</f>
        <v>0</v>
      </c>
      <c r="Q437" s="622">
        <f t="shared" ref="Q437" si="540">S437-O437</f>
        <v>0</v>
      </c>
      <c r="R437" s="194">
        <f t="shared" ref="R437" si="541">P437+N437</f>
        <v>0</v>
      </c>
      <c r="S437" s="630">
        <f t="shared" ref="S437" si="542">TRUNC(R437*E437,2)</f>
        <v>0</v>
      </c>
      <c r="T437" s="194">
        <f t="shared" si="463"/>
        <v>87.7</v>
      </c>
      <c r="U437" s="630">
        <f t="shared" ref="U437:U441" si="543">T437*E437</f>
        <v>7984.2080000000005</v>
      </c>
    </row>
    <row r="438" spans="1:21" ht="25.5">
      <c r="A438" s="190" t="s">
        <v>586</v>
      </c>
      <c r="B438" s="191">
        <v>40328</v>
      </c>
      <c r="C438" s="657" t="s">
        <v>147</v>
      </c>
      <c r="D438" s="192" t="s">
        <v>29</v>
      </c>
      <c r="E438" s="193">
        <v>7.98</v>
      </c>
      <c r="F438" s="194">
        <v>502</v>
      </c>
      <c r="G438" s="194"/>
      <c r="H438" s="194"/>
      <c r="I438" s="193">
        <f t="shared" si="536"/>
        <v>502</v>
      </c>
      <c r="J438" s="193">
        <f t="shared" si="537"/>
        <v>4005.96</v>
      </c>
      <c r="K438" s="193"/>
      <c r="L438" s="193"/>
      <c r="M438" s="622">
        <f t="shared" si="538"/>
        <v>4005.96</v>
      </c>
      <c r="N438" s="194">
        <v>0</v>
      </c>
      <c r="O438" s="622">
        <f>TRUNC(N438*E438,2)</f>
        <v>0</v>
      </c>
      <c r="P438" s="194">
        <f>IFERROR(VLOOKUP(A438,#REF!,18,FALSE),)</f>
        <v>0</v>
      </c>
      <c r="Q438" s="622">
        <f>S438-O438</f>
        <v>0</v>
      </c>
      <c r="R438" s="194">
        <f>P438+N438</f>
        <v>0</v>
      </c>
      <c r="S438" s="630">
        <f>TRUNC(R438*E438,2)</f>
        <v>0</v>
      </c>
      <c r="T438" s="194">
        <f t="shared" si="463"/>
        <v>502</v>
      </c>
      <c r="U438" s="630">
        <f t="shared" si="543"/>
        <v>4005.96</v>
      </c>
    </row>
    <row r="439" spans="1:21" ht="25.5">
      <c r="A439" s="190" t="s">
        <v>587</v>
      </c>
      <c r="B439" s="191">
        <v>40245</v>
      </c>
      <c r="C439" s="657" t="s">
        <v>148</v>
      </c>
      <c r="D439" s="192" t="s">
        <v>29</v>
      </c>
      <c r="E439" s="193">
        <v>8.41</v>
      </c>
      <c r="F439" s="194">
        <v>199</v>
      </c>
      <c r="G439" s="194"/>
      <c r="H439" s="194"/>
      <c r="I439" s="193">
        <f t="shared" si="536"/>
        <v>199</v>
      </c>
      <c r="J439" s="193">
        <f t="shared" si="537"/>
        <v>1673.59</v>
      </c>
      <c r="K439" s="193"/>
      <c r="L439" s="193"/>
      <c r="M439" s="622">
        <f t="shared" si="538"/>
        <v>1673.59</v>
      </c>
      <c r="N439" s="194">
        <v>0</v>
      </c>
      <c r="O439" s="622">
        <f t="shared" ref="O439:O441" si="544">TRUNC(N439*E439,2)</f>
        <v>0</v>
      </c>
      <c r="P439" s="194">
        <f>IFERROR(VLOOKUP(A439,#REF!,18,FALSE),)</f>
        <v>0</v>
      </c>
      <c r="Q439" s="622">
        <f t="shared" ref="Q439:Q441" si="545">S439-O439</f>
        <v>0</v>
      </c>
      <c r="R439" s="194">
        <f t="shared" ref="R439:R441" si="546">P439+N439</f>
        <v>0</v>
      </c>
      <c r="S439" s="630">
        <f t="shared" ref="S439:S441" si="547">TRUNC(R439*E439,2)</f>
        <v>0</v>
      </c>
      <c r="T439" s="194">
        <f t="shared" si="463"/>
        <v>199</v>
      </c>
      <c r="U439" s="630">
        <f t="shared" si="543"/>
        <v>1673.59</v>
      </c>
    </row>
    <row r="440" spans="1:21" ht="25.5">
      <c r="A440" s="190" t="s">
        <v>588</v>
      </c>
      <c r="B440" s="191">
        <v>40246</v>
      </c>
      <c r="C440" s="657" t="s">
        <v>149</v>
      </c>
      <c r="D440" s="192" t="s">
        <v>29</v>
      </c>
      <c r="E440" s="193">
        <v>8.08</v>
      </c>
      <c r="F440" s="194">
        <v>34</v>
      </c>
      <c r="G440" s="194"/>
      <c r="H440" s="194"/>
      <c r="I440" s="193">
        <f t="shared" si="536"/>
        <v>34</v>
      </c>
      <c r="J440" s="193">
        <f t="shared" si="537"/>
        <v>274.72000000000003</v>
      </c>
      <c r="K440" s="193"/>
      <c r="L440" s="193"/>
      <c r="M440" s="622">
        <f t="shared" si="538"/>
        <v>274.72000000000003</v>
      </c>
      <c r="N440" s="194">
        <v>0</v>
      </c>
      <c r="O440" s="622">
        <f t="shared" si="544"/>
        <v>0</v>
      </c>
      <c r="P440" s="194">
        <f>IFERROR(VLOOKUP(A440,#REF!,18,FALSE),)</f>
        <v>0</v>
      </c>
      <c r="Q440" s="622">
        <f t="shared" si="545"/>
        <v>0</v>
      </c>
      <c r="R440" s="194">
        <f t="shared" si="546"/>
        <v>0</v>
      </c>
      <c r="S440" s="630">
        <f t="shared" si="547"/>
        <v>0</v>
      </c>
      <c r="T440" s="194">
        <f t="shared" si="463"/>
        <v>34</v>
      </c>
      <c r="U440" s="630">
        <f t="shared" si="543"/>
        <v>274.72000000000003</v>
      </c>
    </row>
    <row r="441" spans="1:21" ht="51">
      <c r="A441" s="190" t="s">
        <v>589</v>
      </c>
      <c r="B441" s="191" t="s">
        <v>140</v>
      </c>
      <c r="C441" s="657" t="s">
        <v>177</v>
      </c>
      <c r="D441" s="192" t="s">
        <v>58</v>
      </c>
      <c r="E441" s="193">
        <v>486.08</v>
      </c>
      <c r="F441" s="194">
        <v>8.9</v>
      </c>
      <c r="G441" s="194"/>
      <c r="H441" s="194"/>
      <c r="I441" s="193">
        <f t="shared" si="536"/>
        <v>8.9</v>
      </c>
      <c r="J441" s="193">
        <f t="shared" si="537"/>
        <v>4326.1120000000001</v>
      </c>
      <c r="K441" s="193"/>
      <c r="L441" s="193"/>
      <c r="M441" s="622">
        <f t="shared" si="538"/>
        <v>4326.1120000000001</v>
      </c>
      <c r="N441" s="194">
        <v>0</v>
      </c>
      <c r="O441" s="622">
        <f t="shared" si="544"/>
        <v>0</v>
      </c>
      <c r="P441" s="194">
        <f>IFERROR(VLOOKUP(A441,#REF!,18,FALSE),)</f>
        <v>0</v>
      </c>
      <c r="Q441" s="622">
        <f t="shared" si="545"/>
        <v>0</v>
      </c>
      <c r="R441" s="194">
        <f t="shared" si="546"/>
        <v>0</v>
      </c>
      <c r="S441" s="630">
        <f t="shared" si="547"/>
        <v>0</v>
      </c>
      <c r="T441" s="194">
        <f t="shared" si="463"/>
        <v>8.9</v>
      </c>
      <c r="U441" s="630">
        <f t="shared" si="543"/>
        <v>4326.1120000000001</v>
      </c>
    </row>
    <row r="442" spans="1:21">
      <c r="A442" s="138"/>
      <c r="B442" s="132"/>
      <c r="C442" s="123"/>
      <c r="D442" s="123"/>
      <c r="E442" s="123"/>
      <c r="F442" s="123"/>
      <c r="G442" s="123"/>
      <c r="H442" s="123"/>
      <c r="I442" s="123"/>
      <c r="J442" s="123"/>
      <c r="K442" s="123"/>
      <c r="L442" s="123"/>
      <c r="M442" s="623"/>
      <c r="N442" s="123"/>
      <c r="O442" s="623"/>
      <c r="P442" s="123"/>
      <c r="Q442" s="623"/>
      <c r="R442" s="123"/>
      <c r="S442" s="631"/>
      <c r="T442" s="123"/>
      <c r="U442" s="631"/>
    </row>
    <row r="443" spans="1:21" s="131" customFormat="1">
      <c r="A443" s="137" t="s">
        <v>590</v>
      </c>
      <c r="B443" s="133"/>
      <c r="C443" s="658" t="s">
        <v>179</v>
      </c>
      <c r="D443" s="126"/>
      <c r="E443" s="127"/>
      <c r="F443" s="128"/>
      <c r="G443" s="128"/>
      <c r="H443" s="128"/>
      <c r="I443" s="129"/>
      <c r="J443" s="129">
        <f>SUBTOTAL(9,J444:J447)</f>
        <v>22658.711199999998</v>
      </c>
      <c r="K443" s="129"/>
      <c r="L443" s="129"/>
      <c r="M443" s="624"/>
      <c r="N443" s="130"/>
      <c r="O443" s="624">
        <f>SUBTOTAL(9,O444:O447)</f>
        <v>0</v>
      </c>
      <c r="P443" s="130"/>
      <c r="Q443" s="624">
        <f>SUBTOTAL(9,Q444:Q447)</f>
        <v>0</v>
      </c>
      <c r="R443" s="129"/>
      <c r="S443" s="624">
        <f>SUBTOTAL(9,S444:S447)</f>
        <v>0</v>
      </c>
      <c r="T443" s="129">
        <f t="shared" si="463"/>
        <v>0</v>
      </c>
      <c r="U443" s="624">
        <f t="shared" si="493"/>
        <v>0</v>
      </c>
    </row>
    <row r="444" spans="1:21" ht="51">
      <c r="A444" s="190" t="s">
        <v>591</v>
      </c>
      <c r="B444" s="191">
        <v>40339</v>
      </c>
      <c r="C444" s="657" t="s">
        <v>184</v>
      </c>
      <c r="D444" s="192" t="s">
        <v>57</v>
      </c>
      <c r="E444" s="193">
        <v>91.04</v>
      </c>
      <c r="F444" s="194">
        <v>34.1</v>
      </c>
      <c r="G444" s="194"/>
      <c r="H444" s="194"/>
      <c r="I444" s="193">
        <f t="shared" ref="I444:I447" si="548">F444+G444-H444</f>
        <v>34.1</v>
      </c>
      <c r="J444" s="193">
        <f t="shared" ref="J444:J447" si="549">I444*E444</f>
        <v>3104.4640000000004</v>
      </c>
      <c r="K444" s="193"/>
      <c r="L444" s="193"/>
      <c r="M444" s="622">
        <f t="shared" ref="M444:M447" si="550">I444*E444</f>
        <v>3104.4640000000004</v>
      </c>
      <c r="N444" s="194">
        <v>0</v>
      </c>
      <c r="O444" s="622">
        <f t="shared" ref="O444" si="551">TRUNC(N444*E444,2)</f>
        <v>0</v>
      </c>
      <c r="P444" s="194">
        <f>IFERROR(VLOOKUP(A444,#REF!,18,FALSE),)</f>
        <v>0</v>
      </c>
      <c r="Q444" s="622">
        <f t="shared" ref="Q444" si="552">S444-O444</f>
        <v>0</v>
      </c>
      <c r="R444" s="194">
        <f t="shared" ref="R444" si="553">P444+N444</f>
        <v>0</v>
      </c>
      <c r="S444" s="630">
        <f t="shared" ref="S444" si="554">TRUNC(R444*E444,2)</f>
        <v>0</v>
      </c>
      <c r="T444" s="194">
        <f t="shared" si="463"/>
        <v>34.1</v>
      </c>
      <c r="U444" s="630">
        <f t="shared" ref="U444:U447" si="555">T444*E444</f>
        <v>3104.4640000000004</v>
      </c>
    </row>
    <row r="445" spans="1:21" ht="25.5">
      <c r="A445" s="190" t="s">
        <v>592</v>
      </c>
      <c r="B445" s="191">
        <v>40328</v>
      </c>
      <c r="C445" s="657" t="s">
        <v>147</v>
      </c>
      <c r="D445" s="192" t="s">
        <v>29</v>
      </c>
      <c r="E445" s="193">
        <v>7.98</v>
      </c>
      <c r="F445" s="194">
        <v>370.3</v>
      </c>
      <c r="G445" s="194"/>
      <c r="H445" s="194"/>
      <c r="I445" s="193">
        <f t="shared" si="548"/>
        <v>370.3</v>
      </c>
      <c r="J445" s="193">
        <f t="shared" si="549"/>
        <v>2954.9940000000001</v>
      </c>
      <c r="K445" s="193"/>
      <c r="L445" s="193"/>
      <c r="M445" s="622">
        <f t="shared" si="550"/>
        <v>2954.9940000000001</v>
      </c>
      <c r="N445" s="194">
        <v>0</v>
      </c>
      <c r="O445" s="622">
        <f>TRUNC(N445*E445,2)</f>
        <v>0</v>
      </c>
      <c r="P445" s="194">
        <f>IFERROR(VLOOKUP(A445,#REF!,18,FALSE),)</f>
        <v>0</v>
      </c>
      <c r="Q445" s="622">
        <f>S445-O445</f>
        <v>0</v>
      </c>
      <c r="R445" s="194">
        <f>P445+N445</f>
        <v>0</v>
      </c>
      <c r="S445" s="630">
        <f>TRUNC(R445*E445,2)</f>
        <v>0</v>
      </c>
      <c r="T445" s="194">
        <f t="shared" si="463"/>
        <v>370.3</v>
      </c>
      <c r="U445" s="630">
        <f t="shared" si="555"/>
        <v>2954.9940000000001</v>
      </c>
    </row>
    <row r="446" spans="1:21" ht="51">
      <c r="A446" s="190" t="s">
        <v>593</v>
      </c>
      <c r="B446" s="191" t="s">
        <v>140</v>
      </c>
      <c r="C446" s="657" t="s">
        <v>177</v>
      </c>
      <c r="D446" s="192" t="s">
        <v>58</v>
      </c>
      <c r="E446" s="193">
        <v>486.08</v>
      </c>
      <c r="F446" s="194">
        <v>6.54</v>
      </c>
      <c r="G446" s="194"/>
      <c r="H446" s="194"/>
      <c r="I446" s="193">
        <f t="shared" si="548"/>
        <v>6.54</v>
      </c>
      <c r="J446" s="193">
        <f t="shared" si="549"/>
        <v>3178.9631999999997</v>
      </c>
      <c r="K446" s="193"/>
      <c r="L446" s="193"/>
      <c r="M446" s="622">
        <f t="shared" si="550"/>
        <v>3178.9631999999997</v>
      </c>
      <c r="N446" s="194">
        <v>0</v>
      </c>
      <c r="O446" s="622">
        <f t="shared" ref="O446:O447" si="556">TRUNC(N446*E446,2)</f>
        <v>0</v>
      </c>
      <c r="P446" s="194">
        <f>IFERROR(VLOOKUP(A446,#REF!,18,FALSE),)</f>
        <v>0</v>
      </c>
      <c r="Q446" s="622">
        <f t="shared" ref="Q446:Q447" si="557">S446-O446</f>
        <v>0</v>
      </c>
      <c r="R446" s="194">
        <f t="shared" ref="R446:R447" si="558">P446+N446</f>
        <v>0</v>
      </c>
      <c r="S446" s="630">
        <f t="shared" ref="S446:S447" si="559">TRUNC(R446*E446,2)</f>
        <v>0</v>
      </c>
      <c r="T446" s="194">
        <f t="shared" si="463"/>
        <v>6.54</v>
      </c>
      <c r="U446" s="630">
        <f t="shared" si="555"/>
        <v>3178.9631999999997</v>
      </c>
    </row>
    <row r="447" spans="1:21" ht="25.5">
      <c r="A447" s="190" t="s">
        <v>594</v>
      </c>
      <c r="B447" s="191">
        <v>40602</v>
      </c>
      <c r="C447" s="657" t="s">
        <v>185</v>
      </c>
      <c r="D447" s="192" t="s">
        <v>57</v>
      </c>
      <c r="E447" s="193">
        <v>79.41</v>
      </c>
      <c r="F447" s="194">
        <v>169</v>
      </c>
      <c r="G447" s="194"/>
      <c r="H447" s="194"/>
      <c r="I447" s="193">
        <f t="shared" si="548"/>
        <v>169</v>
      </c>
      <c r="J447" s="193">
        <f t="shared" si="549"/>
        <v>13420.289999999999</v>
      </c>
      <c r="K447" s="193"/>
      <c r="L447" s="193"/>
      <c r="M447" s="622">
        <f t="shared" si="550"/>
        <v>13420.289999999999</v>
      </c>
      <c r="N447" s="194">
        <v>0</v>
      </c>
      <c r="O447" s="622">
        <f t="shared" si="556"/>
        <v>0</v>
      </c>
      <c r="P447" s="194">
        <f>IFERROR(VLOOKUP(A447,#REF!,18,FALSE),)</f>
        <v>0</v>
      </c>
      <c r="Q447" s="622">
        <f t="shared" si="557"/>
        <v>0</v>
      </c>
      <c r="R447" s="194">
        <f t="shared" si="558"/>
        <v>0</v>
      </c>
      <c r="S447" s="630">
        <f t="shared" si="559"/>
        <v>0</v>
      </c>
      <c r="T447" s="194">
        <f t="shared" si="463"/>
        <v>169</v>
      </c>
      <c r="U447" s="630">
        <f t="shared" si="555"/>
        <v>13420.289999999999</v>
      </c>
    </row>
    <row r="448" spans="1:21">
      <c r="A448" s="138"/>
      <c r="B448" s="132"/>
      <c r="C448" s="123"/>
      <c r="D448" s="123"/>
      <c r="E448" s="123"/>
      <c r="F448" s="123"/>
      <c r="G448" s="123"/>
      <c r="H448" s="123"/>
      <c r="I448" s="123"/>
      <c r="J448" s="123"/>
      <c r="K448" s="123"/>
      <c r="L448" s="123"/>
      <c r="M448" s="623"/>
      <c r="N448" s="123"/>
      <c r="O448" s="623"/>
      <c r="P448" s="123"/>
      <c r="Q448" s="623"/>
      <c r="R448" s="123"/>
      <c r="S448" s="631"/>
      <c r="T448" s="123"/>
      <c r="U448" s="631"/>
    </row>
    <row r="449" spans="1:21" s="131" customFormat="1">
      <c r="A449" s="137" t="s">
        <v>595</v>
      </c>
      <c r="B449" s="133"/>
      <c r="C449" s="658" t="s">
        <v>187</v>
      </c>
      <c r="D449" s="126"/>
      <c r="E449" s="127"/>
      <c r="F449" s="128"/>
      <c r="G449" s="128"/>
      <c r="H449" s="128"/>
      <c r="I449" s="129"/>
      <c r="J449" s="129">
        <f>SUBTOTAL(9,J450:J455)</f>
        <v>49946.759399999988</v>
      </c>
      <c r="K449" s="129"/>
      <c r="L449" s="129"/>
      <c r="M449" s="624"/>
      <c r="N449" s="130"/>
      <c r="O449" s="624">
        <f>SUBTOTAL(9,O450:O455)</f>
        <v>0</v>
      </c>
      <c r="P449" s="130"/>
      <c r="Q449" s="624">
        <f>SUBTOTAL(9,Q450:Q455)</f>
        <v>0</v>
      </c>
      <c r="R449" s="129"/>
      <c r="S449" s="624">
        <f>SUBTOTAL(9,S450:S455)</f>
        <v>0</v>
      </c>
      <c r="T449" s="129">
        <f t="shared" si="463"/>
        <v>0</v>
      </c>
      <c r="U449" s="624">
        <f>SUBTOTAL(9,U450:U455)</f>
        <v>49946.759399999988</v>
      </c>
    </row>
    <row r="450" spans="1:21" ht="51">
      <c r="A450" s="190" t="s">
        <v>596</v>
      </c>
      <c r="B450" s="191">
        <v>90102</v>
      </c>
      <c r="C450" s="657" t="s">
        <v>194</v>
      </c>
      <c r="D450" s="192" t="s">
        <v>57</v>
      </c>
      <c r="E450" s="193">
        <v>89.99</v>
      </c>
      <c r="F450" s="194">
        <v>191.8</v>
      </c>
      <c r="G450" s="194"/>
      <c r="H450" s="194"/>
      <c r="I450" s="193">
        <f t="shared" ref="I450:I455" si="560">F450+G450-H450</f>
        <v>191.8</v>
      </c>
      <c r="J450" s="193">
        <f t="shared" ref="J450:J455" si="561">I450*E450</f>
        <v>17260.081999999999</v>
      </c>
      <c r="K450" s="193"/>
      <c r="L450" s="193"/>
      <c r="M450" s="622">
        <f t="shared" ref="M450:M455" si="562">I450*E450</f>
        <v>17260.081999999999</v>
      </c>
      <c r="N450" s="194">
        <v>0</v>
      </c>
      <c r="O450" s="622">
        <f t="shared" ref="O450" si="563">TRUNC(N450*E450,2)</f>
        <v>0</v>
      </c>
      <c r="P450" s="194">
        <f>IFERROR(VLOOKUP(A450,#REF!,18,FALSE),)</f>
        <v>0</v>
      </c>
      <c r="Q450" s="622">
        <f t="shared" ref="Q450" si="564">S450-O450</f>
        <v>0</v>
      </c>
      <c r="R450" s="194">
        <f t="shared" ref="R450" si="565">P450+N450</f>
        <v>0</v>
      </c>
      <c r="S450" s="630">
        <f t="shared" ref="S450" si="566">TRUNC(R450*E450,2)</f>
        <v>0</v>
      </c>
      <c r="T450" s="194">
        <f t="shared" si="463"/>
        <v>191.8</v>
      </c>
      <c r="U450" s="630">
        <f t="shared" ref="U450:U455" si="567">T450*E450</f>
        <v>17260.081999999999</v>
      </c>
    </row>
    <row r="451" spans="1:21" ht="51">
      <c r="A451" s="190" t="s">
        <v>597</v>
      </c>
      <c r="B451" s="191">
        <v>90223</v>
      </c>
      <c r="C451" s="657" t="s">
        <v>195</v>
      </c>
      <c r="D451" s="192" t="s">
        <v>57</v>
      </c>
      <c r="E451" s="193">
        <v>124.46</v>
      </c>
      <c r="F451" s="194">
        <v>200.69</v>
      </c>
      <c r="G451" s="194"/>
      <c r="H451" s="194"/>
      <c r="I451" s="193">
        <f t="shared" si="560"/>
        <v>200.69</v>
      </c>
      <c r="J451" s="193">
        <f t="shared" si="561"/>
        <v>24977.877399999998</v>
      </c>
      <c r="K451" s="193"/>
      <c r="L451" s="193"/>
      <c r="M451" s="622">
        <f t="shared" si="562"/>
        <v>24977.877399999998</v>
      </c>
      <c r="N451" s="194">
        <v>0</v>
      </c>
      <c r="O451" s="622">
        <f>TRUNC(N451*E451,2)</f>
        <v>0</v>
      </c>
      <c r="P451" s="194">
        <f>IFERROR(VLOOKUP(A451,#REF!,18,FALSE),)</f>
        <v>0</v>
      </c>
      <c r="Q451" s="622">
        <f>S451-O451</f>
        <v>0</v>
      </c>
      <c r="R451" s="194">
        <f>P451+N451</f>
        <v>0</v>
      </c>
      <c r="S451" s="630">
        <f>TRUNC(R451*E451,2)</f>
        <v>0</v>
      </c>
      <c r="T451" s="194">
        <f t="shared" si="463"/>
        <v>200.69</v>
      </c>
      <c r="U451" s="630">
        <f t="shared" si="567"/>
        <v>24977.877399999998</v>
      </c>
    </row>
    <row r="452" spans="1:21" ht="51">
      <c r="A452" s="190" t="s">
        <v>598</v>
      </c>
      <c r="B452" s="191">
        <v>40339</v>
      </c>
      <c r="C452" s="657" t="s">
        <v>196</v>
      </c>
      <c r="D452" s="192" t="s">
        <v>57</v>
      </c>
      <c r="E452" s="193">
        <v>91.04</v>
      </c>
      <c r="F452" s="194">
        <v>25.2</v>
      </c>
      <c r="G452" s="194"/>
      <c r="H452" s="194"/>
      <c r="I452" s="193">
        <f t="shared" si="560"/>
        <v>25.2</v>
      </c>
      <c r="J452" s="193">
        <f t="shared" si="561"/>
        <v>2294.2080000000001</v>
      </c>
      <c r="K452" s="193"/>
      <c r="L452" s="193"/>
      <c r="M452" s="622">
        <f t="shared" si="562"/>
        <v>2294.2080000000001</v>
      </c>
      <c r="N452" s="194">
        <v>0</v>
      </c>
      <c r="O452" s="622">
        <f t="shared" ref="O452:O455" si="568">TRUNC(N452*E452,2)</f>
        <v>0</v>
      </c>
      <c r="P452" s="194">
        <f>IFERROR(VLOOKUP(A452,#REF!,18,FALSE),)</f>
        <v>0</v>
      </c>
      <c r="Q452" s="622">
        <f t="shared" ref="Q452:Q455" si="569">S452-O452</f>
        <v>0</v>
      </c>
      <c r="R452" s="194">
        <f t="shared" ref="R452:R455" si="570">P452+N452</f>
        <v>0</v>
      </c>
      <c r="S452" s="630">
        <f t="shared" ref="S452:S455" si="571">TRUNC(R452*E452,2)</f>
        <v>0</v>
      </c>
      <c r="T452" s="194">
        <f t="shared" si="463"/>
        <v>25.2</v>
      </c>
      <c r="U452" s="630">
        <f t="shared" si="567"/>
        <v>2294.2080000000001</v>
      </c>
    </row>
    <row r="453" spans="1:21" ht="25.5">
      <c r="A453" s="190" t="s">
        <v>599</v>
      </c>
      <c r="B453" s="191">
        <v>40328</v>
      </c>
      <c r="C453" s="657" t="s">
        <v>197</v>
      </c>
      <c r="D453" s="192" t="s">
        <v>29</v>
      </c>
      <c r="E453" s="193">
        <v>7.98</v>
      </c>
      <c r="F453" s="194">
        <v>122</v>
      </c>
      <c r="G453" s="194"/>
      <c r="H453" s="194"/>
      <c r="I453" s="193">
        <f t="shared" si="560"/>
        <v>122</v>
      </c>
      <c r="J453" s="193">
        <f t="shared" si="561"/>
        <v>973.56000000000006</v>
      </c>
      <c r="K453" s="193"/>
      <c r="L453" s="193"/>
      <c r="M453" s="622">
        <f t="shared" si="562"/>
        <v>973.56000000000006</v>
      </c>
      <c r="N453" s="194">
        <v>0</v>
      </c>
      <c r="O453" s="622">
        <f t="shared" si="568"/>
        <v>0</v>
      </c>
      <c r="P453" s="194">
        <f>IFERROR(VLOOKUP(A453,#REF!,18,FALSE),)</f>
        <v>0</v>
      </c>
      <c r="Q453" s="622">
        <f t="shared" si="569"/>
        <v>0</v>
      </c>
      <c r="R453" s="194">
        <f t="shared" si="570"/>
        <v>0</v>
      </c>
      <c r="S453" s="630">
        <f t="shared" si="571"/>
        <v>0</v>
      </c>
      <c r="T453" s="194">
        <f t="shared" si="463"/>
        <v>122</v>
      </c>
      <c r="U453" s="630">
        <f t="shared" si="567"/>
        <v>973.56000000000006</v>
      </c>
    </row>
    <row r="454" spans="1:21" ht="51">
      <c r="A454" s="190" t="s">
        <v>600</v>
      </c>
      <c r="B454" s="191" t="s">
        <v>140</v>
      </c>
      <c r="C454" s="657" t="s">
        <v>198</v>
      </c>
      <c r="D454" s="192" t="s">
        <v>58</v>
      </c>
      <c r="E454" s="193">
        <v>486.08</v>
      </c>
      <c r="F454" s="194">
        <v>1.3</v>
      </c>
      <c r="G454" s="194"/>
      <c r="H454" s="194"/>
      <c r="I454" s="193">
        <f t="shared" si="560"/>
        <v>1.3</v>
      </c>
      <c r="J454" s="193">
        <f t="shared" si="561"/>
        <v>631.904</v>
      </c>
      <c r="K454" s="193"/>
      <c r="L454" s="193"/>
      <c r="M454" s="622">
        <f t="shared" si="562"/>
        <v>631.904</v>
      </c>
      <c r="N454" s="194">
        <v>0</v>
      </c>
      <c r="O454" s="622">
        <f t="shared" si="568"/>
        <v>0</v>
      </c>
      <c r="P454" s="194">
        <f>IFERROR(VLOOKUP(A454,#REF!,18,FALSE),)</f>
        <v>0</v>
      </c>
      <c r="Q454" s="622">
        <f t="shared" si="569"/>
        <v>0</v>
      </c>
      <c r="R454" s="194">
        <f t="shared" si="570"/>
        <v>0</v>
      </c>
      <c r="S454" s="630">
        <f t="shared" si="571"/>
        <v>0</v>
      </c>
      <c r="T454" s="194">
        <f t="shared" si="463"/>
        <v>1.3</v>
      </c>
      <c r="U454" s="630">
        <f t="shared" si="567"/>
        <v>631.904</v>
      </c>
    </row>
    <row r="455" spans="1:21" ht="51">
      <c r="A455" s="190" t="s">
        <v>601</v>
      </c>
      <c r="B455" s="191">
        <v>50602</v>
      </c>
      <c r="C455" s="657" t="s">
        <v>199</v>
      </c>
      <c r="D455" s="192" t="s">
        <v>57</v>
      </c>
      <c r="E455" s="193">
        <v>62.2</v>
      </c>
      <c r="F455" s="194">
        <v>61.24</v>
      </c>
      <c r="G455" s="194"/>
      <c r="H455" s="194"/>
      <c r="I455" s="193">
        <f t="shared" si="560"/>
        <v>61.24</v>
      </c>
      <c r="J455" s="193">
        <f t="shared" si="561"/>
        <v>3809.1280000000002</v>
      </c>
      <c r="K455" s="193"/>
      <c r="L455" s="193"/>
      <c r="M455" s="622">
        <f t="shared" si="562"/>
        <v>3809.1280000000002</v>
      </c>
      <c r="N455" s="194">
        <v>0</v>
      </c>
      <c r="O455" s="622">
        <f t="shared" si="568"/>
        <v>0</v>
      </c>
      <c r="P455" s="194">
        <f>IFERROR(VLOOKUP(A455,#REF!,18,FALSE),)</f>
        <v>0</v>
      </c>
      <c r="Q455" s="622">
        <f t="shared" si="569"/>
        <v>0</v>
      </c>
      <c r="R455" s="194">
        <f t="shared" si="570"/>
        <v>0</v>
      </c>
      <c r="S455" s="630">
        <f t="shared" si="571"/>
        <v>0</v>
      </c>
      <c r="T455" s="194">
        <f t="shared" si="463"/>
        <v>61.24</v>
      </c>
      <c r="U455" s="630">
        <f t="shared" si="567"/>
        <v>3809.1280000000002</v>
      </c>
    </row>
    <row r="456" spans="1:21">
      <c r="A456" s="138"/>
      <c r="B456" s="132"/>
      <c r="C456" s="123"/>
      <c r="D456" s="123"/>
      <c r="E456" s="123"/>
      <c r="F456" s="123"/>
      <c r="G456" s="123"/>
      <c r="H456" s="123"/>
      <c r="I456" s="123"/>
      <c r="J456" s="123"/>
      <c r="K456" s="123"/>
      <c r="L456" s="123"/>
      <c r="M456" s="623"/>
      <c r="N456" s="123"/>
      <c r="O456" s="623"/>
      <c r="P456" s="123"/>
      <c r="Q456" s="623"/>
      <c r="R456" s="123"/>
      <c r="S456" s="631"/>
      <c r="T456" s="123"/>
      <c r="U456" s="631"/>
    </row>
    <row r="457" spans="1:21" s="131" customFormat="1">
      <c r="A457" s="137" t="s">
        <v>602</v>
      </c>
      <c r="B457" s="133"/>
      <c r="C457" s="658" t="s">
        <v>201</v>
      </c>
      <c r="D457" s="126"/>
      <c r="E457" s="127"/>
      <c r="F457" s="128"/>
      <c r="G457" s="128"/>
      <c r="H457" s="128"/>
      <c r="I457" s="129"/>
      <c r="J457" s="129">
        <f>SUBTOTAL(9,J458:J461)</f>
        <v>6322.5289000000002</v>
      </c>
      <c r="K457" s="129"/>
      <c r="L457" s="129"/>
      <c r="M457" s="624"/>
      <c r="N457" s="130"/>
      <c r="O457" s="624">
        <f>SUBTOTAL(9,O458:O461)</f>
        <v>0</v>
      </c>
      <c r="P457" s="130"/>
      <c r="Q457" s="624">
        <f>SUBTOTAL(9,Q458:Q461)</f>
        <v>0</v>
      </c>
      <c r="R457" s="129"/>
      <c r="S457" s="624">
        <f>SUBTOTAL(9,S458:S461)</f>
        <v>0</v>
      </c>
      <c r="T457" s="129">
        <f t="shared" ref="T457:T523" si="572">F457-R457</f>
        <v>0</v>
      </c>
      <c r="U457" s="624">
        <f>SUBTOTAL(9,U458:U461)</f>
        <v>6322.5289000000002</v>
      </c>
    </row>
    <row r="458" spans="1:21" ht="25.5">
      <c r="A458" s="190" t="s">
        <v>603</v>
      </c>
      <c r="B458" s="191" t="s">
        <v>206</v>
      </c>
      <c r="C458" s="657" t="s">
        <v>207</v>
      </c>
      <c r="D458" s="192" t="s">
        <v>60</v>
      </c>
      <c r="E458" s="193">
        <v>72.83</v>
      </c>
      <c r="F458" s="194">
        <v>44.2</v>
      </c>
      <c r="G458" s="194"/>
      <c r="H458" s="194"/>
      <c r="I458" s="193">
        <f t="shared" ref="I458:I461" si="573">F458+G458-H458</f>
        <v>44.2</v>
      </c>
      <c r="J458" s="193">
        <f t="shared" ref="J458:J461" si="574">I458*E458</f>
        <v>3219.0860000000002</v>
      </c>
      <c r="K458" s="193"/>
      <c r="L458" s="193"/>
      <c r="M458" s="622">
        <f t="shared" ref="M458:M461" si="575">I458*E458</f>
        <v>3219.0860000000002</v>
      </c>
      <c r="N458" s="194">
        <v>0</v>
      </c>
      <c r="O458" s="622">
        <f t="shared" ref="O458" si="576">TRUNC(N458*E458,2)</f>
        <v>0</v>
      </c>
      <c r="P458" s="194">
        <f>IFERROR(VLOOKUP(A458,#REF!,18,FALSE),)</f>
        <v>0</v>
      </c>
      <c r="Q458" s="622">
        <f t="shared" ref="Q458" si="577">S458-O458</f>
        <v>0</v>
      </c>
      <c r="R458" s="194">
        <f t="shared" ref="R458" si="578">P458+N458</f>
        <v>0</v>
      </c>
      <c r="S458" s="630">
        <f t="shared" ref="S458" si="579">TRUNC(R458*E458,2)</f>
        <v>0</v>
      </c>
      <c r="T458" s="194">
        <f t="shared" si="572"/>
        <v>44.2</v>
      </c>
      <c r="U458" s="630">
        <f t="shared" ref="U458:U461" si="580">T458*E458</f>
        <v>3219.0860000000002</v>
      </c>
    </row>
    <row r="459" spans="1:21">
      <c r="A459" s="190" t="s">
        <v>604</v>
      </c>
      <c r="B459" s="191">
        <v>90302</v>
      </c>
      <c r="C459" s="657" t="s">
        <v>208</v>
      </c>
      <c r="D459" s="192" t="s">
        <v>51</v>
      </c>
      <c r="E459" s="193">
        <v>31.38</v>
      </c>
      <c r="F459" s="194">
        <v>64.14</v>
      </c>
      <c r="G459" s="194"/>
      <c r="H459" s="194"/>
      <c r="I459" s="193">
        <f t="shared" si="573"/>
        <v>64.14</v>
      </c>
      <c r="J459" s="193">
        <f t="shared" si="574"/>
        <v>2012.7131999999999</v>
      </c>
      <c r="K459" s="193"/>
      <c r="L459" s="193"/>
      <c r="M459" s="622">
        <f t="shared" si="575"/>
        <v>2012.7131999999999</v>
      </c>
      <c r="N459" s="194">
        <v>0</v>
      </c>
      <c r="O459" s="622">
        <f>TRUNC(N459*E459,2)</f>
        <v>0</v>
      </c>
      <c r="P459" s="194">
        <f>IFERROR(VLOOKUP(A459,#REF!,18,FALSE),)</f>
        <v>0</v>
      </c>
      <c r="Q459" s="622">
        <f>S459-O459</f>
        <v>0</v>
      </c>
      <c r="R459" s="194">
        <f>P459+N459</f>
        <v>0</v>
      </c>
      <c r="S459" s="630">
        <f>TRUNC(R459*E459,2)</f>
        <v>0</v>
      </c>
      <c r="T459" s="194">
        <f t="shared" si="572"/>
        <v>64.14</v>
      </c>
      <c r="U459" s="630">
        <f t="shared" si="580"/>
        <v>2012.7131999999999</v>
      </c>
    </row>
    <row r="460" spans="1:21" ht="25.5">
      <c r="A460" s="190" t="s">
        <v>605</v>
      </c>
      <c r="B460" s="191">
        <v>141909</v>
      </c>
      <c r="C460" s="657" t="s">
        <v>209</v>
      </c>
      <c r="D460" s="192" t="s">
        <v>51</v>
      </c>
      <c r="E460" s="193">
        <v>61.57</v>
      </c>
      <c r="F460" s="194">
        <v>9.27</v>
      </c>
      <c r="G460" s="194"/>
      <c r="H460" s="194"/>
      <c r="I460" s="193">
        <f t="shared" si="573"/>
        <v>9.27</v>
      </c>
      <c r="J460" s="193">
        <f t="shared" si="574"/>
        <v>570.75389999999993</v>
      </c>
      <c r="K460" s="193"/>
      <c r="L460" s="193"/>
      <c r="M460" s="622">
        <f t="shared" si="575"/>
        <v>570.75389999999993</v>
      </c>
      <c r="N460" s="194">
        <v>0</v>
      </c>
      <c r="O460" s="622">
        <f t="shared" ref="O460:O461" si="581">TRUNC(N460*E460,2)</f>
        <v>0</v>
      </c>
      <c r="P460" s="194">
        <f>IFERROR(VLOOKUP(A460,#REF!,18,FALSE),)</f>
        <v>0</v>
      </c>
      <c r="Q460" s="622">
        <f t="shared" ref="Q460:Q461" si="582">S460-O460</f>
        <v>0</v>
      </c>
      <c r="R460" s="194">
        <f t="shared" ref="R460:R461" si="583">P460+N460</f>
        <v>0</v>
      </c>
      <c r="S460" s="630">
        <f t="shared" ref="S460:S461" si="584">TRUNC(R460*E460,2)</f>
        <v>0</v>
      </c>
      <c r="T460" s="194">
        <f t="shared" si="572"/>
        <v>9.27</v>
      </c>
      <c r="U460" s="630">
        <f t="shared" si="580"/>
        <v>570.75389999999993</v>
      </c>
    </row>
    <row r="461" spans="1:21" ht="25.5">
      <c r="A461" s="190" t="s">
        <v>606</v>
      </c>
      <c r="B461" s="191">
        <v>140903</v>
      </c>
      <c r="C461" s="657" t="s">
        <v>607</v>
      </c>
      <c r="D461" s="192" t="s">
        <v>51</v>
      </c>
      <c r="E461" s="193">
        <v>48.46</v>
      </c>
      <c r="F461" s="194">
        <v>10.73</v>
      </c>
      <c r="G461" s="194"/>
      <c r="H461" s="194"/>
      <c r="I461" s="193">
        <f t="shared" si="573"/>
        <v>10.73</v>
      </c>
      <c r="J461" s="193">
        <f t="shared" si="574"/>
        <v>519.97580000000005</v>
      </c>
      <c r="K461" s="193"/>
      <c r="L461" s="193"/>
      <c r="M461" s="622">
        <f t="shared" si="575"/>
        <v>519.97580000000005</v>
      </c>
      <c r="N461" s="194">
        <v>0</v>
      </c>
      <c r="O461" s="622">
        <f t="shared" si="581"/>
        <v>0</v>
      </c>
      <c r="P461" s="194">
        <f>IFERROR(VLOOKUP(A461,#REF!,18,FALSE),)</f>
        <v>0</v>
      </c>
      <c r="Q461" s="622">
        <f t="shared" si="582"/>
        <v>0</v>
      </c>
      <c r="R461" s="194">
        <f t="shared" si="583"/>
        <v>0</v>
      </c>
      <c r="S461" s="630">
        <f t="shared" si="584"/>
        <v>0</v>
      </c>
      <c r="T461" s="194">
        <f t="shared" si="572"/>
        <v>10.73</v>
      </c>
      <c r="U461" s="630">
        <f t="shared" si="580"/>
        <v>519.97580000000005</v>
      </c>
    </row>
    <row r="462" spans="1:21">
      <c r="A462" s="138"/>
      <c r="B462" s="132"/>
      <c r="C462" s="123"/>
      <c r="D462" s="123"/>
      <c r="E462" s="123"/>
      <c r="F462" s="123"/>
      <c r="G462" s="123"/>
      <c r="H462" s="123"/>
      <c r="I462" s="123"/>
      <c r="J462" s="123"/>
      <c r="K462" s="123"/>
      <c r="L462" s="123"/>
      <c r="M462" s="623"/>
      <c r="N462" s="123"/>
      <c r="O462" s="623"/>
      <c r="P462" s="123"/>
      <c r="Q462" s="623"/>
      <c r="R462" s="123"/>
      <c r="S462" s="631"/>
      <c r="T462" s="123"/>
      <c r="U462" s="631"/>
    </row>
    <row r="463" spans="1:21" s="131" customFormat="1">
      <c r="A463" s="137" t="s">
        <v>849</v>
      </c>
      <c r="B463" s="133"/>
      <c r="C463" s="658" t="s">
        <v>212</v>
      </c>
      <c r="D463" s="126"/>
      <c r="E463" s="127"/>
      <c r="F463" s="128"/>
      <c r="G463" s="128"/>
      <c r="H463" s="128"/>
      <c r="I463" s="129"/>
      <c r="J463" s="129">
        <f>SUBTOTAL(9,J464:J474)</f>
        <v>110605.07340000001</v>
      </c>
      <c r="K463" s="129"/>
      <c r="L463" s="129"/>
      <c r="M463" s="624"/>
      <c r="N463" s="130"/>
      <c r="O463" s="624">
        <f>SUBTOTAL(9,O464:O474)</f>
        <v>0</v>
      </c>
      <c r="P463" s="130"/>
      <c r="Q463" s="624">
        <f>SUBTOTAL(9,Q464:Q474)</f>
        <v>0</v>
      </c>
      <c r="R463" s="129"/>
      <c r="S463" s="624">
        <f>SUBTOTAL(9,S464:S474)</f>
        <v>0</v>
      </c>
      <c r="T463" s="129">
        <f t="shared" si="572"/>
        <v>0</v>
      </c>
      <c r="U463" s="624">
        <f>SUBTOTAL(9,U464:U474)</f>
        <v>110605.07340000001</v>
      </c>
    </row>
    <row r="464" spans="1:21">
      <c r="A464" s="190" t="s">
        <v>608</v>
      </c>
      <c r="B464" s="191" t="s">
        <v>224</v>
      </c>
      <c r="C464" s="657" t="s">
        <v>229</v>
      </c>
      <c r="D464" s="192" t="s">
        <v>50</v>
      </c>
      <c r="E464" s="193">
        <v>280.31</v>
      </c>
      <c r="F464" s="194">
        <v>111.39</v>
      </c>
      <c r="G464" s="194"/>
      <c r="H464" s="194"/>
      <c r="I464" s="193">
        <f t="shared" ref="I464:I474" si="585">F464+G464-H464</f>
        <v>111.39</v>
      </c>
      <c r="J464" s="193">
        <f t="shared" ref="J464:J474" si="586">I464*E464</f>
        <v>31223.730899999999</v>
      </c>
      <c r="K464" s="193"/>
      <c r="L464" s="193"/>
      <c r="M464" s="622">
        <f t="shared" ref="M464:M474" si="587">I464*E464</f>
        <v>31223.730899999999</v>
      </c>
      <c r="N464" s="194">
        <v>0</v>
      </c>
      <c r="O464" s="622">
        <f t="shared" ref="O464" si="588">TRUNC(N464*E464,2)</f>
        <v>0</v>
      </c>
      <c r="P464" s="194">
        <f>IFERROR(VLOOKUP(A464,#REF!,18,FALSE),)</f>
        <v>0</v>
      </c>
      <c r="Q464" s="622">
        <f t="shared" ref="Q464" si="589">S464-O464</f>
        <v>0</v>
      </c>
      <c r="R464" s="194">
        <f t="shared" ref="R464" si="590">P464+N464</f>
        <v>0</v>
      </c>
      <c r="S464" s="630">
        <f t="shared" ref="S464" si="591">TRUNC(R464*E464,2)</f>
        <v>0</v>
      </c>
      <c r="T464" s="194">
        <f t="shared" si="572"/>
        <v>111.39</v>
      </c>
      <c r="U464" s="630">
        <f t="shared" ref="U464:U474" si="592">T464*E464</f>
        <v>31223.730899999999</v>
      </c>
    </row>
    <row r="465" spans="1:21">
      <c r="A465" s="190" t="s">
        <v>609</v>
      </c>
      <c r="B465" s="191" t="s">
        <v>225</v>
      </c>
      <c r="C465" s="657" t="s">
        <v>230</v>
      </c>
      <c r="D465" s="192" t="s">
        <v>50</v>
      </c>
      <c r="E465" s="193">
        <v>645.84</v>
      </c>
      <c r="F465" s="194">
        <v>15.3</v>
      </c>
      <c r="G465" s="194"/>
      <c r="H465" s="194"/>
      <c r="I465" s="193">
        <f t="shared" si="585"/>
        <v>15.3</v>
      </c>
      <c r="J465" s="193">
        <f t="shared" si="586"/>
        <v>9881.3520000000008</v>
      </c>
      <c r="K465" s="193"/>
      <c r="L465" s="193"/>
      <c r="M465" s="622">
        <f t="shared" si="587"/>
        <v>9881.3520000000008</v>
      </c>
      <c r="N465" s="194">
        <v>0</v>
      </c>
      <c r="O465" s="622">
        <f>TRUNC(N465*E465,2)</f>
        <v>0</v>
      </c>
      <c r="P465" s="194">
        <f>IFERROR(VLOOKUP(A465,#REF!,18,FALSE),)</f>
        <v>0</v>
      </c>
      <c r="Q465" s="622">
        <f>S465-O465</f>
        <v>0</v>
      </c>
      <c r="R465" s="194">
        <f>P465+N465</f>
        <v>0</v>
      </c>
      <c r="S465" s="630">
        <f>TRUNC(R465*E465,2)</f>
        <v>0</v>
      </c>
      <c r="T465" s="194">
        <f t="shared" si="572"/>
        <v>15.3</v>
      </c>
      <c r="U465" s="630">
        <f t="shared" si="592"/>
        <v>9881.3520000000008</v>
      </c>
    </row>
    <row r="466" spans="1:21" ht="25.5">
      <c r="A466" s="190" t="s">
        <v>610</v>
      </c>
      <c r="B466" s="191" t="s">
        <v>226</v>
      </c>
      <c r="C466" s="657" t="s">
        <v>231</v>
      </c>
      <c r="D466" s="192" t="s">
        <v>50</v>
      </c>
      <c r="E466" s="193">
        <v>651.87</v>
      </c>
      <c r="F466" s="194">
        <v>5.63</v>
      </c>
      <c r="G466" s="194"/>
      <c r="H466" s="194"/>
      <c r="I466" s="193">
        <f t="shared" si="585"/>
        <v>5.63</v>
      </c>
      <c r="J466" s="193">
        <f t="shared" si="586"/>
        <v>3670.0281</v>
      </c>
      <c r="K466" s="193"/>
      <c r="L466" s="193"/>
      <c r="M466" s="622">
        <f t="shared" si="587"/>
        <v>3670.0281</v>
      </c>
      <c r="N466" s="194">
        <v>0</v>
      </c>
      <c r="O466" s="622">
        <f t="shared" ref="O466:O474" si="593">TRUNC(N466*E466,2)</f>
        <v>0</v>
      </c>
      <c r="P466" s="194">
        <f>IFERROR(VLOOKUP(A466,#REF!,18,FALSE),)</f>
        <v>0</v>
      </c>
      <c r="Q466" s="622">
        <f t="shared" ref="Q466:Q474" si="594">S466-O466</f>
        <v>0</v>
      </c>
      <c r="R466" s="194">
        <f t="shared" ref="R466:R474" si="595">P466+N466</f>
        <v>0</v>
      </c>
      <c r="S466" s="630">
        <f t="shared" ref="S466:S474" si="596">TRUNC(R466*E466,2)</f>
        <v>0</v>
      </c>
      <c r="T466" s="194">
        <f t="shared" si="572"/>
        <v>5.63</v>
      </c>
      <c r="U466" s="630">
        <f t="shared" si="592"/>
        <v>3670.0281</v>
      </c>
    </row>
    <row r="467" spans="1:21" ht="25.5">
      <c r="A467" s="190" t="s">
        <v>611</v>
      </c>
      <c r="B467" s="191">
        <v>210322</v>
      </c>
      <c r="C467" s="657" t="s">
        <v>232</v>
      </c>
      <c r="D467" s="192" t="s">
        <v>51</v>
      </c>
      <c r="E467" s="193">
        <v>91.5</v>
      </c>
      <c r="F467" s="194">
        <v>13.65</v>
      </c>
      <c r="G467" s="194"/>
      <c r="H467" s="194"/>
      <c r="I467" s="193">
        <f t="shared" si="585"/>
        <v>13.65</v>
      </c>
      <c r="J467" s="193">
        <f t="shared" si="586"/>
        <v>1248.9750000000001</v>
      </c>
      <c r="K467" s="193"/>
      <c r="L467" s="193"/>
      <c r="M467" s="622">
        <f t="shared" si="587"/>
        <v>1248.9750000000001</v>
      </c>
      <c r="N467" s="194">
        <v>0</v>
      </c>
      <c r="O467" s="622">
        <f t="shared" si="593"/>
        <v>0</v>
      </c>
      <c r="P467" s="194">
        <f>IFERROR(VLOOKUP(A467,#REF!,18,FALSE),)</f>
        <v>0</v>
      </c>
      <c r="Q467" s="622">
        <f t="shared" si="594"/>
        <v>0</v>
      </c>
      <c r="R467" s="194">
        <f t="shared" si="595"/>
        <v>0</v>
      </c>
      <c r="S467" s="630">
        <f t="shared" si="596"/>
        <v>0</v>
      </c>
      <c r="T467" s="194">
        <f t="shared" si="572"/>
        <v>13.65</v>
      </c>
      <c r="U467" s="630">
        <f t="shared" si="592"/>
        <v>1248.9750000000001</v>
      </c>
    </row>
    <row r="468" spans="1:21" ht="25.5">
      <c r="A468" s="190" t="s">
        <v>612</v>
      </c>
      <c r="B468" s="191" t="s">
        <v>227</v>
      </c>
      <c r="C468" s="657" t="s">
        <v>233</v>
      </c>
      <c r="D468" s="192" t="s">
        <v>51</v>
      </c>
      <c r="E468" s="193">
        <v>366.23</v>
      </c>
      <c r="F468" s="194">
        <v>4.1500000000000004</v>
      </c>
      <c r="G468" s="194"/>
      <c r="H468" s="194"/>
      <c r="I468" s="193">
        <f t="shared" si="585"/>
        <v>4.1500000000000004</v>
      </c>
      <c r="J468" s="193">
        <f t="shared" si="586"/>
        <v>1519.8545000000001</v>
      </c>
      <c r="K468" s="193"/>
      <c r="L468" s="193"/>
      <c r="M468" s="622">
        <f t="shared" si="587"/>
        <v>1519.8545000000001</v>
      </c>
      <c r="N468" s="194">
        <v>0</v>
      </c>
      <c r="O468" s="622">
        <f t="shared" si="593"/>
        <v>0</v>
      </c>
      <c r="P468" s="194">
        <f>IFERROR(VLOOKUP(A468,#REF!,18,FALSE),)</f>
        <v>0</v>
      </c>
      <c r="Q468" s="622">
        <f t="shared" si="594"/>
        <v>0</v>
      </c>
      <c r="R468" s="194">
        <f t="shared" si="595"/>
        <v>0</v>
      </c>
      <c r="S468" s="630">
        <f t="shared" si="596"/>
        <v>0</v>
      </c>
      <c r="T468" s="194">
        <f t="shared" si="572"/>
        <v>4.1500000000000004</v>
      </c>
      <c r="U468" s="630">
        <f t="shared" si="592"/>
        <v>1519.8545000000001</v>
      </c>
    </row>
    <row r="469" spans="1:21" ht="51">
      <c r="A469" s="190" t="s">
        <v>613</v>
      </c>
      <c r="B469" s="191">
        <v>50608</v>
      </c>
      <c r="C469" s="657" t="s">
        <v>234</v>
      </c>
      <c r="D469" s="192" t="s">
        <v>57</v>
      </c>
      <c r="E469" s="193">
        <v>88.68</v>
      </c>
      <c r="F469" s="194">
        <v>8.32</v>
      </c>
      <c r="G469" s="194"/>
      <c r="H469" s="194"/>
      <c r="I469" s="193">
        <f t="shared" si="585"/>
        <v>8.32</v>
      </c>
      <c r="J469" s="193">
        <f t="shared" si="586"/>
        <v>737.81760000000008</v>
      </c>
      <c r="K469" s="193"/>
      <c r="L469" s="193"/>
      <c r="M469" s="622">
        <f t="shared" si="587"/>
        <v>737.81760000000008</v>
      </c>
      <c r="N469" s="194">
        <v>0</v>
      </c>
      <c r="O469" s="622">
        <f t="shared" si="593"/>
        <v>0</v>
      </c>
      <c r="P469" s="194">
        <f>IFERROR(VLOOKUP(A469,#REF!,18,FALSE),)</f>
        <v>0</v>
      </c>
      <c r="Q469" s="622">
        <f t="shared" si="594"/>
        <v>0</v>
      </c>
      <c r="R469" s="194">
        <f t="shared" si="595"/>
        <v>0</v>
      </c>
      <c r="S469" s="630">
        <f t="shared" si="596"/>
        <v>0</v>
      </c>
      <c r="T469" s="194">
        <f t="shared" si="572"/>
        <v>8.32</v>
      </c>
      <c r="U469" s="630">
        <f t="shared" si="592"/>
        <v>737.81760000000008</v>
      </c>
    </row>
    <row r="470" spans="1:21" ht="25.5">
      <c r="A470" s="190" t="s">
        <v>614</v>
      </c>
      <c r="B470" s="191">
        <v>120101</v>
      </c>
      <c r="C470" s="657" t="s">
        <v>235</v>
      </c>
      <c r="D470" s="192" t="s">
        <v>57</v>
      </c>
      <c r="E470" s="193">
        <v>5.64</v>
      </c>
      <c r="F470" s="194">
        <v>531.42999999999995</v>
      </c>
      <c r="G470" s="194"/>
      <c r="H470" s="194"/>
      <c r="I470" s="193">
        <f t="shared" si="585"/>
        <v>531.42999999999995</v>
      </c>
      <c r="J470" s="193">
        <f t="shared" si="586"/>
        <v>2997.2651999999994</v>
      </c>
      <c r="K470" s="193"/>
      <c r="L470" s="193"/>
      <c r="M470" s="622">
        <f t="shared" si="587"/>
        <v>2997.2651999999994</v>
      </c>
      <c r="N470" s="194">
        <v>0</v>
      </c>
      <c r="O470" s="622">
        <f t="shared" si="593"/>
        <v>0</v>
      </c>
      <c r="P470" s="194">
        <f>IFERROR(VLOOKUP(A470,#REF!,18,FALSE),)</f>
        <v>0</v>
      </c>
      <c r="Q470" s="622">
        <f t="shared" si="594"/>
        <v>0</v>
      </c>
      <c r="R470" s="194">
        <f t="shared" si="595"/>
        <v>0</v>
      </c>
      <c r="S470" s="630">
        <f t="shared" si="596"/>
        <v>0</v>
      </c>
      <c r="T470" s="194">
        <f t="shared" si="572"/>
        <v>531.42999999999995</v>
      </c>
      <c r="U470" s="630">
        <f t="shared" si="592"/>
        <v>2997.2651999999994</v>
      </c>
    </row>
    <row r="471" spans="1:21" ht="25.5">
      <c r="A471" s="190" t="s">
        <v>615</v>
      </c>
      <c r="B471" s="191">
        <v>120303</v>
      </c>
      <c r="C471" s="657" t="s">
        <v>236</v>
      </c>
      <c r="D471" s="192" t="s">
        <v>57</v>
      </c>
      <c r="E471" s="193">
        <v>49.24</v>
      </c>
      <c r="F471" s="194">
        <v>531.42999999999995</v>
      </c>
      <c r="G471" s="194"/>
      <c r="H471" s="194"/>
      <c r="I471" s="193">
        <f t="shared" si="585"/>
        <v>531.42999999999995</v>
      </c>
      <c r="J471" s="193">
        <f t="shared" si="586"/>
        <v>26167.6132</v>
      </c>
      <c r="K471" s="193"/>
      <c r="L471" s="193"/>
      <c r="M471" s="622">
        <f t="shared" si="587"/>
        <v>26167.6132</v>
      </c>
      <c r="N471" s="194">
        <v>0</v>
      </c>
      <c r="O471" s="622">
        <f t="shared" si="593"/>
        <v>0</v>
      </c>
      <c r="P471" s="194">
        <f>IFERROR(VLOOKUP(A471,#REF!,18,FALSE),)</f>
        <v>0</v>
      </c>
      <c r="Q471" s="622">
        <f t="shared" si="594"/>
        <v>0</v>
      </c>
      <c r="R471" s="194">
        <f t="shared" si="595"/>
        <v>0</v>
      </c>
      <c r="S471" s="630">
        <f t="shared" si="596"/>
        <v>0</v>
      </c>
      <c r="T471" s="194">
        <f t="shared" si="572"/>
        <v>531.42999999999995</v>
      </c>
      <c r="U471" s="630">
        <f t="shared" si="592"/>
        <v>26167.6132</v>
      </c>
    </row>
    <row r="472" spans="1:21" ht="25.5">
      <c r="A472" s="190" t="s">
        <v>616</v>
      </c>
      <c r="B472" s="191">
        <v>190117</v>
      </c>
      <c r="C472" s="657" t="s">
        <v>237</v>
      </c>
      <c r="D472" s="192" t="s">
        <v>57</v>
      </c>
      <c r="E472" s="193">
        <v>18.27</v>
      </c>
      <c r="F472" s="194">
        <v>531.42999999999995</v>
      </c>
      <c r="G472" s="194"/>
      <c r="H472" s="194"/>
      <c r="I472" s="193">
        <f t="shared" si="585"/>
        <v>531.42999999999995</v>
      </c>
      <c r="J472" s="193">
        <f t="shared" si="586"/>
        <v>9709.226099999998</v>
      </c>
      <c r="K472" s="193"/>
      <c r="L472" s="193"/>
      <c r="M472" s="622">
        <f t="shared" si="587"/>
        <v>9709.226099999998</v>
      </c>
      <c r="N472" s="194">
        <v>0</v>
      </c>
      <c r="O472" s="622">
        <f t="shared" si="593"/>
        <v>0</v>
      </c>
      <c r="P472" s="194">
        <f>IFERROR(VLOOKUP(A472,#REF!,18,FALSE),)</f>
        <v>0</v>
      </c>
      <c r="Q472" s="622">
        <f t="shared" si="594"/>
        <v>0</v>
      </c>
      <c r="R472" s="194">
        <f t="shared" si="595"/>
        <v>0</v>
      </c>
      <c r="S472" s="630">
        <f t="shared" si="596"/>
        <v>0</v>
      </c>
      <c r="T472" s="194">
        <f t="shared" si="572"/>
        <v>531.42999999999995</v>
      </c>
      <c r="U472" s="630">
        <f t="shared" si="592"/>
        <v>9709.226099999998</v>
      </c>
    </row>
    <row r="473" spans="1:21" ht="51">
      <c r="A473" s="190" t="s">
        <v>617</v>
      </c>
      <c r="B473" s="191">
        <v>130230</v>
      </c>
      <c r="C473" s="657" t="s">
        <v>238</v>
      </c>
      <c r="D473" s="192" t="s">
        <v>57</v>
      </c>
      <c r="E473" s="193">
        <v>106.19</v>
      </c>
      <c r="F473" s="194">
        <v>142.32</v>
      </c>
      <c r="G473" s="194"/>
      <c r="H473" s="194"/>
      <c r="I473" s="193">
        <f t="shared" si="585"/>
        <v>142.32</v>
      </c>
      <c r="J473" s="193">
        <f t="shared" si="586"/>
        <v>15112.960799999999</v>
      </c>
      <c r="K473" s="193"/>
      <c r="L473" s="193"/>
      <c r="M473" s="622">
        <f t="shared" si="587"/>
        <v>15112.960799999999</v>
      </c>
      <c r="N473" s="194">
        <v>0</v>
      </c>
      <c r="O473" s="622">
        <f t="shared" si="593"/>
        <v>0</v>
      </c>
      <c r="P473" s="194">
        <f>IFERROR(VLOOKUP(A473,#REF!,18,FALSE),)</f>
        <v>0</v>
      </c>
      <c r="Q473" s="622">
        <f t="shared" si="594"/>
        <v>0</v>
      </c>
      <c r="R473" s="194">
        <f t="shared" si="595"/>
        <v>0</v>
      </c>
      <c r="S473" s="630">
        <f t="shared" si="596"/>
        <v>0</v>
      </c>
      <c r="T473" s="194">
        <f t="shared" si="572"/>
        <v>142.32</v>
      </c>
      <c r="U473" s="630">
        <f t="shared" si="592"/>
        <v>15112.960799999999</v>
      </c>
    </row>
    <row r="474" spans="1:21" ht="25.5">
      <c r="A474" s="190" t="s">
        <v>618</v>
      </c>
      <c r="B474" s="191" t="s">
        <v>228</v>
      </c>
      <c r="C474" s="657" t="s">
        <v>239</v>
      </c>
      <c r="D474" s="192" t="s">
        <v>72</v>
      </c>
      <c r="E474" s="193">
        <v>333.45</v>
      </c>
      <c r="F474" s="194">
        <v>25</v>
      </c>
      <c r="G474" s="194"/>
      <c r="H474" s="194"/>
      <c r="I474" s="193">
        <f t="shared" si="585"/>
        <v>25</v>
      </c>
      <c r="J474" s="193">
        <f t="shared" si="586"/>
        <v>8336.25</v>
      </c>
      <c r="K474" s="193"/>
      <c r="L474" s="193"/>
      <c r="M474" s="622">
        <f t="shared" si="587"/>
        <v>8336.25</v>
      </c>
      <c r="N474" s="194">
        <v>0</v>
      </c>
      <c r="O474" s="622">
        <f t="shared" si="593"/>
        <v>0</v>
      </c>
      <c r="P474" s="194">
        <f>IFERROR(VLOOKUP(A474,#REF!,18,FALSE),)</f>
        <v>0</v>
      </c>
      <c r="Q474" s="622">
        <f t="shared" si="594"/>
        <v>0</v>
      </c>
      <c r="R474" s="194">
        <f t="shared" si="595"/>
        <v>0</v>
      </c>
      <c r="S474" s="630">
        <f t="shared" si="596"/>
        <v>0</v>
      </c>
      <c r="T474" s="194">
        <f t="shared" si="572"/>
        <v>25</v>
      </c>
      <c r="U474" s="630">
        <f t="shared" si="592"/>
        <v>8336.25</v>
      </c>
    </row>
    <row r="475" spans="1:21">
      <c r="A475" s="138"/>
      <c r="B475" s="132"/>
      <c r="C475" s="123"/>
      <c r="D475" s="123"/>
      <c r="E475" s="123"/>
      <c r="F475" s="123"/>
      <c r="G475" s="123"/>
      <c r="H475" s="123"/>
      <c r="I475" s="123"/>
      <c r="J475" s="123"/>
      <c r="K475" s="123"/>
      <c r="L475" s="123"/>
      <c r="M475" s="623"/>
      <c r="N475" s="123"/>
      <c r="O475" s="623"/>
      <c r="P475" s="123"/>
      <c r="Q475" s="623"/>
      <c r="R475" s="123"/>
      <c r="S475" s="631"/>
      <c r="T475" s="123"/>
      <c r="U475" s="631"/>
    </row>
    <row r="476" spans="1:21" s="213" customFormat="1">
      <c r="A476" s="210" t="s">
        <v>619</v>
      </c>
      <c r="B476" s="211"/>
      <c r="C476" s="655" t="s">
        <v>240</v>
      </c>
      <c r="D476" s="197"/>
      <c r="E476" s="198"/>
      <c r="F476" s="199"/>
      <c r="G476" s="199"/>
      <c r="H476" s="199"/>
      <c r="I476" s="200"/>
      <c r="J476" s="200">
        <f>SUBTOTAL(9,J477:J512)</f>
        <v>616385.40690000006</v>
      </c>
      <c r="K476" s="200"/>
      <c r="L476" s="200"/>
      <c r="M476" s="620"/>
      <c r="N476" s="201"/>
      <c r="O476" s="620">
        <f>SUBTOTAL(9,O477:O512)</f>
        <v>480324.14999999991</v>
      </c>
      <c r="P476" s="201"/>
      <c r="Q476" s="620">
        <f>SUBTOTAL(9,Q477:Q512)</f>
        <v>0</v>
      </c>
      <c r="R476" s="200"/>
      <c r="S476" s="620">
        <f>SUBTOTAL(9,S477:S512)</f>
        <v>493619.6</v>
      </c>
      <c r="T476" s="200">
        <f t="shared" si="572"/>
        <v>0</v>
      </c>
      <c r="U476" s="620">
        <f>SUBTOTAL(9,U477:U512)</f>
        <v>143830.92130000002</v>
      </c>
    </row>
    <row r="477" spans="1:21" s="131" customFormat="1">
      <c r="A477" s="137" t="s">
        <v>620</v>
      </c>
      <c r="B477" s="133"/>
      <c r="C477" s="658" t="s">
        <v>242</v>
      </c>
      <c r="D477" s="126"/>
      <c r="E477" s="127"/>
      <c r="F477" s="128"/>
      <c r="G477" s="128"/>
      <c r="H477" s="128"/>
      <c r="I477" s="129"/>
      <c r="J477" s="129">
        <f>SUBTOTAL(9,J478:J489)</f>
        <v>296584.22210000007</v>
      </c>
      <c r="K477" s="129"/>
      <c r="L477" s="129"/>
      <c r="M477" s="624"/>
      <c r="N477" s="130"/>
      <c r="O477" s="624">
        <f>SUBTOTAL(9,O478:O489)</f>
        <v>188530.49</v>
      </c>
      <c r="P477" s="130"/>
      <c r="Q477" s="624">
        <f>SUBTOTAL(9,Q478:Q489)</f>
        <v>0</v>
      </c>
      <c r="R477" s="129"/>
      <c r="S477" s="624">
        <f>SUBTOTAL(9,S478:S490)</f>
        <v>201825.94</v>
      </c>
      <c r="T477" s="129">
        <f t="shared" si="572"/>
        <v>0</v>
      </c>
      <c r="U477" s="624">
        <f>SUBTOTAL(9,U478:U490)</f>
        <v>115823.41800000001</v>
      </c>
    </row>
    <row r="478" spans="1:21" ht="25.5">
      <c r="A478" s="190" t="s">
        <v>621</v>
      </c>
      <c r="B478" s="191">
        <v>40405</v>
      </c>
      <c r="C478" s="657" t="s">
        <v>264</v>
      </c>
      <c r="D478" s="192" t="s">
        <v>57</v>
      </c>
      <c r="E478" s="193">
        <v>86.33</v>
      </c>
      <c r="F478" s="194">
        <v>341</v>
      </c>
      <c r="G478" s="194">
        <f>REPLANILHAMENTO!H416</f>
        <v>90</v>
      </c>
      <c r="H478" s="194"/>
      <c r="I478" s="193">
        <f>F478+G478-H478</f>
        <v>431</v>
      </c>
      <c r="J478" s="193">
        <f>F478*E478</f>
        <v>29438.53</v>
      </c>
      <c r="K478" s="193">
        <f>G478*E478</f>
        <v>7769.7</v>
      </c>
      <c r="L478" s="193"/>
      <c r="M478" s="622">
        <f>I478*E478</f>
        <v>37208.229999999996</v>
      </c>
      <c r="N478" s="194">
        <f>'4.4.1.1'!R21</f>
        <v>431</v>
      </c>
      <c r="O478" s="622">
        <f t="shared" ref="O478:O489" si="597">TRUNC(N478*E478,2)</f>
        <v>37208.230000000003</v>
      </c>
      <c r="P478" s="560">
        <f>'4.4.1.1'!R22</f>
        <v>0</v>
      </c>
      <c r="Q478" s="622">
        <f t="shared" ref="Q478:Q489" si="598">S478-O478</f>
        <v>0</v>
      </c>
      <c r="R478" s="194">
        <f>P478+N478</f>
        <v>431</v>
      </c>
      <c r="S478" s="630">
        <f t="shared" ref="S478:S490" si="599">TRUNC(R478*E478,2)</f>
        <v>37208.230000000003</v>
      </c>
      <c r="T478" s="194">
        <f>I478-R478</f>
        <v>0</v>
      </c>
      <c r="U478" s="630">
        <v>0</v>
      </c>
    </row>
    <row r="479" spans="1:21" ht="25.5">
      <c r="A479" s="190" t="s">
        <v>622</v>
      </c>
      <c r="B479" s="191" t="s">
        <v>255</v>
      </c>
      <c r="C479" s="657" t="s">
        <v>265</v>
      </c>
      <c r="D479" s="192" t="s">
        <v>29</v>
      </c>
      <c r="E479" s="193">
        <v>7.33</v>
      </c>
      <c r="F479" s="194">
        <v>3966.02</v>
      </c>
      <c r="G479" s="194"/>
      <c r="H479" s="194"/>
      <c r="I479" s="193">
        <f t="shared" ref="I479:I489" si="600">F479+G479-H479</f>
        <v>3966.02</v>
      </c>
      <c r="J479" s="193">
        <f>I479*E479</f>
        <v>29070.926599999999</v>
      </c>
      <c r="K479" s="193"/>
      <c r="L479" s="193"/>
      <c r="M479" s="622">
        <f t="shared" ref="M479:M489" si="601">I479*E479</f>
        <v>29070.926599999999</v>
      </c>
      <c r="N479" s="194">
        <f>'4.4.1.2'!R24</f>
        <v>3966.02</v>
      </c>
      <c r="O479" s="622">
        <f t="shared" si="597"/>
        <v>29070.92</v>
      </c>
      <c r="P479" s="560">
        <f>'4.4.1.2'!R25</f>
        <v>0</v>
      </c>
      <c r="Q479" s="622">
        <f t="shared" si="598"/>
        <v>0</v>
      </c>
      <c r="R479" s="194">
        <f>P479+N479</f>
        <v>3966.02</v>
      </c>
      <c r="S479" s="630">
        <f t="shared" si="599"/>
        <v>29070.92</v>
      </c>
      <c r="T479" s="194">
        <f t="shared" si="572"/>
        <v>0</v>
      </c>
      <c r="U479" s="630">
        <f t="shared" ref="U479:U490" si="602">T479*E479</f>
        <v>0</v>
      </c>
    </row>
    <row r="480" spans="1:21" ht="25.5">
      <c r="A480" s="190" t="s">
        <v>623</v>
      </c>
      <c r="B480" s="191">
        <v>40328</v>
      </c>
      <c r="C480" s="657" t="s">
        <v>147</v>
      </c>
      <c r="D480" s="192" t="s">
        <v>29</v>
      </c>
      <c r="E480" s="193">
        <v>7.98</v>
      </c>
      <c r="F480" s="194">
        <v>1880</v>
      </c>
      <c r="G480" s="194"/>
      <c r="H480" s="194"/>
      <c r="I480" s="193">
        <f t="shared" si="600"/>
        <v>1880</v>
      </c>
      <c r="J480" s="193">
        <f t="shared" ref="J480:J489" si="603">I480*E480</f>
        <v>15002.400000000001</v>
      </c>
      <c r="K480" s="193"/>
      <c r="L480" s="193"/>
      <c r="M480" s="622">
        <f t="shared" si="601"/>
        <v>15002.400000000001</v>
      </c>
      <c r="N480" s="194">
        <f>'4.4.1.3'!R24</f>
        <v>1880</v>
      </c>
      <c r="O480" s="622">
        <f>TRUNC(N480*E480,2)</f>
        <v>15002.4</v>
      </c>
      <c r="P480" s="560">
        <f>'4.4.1.3'!R25</f>
        <v>0</v>
      </c>
      <c r="Q480" s="622">
        <f t="shared" si="598"/>
        <v>0</v>
      </c>
      <c r="R480" s="194">
        <f t="shared" ref="R480:R488" si="604">P480+N480</f>
        <v>1880</v>
      </c>
      <c r="S480" s="630">
        <f t="shared" si="599"/>
        <v>15002.4</v>
      </c>
      <c r="T480" s="194">
        <f t="shared" si="572"/>
        <v>0</v>
      </c>
      <c r="U480" s="630">
        <f t="shared" si="602"/>
        <v>0</v>
      </c>
    </row>
    <row r="481" spans="1:21">
      <c r="A481" s="190" t="s">
        <v>624</v>
      </c>
      <c r="B481" s="191" t="s">
        <v>256</v>
      </c>
      <c r="C481" s="657" t="s">
        <v>266</v>
      </c>
      <c r="D481" s="192" t="s">
        <v>29</v>
      </c>
      <c r="E481" s="193">
        <v>11.02</v>
      </c>
      <c r="F481" s="194">
        <v>73</v>
      </c>
      <c r="G481" s="194"/>
      <c r="H481" s="194"/>
      <c r="I481" s="193">
        <f t="shared" si="600"/>
        <v>73</v>
      </c>
      <c r="J481" s="193">
        <f t="shared" si="603"/>
        <v>804.45999999999992</v>
      </c>
      <c r="K481" s="193"/>
      <c r="L481" s="193"/>
      <c r="M481" s="622">
        <f t="shared" si="601"/>
        <v>804.45999999999992</v>
      </c>
      <c r="N481" s="194">
        <v>73</v>
      </c>
      <c r="O481" s="622">
        <f t="shared" si="597"/>
        <v>804.46</v>
      </c>
      <c r="P481" s="560">
        <v>0</v>
      </c>
      <c r="Q481" s="622">
        <f t="shared" si="598"/>
        <v>0</v>
      </c>
      <c r="R481" s="194">
        <f>P481+N481</f>
        <v>73</v>
      </c>
      <c r="S481" s="630">
        <f t="shared" si="599"/>
        <v>804.46</v>
      </c>
      <c r="T481" s="194">
        <f t="shared" si="572"/>
        <v>0</v>
      </c>
      <c r="U481" s="630">
        <f t="shared" si="602"/>
        <v>0</v>
      </c>
    </row>
    <row r="482" spans="1:21" ht="51">
      <c r="A482" s="190" t="s">
        <v>625</v>
      </c>
      <c r="B482" s="191" t="s">
        <v>257</v>
      </c>
      <c r="C482" s="657" t="s">
        <v>267</v>
      </c>
      <c r="D482" s="192" t="s">
        <v>58</v>
      </c>
      <c r="E482" s="193">
        <v>777.83</v>
      </c>
      <c r="F482" s="194">
        <v>28.05</v>
      </c>
      <c r="G482" s="194"/>
      <c r="H482" s="194"/>
      <c r="I482" s="193">
        <f t="shared" si="600"/>
        <v>28.05</v>
      </c>
      <c r="J482" s="193">
        <f t="shared" si="603"/>
        <v>21818.131500000003</v>
      </c>
      <c r="K482" s="193"/>
      <c r="L482" s="193"/>
      <c r="M482" s="622">
        <f t="shared" si="601"/>
        <v>21818.131500000003</v>
      </c>
      <c r="N482" s="194">
        <f>'4.4.1.5'!R20</f>
        <v>28.05</v>
      </c>
      <c r="O482" s="622">
        <f>TRUNC(N482*E482,2)</f>
        <v>21818.13</v>
      </c>
      <c r="P482" s="560">
        <f>'4.4.1.5'!R21</f>
        <v>0</v>
      </c>
      <c r="Q482" s="622">
        <f t="shared" si="598"/>
        <v>0</v>
      </c>
      <c r="R482" s="194">
        <f>P482+N482</f>
        <v>28.05</v>
      </c>
      <c r="S482" s="630">
        <f t="shared" si="599"/>
        <v>21818.13</v>
      </c>
      <c r="T482" s="194">
        <f t="shared" si="572"/>
        <v>0</v>
      </c>
      <c r="U482" s="630">
        <f t="shared" si="602"/>
        <v>0</v>
      </c>
    </row>
    <row r="483" spans="1:21" ht="25.5">
      <c r="A483" s="190" t="s">
        <v>626</v>
      </c>
      <c r="B483" s="191" t="s">
        <v>258</v>
      </c>
      <c r="C483" s="657" t="s">
        <v>268</v>
      </c>
      <c r="D483" s="192" t="s">
        <v>49</v>
      </c>
      <c r="E483" s="193">
        <v>641.15</v>
      </c>
      <c r="F483" s="194">
        <v>113.84</v>
      </c>
      <c r="G483" s="194"/>
      <c r="H483" s="194"/>
      <c r="I483" s="193">
        <f t="shared" si="600"/>
        <v>113.84</v>
      </c>
      <c r="J483" s="193">
        <f t="shared" si="603"/>
        <v>72988.516000000003</v>
      </c>
      <c r="K483" s="193"/>
      <c r="L483" s="193"/>
      <c r="M483" s="622">
        <f t="shared" si="601"/>
        <v>72988.516000000003</v>
      </c>
      <c r="N483" s="194">
        <f>'4.4.1.6'!R23</f>
        <v>113.84</v>
      </c>
      <c r="O483" s="622">
        <f t="shared" si="597"/>
        <v>72988.509999999995</v>
      </c>
      <c r="P483" s="560">
        <f>'4.4.1.6'!R24</f>
        <v>0</v>
      </c>
      <c r="Q483" s="622">
        <f t="shared" si="598"/>
        <v>0</v>
      </c>
      <c r="R483" s="194">
        <f t="shared" si="604"/>
        <v>113.84</v>
      </c>
      <c r="S483" s="630">
        <f t="shared" si="599"/>
        <v>72988.509999999995</v>
      </c>
      <c r="T483" s="194">
        <f t="shared" si="572"/>
        <v>0</v>
      </c>
      <c r="U483" s="630">
        <f t="shared" si="602"/>
        <v>0</v>
      </c>
    </row>
    <row r="484" spans="1:21" ht="24" customHeight="1">
      <c r="A484" s="190" t="s">
        <v>627</v>
      </c>
      <c r="B484" s="191" t="s">
        <v>259</v>
      </c>
      <c r="C484" s="657" t="s">
        <v>269</v>
      </c>
      <c r="D484" s="192" t="s">
        <v>72</v>
      </c>
      <c r="E484" s="193">
        <v>14345.61</v>
      </c>
      <c r="F484" s="194">
        <v>4</v>
      </c>
      <c r="G484" s="194"/>
      <c r="H484" s="194"/>
      <c r="I484" s="193">
        <f t="shared" si="600"/>
        <v>4</v>
      </c>
      <c r="J484" s="193">
        <f t="shared" si="603"/>
        <v>57382.44</v>
      </c>
      <c r="K484" s="193"/>
      <c r="L484" s="193"/>
      <c r="M484" s="622">
        <f t="shared" si="601"/>
        <v>57382.44</v>
      </c>
      <c r="N484" s="194">
        <v>0</v>
      </c>
      <c r="O484" s="622">
        <f t="shared" si="597"/>
        <v>0</v>
      </c>
      <c r="P484" s="194">
        <f>IFERROR(VLOOKUP(A484,#REF!,18,FALSE),)</f>
        <v>0</v>
      </c>
      <c r="Q484" s="622">
        <f t="shared" si="598"/>
        <v>0</v>
      </c>
      <c r="R484" s="194">
        <f t="shared" si="604"/>
        <v>0</v>
      </c>
      <c r="S484" s="630">
        <f t="shared" si="599"/>
        <v>0</v>
      </c>
      <c r="T484" s="194">
        <f t="shared" si="572"/>
        <v>4</v>
      </c>
      <c r="U484" s="630">
        <f t="shared" si="602"/>
        <v>57382.44</v>
      </c>
    </row>
    <row r="485" spans="1:21" ht="25.5">
      <c r="A485" s="190" t="s">
        <v>628</v>
      </c>
      <c r="B485" s="191" t="s">
        <v>260</v>
      </c>
      <c r="C485" s="657" t="s">
        <v>270</v>
      </c>
      <c r="D485" s="192" t="s">
        <v>72</v>
      </c>
      <c r="E485" s="193">
        <v>5478.19</v>
      </c>
      <c r="F485" s="194">
        <v>2</v>
      </c>
      <c r="G485" s="194"/>
      <c r="H485" s="194"/>
      <c r="I485" s="193">
        <f t="shared" si="600"/>
        <v>2</v>
      </c>
      <c r="J485" s="193">
        <f t="shared" si="603"/>
        <v>10956.38</v>
      </c>
      <c r="K485" s="193"/>
      <c r="L485" s="193"/>
      <c r="M485" s="622">
        <f t="shared" si="601"/>
        <v>10956.38</v>
      </c>
      <c r="N485" s="194">
        <f>'4.4.1.8'!R18</f>
        <v>2</v>
      </c>
      <c r="O485" s="622">
        <f t="shared" si="597"/>
        <v>10956.38</v>
      </c>
      <c r="P485" s="194">
        <f>'4.4.1.8'!R19</f>
        <v>0</v>
      </c>
      <c r="Q485" s="622">
        <f t="shared" si="598"/>
        <v>0</v>
      </c>
      <c r="R485" s="194">
        <f t="shared" si="604"/>
        <v>2</v>
      </c>
      <c r="S485" s="630">
        <f t="shared" si="599"/>
        <v>10956.38</v>
      </c>
      <c r="T485" s="194">
        <f t="shared" si="572"/>
        <v>0</v>
      </c>
      <c r="U485" s="630">
        <f t="shared" si="602"/>
        <v>0</v>
      </c>
    </row>
    <row r="486" spans="1:21" ht="38.25">
      <c r="A486" s="190" t="s">
        <v>629</v>
      </c>
      <c r="B486" s="191">
        <v>40817</v>
      </c>
      <c r="C486" s="657" t="s">
        <v>271</v>
      </c>
      <c r="D486" s="192" t="s">
        <v>58</v>
      </c>
      <c r="E486" s="193">
        <v>3001.6</v>
      </c>
      <c r="F486" s="194">
        <v>0.03</v>
      </c>
      <c r="G486" s="194"/>
      <c r="H486" s="194"/>
      <c r="I486" s="193">
        <f t="shared" si="600"/>
        <v>0.03</v>
      </c>
      <c r="J486" s="193">
        <f t="shared" si="603"/>
        <v>90.047999999999988</v>
      </c>
      <c r="K486" s="193"/>
      <c r="L486" s="193"/>
      <c r="M486" s="622">
        <f t="shared" si="601"/>
        <v>90.047999999999988</v>
      </c>
      <c r="N486" s="194">
        <v>0</v>
      </c>
      <c r="O486" s="622">
        <f t="shared" si="597"/>
        <v>0</v>
      </c>
      <c r="P486" s="194">
        <f>IFERROR(VLOOKUP(A486,#REF!,18,FALSE),)</f>
        <v>0</v>
      </c>
      <c r="Q486" s="622">
        <f t="shared" si="598"/>
        <v>0</v>
      </c>
      <c r="R486" s="194">
        <f t="shared" si="604"/>
        <v>0</v>
      </c>
      <c r="S486" s="630">
        <f t="shared" si="599"/>
        <v>0</v>
      </c>
      <c r="T486" s="194">
        <f t="shared" si="572"/>
        <v>0.03</v>
      </c>
      <c r="U486" s="630">
        <f t="shared" si="602"/>
        <v>90.047999999999988</v>
      </c>
    </row>
    <row r="487" spans="1:21">
      <c r="A487" s="190" t="s">
        <v>630</v>
      </c>
      <c r="B487" s="191" t="s">
        <v>261</v>
      </c>
      <c r="C487" s="657" t="s">
        <v>272</v>
      </c>
      <c r="D487" s="192" t="s">
        <v>72</v>
      </c>
      <c r="E487" s="193">
        <v>2011.04</v>
      </c>
      <c r="F487" s="194">
        <v>15</v>
      </c>
      <c r="G487" s="194"/>
      <c r="H487" s="194"/>
      <c r="I487" s="193">
        <f t="shared" si="600"/>
        <v>15</v>
      </c>
      <c r="J487" s="193">
        <f t="shared" si="603"/>
        <v>30165.599999999999</v>
      </c>
      <c r="K487" s="193"/>
      <c r="L487" s="193"/>
      <c r="M487" s="622">
        <f t="shared" si="601"/>
        <v>30165.599999999999</v>
      </c>
      <c r="N487" s="194">
        <v>0</v>
      </c>
      <c r="O487" s="622">
        <f t="shared" si="597"/>
        <v>0</v>
      </c>
      <c r="P487" s="194">
        <f>IFERROR(VLOOKUP(A487,#REF!,18,FALSE),)</f>
        <v>0</v>
      </c>
      <c r="Q487" s="622">
        <f t="shared" si="598"/>
        <v>0</v>
      </c>
      <c r="R487" s="194">
        <f t="shared" si="604"/>
        <v>0</v>
      </c>
      <c r="S487" s="630">
        <f t="shared" si="599"/>
        <v>0</v>
      </c>
      <c r="T487" s="194">
        <f t="shared" si="572"/>
        <v>15</v>
      </c>
      <c r="U487" s="630">
        <f t="shared" si="602"/>
        <v>30165.599999999999</v>
      </c>
    </row>
    <row r="488" spans="1:21" ht="25.5">
      <c r="A488" s="190" t="s">
        <v>631</v>
      </c>
      <c r="B488" s="191" t="s">
        <v>262</v>
      </c>
      <c r="C488" s="657" t="s">
        <v>273</v>
      </c>
      <c r="D488" s="192" t="s">
        <v>72</v>
      </c>
      <c r="E488" s="193">
        <v>28185.33</v>
      </c>
      <c r="F488" s="194">
        <v>1</v>
      </c>
      <c r="G488" s="194"/>
      <c r="H488" s="194"/>
      <c r="I488" s="193">
        <f t="shared" si="600"/>
        <v>1</v>
      </c>
      <c r="J488" s="193">
        <f t="shared" si="603"/>
        <v>28185.33</v>
      </c>
      <c r="K488" s="193"/>
      <c r="L488" s="193"/>
      <c r="M488" s="622">
        <f t="shared" si="601"/>
        <v>28185.33</v>
      </c>
      <c r="N488" s="194">
        <v>0</v>
      </c>
      <c r="O488" s="622">
        <f t="shared" si="597"/>
        <v>0</v>
      </c>
      <c r="P488" s="194">
        <f>IFERROR(VLOOKUP(A488,#REF!,18,FALSE),)</f>
        <v>0</v>
      </c>
      <c r="Q488" s="622">
        <f t="shared" si="598"/>
        <v>0</v>
      </c>
      <c r="R488" s="194">
        <f t="shared" si="604"/>
        <v>0</v>
      </c>
      <c r="S488" s="630">
        <f t="shared" si="599"/>
        <v>0</v>
      </c>
      <c r="T488" s="194">
        <f t="shared" si="572"/>
        <v>1</v>
      </c>
      <c r="U488" s="630">
        <f t="shared" si="602"/>
        <v>28185.33</v>
      </c>
    </row>
    <row r="489" spans="1:21">
      <c r="A489" s="190" t="s">
        <v>632</v>
      </c>
      <c r="B489" s="191" t="s">
        <v>263</v>
      </c>
      <c r="C489" s="657" t="s">
        <v>274</v>
      </c>
      <c r="D489" s="192" t="s">
        <v>72</v>
      </c>
      <c r="E489" s="193">
        <v>340.73</v>
      </c>
      <c r="F489" s="194">
        <v>2</v>
      </c>
      <c r="G489" s="194"/>
      <c r="H489" s="194"/>
      <c r="I489" s="193">
        <f t="shared" si="600"/>
        <v>2</v>
      </c>
      <c r="J489" s="193">
        <f t="shared" si="603"/>
        <v>681.46</v>
      </c>
      <c r="K489" s="193"/>
      <c r="L489" s="193"/>
      <c r="M489" s="622">
        <f t="shared" si="601"/>
        <v>681.46</v>
      </c>
      <c r="N489" s="194">
        <v>2</v>
      </c>
      <c r="O489" s="622">
        <f t="shared" si="597"/>
        <v>681.46</v>
      </c>
      <c r="P489" s="194">
        <v>0</v>
      </c>
      <c r="Q489" s="622">
        <f t="shared" si="598"/>
        <v>0</v>
      </c>
      <c r="R489" s="194">
        <f>P489+N489</f>
        <v>2</v>
      </c>
      <c r="S489" s="630">
        <f t="shared" si="599"/>
        <v>681.46</v>
      </c>
      <c r="T489" s="194">
        <f t="shared" si="572"/>
        <v>0</v>
      </c>
      <c r="U489" s="630">
        <f t="shared" si="602"/>
        <v>0</v>
      </c>
    </row>
    <row r="490" spans="1:21">
      <c r="A490" s="190" t="s">
        <v>1207</v>
      </c>
      <c r="B490" s="191" t="s">
        <v>1118</v>
      </c>
      <c r="C490" s="657" t="s">
        <v>1119</v>
      </c>
      <c r="D490" s="192" t="s">
        <v>59</v>
      </c>
      <c r="E490" s="193">
        <f>REPLANILHAMENTO!F417</f>
        <v>13295.45</v>
      </c>
      <c r="F490" s="194">
        <v>0</v>
      </c>
      <c r="G490" s="194">
        <v>1</v>
      </c>
      <c r="H490" s="194">
        <v>0</v>
      </c>
      <c r="I490" s="193">
        <f>F490+G490-H490</f>
        <v>1</v>
      </c>
      <c r="J490" s="193"/>
      <c r="K490" s="193">
        <f>G490*E490</f>
        <v>13295.45</v>
      </c>
      <c r="L490" s="193"/>
      <c r="M490" s="622">
        <f>I490*E490</f>
        <v>13295.45</v>
      </c>
      <c r="N490" s="194">
        <v>1</v>
      </c>
      <c r="O490" s="622">
        <v>0</v>
      </c>
      <c r="P490" s="194">
        <v>0</v>
      </c>
      <c r="Q490" s="622">
        <f>P490*E490</f>
        <v>0</v>
      </c>
      <c r="R490" s="194">
        <f>P490+N490</f>
        <v>1</v>
      </c>
      <c r="S490" s="630">
        <f t="shared" si="599"/>
        <v>13295.45</v>
      </c>
      <c r="T490" s="194">
        <f>I490-R490</f>
        <v>0</v>
      </c>
      <c r="U490" s="630">
        <f t="shared" si="602"/>
        <v>0</v>
      </c>
    </row>
    <row r="491" spans="1:21">
      <c r="A491" s="138"/>
      <c r="B491" s="132"/>
      <c r="C491" s="123"/>
      <c r="D491" s="123"/>
      <c r="E491" s="123"/>
      <c r="F491" s="123"/>
      <c r="G491" s="123"/>
      <c r="H491" s="123"/>
      <c r="I491" s="123"/>
      <c r="J491" s="123"/>
      <c r="K491" s="123"/>
      <c r="L491" s="123"/>
      <c r="M491" s="623"/>
      <c r="N491" s="123"/>
      <c r="O491" s="623"/>
      <c r="P491" s="123"/>
      <c r="Q491" s="623"/>
      <c r="R491" s="123"/>
      <c r="S491" s="631"/>
      <c r="T491" s="123"/>
      <c r="U491" s="631"/>
    </row>
    <row r="492" spans="1:21" s="131" customFormat="1">
      <c r="A492" s="137" t="s">
        <v>633</v>
      </c>
      <c r="B492" s="133"/>
      <c r="C492" s="658" t="s">
        <v>276</v>
      </c>
      <c r="D492" s="126"/>
      <c r="E492" s="127"/>
      <c r="F492" s="128"/>
      <c r="G492" s="128"/>
      <c r="H492" s="128"/>
      <c r="I492" s="129"/>
      <c r="J492" s="129">
        <f>SUBTOTAL(9,J493:J493)</f>
        <v>1770.61</v>
      </c>
      <c r="K492" s="129"/>
      <c r="L492" s="129"/>
      <c r="M492" s="624"/>
      <c r="N492" s="130"/>
      <c r="O492" s="624">
        <f>SUBTOTAL(9,O493:O493)</f>
        <v>0</v>
      </c>
      <c r="P492" s="130"/>
      <c r="Q492" s="624">
        <f>SUBTOTAL(9,Q493:Q493)</f>
        <v>0</v>
      </c>
      <c r="R492" s="129"/>
      <c r="S492" s="624">
        <f>SUBTOTAL(9,S493:S493)</f>
        <v>0</v>
      </c>
      <c r="T492" s="129">
        <f t="shared" si="572"/>
        <v>0</v>
      </c>
      <c r="U492" s="624">
        <f>SUBTOTAL(9,U493:U493)</f>
        <v>1770.61</v>
      </c>
    </row>
    <row r="493" spans="1:21" ht="25.5">
      <c r="A493" s="190" t="s">
        <v>634</v>
      </c>
      <c r="B493" s="191" t="s">
        <v>635</v>
      </c>
      <c r="C493" s="657" t="s">
        <v>636</v>
      </c>
      <c r="D493" s="192" t="s">
        <v>72</v>
      </c>
      <c r="E493" s="193">
        <v>1770.61</v>
      </c>
      <c r="F493" s="194">
        <v>1</v>
      </c>
      <c r="G493" s="194"/>
      <c r="H493" s="194"/>
      <c r="I493" s="193">
        <f t="shared" ref="I493" si="605">F493+G493-H493</f>
        <v>1</v>
      </c>
      <c r="J493" s="193">
        <f t="shared" ref="J493" si="606">I493*E493</f>
        <v>1770.61</v>
      </c>
      <c r="K493" s="193"/>
      <c r="L493" s="193"/>
      <c r="M493" s="622">
        <f t="shared" ref="M493" si="607">I493*E493</f>
        <v>1770.61</v>
      </c>
      <c r="N493" s="194">
        <v>0</v>
      </c>
      <c r="O493" s="622">
        <f t="shared" ref="O493" si="608">TRUNC(N493*E493,2)</f>
        <v>0</v>
      </c>
      <c r="P493" s="194">
        <f>IFERROR(VLOOKUP(A493,#REF!,18,FALSE),)</f>
        <v>0</v>
      </c>
      <c r="Q493" s="622">
        <f t="shared" ref="Q493" si="609">S493-O493</f>
        <v>0</v>
      </c>
      <c r="R493" s="194">
        <f t="shared" ref="R493" si="610">P493+N493</f>
        <v>0</v>
      </c>
      <c r="S493" s="630">
        <f t="shared" ref="S493" si="611">TRUNC(R493*E493,2)</f>
        <v>0</v>
      </c>
      <c r="T493" s="194">
        <f t="shared" si="572"/>
        <v>1</v>
      </c>
      <c r="U493" s="630">
        <f t="shared" ref="U493" si="612">T493*E493</f>
        <v>1770.61</v>
      </c>
    </row>
    <row r="494" spans="1:21">
      <c r="A494" s="138"/>
      <c r="B494" s="132"/>
      <c r="C494" s="123"/>
      <c r="D494" s="123"/>
      <c r="E494" s="123"/>
      <c r="F494" s="123"/>
      <c r="G494" s="123"/>
      <c r="H494" s="123"/>
      <c r="I494" s="123"/>
      <c r="J494" s="123"/>
      <c r="K494" s="123"/>
      <c r="L494" s="123"/>
      <c r="M494" s="623"/>
      <c r="N494" s="123"/>
      <c r="O494" s="623"/>
      <c r="P494" s="123"/>
      <c r="Q494" s="623"/>
      <c r="R494" s="123"/>
      <c r="S494" s="631"/>
      <c r="T494" s="123"/>
      <c r="U494" s="631"/>
    </row>
    <row r="495" spans="1:21" s="131" customFormat="1">
      <c r="A495" s="137" t="s">
        <v>637</v>
      </c>
      <c r="B495" s="133"/>
      <c r="C495" s="658" t="s">
        <v>281</v>
      </c>
      <c r="D495" s="126"/>
      <c r="E495" s="127"/>
      <c r="F495" s="128"/>
      <c r="G495" s="128"/>
      <c r="H495" s="128"/>
      <c r="I495" s="129"/>
      <c r="J495" s="129">
        <f>SUBTOTAL(9,J496:J509)</f>
        <v>309292.32699999993</v>
      </c>
      <c r="K495" s="129"/>
      <c r="L495" s="129"/>
      <c r="M495" s="624"/>
      <c r="N495" s="130"/>
      <c r="O495" s="624">
        <f>SUBTOTAL(9,O496:O509)</f>
        <v>291793.65999999992</v>
      </c>
      <c r="P495" s="130"/>
      <c r="Q495" s="624">
        <f>SUBTOTAL(9,Q496:Q509)</f>
        <v>0</v>
      </c>
      <c r="R495" s="129"/>
      <c r="S495" s="624">
        <f>SUBTOTAL(9,S496:S509)</f>
        <v>291793.65999999992</v>
      </c>
      <c r="T495" s="129">
        <f t="shared" si="572"/>
        <v>0</v>
      </c>
      <c r="U495" s="624">
        <f>SUBTOTAL(9,U496:U509)</f>
        <v>17498.645499999999</v>
      </c>
    </row>
    <row r="496" spans="1:21" ht="25.5">
      <c r="A496" s="190" t="s">
        <v>638</v>
      </c>
      <c r="B496" s="191" t="s">
        <v>652</v>
      </c>
      <c r="C496" s="657" t="s">
        <v>653</v>
      </c>
      <c r="D496" s="192" t="s">
        <v>315</v>
      </c>
      <c r="E496" s="193">
        <v>16620.009999999998</v>
      </c>
      <c r="F496" s="194">
        <v>2</v>
      </c>
      <c r="G496" s="194"/>
      <c r="H496" s="194"/>
      <c r="I496" s="193">
        <f t="shared" ref="I496:I509" si="613">F496+G496-H496</f>
        <v>2</v>
      </c>
      <c r="J496" s="193">
        <f t="shared" ref="J496:J509" si="614">I496*E496</f>
        <v>33240.019999999997</v>
      </c>
      <c r="K496" s="193"/>
      <c r="L496" s="193"/>
      <c r="M496" s="622">
        <f t="shared" ref="M496:M509" si="615">I496*E496</f>
        <v>33240.019999999997</v>
      </c>
      <c r="N496" s="194">
        <v>2</v>
      </c>
      <c r="O496" s="622">
        <f t="shared" ref="O496:O509" si="616">TRUNC(N496*E496,2)</f>
        <v>33240.019999999997</v>
      </c>
      <c r="P496" s="194">
        <v>0</v>
      </c>
      <c r="Q496" s="622">
        <f t="shared" ref="Q496:Q509" si="617">S496-O496</f>
        <v>0</v>
      </c>
      <c r="R496" s="194">
        <f t="shared" ref="R496:R509" si="618">P496+N496</f>
        <v>2</v>
      </c>
      <c r="S496" s="630">
        <f t="shared" ref="S496:S509" si="619">TRUNC(R496*E496,2)</f>
        <v>33240.019999999997</v>
      </c>
      <c r="T496" s="194">
        <f t="shared" si="572"/>
        <v>0</v>
      </c>
      <c r="U496" s="630">
        <f t="shared" ref="U496:U509" si="620">T496*E496</f>
        <v>0</v>
      </c>
    </row>
    <row r="497" spans="1:21" ht="25.5">
      <c r="A497" s="190" t="s">
        <v>639</v>
      </c>
      <c r="B497" s="191" t="s">
        <v>295</v>
      </c>
      <c r="C497" s="657" t="s">
        <v>305</v>
      </c>
      <c r="D497" s="192" t="s">
        <v>51</v>
      </c>
      <c r="E497" s="193">
        <v>1268.83</v>
      </c>
      <c r="F497" s="194">
        <v>77.2</v>
      </c>
      <c r="G497" s="194"/>
      <c r="H497" s="194"/>
      <c r="I497" s="193">
        <f t="shared" si="613"/>
        <v>77.2</v>
      </c>
      <c r="J497" s="193">
        <f t="shared" si="614"/>
        <v>97953.675999999992</v>
      </c>
      <c r="K497" s="193"/>
      <c r="L497" s="193"/>
      <c r="M497" s="622">
        <f t="shared" si="615"/>
        <v>97953.675999999992</v>
      </c>
      <c r="N497" s="194">
        <v>74.2</v>
      </c>
      <c r="O497" s="622">
        <f t="shared" si="616"/>
        <v>94147.18</v>
      </c>
      <c r="P497" s="194"/>
      <c r="Q497" s="622">
        <f t="shared" si="617"/>
        <v>0</v>
      </c>
      <c r="R497" s="194">
        <f>P497+N497</f>
        <v>74.2</v>
      </c>
      <c r="S497" s="630">
        <f t="shared" si="619"/>
        <v>94147.18</v>
      </c>
      <c r="T497" s="194">
        <f>F497-R497</f>
        <v>3</v>
      </c>
      <c r="U497" s="630">
        <f t="shared" si="620"/>
        <v>3806.49</v>
      </c>
    </row>
    <row r="498" spans="1:21" ht="25.5">
      <c r="A498" s="190" t="s">
        <v>640</v>
      </c>
      <c r="B498" s="191" t="s">
        <v>296</v>
      </c>
      <c r="C498" s="657" t="s">
        <v>306</v>
      </c>
      <c r="D498" s="192" t="s">
        <v>51</v>
      </c>
      <c r="E498" s="193">
        <v>294.97000000000003</v>
      </c>
      <c r="F498" s="194">
        <v>77.2</v>
      </c>
      <c r="G498" s="194"/>
      <c r="H498" s="194"/>
      <c r="I498" s="193">
        <f t="shared" si="613"/>
        <v>77.2</v>
      </c>
      <c r="J498" s="193">
        <f t="shared" si="614"/>
        <v>22771.684000000005</v>
      </c>
      <c r="K498" s="193"/>
      <c r="L498" s="193"/>
      <c r="M498" s="622">
        <f t="shared" si="615"/>
        <v>22771.684000000005</v>
      </c>
      <c r="N498" s="194">
        <v>74.2</v>
      </c>
      <c r="O498" s="622">
        <f t="shared" si="616"/>
        <v>21886.77</v>
      </c>
      <c r="P498" s="194"/>
      <c r="Q498" s="622">
        <f t="shared" si="617"/>
        <v>0</v>
      </c>
      <c r="R498" s="194">
        <f t="shared" si="618"/>
        <v>74.2</v>
      </c>
      <c r="S498" s="630">
        <f t="shared" si="619"/>
        <v>21886.77</v>
      </c>
      <c r="T498" s="194">
        <f t="shared" si="572"/>
        <v>3</v>
      </c>
      <c r="U498" s="630">
        <f t="shared" si="620"/>
        <v>884.91000000000008</v>
      </c>
    </row>
    <row r="499" spans="1:21">
      <c r="A499" s="190" t="s">
        <v>641</v>
      </c>
      <c r="B499" s="191" t="s">
        <v>297</v>
      </c>
      <c r="C499" s="657" t="s">
        <v>307</v>
      </c>
      <c r="D499" s="192" t="s">
        <v>51</v>
      </c>
      <c r="E499" s="193">
        <v>309.62</v>
      </c>
      <c r="F499" s="194">
        <v>50.2</v>
      </c>
      <c r="G499" s="194"/>
      <c r="H499" s="194"/>
      <c r="I499" s="193">
        <f t="shared" si="613"/>
        <v>50.2</v>
      </c>
      <c r="J499" s="193">
        <f t="shared" si="614"/>
        <v>15542.924000000001</v>
      </c>
      <c r="K499" s="193"/>
      <c r="L499" s="193"/>
      <c r="M499" s="622">
        <f t="shared" si="615"/>
        <v>15542.924000000001</v>
      </c>
      <c r="N499" s="194">
        <v>50.2</v>
      </c>
      <c r="O499" s="622">
        <f t="shared" si="616"/>
        <v>15542.92</v>
      </c>
      <c r="P499" s="194"/>
      <c r="Q499" s="622">
        <f t="shared" si="617"/>
        <v>0</v>
      </c>
      <c r="R499" s="194">
        <f t="shared" si="618"/>
        <v>50.2</v>
      </c>
      <c r="S499" s="630">
        <f t="shared" si="619"/>
        <v>15542.92</v>
      </c>
      <c r="T499" s="194">
        <f t="shared" si="572"/>
        <v>0</v>
      </c>
      <c r="U499" s="630">
        <f t="shared" si="620"/>
        <v>0</v>
      </c>
    </row>
    <row r="500" spans="1:21" ht="25.5">
      <c r="A500" s="190" t="s">
        <v>642</v>
      </c>
      <c r="B500" s="191" t="s">
        <v>298</v>
      </c>
      <c r="C500" s="657" t="s">
        <v>308</v>
      </c>
      <c r="D500" s="192" t="s">
        <v>51</v>
      </c>
      <c r="E500" s="193">
        <v>358.26</v>
      </c>
      <c r="F500" s="194">
        <v>50.2</v>
      </c>
      <c r="G500" s="194"/>
      <c r="H500" s="194"/>
      <c r="I500" s="193">
        <f t="shared" si="613"/>
        <v>50.2</v>
      </c>
      <c r="J500" s="193">
        <f t="shared" si="614"/>
        <v>17984.652000000002</v>
      </c>
      <c r="K500" s="193"/>
      <c r="L500" s="193"/>
      <c r="M500" s="622">
        <f t="shared" si="615"/>
        <v>17984.652000000002</v>
      </c>
      <c r="N500" s="194">
        <v>50.2</v>
      </c>
      <c r="O500" s="622">
        <f t="shared" si="616"/>
        <v>17984.650000000001</v>
      </c>
      <c r="P500" s="194"/>
      <c r="Q500" s="622">
        <f t="shared" si="617"/>
        <v>0</v>
      </c>
      <c r="R500" s="194">
        <f t="shared" si="618"/>
        <v>50.2</v>
      </c>
      <c r="S500" s="630">
        <f t="shared" si="619"/>
        <v>17984.650000000001</v>
      </c>
      <c r="T500" s="194">
        <f t="shared" si="572"/>
        <v>0</v>
      </c>
      <c r="U500" s="630">
        <f t="shared" si="620"/>
        <v>0</v>
      </c>
    </row>
    <row r="501" spans="1:21" ht="25.5">
      <c r="A501" s="190" t="s">
        <v>643</v>
      </c>
      <c r="B501" s="191" t="s">
        <v>497</v>
      </c>
      <c r="C501" s="657" t="s">
        <v>500</v>
      </c>
      <c r="D501" s="192" t="s">
        <v>51</v>
      </c>
      <c r="E501" s="193">
        <v>3440.35</v>
      </c>
      <c r="F501" s="194">
        <v>8</v>
      </c>
      <c r="G501" s="194"/>
      <c r="H501" s="194"/>
      <c r="I501" s="193">
        <f t="shared" si="613"/>
        <v>8</v>
      </c>
      <c r="J501" s="193">
        <f t="shared" si="614"/>
        <v>27522.799999999999</v>
      </c>
      <c r="K501" s="193"/>
      <c r="L501" s="193"/>
      <c r="M501" s="622">
        <f t="shared" si="615"/>
        <v>27522.799999999999</v>
      </c>
      <c r="N501" s="194">
        <v>8</v>
      </c>
      <c r="O501" s="622">
        <f t="shared" si="616"/>
        <v>27522.799999999999</v>
      </c>
      <c r="P501" s="194"/>
      <c r="Q501" s="622">
        <f t="shared" si="617"/>
        <v>0</v>
      </c>
      <c r="R501" s="194">
        <f t="shared" si="618"/>
        <v>8</v>
      </c>
      <c r="S501" s="630">
        <f t="shared" si="619"/>
        <v>27522.799999999999</v>
      </c>
      <c r="T501" s="194">
        <f t="shared" si="572"/>
        <v>0</v>
      </c>
      <c r="U501" s="630">
        <f t="shared" si="620"/>
        <v>0</v>
      </c>
    </row>
    <row r="502" spans="1:21" ht="38.25">
      <c r="A502" s="190" t="s">
        <v>644</v>
      </c>
      <c r="B502" s="191" t="s">
        <v>498</v>
      </c>
      <c r="C502" s="657" t="s">
        <v>501</v>
      </c>
      <c r="D502" s="192" t="s">
        <v>51</v>
      </c>
      <c r="E502" s="193">
        <v>2019.23</v>
      </c>
      <c r="F502" s="194">
        <v>8</v>
      </c>
      <c r="G502" s="194"/>
      <c r="H502" s="194"/>
      <c r="I502" s="193">
        <f t="shared" si="613"/>
        <v>8</v>
      </c>
      <c r="J502" s="193">
        <f t="shared" si="614"/>
        <v>16153.84</v>
      </c>
      <c r="K502" s="193"/>
      <c r="L502" s="193"/>
      <c r="M502" s="622">
        <f t="shared" si="615"/>
        <v>16153.84</v>
      </c>
      <c r="N502" s="194">
        <v>8</v>
      </c>
      <c r="O502" s="622">
        <f t="shared" si="616"/>
        <v>16153.84</v>
      </c>
      <c r="P502" s="194"/>
      <c r="Q502" s="622">
        <f t="shared" si="617"/>
        <v>0</v>
      </c>
      <c r="R502" s="194">
        <f t="shared" si="618"/>
        <v>8</v>
      </c>
      <c r="S502" s="630">
        <f t="shared" si="619"/>
        <v>16153.84</v>
      </c>
      <c r="T502" s="194">
        <f t="shared" si="572"/>
        <v>0</v>
      </c>
      <c r="U502" s="630">
        <f t="shared" si="620"/>
        <v>0</v>
      </c>
    </row>
    <row r="503" spans="1:21" ht="25.5">
      <c r="A503" s="190" t="s">
        <v>645</v>
      </c>
      <c r="B503" s="191" t="s">
        <v>299</v>
      </c>
      <c r="C503" s="657" t="s">
        <v>309</v>
      </c>
      <c r="D503" s="192" t="s">
        <v>29</v>
      </c>
      <c r="E503" s="193">
        <v>8.1199999999999992</v>
      </c>
      <c r="F503" s="194">
        <v>5340</v>
      </c>
      <c r="G503" s="194"/>
      <c r="H503" s="194"/>
      <c r="I503" s="193">
        <f t="shared" si="613"/>
        <v>5340</v>
      </c>
      <c r="J503" s="193">
        <f t="shared" si="614"/>
        <v>43360.799999999996</v>
      </c>
      <c r="K503" s="193"/>
      <c r="L503" s="193"/>
      <c r="M503" s="622">
        <f t="shared" si="615"/>
        <v>43360.799999999996</v>
      </c>
      <c r="N503" s="194">
        <v>5340</v>
      </c>
      <c r="O503" s="622">
        <f t="shared" si="616"/>
        <v>43360.800000000003</v>
      </c>
      <c r="P503" s="194"/>
      <c r="Q503" s="622">
        <f t="shared" si="617"/>
        <v>0</v>
      </c>
      <c r="R503" s="194">
        <f t="shared" si="618"/>
        <v>5340</v>
      </c>
      <c r="S503" s="630">
        <f t="shared" si="619"/>
        <v>43360.800000000003</v>
      </c>
      <c r="T503" s="194">
        <f t="shared" si="572"/>
        <v>0</v>
      </c>
      <c r="U503" s="630">
        <f t="shared" si="620"/>
        <v>0</v>
      </c>
    </row>
    <row r="504" spans="1:21">
      <c r="A504" s="190" t="s">
        <v>646</v>
      </c>
      <c r="B504" s="191" t="s">
        <v>300</v>
      </c>
      <c r="C504" s="657" t="s">
        <v>310</v>
      </c>
      <c r="D504" s="192" t="s">
        <v>29</v>
      </c>
      <c r="E504" s="193">
        <v>0.64</v>
      </c>
      <c r="F504" s="194">
        <v>5340</v>
      </c>
      <c r="G504" s="194"/>
      <c r="H504" s="194"/>
      <c r="I504" s="193">
        <f t="shared" si="613"/>
        <v>5340</v>
      </c>
      <c r="J504" s="193">
        <f t="shared" si="614"/>
        <v>3417.6</v>
      </c>
      <c r="K504" s="193"/>
      <c r="L504" s="193"/>
      <c r="M504" s="622">
        <f t="shared" si="615"/>
        <v>3417.6</v>
      </c>
      <c r="N504" s="194">
        <v>5340</v>
      </c>
      <c r="O504" s="622">
        <f t="shared" si="616"/>
        <v>3417.6</v>
      </c>
      <c r="P504" s="194"/>
      <c r="Q504" s="622">
        <f t="shared" si="617"/>
        <v>0</v>
      </c>
      <c r="R504" s="194">
        <f t="shared" si="618"/>
        <v>5340</v>
      </c>
      <c r="S504" s="630">
        <f t="shared" si="619"/>
        <v>3417.6</v>
      </c>
      <c r="T504" s="194">
        <f t="shared" si="572"/>
        <v>0</v>
      </c>
      <c r="U504" s="630">
        <f t="shared" si="620"/>
        <v>0</v>
      </c>
    </row>
    <row r="505" spans="1:21" ht="51">
      <c r="A505" s="190" t="s">
        <v>647</v>
      </c>
      <c r="B505" s="191" t="s">
        <v>140</v>
      </c>
      <c r="C505" s="657" t="s">
        <v>177</v>
      </c>
      <c r="D505" s="192" t="s">
        <v>58</v>
      </c>
      <c r="E505" s="193">
        <v>486.08</v>
      </c>
      <c r="F505" s="194">
        <v>31.31</v>
      </c>
      <c r="G505" s="194"/>
      <c r="H505" s="194"/>
      <c r="I505" s="193">
        <f t="shared" si="613"/>
        <v>31.31</v>
      </c>
      <c r="J505" s="193">
        <f t="shared" si="614"/>
        <v>15219.164799999999</v>
      </c>
      <c r="K505" s="193"/>
      <c r="L505" s="193"/>
      <c r="M505" s="622">
        <f t="shared" si="615"/>
        <v>15219.164799999999</v>
      </c>
      <c r="N505" s="194">
        <v>31.31</v>
      </c>
      <c r="O505" s="622">
        <f t="shared" si="616"/>
        <v>15219.16</v>
      </c>
      <c r="P505" s="194"/>
      <c r="Q505" s="622">
        <f t="shared" si="617"/>
        <v>0</v>
      </c>
      <c r="R505" s="194">
        <f t="shared" si="618"/>
        <v>31.31</v>
      </c>
      <c r="S505" s="630">
        <f t="shared" si="619"/>
        <v>15219.16</v>
      </c>
      <c r="T505" s="194">
        <f t="shared" si="572"/>
        <v>0</v>
      </c>
      <c r="U505" s="630">
        <f t="shared" si="620"/>
        <v>0</v>
      </c>
    </row>
    <row r="506" spans="1:21">
      <c r="A506" s="190" t="s">
        <v>648</v>
      </c>
      <c r="B506" s="191" t="s">
        <v>301</v>
      </c>
      <c r="C506" s="657" t="s">
        <v>311</v>
      </c>
      <c r="D506" s="192" t="s">
        <v>49</v>
      </c>
      <c r="E506" s="193">
        <v>105.97</v>
      </c>
      <c r="F506" s="194">
        <v>31.31</v>
      </c>
      <c r="G506" s="194"/>
      <c r="H506" s="194"/>
      <c r="I506" s="193">
        <f t="shared" si="613"/>
        <v>31.31</v>
      </c>
      <c r="J506" s="193">
        <f t="shared" si="614"/>
        <v>3317.9206999999997</v>
      </c>
      <c r="K506" s="193"/>
      <c r="L506" s="193"/>
      <c r="M506" s="622">
        <f t="shared" si="615"/>
        <v>3317.9206999999997</v>
      </c>
      <c r="N506" s="194">
        <v>31.31</v>
      </c>
      <c r="O506" s="622">
        <f t="shared" si="616"/>
        <v>3317.92</v>
      </c>
      <c r="P506" s="194"/>
      <c r="Q506" s="622">
        <f t="shared" si="617"/>
        <v>0</v>
      </c>
      <c r="R506" s="194">
        <f t="shared" si="618"/>
        <v>31.31</v>
      </c>
      <c r="S506" s="630">
        <f t="shared" si="619"/>
        <v>3317.92</v>
      </c>
      <c r="T506" s="194">
        <f t="shared" si="572"/>
        <v>0</v>
      </c>
      <c r="U506" s="630">
        <f t="shared" si="620"/>
        <v>0</v>
      </c>
    </row>
    <row r="507" spans="1:21">
      <c r="A507" s="190" t="s">
        <v>649</v>
      </c>
      <c r="B507" s="191" t="s">
        <v>302</v>
      </c>
      <c r="C507" s="657" t="s">
        <v>312</v>
      </c>
      <c r="D507" s="192" t="s">
        <v>72</v>
      </c>
      <c r="E507" s="193">
        <v>1.62</v>
      </c>
      <c r="F507" s="194">
        <v>4</v>
      </c>
      <c r="G507" s="194"/>
      <c r="H507" s="194"/>
      <c r="I507" s="193">
        <f t="shared" si="613"/>
        <v>4</v>
      </c>
      <c r="J507" s="193">
        <f t="shared" si="614"/>
        <v>6.48</v>
      </c>
      <c r="K507" s="193"/>
      <c r="L507" s="193"/>
      <c r="M507" s="622">
        <f t="shared" si="615"/>
        <v>6.48</v>
      </c>
      <c r="N507" s="194">
        <v>0</v>
      </c>
      <c r="O507" s="622">
        <f t="shared" si="616"/>
        <v>0</v>
      </c>
      <c r="P507" s="194">
        <f>IFERROR(VLOOKUP(A507,#REF!,18,FALSE),)</f>
        <v>0</v>
      </c>
      <c r="Q507" s="622">
        <f t="shared" si="617"/>
        <v>0</v>
      </c>
      <c r="R507" s="194">
        <f t="shared" si="618"/>
        <v>0</v>
      </c>
      <c r="S507" s="630">
        <f t="shared" si="619"/>
        <v>0</v>
      </c>
      <c r="T507" s="194">
        <f t="shared" si="572"/>
        <v>4</v>
      </c>
      <c r="U507" s="630">
        <f t="shared" si="620"/>
        <v>6.48</v>
      </c>
    </row>
    <row r="508" spans="1:21" ht="25.5">
      <c r="A508" s="190" t="s">
        <v>650</v>
      </c>
      <c r="B508" s="191" t="s">
        <v>303</v>
      </c>
      <c r="C508" s="657" t="s">
        <v>313</v>
      </c>
      <c r="D508" s="192" t="s">
        <v>72</v>
      </c>
      <c r="E508" s="193">
        <v>5793.75</v>
      </c>
      <c r="F508" s="194">
        <v>2</v>
      </c>
      <c r="G508" s="194"/>
      <c r="H508" s="194"/>
      <c r="I508" s="193">
        <f t="shared" si="613"/>
        <v>2</v>
      </c>
      <c r="J508" s="193">
        <f t="shared" si="614"/>
        <v>11587.5</v>
      </c>
      <c r="K508" s="193"/>
      <c r="L508" s="193"/>
      <c r="M508" s="622">
        <f t="shared" si="615"/>
        <v>11587.5</v>
      </c>
      <c r="N508" s="194">
        <v>0</v>
      </c>
      <c r="O508" s="622">
        <f t="shared" si="616"/>
        <v>0</v>
      </c>
      <c r="P508" s="194">
        <f>IFERROR(VLOOKUP(A508,#REF!,18,FALSE),)</f>
        <v>0</v>
      </c>
      <c r="Q508" s="622">
        <f t="shared" si="617"/>
        <v>0</v>
      </c>
      <c r="R508" s="194">
        <f t="shared" si="618"/>
        <v>0</v>
      </c>
      <c r="S508" s="630">
        <f t="shared" si="619"/>
        <v>0</v>
      </c>
      <c r="T508" s="194">
        <f t="shared" si="572"/>
        <v>2</v>
      </c>
      <c r="U508" s="630">
        <f t="shared" si="620"/>
        <v>11587.5</v>
      </c>
    </row>
    <row r="509" spans="1:21" ht="25.5">
      <c r="A509" s="190" t="s">
        <v>651</v>
      </c>
      <c r="B509" s="191">
        <v>190418</v>
      </c>
      <c r="C509" s="657" t="s">
        <v>314</v>
      </c>
      <c r="D509" s="192" t="s">
        <v>57</v>
      </c>
      <c r="E509" s="193">
        <v>33.049999999999997</v>
      </c>
      <c r="F509" s="194">
        <v>36.71</v>
      </c>
      <c r="G509" s="194"/>
      <c r="H509" s="194"/>
      <c r="I509" s="193">
        <f t="shared" si="613"/>
        <v>36.71</v>
      </c>
      <c r="J509" s="193">
        <f t="shared" si="614"/>
        <v>1213.2655</v>
      </c>
      <c r="K509" s="193"/>
      <c r="L509" s="193"/>
      <c r="M509" s="622">
        <f t="shared" si="615"/>
        <v>1213.2655</v>
      </c>
      <c r="N509" s="194">
        <v>0</v>
      </c>
      <c r="O509" s="622">
        <f t="shared" si="616"/>
        <v>0</v>
      </c>
      <c r="P509" s="194">
        <f>IFERROR(VLOOKUP(A509,#REF!,18,FALSE),)</f>
        <v>0</v>
      </c>
      <c r="Q509" s="622">
        <f t="shared" si="617"/>
        <v>0</v>
      </c>
      <c r="R509" s="194">
        <f t="shared" si="618"/>
        <v>0</v>
      </c>
      <c r="S509" s="630">
        <f t="shared" si="619"/>
        <v>0</v>
      </c>
      <c r="T509" s="194">
        <f t="shared" si="572"/>
        <v>36.71</v>
      </c>
      <c r="U509" s="630">
        <f t="shared" si="620"/>
        <v>1213.2655</v>
      </c>
    </row>
    <row r="510" spans="1:21">
      <c r="A510" s="138"/>
      <c r="B510" s="132"/>
      <c r="C510" s="123"/>
      <c r="D510" s="123"/>
      <c r="E510" s="123"/>
      <c r="F510" s="123"/>
      <c r="G510" s="123"/>
      <c r="H510" s="123"/>
      <c r="I510" s="123"/>
      <c r="J510" s="123"/>
      <c r="K510" s="123"/>
      <c r="L510" s="123"/>
      <c r="M510" s="623"/>
      <c r="N510" s="123"/>
      <c r="O510" s="623"/>
      <c r="P510" s="123"/>
      <c r="Q510" s="623"/>
      <c r="R510" s="123"/>
      <c r="S510" s="631"/>
      <c r="T510" s="123"/>
      <c r="U510" s="631"/>
    </row>
    <row r="511" spans="1:21" s="131" customFormat="1">
      <c r="A511" s="137" t="s">
        <v>654</v>
      </c>
      <c r="B511" s="133"/>
      <c r="C511" s="658" t="s">
        <v>212</v>
      </c>
      <c r="D511" s="126"/>
      <c r="E511" s="127"/>
      <c r="F511" s="128"/>
      <c r="G511" s="128"/>
      <c r="H511" s="128"/>
      <c r="I511" s="129"/>
      <c r="J511" s="129">
        <f>SUBTOTAL(9,J512:J512)</f>
        <v>8738.247800000001</v>
      </c>
      <c r="K511" s="129"/>
      <c r="L511" s="129"/>
      <c r="M511" s="624"/>
      <c r="N511" s="130"/>
      <c r="O511" s="624">
        <f>SUBTOTAL(9,O512:O512)</f>
        <v>0</v>
      </c>
      <c r="P511" s="130"/>
      <c r="Q511" s="624">
        <f>SUBTOTAL(9,Q512:Q512)</f>
        <v>0</v>
      </c>
      <c r="R511" s="129"/>
      <c r="S511" s="624">
        <f>SUBTOTAL(9,S512:S512)</f>
        <v>0</v>
      </c>
      <c r="T511" s="129">
        <f t="shared" si="572"/>
        <v>0</v>
      </c>
      <c r="U511" s="624">
        <f>SUBTOTAL(9,U512:U512)</f>
        <v>8738.247800000001</v>
      </c>
    </row>
    <row r="512" spans="1:21" ht="25.5">
      <c r="A512" s="190" t="s">
        <v>655</v>
      </c>
      <c r="B512" s="191" t="s">
        <v>227</v>
      </c>
      <c r="C512" s="657" t="s">
        <v>233</v>
      </c>
      <c r="D512" s="192" t="s">
        <v>51</v>
      </c>
      <c r="E512" s="193">
        <v>366.23</v>
      </c>
      <c r="F512" s="194">
        <v>23.86</v>
      </c>
      <c r="G512" s="194"/>
      <c r="H512" s="194"/>
      <c r="I512" s="193">
        <f t="shared" ref="I512" si="621">F512+G512-H512</f>
        <v>23.86</v>
      </c>
      <c r="J512" s="193">
        <f t="shared" ref="J512" si="622">I512*E512</f>
        <v>8738.247800000001</v>
      </c>
      <c r="K512" s="193"/>
      <c r="L512" s="193"/>
      <c r="M512" s="622">
        <f t="shared" ref="M512" si="623">I512*E512</f>
        <v>8738.247800000001</v>
      </c>
      <c r="N512" s="194">
        <v>0</v>
      </c>
      <c r="O512" s="622">
        <f t="shared" ref="O512" si="624">TRUNC(N512*E512,2)</f>
        <v>0</v>
      </c>
      <c r="P512" s="194">
        <f>IFERROR(VLOOKUP(A512,#REF!,18,FALSE),)</f>
        <v>0</v>
      </c>
      <c r="Q512" s="622">
        <f t="shared" ref="Q512" si="625">S512-O512</f>
        <v>0</v>
      </c>
      <c r="R512" s="194">
        <f t="shared" ref="R512" si="626">P512+N512</f>
        <v>0</v>
      </c>
      <c r="S512" s="630">
        <f t="shared" ref="S512" si="627">TRUNC(R512*E512,2)</f>
        <v>0</v>
      </c>
      <c r="T512" s="194">
        <f t="shared" si="572"/>
        <v>23.86</v>
      </c>
      <c r="U512" s="630">
        <f t="shared" ref="U512" si="628">T512*E512</f>
        <v>8738.247800000001</v>
      </c>
    </row>
    <row r="513" spans="1:21">
      <c r="A513" s="138"/>
      <c r="B513" s="132"/>
      <c r="C513" s="123"/>
      <c r="D513" s="123"/>
      <c r="E513" s="123"/>
      <c r="F513" s="123"/>
      <c r="G513" s="123"/>
      <c r="H513" s="123"/>
      <c r="I513" s="123"/>
      <c r="J513" s="123"/>
      <c r="K513" s="123"/>
      <c r="L513" s="123"/>
      <c r="M513" s="623"/>
      <c r="N513" s="123"/>
      <c r="O513" s="623"/>
      <c r="P513" s="123"/>
      <c r="Q513" s="623"/>
      <c r="R513" s="123"/>
      <c r="S513" s="631"/>
      <c r="T513" s="123"/>
      <c r="U513" s="631"/>
    </row>
    <row r="514" spans="1:21" s="213" customFormat="1">
      <c r="A514" s="210" t="s">
        <v>656</v>
      </c>
      <c r="B514" s="211"/>
      <c r="C514" s="655" t="s">
        <v>318</v>
      </c>
      <c r="D514" s="197"/>
      <c r="E514" s="198"/>
      <c r="F514" s="199"/>
      <c r="G514" s="199"/>
      <c r="H514" s="199"/>
      <c r="I514" s="200"/>
      <c r="J514" s="200">
        <f>SUBTOTAL(9,J515:J519)</f>
        <v>428188.12440000003</v>
      </c>
      <c r="K514" s="200"/>
      <c r="L514" s="200"/>
      <c r="M514" s="620"/>
      <c r="N514" s="201"/>
      <c r="O514" s="620">
        <f>SUBTOTAL(9,O515:O519)</f>
        <v>0</v>
      </c>
      <c r="P514" s="201"/>
      <c r="Q514" s="620">
        <f>SUBTOTAL(9,Q515:Q519)</f>
        <v>0</v>
      </c>
      <c r="R514" s="200"/>
      <c r="S514" s="620">
        <f>SUBTOTAL(9,S515:S519)</f>
        <v>0</v>
      </c>
      <c r="T514" s="200">
        <f t="shared" si="572"/>
        <v>0</v>
      </c>
      <c r="U514" s="620">
        <f>SUBTOTAL(9,U515:U519)</f>
        <v>428188.12440000003</v>
      </c>
    </row>
    <row r="515" spans="1:21" s="131" customFormat="1">
      <c r="A515" s="137" t="s">
        <v>657</v>
      </c>
      <c r="B515" s="133"/>
      <c r="C515" s="658" t="s">
        <v>318</v>
      </c>
      <c r="D515" s="126"/>
      <c r="E515" s="127"/>
      <c r="F515" s="128"/>
      <c r="G515" s="128"/>
      <c r="H515" s="128"/>
      <c r="I515" s="129"/>
      <c r="J515" s="129">
        <f>SUBTOTAL(9,J516:J519)</f>
        <v>428188.12440000003</v>
      </c>
      <c r="K515" s="129"/>
      <c r="L515" s="129"/>
      <c r="M515" s="624"/>
      <c r="N515" s="130"/>
      <c r="O515" s="624">
        <f>SUBTOTAL(9,O516:O519)</f>
        <v>0</v>
      </c>
      <c r="P515" s="130"/>
      <c r="Q515" s="624">
        <f>SUBTOTAL(9,Q516:Q519)</f>
        <v>0</v>
      </c>
      <c r="R515" s="129"/>
      <c r="S515" s="624">
        <f>SUBTOTAL(9,S516:S519)</f>
        <v>0</v>
      </c>
      <c r="T515" s="129">
        <f t="shared" si="572"/>
        <v>0</v>
      </c>
      <c r="U515" s="624">
        <f>SUBTOTAL(9,U516:U519)</f>
        <v>428188.12440000003</v>
      </c>
    </row>
    <row r="516" spans="1:21" ht="25.5">
      <c r="A516" s="190" t="s">
        <v>658</v>
      </c>
      <c r="B516" s="191" t="s">
        <v>323</v>
      </c>
      <c r="C516" s="657" t="s">
        <v>326</v>
      </c>
      <c r="D516" s="192" t="s">
        <v>59</v>
      </c>
      <c r="E516" s="193">
        <v>409453.83</v>
      </c>
      <c r="F516" s="194">
        <v>1</v>
      </c>
      <c r="G516" s="194"/>
      <c r="H516" s="194"/>
      <c r="I516" s="193">
        <f t="shared" ref="I516:I519" si="629">F516+G516-H516</f>
        <v>1</v>
      </c>
      <c r="J516" s="193">
        <f t="shared" ref="J516:J519" si="630">I516*E516</f>
        <v>409453.83</v>
      </c>
      <c r="K516" s="193"/>
      <c r="L516" s="193"/>
      <c r="M516" s="622">
        <f t="shared" ref="M516:M519" si="631">I516*E516</f>
        <v>409453.83</v>
      </c>
      <c r="N516" s="194">
        <v>0</v>
      </c>
      <c r="O516" s="622">
        <f t="shared" ref="O516" si="632">TRUNC(N516*E516,2)</f>
        <v>0</v>
      </c>
      <c r="P516" s="194">
        <f>'4.5.1.1'!R30</f>
        <v>0</v>
      </c>
      <c r="Q516" s="622">
        <f t="shared" ref="Q516" si="633">S516-O516</f>
        <v>0</v>
      </c>
      <c r="R516" s="194">
        <f t="shared" ref="R516" si="634">P516+N516</f>
        <v>0</v>
      </c>
      <c r="S516" s="630">
        <f t="shared" ref="S516" si="635">TRUNC(R516*E516,2)</f>
        <v>0</v>
      </c>
      <c r="T516" s="194">
        <f t="shared" si="572"/>
        <v>1</v>
      </c>
      <c r="U516" s="630">
        <f t="shared" ref="U516:U519" si="636">T516*E516</f>
        <v>409453.83</v>
      </c>
    </row>
    <row r="517" spans="1:21">
      <c r="A517" s="190" t="s">
        <v>659</v>
      </c>
      <c r="B517" s="191" t="s">
        <v>324</v>
      </c>
      <c r="C517" s="657" t="s">
        <v>327</v>
      </c>
      <c r="D517" s="192" t="s">
        <v>59</v>
      </c>
      <c r="E517" s="193">
        <v>3812.11</v>
      </c>
      <c r="F517" s="194">
        <v>1</v>
      </c>
      <c r="G517" s="194"/>
      <c r="H517" s="194"/>
      <c r="I517" s="193">
        <f t="shared" si="629"/>
        <v>1</v>
      </c>
      <c r="J517" s="193">
        <f t="shared" si="630"/>
        <v>3812.11</v>
      </c>
      <c r="K517" s="193"/>
      <c r="L517" s="193"/>
      <c r="M517" s="622">
        <f t="shared" si="631"/>
        <v>3812.11</v>
      </c>
      <c r="N517" s="194">
        <v>0</v>
      </c>
      <c r="O517" s="622">
        <f>TRUNC(N517*E517,2)</f>
        <v>0</v>
      </c>
      <c r="P517" s="194">
        <f>IFERROR(VLOOKUP(A517,#REF!,18,FALSE),)</f>
        <v>0</v>
      </c>
      <c r="Q517" s="622">
        <f>S517-O517</f>
        <v>0</v>
      </c>
      <c r="R517" s="194">
        <f>P517+N517</f>
        <v>0</v>
      </c>
      <c r="S517" s="630">
        <f>TRUNC(R517*E517,2)</f>
        <v>0</v>
      </c>
      <c r="T517" s="194">
        <f t="shared" si="572"/>
        <v>1</v>
      </c>
      <c r="U517" s="630">
        <f t="shared" si="636"/>
        <v>3812.11</v>
      </c>
    </row>
    <row r="518" spans="1:21" ht="25.5">
      <c r="A518" s="190" t="s">
        <v>660</v>
      </c>
      <c r="B518" s="191" t="s">
        <v>663</v>
      </c>
      <c r="C518" s="657" t="s">
        <v>662</v>
      </c>
      <c r="D518" s="192" t="s">
        <v>72</v>
      </c>
      <c r="E518" s="193">
        <v>943.82</v>
      </c>
      <c r="F518" s="194">
        <v>1</v>
      </c>
      <c r="G518" s="194"/>
      <c r="H518" s="194"/>
      <c r="I518" s="193">
        <f t="shared" si="629"/>
        <v>1</v>
      </c>
      <c r="J518" s="193">
        <f t="shared" si="630"/>
        <v>943.82</v>
      </c>
      <c r="K518" s="193"/>
      <c r="L518" s="193"/>
      <c r="M518" s="622">
        <f t="shared" si="631"/>
        <v>943.82</v>
      </c>
      <c r="N518" s="194">
        <v>0</v>
      </c>
      <c r="O518" s="622">
        <f>TRUNC(N518*E518,2)</f>
        <v>0</v>
      </c>
      <c r="P518" s="194">
        <f>IFERROR(VLOOKUP(A518,#REF!,18,FALSE),)</f>
        <v>0</v>
      </c>
      <c r="Q518" s="622">
        <f>S518-O518</f>
        <v>0</v>
      </c>
      <c r="R518" s="194">
        <f>P518+N518</f>
        <v>0</v>
      </c>
      <c r="S518" s="630">
        <f>TRUNC(R518*E518,2)</f>
        <v>0</v>
      </c>
      <c r="T518" s="194">
        <f t="shared" si="572"/>
        <v>1</v>
      </c>
      <c r="U518" s="630">
        <f t="shared" si="636"/>
        <v>943.82</v>
      </c>
    </row>
    <row r="519" spans="1:21" ht="25.5">
      <c r="A519" s="190" t="s">
        <v>661</v>
      </c>
      <c r="B519" s="191" t="s">
        <v>325</v>
      </c>
      <c r="C519" s="657" t="s">
        <v>328</v>
      </c>
      <c r="D519" s="192" t="s">
        <v>50</v>
      </c>
      <c r="E519" s="193">
        <v>115.83</v>
      </c>
      <c r="F519" s="194">
        <v>120.68</v>
      </c>
      <c r="G519" s="194"/>
      <c r="H519" s="194"/>
      <c r="I519" s="193">
        <f t="shared" si="629"/>
        <v>120.68</v>
      </c>
      <c r="J519" s="193">
        <f t="shared" si="630"/>
        <v>13978.3644</v>
      </c>
      <c r="K519" s="193"/>
      <c r="L519" s="193"/>
      <c r="M519" s="622">
        <f t="shared" si="631"/>
        <v>13978.3644</v>
      </c>
      <c r="N519" s="194">
        <v>0</v>
      </c>
      <c r="O519" s="622">
        <f t="shared" ref="O519" si="637">TRUNC(N519*E519,2)</f>
        <v>0</v>
      </c>
      <c r="P519" s="194"/>
      <c r="Q519" s="622">
        <f t="shared" ref="Q519" si="638">S519-O519</f>
        <v>0</v>
      </c>
      <c r="R519" s="194">
        <f t="shared" ref="R519" si="639">P519+N519</f>
        <v>0</v>
      </c>
      <c r="S519" s="630">
        <f t="shared" ref="S519" si="640">TRUNC(R519*E519,2)</f>
        <v>0</v>
      </c>
      <c r="T519" s="194">
        <f t="shared" si="572"/>
        <v>120.68</v>
      </c>
      <c r="U519" s="630">
        <f t="shared" si="636"/>
        <v>13978.3644</v>
      </c>
    </row>
    <row r="520" spans="1:21">
      <c r="A520" s="138"/>
      <c r="B520" s="132"/>
      <c r="C520" s="123"/>
      <c r="D520" s="123"/>
      <c r="E520" s="123"/>
      <c r="F520" s="123"/>
      <c r="G520" s="123"/>
      <c r="H520" s="123"/>
      <c r="I520" s="123"/>
      <c r="J520" s="123"/>
      <c r="K520" s="123"/>
      <c r="L520" s="123"/>
      <c r="M520" s="623"/>
      <c r="N520" s="123"/>
      <c r="O520" s="623"/>
      <c r="P520" s="123"/>
      <c r="Q520" s="623"/>
      <c r="R520" s="123"/>
      <c r="S520" s="631"/>
      <c r="T520" s="123"/>
      <c r="U520" s="631"/>
    </row>
    <row r="521" spans="1:21" s="213" customFormat="1">
      <c r="A521" s="210" t="s">
        <v>664</v>
      </c>
      <c r="B521" s="211"/>
      <c r="C521" s="655" t="s">
        <v>329</v>
      </c>
      <c r="D521" s="197"/>
      <c r="E521" s="198"/>
      <c r="F521" s="199"/>
      <c r="G521" s="199"/>
      <c r="H521" s="199"/>
      <c r="I521" s="200"/>
      <c r="J521" s="200">
        <f>SUBTOTAL(9,J522:J547)</f>
        <v>43372.777000000002</v>
      </c>
      <c r="K521" s="200"/>
      <c r="L521" s="200"/>
      <c r="M521" s="620"/>
      <c r="N521" s="201"/>
      <c r="O521" s="620">
        <f>SUBTOTAL(9,O522:O547)</f>
        <v>0</v>
      </c>
      <c r="P521" s="201"/>
      <c r="Q521" s="620">
        <f>SUBTOTAL(9,Q522:Q547)</f>
        <v>0</v>
      </c>
      <c r="R521" s="200"/>
      <c r="S521" s="620">
        <f>SUBTOTAL(9,S522:S547)</f>
        <v>0</v>
      </c>
      <c r="T521" s="200">
        <f t="shared" si="572"/>
        <v>0</v>
      </c>
      <c r="U521" s="620">
        <f>SUBTOTAL(9,U522:U547)</f>
        <v>43372.777000000002</v>
      </c>
    </row>
    <row r="522" spans="1:21" s="131" customFormat="1">
      <c r="A522" s="137" t="s">
        <v>665</v>
      </c>
      <c r="B522" s="133"/>
      <c r="C522" s="658" t="s">
        <v>329</v>
      </c>
      <c r="D522" s="126"/>
      <c r="E522" s="127"/>
      <c r="F522" s="128"/>
      <c r="G522" s="128"/>
      <c r="H522" s="128"/>
      <c r="I522" s="129"/>
      <c r="J522" s="129">
        <f>SUBTOTAL(9,J523:J541)</f>
        <v>39993.794000000002</v>
      </c>
      <c r="K522" s="129"/>
      <c r="L522" s="129"/>
      <c r="M522" s="624"/>
      <c r="N522" s="130"/>
      <c r="O522" s="624">
        <f>SUBTOTAL(9,O523:O541)</f>
        <v>0</v>
      </c>
      <c r="P522" s="130"/>
      <c r="Q522" s="624">
        <f>SUBTOTAL(9,Q523:Q541)</f>
        <v>0</v>
      </c>
      <c r="R522" s="129"/>
      <c r="S522" s="624">
        <f>SUBTOTAL(9,S523:S541)</f>
        <v>0</v>
      </c>
      <c r="T522" s="129">
        <f t="shared" si="572"/>
        <v>0</v>
      </c>
      <c r="U522" s="624">
        <f>SUBTOTAL(9,U523:U541)</f>
        <v>39993.794000000002</v>
      </c>
    </row>
    <row r="523" spans="1:21" ht="25.5">
      <c r="A523" s="190" t="s">
        <v>666</v>
      </c>
      <c r="B523" s="191">
        <v>151701</v>
      </c>
      <c r="C523" s="657" t="s">
        <v>685</v>
      </c>
      <c r="D523" s="192" t="s">
        <v>59</v>
      </c>
      <c r="E523" s="193">
        <v>1510.64</v>
      </c>
      <c r="F523" s="194">
        <v>1</v>
      </c>
      <c r="G523" s="194"/>
      <c r="H523" s="194"/>
      <c r="I523" s="193">
        <f t="shared" ref="I523:I541" si="641">F523+G523-H523</f>
        <v>1</v>
      </c>
      <c r="J523" s="193">
        <f t="shared" ref="J523:J541" si="642">I523*E523</f>
        <v>1510.64</v>
      </c>
      <c r="K523" s="193"/>
      <c r="L523" s="193"/>
      <c r="M523" s="622">
        <f t="shared" ref="M523:M541" si="643">I523*E523</f>
        <v>1510.64</v>
      </c>
      <c r="N523" s="194">
        <v>0</v>
      </c>
      <c r="O523" s="622">
        <f t="shared" ref="O523:O541" si="644">TRUNC(N523*E523,2)</f>
        <v>0</v>
      </c>
      <c r="P523" s="194">
        <f>IFERROR(VLOOKUP(A523,#REF!,18,FALSE),)</f>
        <v>0</v>
      </c>
      <c r="Q523" s="622">
        <f t="shared" ref="Q523:Q541" si="645">S523-O523</f>
        <v>0</v>
      </c>
      <c r="R523" s="194">
        <f t="shared" ref="R523:R541" si="646">P523+N523</f>
        <v>0</v>
      </c>
      <c r="S523" s="630">
        <f t="shared" ref="S523:S541" si="647">TRUNC(R523*E523,2)</f>
        <v>0</v>
      </c>
      <c r="T523" s="194">
        <f t="shared" si="572"/>
        <v>1</v>
      </c>
      <c r="U523" s="630">
        <f t="shared" ref="U523:U541" si="648">T523*E523</f>
        <v>1510.64</v>
      </c>
    </row>
    <row r="524" spans="1:21" ht="25.5">
      <c r="A524" s="190" t="s">
        <v>667</v>
      </c>
      <c r="B524" s="191">
        <v>150312</v>
      </c>
      <c r="C524" s="657" t="s">
        <v>350</v>
      </c>
      <c r="D524" s="192" t="s">
        <v>59</v>
      </c>
      <c r="E524" s="193">
        <v>103.79</v>
      </c>
      <c r="F524" s="194">
        <v>1</v>
      </c>
      <c r="G524" s="194"/>
      <c r="H524" s="194"/>
      <c r="I524" s="193">
        <f t="shared" si="641"/>
        <v>1</v>
      </c>
      <c r="J524" s="193">
        <f t="shared" si="642"/>
        <v>103.79</v>
      </c>
      <c r="K524" s="193"/>
      <c r="L524" s="193"/>
      <c r="M524" s="622">
        <f t="shared" si="643"/>
        <v>103.79</v>
      </c>
      <c r="N524" s="194">
        <v>0</v>
      </c>
      <c r="O524" s="622">
        <f t="shared" si="644"/>
        <v>0</v>
      </c>
      <c r="P524" s="194">
        <f>IFERROR(VLOOKUP(A524,#REF!,18,FALSE),)</f>
        <v>0</v>
      </c>
      <c r="Q524" s="622">
        <f t="shared" si="645"/>
        <v>0</v>
      </c>
      <c r="R524" s="194">
        <f t="shared" si="646"/>
        <v>0</v>
      </c>
      <c r="S524" s="630">
        <f t="shared" si="647"/>
        <v>0</v>
      </c>
      <c r="T524" s="194">
        <f t="shared" ref="T524:T555" si="649">F524-R524</f>
        <v>1</v>
      </c>
      <c r="U524" s="630">
        <f t="shared" si="648"/>
        <v>103.79</v>
      </c>
    </row>
    <row r="525" spans="1:21">
      <c r="A525" s="190" t="s">
        <v>668</v>
      </c>
      <c r="B525" s="191">
        <v>150628</v>
      </c>
      <c r="C525" s="657" t="s">
        <v>351</v>
      </c>
      <c r="D525" s="192" t="s">
        <v>59</v>
      </c>
      <c r="E525" s="193">
        <v>7.47</v>
      </c>
      <c r="F525" s="194">
        <v>20</v>
      </c>
      <c r="G525" s="194"/>
      <c r="H525" s="194"/>
      <c r="I525" s="193">
        <f t="shared" si="641"/>
        <v>20</v>
      </c>
      <c r="J525" s="193">
        <f t="shared" si="642"/>
        <v>149.4</v>
      </c>
      <c r="K525" s="193"/>
      <c r="L525" s="193"/>
      <c r="M525" s="622">
        <f t="shared" si="643"/>
        <v>149.4</v>
      </c>
      <c r="N525" s="194">
        <v>0</v>
      </c>
      <c r="O525" s="622">
        <f t="shared" si="644"/>
        <v>0</v>
      </c>
      <c r="P525" s="194">
        <f>IFERROR(VLOOKUP(A525,#REF!,18,FALSE),)</f>
        <v>0</v>
      </c>
      <c r="Q525" s="622">
        <f t="shared" si="645"/>
        <v>0</v>
      </c>
      <c r="R525" s="194">
        <f t="shared" si="646"/>
        <v>0</v>
      </c>
      <c r="S525" s="630">
        <f t="shared" si="647"/>
        <v>0</v>
      </c>
      <c r="T525" s="194">
        <f t="shared" si="649"/>
        <v>20</v>
      </c>
      <c r="U525" s="630">
        <f t="shared" si="648"/>
        <v>149.4</v>
      </c>
    </row>
    <row r="526" spans="1:21" ht="25.5">
      <c r="A526" s="190" t="s">
        <v>669</v>
      </c>
      <c r="B526" s="191">
        <v>151417</v>
      </c>
      <c r="C526" s="657" t="s">
        <v>352</v>
      </c>
      <c r="D526" s="192" t="s">
        <v>51</v>
      </c>
      <c r="E526" s="193">
        <v>5.86</v>
      </c>
      <c r="F526" s="194">
        <v>169.2</v>
      </c>
      <c r="G526" s="194"/>
      <c r="H526" s="194"/>
      <c r="I526" s="193">
        <f t="shared" si="641"/>
        <v>169.2</v>
      </c>
      <c r="J526" s="193">
        <f t="shared" si="642"/>
        <v>991.51199999999994</v>
      </c>
      <c r="K526" s="193"/>
      <c r="L526" s="193"/>
      <c r="M526" s="622">
        <f t="shared" si="643"/>
        <v>991.51199999999994</v>
      </c>
      <c r="N526" s="194">
        <v>0</v>
      </c>
      <c r="O526" s="622">
        <f t="shared" si="644"/>
        <v>0</v>
      </c>
      <c r="P526" s="194">
        <f>IFERROR(VLOOKUP(A526,#REF!,18,FALSE),)</f>
        <v>0</v>
      </c>
      <c r="Q526" s="622">
        <f t="shared" si="645"/>
        <v>0</v>
      </c>
      <c r="R526" s="194">
        <f t="shared" si="646"/>
        <v>0</v>
      </c>
      <c r="S526" s="630">
        <f t="shared" si="647"/>
        <v>0</v>
      </c>
      <c r="T526" s="194">
        <f t="shared" si="649"/>
        <v>169.2</v>
      </c>
      <c r="U526" s="630">
        <f t="shared" si="648"/>
        <v>991.51199999999994</v>
      </c>
    </row>
    <row r="527" spans="1:21" ht="25.5">
      <c r="A527" s="190" t="s">
        <v>670</v>
      </c>
      <c r="B527" s="191">
        <v>151418</v>
      </c>
      <c r="C527" s="657" t="s">
        <v>353</v>
      </c>
      <c r="D527" s="192" t="s">
        <v>51</v>
      </c>
      <c r="E527" s="193">
        <v>6.74</v>
      </c>
      <c r="F527" s="194">
        <v>333.8</v>
      </c>
      <c r="G527" s="194"/>
      <c r="H527" s="194"/>
      <c r="I527" s="193">
        <f t="shared" si="641"/>
        <v>333.8</v>
      </c>
      <c r="J527" s="193">
        <f t="shared" si="642"/>
        <v>2249.8120000000004</v>
      </c>
      <c r="K527" s="193"/>
      <c r="L527" s="193"/>
      <c r="M527" s="622">
        <f t="shared" si="643"/>
        <v>2249.8120000000004</v>
      </c>
      <c r="N527" s="194">
        <v>0</v>
      </c>
      <c r="O527" s="622">
        <f t="shared" si="644"/>
        <v>0</v>
      </c>
      <c r="P527" s="194">
        <f>IFERROR(VLOOKUP(A527,#REF!,18,FALSE),)</f>
        <v>0</v>
      </c>
      <c r="Q527" s="622">
        <f t="shared" si="645"/>
        <v>0</v>
      </c>
      <c r="R527" s="194">
        <f t="shared" si="646"/>
        <v>0</v>
      </c>
      <c r="S527" s="630">
        <f t="shared" si="647"/>
        <v>0</v>
      </c>
      <c r="T527" s="194">
        <f t="shared" si="649"/>
        <v>333.8</v>
      </c>
      <c r="U527" s="630">
        <f t="shared" si="648"/>
        <v>2249.8120000000004</v>
      </c>
    </row>
    <row r="528" spans="1:21" ht="25.5">
      <c r="A528" s="190" t="s">
        <v>671</v>
      </c>
      <c r="B528" s="191">
        <v>151420</v>
      </c>
      <c r="C528" s="657" t="s">
        <v>354</v>
      </c>
      <c r="D528" s="192" t="s">
        <v>51</v>
      </c>
      <c r="E528" s="193">
        <v>10.63</v>
      </c>
      <c r="F528" s="194">
        <v>60</v>
      </c>
      <c r="G528" s="194"/>
      <c r="H528" s="194"/>
      <c r="I528" s="193">
        <f t="shared" si="641"/>
        <v>60</v>
      </c>
      <c r="J528" s="193">
        <f t="shared" si="642"/>
        <v>637.80000000000007</v>
      </c>
      <c r="K528" s="193"/>
      <c r="L528" s="193"/>
      <c r="M528" s="622">
        <f t="shared" si="643"/>
        <v>637.80000000000007</v>
      </c>
      <c r="N528" s="194">
        <v>0</v>
      </c>
      <c r="O528" s="622">
        <f t="shared" si="644"/>
        <v>0</v>
      </c>
      <c r="P528" s="194">
        <f>IFERROR(VLOOKUP(A528,#REF!,18,FALSE),)</f>
        <v>0</v>
      </c>
      <c r="Q528" s="622">
        <f t="shared" si="645"/>
        <v>0</v>
      </c>
      <c r="R528" s="194">
        <f t="shared" si="646"/>
        <v>0</v>
      </c>
      <c r="S528" s="630">
        <f t="shared" si="647"/>
        <v>0</v>
      </c>
      <c r="T528" s="194">
        <f t="shared" si="649"/>
        <v>60</v>
      </c>
      <c r="U528" s="630">
        <f t="shared" si="648"/>
        <v>637.80000000000007</v>
      </c>
    </row>
    <row r="529" spans="1:21" ht="38.25">
      <c r="A529" s="190" t="s">
        <v>672</v>
      </c>
      <c r="B529" s="191">
        <v>151809</v>
      </c>
      <c r="C529" s="657" t="s">
        <v>355</v>
      </c>
      <c r="D529" s="192" t="s">
        <v>59</v>
      </c>
      <c r="E529" s="193">
        <v>150.13</v>
      </c>
      <c r="F529" s="194">
        <v>1</v>
      </c>
      <c r="G529" s="194"/>
      <c r="H529" s="194"/>
      <c r="I529" s="193">
        <f t="shared" si="641"/>
        <v>1</v>
      </c>
      <c r="J529" s="193">
        <f t="shared" si="642"/>
        <v>150.13</v>
      </c>
      <c r="K529" s="193"/>
      <c r="L529" s="193"/>
      <c r="M529" s="622">
        <f t="shared" si="643"/>
        <v>150.13</v>
      </c>
      <c r="N529" s="194">
        <v>0</v>
      </c>
      <c r="O529" s="622">
        <f t="shared" si="644"/>
        <v>0</v>
      </c>
      <c r="P529" s="194">
        <f>IFERROR(VLOOKUP(A529,#REF!,18,FALSE),)</f>
        <v>0</v>
      </c>
      <c r="Q529" s="622">
        <f t="shared" si="645"/>
        <v>0</v>
      </c>
      <c r="R529" s="194">
        <f t="shared" si="646"/>
        <v>0</v>
      </c>
      <c r="S529" s="630">
        <f t="shared" si="647"/>
        <v>0</v>
      </c>
      <c r="T529" s="194">
        <f t="shared" si="649"/>
        <v>1</v>
      </c>
      <c r="U529" s="630">
        <f t="shared" si="648"/>
        <v>150.13</v>
      </c>
    </row>
    <row r="530" spans="1:21" ht="38.25">
      <c r="A530" s="190" t="s">
        <v>673</v>
      </c>
      <c r="B530" s="191">
        <v>151803</v>
      </c>
      <c r="C530" s="657" t="s">
        <v>356</v>
      </c>
      <c r="D530" s="192" t="s">
        <v>59</v>
      </c>
      <c r="E530" s="193">
        <v>170.86</v>
      </c>
      <c r="F530" s="194">
        <v>11</v>
      </c>
      <c r="G530" s="194"/>
      <c r="H530" s="194"/>
      <c r="I530" s="193">
        <f t="shared" si="641"/>
        <v>11</v>
      </c>
      <c r="J530" s="193">
        <f t="shared" si="642"/>
        <v>1879.46</v>
      </c>
      <c r="K530" s="193"/>
      <c r="L530" s="193"/>
      <c r="M530" s="622">
        <f t="shared" si="643"/>
        <v>1879.46</v>
      </c>
      <c r="N530" s="194">
        <v>0</v>
      </c>
      <c r="O530" s="622">
        <f t="shared" si="644"/>
        <v>0</v>
      </c>
      <c r="P530" s="194">
        <f>IFERROR(VLOOKUP(A530,#REF!,18,FALSE),)</f>
        <v>0</v>
      </c>
      <c r="Q530" s="622">
        <f t="shared" si="645"/>
        <v>0</v>
      </c>
      <c r="R530" s="194">
        <f t="shared" si="646"/>
        <v>0</v>
      </c>
      <c r="S530" s="630">
        <f t="shared" si="647"/>
        <v>0</v>
      </c>
      <c r="T530" s="194">
        <f t="shared" si="649"/>
        <v>11</v>
      </c>
      <c r="U530" s="630">
        <f t="shared" si="648"/>
        <v>1879.46</v>
      </c>
    </row>
    <row r="531" spans="1:21" ht="25.5">
      <c r="A531" s="190" t="s">
        <v>674</v>
      </c>
      <c r="B531" s="191">
        <v>151338</v>
      </c>
      <c r="C531" s="657" t="s">
        <v>357</v>
      </c>
      <c r="D531" s="192" t="s">
        <v>59</v>
      </c>
      <c r="E531" s="193">
        <v>18.14</v>
      </c>
      <c r="F531" s="194">
        <v>1</v>
      </c>
      <c r="G531" s="194"/>
      <c r="H531" s="194"/>
      <c r="I531" s="193">
        <f t="shared" si="641"/>
        <v>1</v>
      </c>
      <c r="J531" s="193">
        <f t="shared" si="642"/>
        <v>18.14</v>
      </c>
      <c r="K531" s="193"/>
      <c r="L531" s="193"/>
      <c r="M531" s="622">
        <f t="shared" si="643"/>
        <v>18.14</v>
      </c>
      <c r="N531" s="194">
        <v>0</v>
      </c>
      <c r="O531" s="622">
        <f t="shared" si="644"/>
        <v>0</v>
      </c>
      <c r="P531" s="194">
        <f>IFERROR(VLOOKUP(A531,#REF!,18,FALSE),)</f>
        <v>0</v>
      </c>
      <c r="Q531" s="622">
        <f t="shared" si="645"/>
        <v>0</v>
      </c>
      <c r="R531" s="194">
        <f t="shared" si="646"/>
        <v>0</v>
      </c>
      <c r="S531" s="630">
        <f t="shared" si="647"/>
        <v>0</v>
      </c>
      <c r="T531" s="194">
        <f t="shared" si="649"/>
        <v>1</v>
      </c>
      <c r="U531" s="630">
        <f t="shared" si="648"/>
        <v>18.14</v>
      </c>
    </row>
    <row r="532" spans="1:21" ht="25.5">
      <c r="A532" s="190" t="s">
        <v>675</v>
      </c>
      <c r="B532" s="191">
        <v>151301</v>
      </c>
      <c r="C532" s="657" t="s">
        <v>358</v>
      </c>
      <c r="D532" s="192" t="s">
        <v>59</v>
      </c>
      <c r="E532" s="193">
        <v>18.14</v>
      </c>
      <c r="F532" s="194">
        <v>1</v>
      </c>
      <c r="G532" s="194"/>
      <c r="H532" s="194"/>
      <c r="I532" s="193">
        <f t="shared" si="641"/>
        <v>1</v>
      </c>
      <c r="J532" s="193">
        <f t="shared" si="642"/>
        <v>18.14</v>
      </c>
      <c r="K532" s="193"/>
      <c r="L532" s="193"/>
      <c r="M532" s="622">
        <f t="shared" si="643"/>
        <v>18.14</v>
      </c>
      <c r="N532" s="194">
        <v>0</v>
      </c>
      <c r="O532" s="622">
        <f t="shared" si="644"/>
        <v>0</v>
      </c>
      <c r="P532" s="194">
        <f>IFERROR(VLOOKUP(A532,#REF!,18,FALSE),)</f>
        <v>0</v>
      </c>
      <c r="Q532" s="622">
        <f t="shared" si="645"/>
        <v>0</v>
      </c>
      <c r="R532" s="194">
        <f t="shared" si="646"/>
        <v>0</v>
      </c>
      <c r="S532" s="630">
        <f t="shared" si="647"/>
        <v>0</v>
      </c>
      <c r="T532" s="194">
        <f t="shared" si="649"/>
        <v>1</v>
      </c>
      <c r="U532" s="630">
        <f t="shared" si="648"/>
        <v>18.14</v>
      </c>
    </row>
    <row r="533" spans="1:21" ht="25.5">
      <c r="A533" s="190" t="s">
        <v>676</v>
      </c>
      <c r="B533" s="191">
        <v>151303</v>
      </c>
      <c r="C533" s="657" t="s">
        <v>359</v>
      </c>
      <c r="D533" s="192" t="s">
        <v>59</v>
      </c>
      <c r="E533" s="193">
        <v>18.14</v>
      </c>
      <c r="F533" s="194">
        <v>1</v>
      </c>
      <c r="G533" s="194"/>
      <c r="H533" s="194"/>
      <c r="I533" s="193">
        <f t="shared" si="641"/>
        <v>1</v>
      </c>
      <c r="J533" s="193">
        <f t="shared" si="642"/>
        <v>18.14</v>
      </c>
      <c r="K533" s="193"/>
      <c r="L533" s="193"/>
      <c r="M533" s="622">
        <f t="shared" si="643"/>
        <v>18.14</v>
      </c>
      <c r="N533" s="194">
        <v>0</v>
      </c>
      <c r="O533" s="622">
        <f t="shared" si="644"/>
        <v>0</v>
      </c>
      <c r="P533" s="194">
        <f>IFERROR(VLOOKUP(A533,#REF!,18,FALSE),)</f>
        <v>0</v>
      </c>
      <c r="Q533" s="622">
        <f t="shared" si="645"/>
        <v>0</v>
      </c>
      <c r="R533" s="194">
        <f t="shared" si="646"/>
        <v>0</v>
      </c>
      <c r="S533" s="630">
        <f t="shared" si="647"/>
        <v>0</v>
      </c>
      <c r="T533" s="194">
        <f t="shared" si="649"/>
        <v>1</v>
      </c>
      <c r="U533" s="630">
        <f t="shared" si="648"/>
        <v>18.14</v>
      </c>
    </row>
    <row r="534" spans="1:21" ht="25.5">
      <c r="A534" s="190" t="s">
        <v>677</v>
      </c>
      <c r="B534" s="191">
        <v>151318</v>
      </c>
      <c r="C534" s="657" t="s">
        <v>547</v>
      </c>
      <c r="D534" s="192" t="s">
        <v>59</v>
      </c>
      <c r="E534" s="193">
        <v>22.63</v>
      </c>
      <c r="F534" s="194">
        <v>1</v>
      </c>
      <c r="G534" s="194"/>
      <c r="H534" s="194"/>
      <c r="I534" s="193">
        <f t="shared" si="641"/>
        <v>1</v>
      </c>
      <c r="J534" s="193">
        <f t="shared" si="642"/>
        <v>22.63</v>
      </c>
      <c r="K534" s="193"/>
      <c r="L534" s="193"/>
      <c r="M534" s="622">
        <f t="shared" si="643"/>
        <v>22.63</v>
      </c>
      <c r="N534" s="194">
        <v>0</v>
      </c>
      <c r="O534" s="622">
        <f t="shared" si="644"/>
        <v>0</v>
      </c>
      <c r="P534" s="194">
        <f>IFERROR(VLOOKUP(A534,#REF!,18,FALSE),)</f>
        <v>0</v>
      </c>
      <c r="Q534" s="622">
        <f t="shared" si="645"/>
        <v>0</v>
      </c>
      <c r="R534" s="194">
        <f t="shared" si="646"/>
        <v>0</v>
      </c>
      <c r="S534" s="630">
        <f t="shared" si="647"/>
        <v>0</v>
      </c>
      <c r="T534" s="194">
        <f t="shared" si="649"/>
        <v>1</v>
      </c>
      <c r="U534" s="630">
        <f t="shared" si="648"/>
        <v>22.63</v>
      </c>
    </row>
    <row r="535" spans="1:21">
      <c r="A535" s="190" t="s">
        <v>678</v>
      </c>
      <c r="B535" s="191">
        <v>151350</v>
      </c>
      <c r="C535" s="657" t="s">
        <v>360</v>
      </c>
      <c r="D535" s="192" t="s">
        <v>59</v>
      </c>
      <c r="E535" s="193">
        <v>133.04</v>
      </c>
      <c r="F535" s="194">
        <v>1</v>
      </c>
      <c r="G535" s="194"/>
      <c r="H535" s="194"/>
      <c r="I535" s="193">
        <f t="shared" si="641"/>
        <v>1</v>
      </c>
      <c r="J535" s="193">
        <f t="shared" si="642"/>
        <v>133.04</v>
      </c>
      <c r="K535" s="193"/>
      <c r="L535" s="193"/>
      <c r="M535" s="622">
        <f t="shared" si="643"/>
        <v>133.04</v>
      </c>
      <c r="N535" s="194">
        <v>0</v>
      </c>
      <c r="O535" s="622">
        <f t="shared" si="644"/>
        <v>0</v>
      </c>
      <c r="P535" s="194">
        <f>IFERROR(VLOOKUP(A535,#REF!,18,FALSE),)</f>
        <v>0</v>
      </c>
      <c r="Q535" s="622">
        <f t="shared" si="645"/>
        <v>0</v>
      </c>
      <c r="R535" s="194">
        <f t="shared" si="646"/>
        <v>0</v>
      </c>
      <c r="S535" s="630">
        <f t="shared" si="647"/>
        <v>0</v>
      </c>
      <c r="T535" s="194">
        <f t="shared" si="649"/>
        <v>1</v>
      </c>
      <c r="U535" s="630">
        <f t="shared" si="648"/>
        <v>133.04</v>
      </c>
    </row>
    <row r="536" spans="1:21">
      <c r="A536" s="190" t="s">
        <v>679</v>
      </c>
      <c r="B536" s="191">
        <v>151132</v>
      </c>
      <c r="C536" s="657" t="s">
        <v>361</v>
      </c>
      <c r="D536" s="192" t="s">
        <v>51</v>
      </c>
      <c r="E536" s="193">
        <v>7.5</v>
      </c>
      <c r="F536" s="194">
        <v>78.400000000000006</v>
      </c>
      <c r="G536" s="194"/>
      <c r="H536" s="194"/>
      <c r="I536" s="193">
        <f t="shared" si="641"/>
        <v>78.400000000000006</v>
      </c>
      <c r="J536" s="193">
        <f t="shared" si="642"/>
        <v>588</v>
      </c>
      <c r="K536" s="193"/>
      <c r="L536" s="193"/>
      <c r="M536" s="622">
        <f t="shared" si="643"/>
        <v>588</v>
      </c>
      <c r="N536" s="194">
        <v>0</v>
      </c>
      <c r="O536" s="622">
        <f t="shared" si="644"/>
        <v>0</v>
      </c>
      <c r="P536" s="194">
        <f>IFERROR(VLOOKUP(A536,#REF!,18,FALSE),)</f>
        <v>0</v>
      </c>
      <c r="Q536" s="622">
        <f t="shared" si="645"/>
        <v>0</v>
      </c>
      <c r="R536" s="194">
        <f t="shared" si="646"/>
        <v>0</v>
      </c>
      <c r="S536" s="630">
        <f t="shared" si="647"/>
        <v>0</v>
      </c>
      <c r="T536" s="194">
        <f t="shared" si="649"/>
        <v>78.400000000000006</v>
      </c>
      <c r="U536" s="630">
        <f t="shared" si="648"/>
        <v>588</v>
      </c>
    </row>
    <row r="537" spans="1:21" ht="25.5">
      <c r="A537" s="190" t="s">
        <v>680</v>
      </c>
      <c r="B537" s="191">
        <v>150801</v>
      </c>
      <c r="C537" s="657" t="s">
        <v>362</v>
      </c>
      <c r="D537" s="192" t="s">
        <v>51</v>
      </c>
      <c r="E537" s="193">
        <v>12.67</v>
      </c>
      <c r="F537" s="194">
        <v>70</v>
      </c>
      <c r="G537" s="194"/>
      <c r="H537" s="194"/>
      <c r="I537" s="193">
        <f t="shared" si="641"/>
        <v>70</v>
      </c>
      <c r="J537" s="193">
        <f t="shared" si="642"/>
        <v>886.9</v>
      </c>
      <c r="K537" s="193"/>
      <c r="L537" s="193"/>
      <c r="M537" s="622">
        <f t="shared" si="643"/>
        <v>886.9</v>
      </c>
      <c r="N537" s="194">
        <v>0</v>
      </c>
      <c r="O537" s="622">
        <f t="shared" si="644"/>
        <v>0</v>
      </c>
      <c r="P537" s="194">
        <f>IFERROR(VLOOKUP(A537,#REF!,18,FALSE),)</f>
        <v>0</v>
      </c>
      <c r="Q537" s="622">
        <f t="shared" si="645"/>
        <v>0</v>
      </c>
      <c r="R537" s="194">
        <f t="shared" si="646"/>
        <v>0</v>
      </c>
      <c r="S537" s="630">
        <f t="shared" si="647"/>
        <v>0</v>
      </c>
      <c r="T537" s="194">
        <f t="shared" si="649"/>
        <v>70</v>
      </c>
      <c r="U537" s="630">
        <f t="shared" si="648"/>
        <v>886.9</v>
      </c>
    </row>
    <row r="538" spans="1:21">
      <c r="A538" s="190" t="s">
        <v>681</v>
      </c>
      <c r="B538" s="191">
        <v>180110</v>
      </c>
      <c r="C538" s="657" t="s">
        <v>363</v>
      </c>
      <c r="D538" s="192" t="s">
        <v>59</v>
      </c>
      <c r="E538" s="193">
        <v>106.15</v>
      </c>
      <c r="F538" s="194">
        <v>5</v>
      </c>
      <c r="G538" s="194"/>
      <c r="H538" s="194"/>
      <c r="I538" s="193">
        <f t="shared" si="641"/>
        <v>5</v>
      </c>
      <c r="J538" s="193">
        <f t="shared" si="642"/>
        <v>530.75</v>
      </c>
      <c r="K538" s="193"/>
      <c r="L538" s="193"/>
      <c r="M538" s="622">
        <f t="shared" si="643"/>
        <v>530.75</v>
      </c>
      <c r="N538" s="194">
        <v>0</v>
      </c>
      <c r="O538" s="622">
        <f t="shared" si="644"/>
        <v>0</v>
      </c>
      <c r="P538" s="194">
        <f>IFERROR(VLOOKUP(A538,#REF!,18,FALSE),)</f>
        <v>0</v>
      </c>
      <c r="Q538" s="622">
        <f t="shared" si="645"/>
        <v>0</v>
      </c>
      <c r="R538" s="194">
        <f t="shared" si="646"/>
        <v>0</v>
      </c>
      <c r="S538" s="630">
        <f t="shared" si="647"/>
        <v>0</v>
      </c>
      <c r="T538" s="194">
        <f t="shared" si="649"/>
        <v>5</v>
      </c>
      <c r="U538" s="630">
        <f t="shared" si="648"/>
        <v>530.75</v>
      </c>
    </row>
    <row r="539" spans="1:21">
      <c r="A539" s="190" t="s">
        <v>682</v>
      </c>
      <c r="B539" s="191" t="s">
        <v>367</v>
      </c>
      <c r="C539" s="657" t="s">
        <v>364</v>
      </c>
      <c r="D539" s="192" t="s">
        <v>72</v>
      </c>
      <c r="E539" s="193">
        <v>362.44</v>
      </c>
      <c r="F539" s="194">
        <v>20</v>
      </c>
      <c r="G539" s="194"/>
      <c r="H539" s="194"/>
      <c r="I539" s="193">
        <f t="shared" si="641"/>
        <v>20</v>
      </c>
      <c r="J539" s="193">
        <f t="shared" si="642"/>
        <v>7248.8</v>
      </c>
      <c r="K539" s="193"/>
      <c r="L539" s="193"/>
      <c r="M539" s="622">
        <f t="shared" si="643"/>
        <v>7248.8</v>
      </c>
      <c r="N539" s="194">
        <v>0</v>
      </c>
      <c r="O539" s="622">
        <f t="shared" si="644"/>
        <v>0</v>
      </c>
      <c r="P539" s="194">
        <f>IFERROR(VLOOKUP(A539,#REF!,18,FALSE),)</f>
        <v>0</v>
      </c>
      <c r="Q539" s="622">
        <f t="shared" si="645"/>
        <v>0</v>
      </c>
      <c r="R539" s="194">
        <f t="shared" si="646"/>
        <v>0</v>
      </c>
      <c r="S539" s="630">
        <f t="shared" si="647"/>
        <v>0</v>
      </c>
      <c r="T539" s="194">
        <f t="shared" si="649"/>
        <v>20</v>
      </c>
      <c r="U539" s="630">
        <f t="shared" si="648"/>
        <v>7248.8</v>
      </c>
    </row>
    <row r="540" spans="1:21" ht="25.5">
      <c r="A540" s="190" t="s">
        <v>683</v>
      </c>
      <c r="B540" s="191" t="s">
        <v>368</v>
      </c>
      <c r="C540" s="657" t="s">
        <v>365</v>
      </c>
      <c r="D540" s="192" t="s">
        <v>72</v>
      </c>
      <c r="E540" s="193">
        <v>4976.67</v>
      </c>
      <c r="F540" s="194">
        <v>2</v>
      </c>
      <c r="G540" s="194"/>
      <c r="H540" s="194"/>
      <c r="I540" s="193">
        <f t="shared" si="641"/>
        <v>2</v>
      </c>
      <c r="J540" s="193">
        <f t="shared" si="642"/>
        <v>9953.34</v>
      </c>
      <c r="K540" s="193"/>
      <c r="L540" s="193"/>
      <c r="M540" s="622">
        <f t="shared" si="643"/>
        <v>9953.34</v>
      </c>
      <c r="N540" s="194">
        <v>0</v>
      </c>
      <c r="O540" s="622">
        <f t="shared" si="644"/>
        <v>0</v>
      </c>
      <c r="P540" s="194">
        <f>IFERROR(VLOOKUP(A540,#REF!,18,FALSE),)</f>
        <v>0</v>
      </c>
      <c r="Q540" s="622">
        <f t="shared" si="645"/>
        <v>0</v>
      </c>
      <c r="R540" s="194">
        <f t="shared" si="646"/>
        <v>0</v>
      </c>
      <c r="S540" s="630">
        <f t="shared" si="647"/>
        <v>0</v>
      </c>
      <c r="T540" s="194">
        <f t="shared" si="649"/>
        <v>2</v>
      </c>
      <c r="U540" s="630">
        <f t="shared" si="648"/>
        <v>9953.34</v>
      </c>
    </row>
    <row r="541" spans="1:21" ht="25.5">
      <c r="A541" s="190" t="s">
        <v>684</v>
      </c>
      <c r="B541" s="191" t="s">
        <v>369</v>
      </c>
      <c r="C541" s="657" t="s">
        <v>366</v>
      </c>
      <c r="D541" s="192" t="s">
        <v>10</v>
      </c>
      <c r="E541" s="193">
        <v>12903.37</v>
      </c>
      <c r="F541" s="194">
        <v>1</v>
      </c>
      <c r="G541" s="194"/>
      <c r="H541" s="194"/>
      <c r="I541" s="193">
        <f t="shared" si="641"/>
        <v>1</v>
      </c>
      <c r="J541" s="193">
        <f t="shared" si="642"/>
        <v>12903.37</v>
      </c>
      <c r="K541" s="193"/>
      <c r="L541" s="193"/>
      <c r="M541" s="622">
        <f t="shared" si="643"/>
        <v>12903.37</v>
      </c>
      <c r="N541" s="194">
        <v>0</v>
      </c>
      <c r="O541" s="622">
        <f t="shared" si="644"/>
        <v>0</v>
      </c>
      <c r="P541" s="194">
        <f>IFERROR(VLOOKUP(A541,#REF!,18,FALSE),)</f>
        <v>0</v>
      </c>
      <c r="Q541" s="622">
        <f t="shared" si="645"/>
        <v>0</v>
      </c>
      <c r="R541" s="194">
        <f t="shared" si="646"/>
        <v>0</v>
      </c>
      <c r="S541" s="630">
        <f t="shared" si="647"/>
        <v>0</v>
      </c>
      <c r="T541" s="194">
        <f t="shared" si="649"/>
        <v>1</v>
      </c>
      <c r="U541" s="630">
        <f t="shared" si="648"/>
        <v>12903.37</v>
      </c>
    </row>
    <row r="542" spans="1:21">
      <c r="A542" s="138"/>
      <c r="B542" s="132"/>
      <c r="C542" s="123"/>
      <c r="D542" s="123"/>
      <c r="E542" s="123"/>
      <c r="F542" s="123"/>
      <c r="G542" s="123"/>
      <c r="H542" s="123"/>
      <c r="I542" s="123"/>
      <c r="J542" s="123"/>
      <c r="K542" s="123"/>
      <c r="L542" s="123"/>
      <c r="M542" s="623"/>
      <c r="N542" s="123"/>
      <c r="O542" s="623"/>
      <c r="P542" s="123"/>
      <c r="Q542" s="623"/>
      <c r="R542" s="123"/>
      <c r="S542" s="631"/>
      <c r="T542" s="123"/>
      <c r="U542" s="631"/>
    </row>
    <row r="543" spans="1:21" s="131" customFormat="1">
      <c r="A543" s="137" t="s">
        <v>686</v>
      </c>
      <c r="B543" s="133"/>
      <c r="C543" s="658" t="s">
        <v>371</v>
      </c>
      <c r="D543" s="126"/>
      <c r="E543" s="127"/>
      <c r="F543" s="128"/>
      <c r="G543" s="128"/>
      <c r="H543" s="128"/>
      <c r="I543" s="129"/>
      <c r="J543" s="129">
        <f>SUBTOTAL(9,J544:J547)</f>
        <v>3378.9830000000002</v>
      </c>
      <c r="K543" s="129"/>
      <c r="L543" s="129"/>
      <c r="M543" s="624"/>
      <c r="N543" s="130"/>
      <c r="O543" s="624">
        <f>SUBTOTAL(9,O544:O547)</f>
        <v>0</v>
      </c>
      <c r="P543" s="130"/>
      <c r="Q543" s="624">
        <f>SUBTOTAL(9,Q544:Q547)</f>
        <v>0</v>
      </c>
      <c r="R543" s="129"/>
      <c r="S543" s="624">
        <f>SUBTOTAL(9,S544:S547)</f>
        <v>0</v>
      </c>
      <c r="T543" s="129">
        <f t="shared" si="649"/>
        <v>0</v>
      </c>
      <c r="U543" s="624">
        <f>SUBTOTAL(9,U544:U547)</f>
        <v>3378.9830000000002</v>
      </c>
    </row>
    <row r="544" spans="1:21" ht="38.25">
      <c r="A544" s="190" t="s">
        <v>687</v>
      </c>
      <c r="B544" s="191">
        <v>150610</v>
      </c>
      <c r="C544" s="657" t="s">
        <v>376</v>
      </c>
      <c r="D544" s="192" t="s">
        <v>59</v>
      </c>
      <c r="E544" s="193">
        <v>188.46</v>
      </c>
      <c r="F544" s="194">
        <v>4</v>
      </c>
      <c r="G544" s="194"/>
      <c r="H544" s="194"/>
      <c r="I544" s="193">
        <f t="shared" ref="I544:I547" si="650">F544+G544-H544</f>
        <v>4</v>
      </c>
      <c r="J544" s="193">
        <f t="shared" ref="J544:J547" si="651">I544*E544</f>
        <v>753.84</v>
      </c>
      <c r="K544" s="193"/>
      <c r="L544" s="193"/>
      <c r="M544" s="622">
        <f t="shared" ref="M544:M547" si="652">I544*E544</f>
        <v>753.84</v>
      </c>
      <c r="N544" s="194">
        <v>0</v>
      </c>
      <c r="O544" s="622">
        <f t="shared" ref="O544" si="653">TRUNC(N544*E544,2)</f>
        <v>0</v>
      </c>
      <c r="P544" s="194">
        <f>IFERROR(VLOOKUP(A544,#REF!,18,FALSE),)</f>
        <v>0</v>
      </c>
      <c r="Q544" s="622">
        <f t="shared" ref="Q544" si="654">S544-O544</f>
        <v>0</v>
      </c>
      <c r="R544" s="194">
        <f t="shared" ref="R544" si="655">P544+N544</f>
        <v>0</v>
      </c>
      <c r="S544" s="630">
        <f t="shared" ref="S544" si="656">TRUNC(R544*E544,2)</f>
        <v>0</v>
      </c>
      <c r="T544" s="194">
        <f t="shared" si="649"/>
        <v>4</v>
      </c>
      <c r="U544" s="630">
        <f t="shared" ref="U544:U547" si="657">T544*E544</f>
        <v>753.84</v>
      </c>
    </row>
    <row r="545" spans="1:21" ht="38.25">
      <c r="A545" s="190" t="s">
        <v>688</v>
      </c>
      <c r="B545" s="191">
        <v>160324</v>
      </c>
      <c r="C545" s="657" t="s">
        <v>546</v>
      </c>
      <c r="D545" s="192" t="s">
        <v>59</v>
      </c>
      <c r="E545" s="193">
        <v>199.91</v>
      </c>
      <c r="F545" s="194">
        <v>1</v>
      </c>
      <c r="G545" s="194"/>
      <c r="H545" s="194"/>
      <c r="I545" s="193">
        <f t="shared" si="650"/>
        <v>1</v>
      </c>
      <c r="J545" s="193">
        <f t="shared" si="651"/>
        <v>199.91</v>
      </c>
      <c r="K545" s="193"/>
      <c r="L545" s="193"/>
      <c r="M545" s="622">
        <f t="shared" si="652"/>
        <v>199.91</v>
      </c>
      <c r="N545" s="194">
        <v>0</v>
      </c>
      <c r="O545" s="622">
        <f>TRUNC(N545*E545,2)</f>
        <v>0</v>
      </c>
      <c r="P545" s="194">
        <f>IFERROR(VLOOKUP(A545,#REF!,18,FALSE),)</f>
        <v>0</v>
      </c>
      <c r="Q545" s="622">
        <f>S545-O545</f>
        <v>0</v>
      </c>
      <c r="R545" s="194">
        <f>P545+N545</f>
        <v>0</v>
      </c>
      <c r="S545" s="630">
        <f>TRUNC(R545*E545,2)</f>
        <v>0</v>
      </c>
      <c r="T545" s="194">
        <f t="shared" si="649"/>
        <v>1</v>
      </c>
      <c r="U545" s="630">
        <f t="shared" si="657"/>
        <v>199.91</v>
      </c>
    </row>
    <row r="546" spans="1:21" ht="25.5">
      <c r="A546" s="190" t="s">
        <v>689</v>
      </c>
      <c r="B546" s="191">
        <v>160317</v>
      </c>
      <c r="C546" s="657" t="s">
        <v>377</v>
      </c>
      <c r="D546" s="192" t="s">
        <v>51</v>
      </c>
      <c r="E546" s="193">
        <v>33.369999999999997</v>
      </c>
      <c r="F546" s="194">
        <v>70.900000000000006</v>
      </c>
      <c r="G546" s="194"/>
      <c r="H546" s="194"/>
      <c r="I546" s="193">
        <f t="shared" si="650"/>
        <v>70.900000000000006</v>
      </c>
      <c r="J546" s="193">
        <f t="shared" si="651"/>
        <v>2365.933</v>
      </c>
      <c r="K546" s="193"/>
      <c r="L546" s="193"/>
      <c r="M546" s="622">
        <f t="shared" si="652"/>
        <v>2365.933</v>
      </c>
      <c r="N546" s="194">
        <v>0</v>
      </c>
      <c r="O546" s="622">
        <f t="shared" ref="O546:O547" si="658">TRUNC(N546*E546,2)</f>
        <v>0</v>
      </c>
      <c r="P546" s="194">
        <f>IFERROR(VLOOKUP(A546,#REF!,18,FALSE),)</f>
        <v>0</v>
      </c>
      <c r="Q546" s="622">
        <f t="shared" ref="Q546:Q547" si="659">S546-O546</f>
        <v>0</v>
      </c>
      <c r="R546" s="194">
        <f t="shared" ref="R546:R547" si="660">P546+N546</f>
        <v>0</v>
      </c>
      <c r="S546" s="630">
        <f t="shared" ref="S546:S547" si="661">TRUNC(R546*E546,2)</f>
        <v>0</v>
      </c>
      <c r="T546" s="194">
        <f t="shared" si="649"/>
        <v>70.900000000000006</v>
      </c>
      <c r="U546" s="630">
        <f t="shared" si="657"/>
        <v>2365.933</v>
      </c>
    </row>
    <row r="547" spans="1:21" ht="25.5">
      <c r="A547" s="190" t="s">
        <v>690</v>
      </c>
      <c r="B547" s="191">
        <v>160334</v>
      </c>
      <c r="C547" s="657" t="s">
        <v>378</v>
      </c>
      <c r="D547" s="192" t="s">
        <v>59</v>
      </c>
      <c r="E547" s="193">
        <v>29.65</v>
      </c>
      <c r="F547" s="194">
        <v>2</v>
      </c>
      <c r="G547" s="194"/>
      <c r="H547" s="194"/>
      <c r="I547" s="193">
        <f t="shared" si="650"/>
        <v>2</v>
      </c>
      <c r="J547" s="193">
        <f t="shared" si="651"/>
        <v>59.3</v>
      </c>
      <c r="K547" s="193"/>
      <c r="L547" s="193"/>
      <c r="M547" s="622">
        <f t="shared" si="652"/>
        <v>59.3</v>
      </c>
      <c r="N547" s="194">
        <v>0</v>
      </c>
      <c r="O547" s="622">
        <f t="shared" si="658"/>
        <v>0</v>
      </c>
      <c r="P547" s="194">
        <f>IFERROR(VLOOKUP(A547,#REF!,18,FALSE),)</f>
        <v>0</v>
      </c>
      <c r="Q547" s="622">
        <f t="shared" si="659"/>
        <v>0</v>
      </c>
      <c r="R547" s="194">
        <f t="shared" si="660"/>
        <v>0</v>
      </c>
      <c r="S547" s="630">
        <f t="shared" si="661"/>
        <v>0</v>
      </c>
      <c r="T547" s="194">
        <f t="shared" si="649"/>
        <v>2</v>
      </c>
      <c r="U547" s="630">
        <f t="shared" si="657"/>
        <v>59.3</v>
      </c>
    </row>
    <row r="548" spans="1:21">
      <c r="A548" s="138"/>
      <c r="B548" s="132"/>
      <c r="C548" s="123"/>
      <c r="D548" s="123"/>
      <c r="E548" s="123"/>
      <c r="F548" s="123"/>
      <c r="G548" s="123"/>
      <c r="H548" s="123"/>
      <c r="I548" s="123"/>
      <c r="J548" s="123"/>
      <c r="K548" s="123"/>
      <c r="L548" s="123"/>
      <c r="M548" s="623"/>
      <c r="N548" s="123"/>
      <c r="O548" s="623"/>
      <c r="P548" s="123"/>
      <c r="Q548" s="623"/>
      <c r="R548" s="123"/>
      <c r="S548" s="631"/>
      <c r="T548" s="123"/>
      <c r="U548" s="631"/>
    </row>
    <row r="549" spans="1:21" s="213" customFormat="1">
      <c r="A549" s="210" t="s">
        <v>691</v>
      </c>
      <c r="B549" s="211"/>
      <c r="C549" s="655" t="s">
        <v>380</v>
      </c>
      <c r="D549" s="197"/>
      <c r="E549" s="198"/>
      <c r="F549" s="199"/>
      <c r="G549" s="199"/>
      <c r="H549" s="199"/>
      <c r="I549" s="200"/>
      <c r="J549" s="200">
        <f>SUBTOTAL(9,J550:J555)</f>
        <v>2437.2840000000001</v>
      </c>
      <c r="K549" s="200"/>
      <c r="L549" s="200"/>
      <c r="M549" s="620"/>
      <c r="N549" s="201"/>
      <c r="O549" s="620">
        <f>SUBTOTAL(9,O550:O555)</f>
        <v>0</v>
      </c>
      <c r="P549" s="201"/>
      <c r="Q549" s="620">
        <f>SUBTOTAL(9,Q550:Q555)</f>
        <v>0</v>
      </c>
      <c r="R549" s="200"/>
      <c r="S549" s="620">
        <f>SUBTOTAL(9,S550:S555)</f>
        <v>0</v>
      </c>
      <c r="T549" s="200">
        <f t="shared" si="649"/>
        <v>0</v>
      </c>
      <c r="U549" s="620">
        <f>SUBTOTAL(9,U550:U555)</f>
        <v>2437.2840000000001</v>
      </c>
    </row>
    <row r="550" spans="1:21" s="131" customFormat="1">
      <c r="A550" s="137" t="s">
        <v>692</v>
      </c>
      <c r="B550" s="133"/>
      <c r="C550" s="658" t="s">
        <v>380</v>
      </c>
      <c r="D550" s="126"/>
      <c r="E550" s="127"/>
      <c r="F550" s="128"/>
      <c r="G550" s="128"/>
      <c r="H550" s="128"/>
      <c r="I550" s="129"/>
      <c r="J550" s="129">
        <f>SUBTOTAL(9,J551:J555)</f>
        <v>2437.2840000000001</v>
      </c>
      <c r="K550" s="129"/>
      <c r="L550" s="129"/>
      <c r="M550" s="624"/>
      <c r="N550" s="130"/>
      <c r="O550" s="624">
        <f>SUBTOTAL(9,O551:O555)</f>
        <v>0</v>
      </c>
      <c r="P550" s="130"/>
      <c r="Q550" s="624">
        <f>SUBTOTAL(9,Q551:Q555)</f>
        <v>0</v>
      </c>
      <c r="R550" s="129"/>
      <c r="S550" s="624">
        <f>SUBTOTAL(9,S551:S555)</f>
        <v>0</v>
      </c>
      <c r="T550" s="129">
        <f t="shared" si="649"/>
        <v>0</v>
      </c>
      <c r="U550" s="624">
        <f>SUBTOTAL(9,U551:U555)</f>
        <v>2437.2840000000001</v>
      </c>
    </row>
    <row r="551" spans="1:21" ht="25.5">
      <c r="A551" s="190" t="s">
        <v>693</v>
      </c>
      <c r="B551" s="191">
        <v>160612</v>
      </c>
      <c r="C551" s="657" t="s">
        <v>387</v>
      </c>
      <c r="D551" s="192" t="s">
        <v>59</v>
      </c>
      <c r="E551" s="193">
        <v>29.96</v>
      </c>
      <c r="F551" s="194">
        <v>2</v>
      </c>
      <c r="G551" s="194"/>
      <c r="H551" s="194"/>
      <c r="I551" s="193">
        <f t="shared" ref="I551:I555" si="662">F551+G551-H551</f>
        <v>2</v>
      </c>
      <c r="J551" s="193">
        <f t="shared" ref="J551:J555" si="663">I551*E551</f>
        <v>59.92</v>
      </c>
      <c r="K551" s="193"/>
      <c r="L551" s="193"/>
      <c r="M551" s="622">
        <f t="shared" ref="M551:M555" si="664">I551*E551</f>
        <v>59.92</v>
      </c>
      <c r="N551" s="194">
        <v>0</v>
      </c>
      <c r="O551" s="622">
        <f t="shared" ref="O551" si="665">TRUNC(N551*E551,2)</f>
        <v>0</v>
      </c>
      <c r="P551" s="194"/>
      <c r="Q551" s="622">
        <f t="shared" ref="Q551" si="666">S551-O551</f>
        <v>0</v>
      </c>
      <c r="R551" s="194">
        <f t="shared" ref="R551" si="667">P551+N551</f>
        <v>0</v>
      </c>
      <c r="S551" s="630">
        <f t="shared" ref="S551" si="668">TRUNC(R551*E551,2)</f>
        <v>0</v>
      </c>
      <c r="T551" s="194">
        <f t="shared" si="649"/>
        <v>2</v>
      </c>
      <c r="U551" s="630">
        <f t="shared" ref="U551:U555" si="669">T551*E551</f>
        <v>59.92</v>
      </c>
    </row>
    <row r="552" spans="1:21" ht="38.25">
      <c r="A552" s="190" t="s">
        <v>694</v>
      </c>
      <c r="B552" s="191">
        <v>160608</v>
      </c>
      <c r="C552" s="657" t="s">
        <v>545</v>
      </c>
      <c r="D552" s="192" t="s">
        <v>59</v>
      </c>
      <c r="E552" s="193">
        <v>320.60000000000002</v>
      </c>
      <c r="F552" s="194">
        <v>3</v>
      </c>
      <c r="G552" s="194"/>
      <c r="H552" s="194"/>
      <c r="I552" s="193">
        <f t="shared" si="662"/>
        <v>3</v>
      </c>
      <c r="J552" s="193">
        <f t="shared" si="663"/>
        <v>961.80000000000007</v>
      </c>
      <c r="K552" s="193"/>
      <c r="L552" s="193"/>
      <c r="M552" s="622">
        <f t="shared" si="664"/>
        <v>961.80000000000007</v>
      </c>
      <c r="N552" s="194">
        <v>0</v>
      </c>
      <c r="O552" s="622">
        <f>TRUNC(N552*E552,2)</f>
        <v>0</v>
      </c>
      <c r="P552" s="194"/>
      <c r="Q552" s="622">
        <f>S552-O552</f>
        <v>0</v>
      </c>
      <c r="R552" s="194">
        <f>P552+N552</f>
        <v>0</v>
      </c>
      <c r="S552" s="630">
        <f>TRUNC(R552*E552,2)</f>
        <v>0</v>
      </c>
      <c r="T552" s="194">
        <f t="shared" si="649"/>
        <v>3</v>
      </c>
      <c r="U552" s="630">
        <f t="shared" si="669"/>
        <v>961.80000000000007</v>
      </c>
    </row>
    <row r="553" spans="1:21" ht="25.5">
      <c r="A553" s="190" t="s">
        <v>695</v>
      </c>
      <c r="B553" s="191">
        <v>160613</v>
      </c>
      <c r="C553" s="657" t="s">
        <v>389</v>
      </c>
      <c r="D553" s="192" t="s">
        <v>59</v>
      </c>
      <c r="E553" s="193">
        <v>197.45</v>
      </c>
      <c r="F553" s="194">
        <v>4</v>
      </c>
      <c r="G553" s="194"/>
      <c r="H553" s="194"/>
      <c r="I553" s="193">
        <f t="shared" si="662"/>
        <v>4</v>
      </c>
      <c r="J553" s="193">
        <f t="shared" si="663"/>
        <v>789.8</v>
      </c>
      <c r="K553" s="193"/>
      <c r="L553" s="193"/>
      <c r="M553" s="622">
        <f t="shared" si="664"/>
        <v>789.8</v>
      </c>
      <c r="N553" s="194">
        <v>0</v>
      </c>
      <c r="O553" s="622">
        <f t="shared" ref="O553:O555" si="670">TRUNC(N553*E553,2)</f>
        <v>0</v>
      </c>
      <c r="P553" s="194"/>
      <c r="Q553" s="622">
        <f t="shared" ref="Q553:Q555" si="671">S553-O553</f>
        <v>0</v>
      </c>
      <c r="R553" s="194">
        <f t="shared" ref="R553:R555" si="672">P553+N553</f>
        <v>0</v>
      </c>
      <c r="S553" s="630">
        <f t="shared" ref="S553:S555" si="673">TRUNC(R553*E553,2)</f>
        <v>0</v>
      </c>
      <c r="T553" s="194">
        <f t="shared" si="649"/>
        <v>4</v>
      </c>
      <c r="U553" s="630">
        <f t="shared" si="669"/>
        <v>789.8</v>
      </c>
    </row>
    <row r="554" spans="1:21" ht="38.25">
      <c r="A554" s="190" t="s">
        <v>696</v>
      </c>
      <c r="B554" s="191">
        <v>160607</v>
      </c>
      <c r="C554" s="657" t="s">
        <v>390</v>
      </c>
      <c r="D554" s="192" t="s">
        <v>59</v>
      </c>
      <c r="E554" s="193">
        <v>178.48</v>
      </c>
      <c r="F554" s="194">
        <v>3</v>
      </c>
      <c r="G554" s="194"/>
      <c r="H554" s="194"/>
      <c r="I554" s="193">
        <f t="shared" si="662"/>
        <v>3</v>
      </c>
      <c r="J554" s="193">
        <f t="shared" si="663"/>
        <v>535.43999999999994</v>
      </c>
      <c r="K554" s="193"/>
      <c r="L554" s="193"/>
      <c r="M554" s="622">
        <f t="shared" si="664"/>
        <v>535.43999999999994</v>
      </c>
      <c r="N554" s="194">
        <v>0</v>
      </c>
      <c r="O554" s="622">
        <f t="shared" si="670"/>
        <v>0</v>
      </c>
      <c r="P554" s="194"/>
      <c r="Q554" s="622">
        <f t="shared" si="671"/>
        <v>0</v>
      </c>
      <c r="R554" s="194">
        <f t="shared" si="672"/>
        <v>0</v>
      </c>
      <c r="S554" s="630">
        <f t="shared" si="673"/>
        <v>0</v>
      </c>
      <c r="T554" s="194">
        <f t="shared" si="649"/>
        <v>3</v>
      </c>
      <c r="U554" s="630">
        <f t="shared" si="669"/>
        <v>535.43999999999994</v>
      </c>
    </row>
    <row r="555" spans="1:21" ht="38.25">
      <c r="A555" s="190" t="s">
        <v>697</v>
      </c>
      <c r="B555" s="191">
        <v>190605</v>
      </c>
      <c r="C555" s="657" t="s">
        <v>544</v>
      </c>
      <c r="D555" s="192" t="s">
        <v>57</v>
      </c>
      <c r="E555" s="193">
        <v>50.18</v>
      </c>
      <c r="F555" s="194">
        <v>1.8</v>
      </c>
      <c r="G555" s="194"/>
      <c r="H555" s="194"/>
      <c r="I555" s="193">
        <f t="shared" si="662"/>
        <v>1.8</v>
      </c>
      <c r="J555" s="193">
        <f t="shared" si="663"/>
        <v>90.323999999999998</v>
      </c>
      <c r="K555" s="193"/>
      <c r="L555" s="193"/>
      <c r="M555" s="622">
        <f t="shared" si="664"/>
        <v>90.323999999999998</v>
      </c>
      <c r="N555" s="194">
        <v>0</v>
      </c>
      <c r="O555" s="622">
        <f t="shared" si="670"/>
        <v>0</v>
      </c>
      <c r="P555" s="194"/>
      <c r="Q555" s="622">
        <f t="shared" si="671"/>
        <v>0</v>
      </c>
      <c r="R555" s="194">
        <f t="shared" si="672"/>
        <v>0</v>
      </c>
      <c r="S555" s="630">
        <f t="shared" si="673"/>
        <v>0</v>
      </c>
      <c r="T555" s="194">
        <f t="shared" si="649"/>
        <v>1.8</v>
      </c>
      <c r="U555" s="630">
        <f t="shared" si="669"/>
        <v>90.323999999999998</v>
      </c>
    </row>
    <row r="556" spans="1:21">
      <c r="A556" s="138"/>
      <c r="B556" s="132"/>
      <c r="C556" s="123"/>
      <c r="D556" s="123"/>
      <c r="E556" s="123"/>
      <c r="F556" s="123"/>
      <c r="G556" s="123"/>
      <c r="H556" s="123"/>
      <c r="I556" s="123"/>
      <c r="J556" s="123"/>
      <c r="K556" s="123"/>
      <c r="L556" s="123"/>
      <c r="M556" s="623"/>
      <c r="N556" s="123"/>
      <c r="O556" s="623"/>
      <c r="P556" s="123"/>
      <c r="Q556" s="623"/>
      <c r="R556" s="123"/>
      <c r="S556" s="631"/>
      <c r="T556" s="123"/>
      <c r="U556" s="631"/>
    </row>
    <row r="557" spans="1:21" s="654" customFormat="1" ht="26.25" customHeight="1">
      <c r="A557" s="202">
        <v>5</v>
      </c>
      <c r="B557" s="653" t="s">
        <v>864</v>
      </c>
      <c r="C557" s="654" t="s">
        <v>989</v>
      </c>
      <c r="D557" s="204"/>
      <c r="E557" s="205"/>
      <c r="F557" s="206"/>
      <c r="G557" s="206"/>
      <c r="H557" s="206"/>
      <c r="I557" s="207"/>
      <c r="J557" s="207">
        <f>SUBTOTAL(9,J558:J728)</f>
        <v>1519531.8925999999</v>
      </c>
      <c r="K557" s="207"/>
      <c r="L557" s="207"/>
      <c r="M557" s="619"/>
      <c r="N557" s="208"/>
      <c r="O557" s="619">
        <f>SUBTOTAL(9,O558:O728)</f>
        <v>1374812.3799999994</v>
      </c>
      <c r="P557" s="208"/>
      <c r="Q557" s="619">
        <f>SUBTOTAL(9,Q558:Q728)</f>
        <v>213031.16399999996</v>
      </c>
      <c r="R557" s="207"/>
      <c r="S557" s="619">
        <f>SUBTOTAL(9,S558:S728)</f>
        <v>1951660.9627999996</v>
      </c>
      <c r="T557" s="207">
        <f>F557-R557</f>
        <v>0</v>
      </c>
      <c r="U557" s="619">
        <f>SUBTOTAL(9,U558:U728)</f>
        <v>4.3400000009569339E-2</v>
      </c>
    </row>
    <row r="558" spans="1:21" s="213" customFormat="1">
      <c r="A558" s="210" t="s">
        <v>28</v>
      </c>
      <c r="B558" s="211"/>
      <c r="C558" s="655" t="s">
        <v>65</v>
      </c>
      <c r="D558" s="197"/>
      <c r="E558" s="198"/>
      <c r="F558" s="199"/>
      <c r="G558" s="199"/>
      <c r="H558" s="199"/>
      <c r="I558" s="200"/>
      <c r="J558" s="200">
        <f>SUBTOTAL(9,J559:J565)</f>
        <v>4103.1496999999999</v>
      </c>
      <c r="K558" s="200"/>
      <c r="L558" s="200"/>
      <c r="M558" s="620"/>
      <c r="N558" s="201"/>
      <c r="O558" s="620">
        <f>SUBTOTAL(9,O559:O565)</f>
        <v>4103.1399999999994</v>
      </c>
      <c r="P558" s="201"/>
      <c r="Q558" s="620">
        <f>SUBTOTAL(9,Q559:Q565)</f>
        <v>0</v>
      </c>
      <c r="R558" s="200"/>
      <c r="S558" s="620">
        <f>SUBTOTAL(9,S559:S565)</f>
        <v>4103.1399999999994</v>
      </c>
      <c r="T558" s="200">
        <f t="shared" ref="T558:T625" si="674">F558-R558</f>
        <v>0</v>
      </c>
      <c r="U558" s="620">
        <f>SUBTOTAL(9,U559:U565)</f>
        <v>0</v>
      </c>
    </row>
    <row r="559" spans="1:21" s="131" customFormat="1">
      <c r="A559" s="137" t="s">
        <v>698</v>
      </c>
      <c r="B559" s="133"/>
      <c r="C559" s="658" t="s">
        <v>101</v>
      </c>
      <c r="D559" s="126"/>
      <c r="E559" s="127"/>
      <c r="F559" s="128"/>
      <c r="G559" s="128"/>
      <c r="H559" s="128"/>
      <c r="I559" s="129"/>
      <c r="J559" s="129">
        <f>SUBTOTAL(9,J560:J560)</f>
        <v>1783.68</v>
      </c>
      <c r="K559" s="129"/>
      <c r="L559" s="129"/>
      <c r="M559" s="624"/>
      <c r="N559" s="130"/>
      <c r="O559" s="624">
        <f>SUBTOTAL(9,O560:O560)</f>
        <v>1783.68</v>
      </c>
      <c r="P559" s="130"/>
      <c r="Q559" s="624">
        <f>SUBTOTAL(9,Q560:Q560)</f>
        <v>0</v>
      </c>
      <c r="R559" s="129"/>
      <c r="S559" s="624">
        <f>SUBTOTAL(9,S560:S560)</f>
        <v>1783.68</v>
      </c>
      <c r="T559" s="129">
        <f t="shared" si="674"/>
        <v>0</v>
      </c>
      <c r="U559" s="624">
        <f>SUBTOTAL(9,U560:U560)</f>
        <v>0</v>
      </c>
    </row>
    <row r="560" spans="1:21">
      <c r="A560" s="190" t="s">
        <v>699</v>
      </c>
      <c r="B560" s="191">
        <v>20305</v>
      </c>
      <c r="C560" s="657" t="s">
        <v>103</v>
      </c>
      <c r="D560" s="192" t="s">
        <v>57</v>
      </c>
      <c r="E560" s="193">
        <v>222.96</v>
      </c>
      <c r="F560" s="194">
        <v>8</v>
      </c>
      <c r="G560" s="194"/>
      <c r="H560" s="194"/>
      <c r="I560" s="193">
        <f t="shared" ref="I560" si="675">F560+G560-H560</f>
        <v>8</v>
      </c>
      <c r="J560" s="193">
        <f t="shared" ref="J560" si="676">I560*E560</f>
        <v>1783.68</v>
      </c>
      <c r="K560" s="193"/>
      <c r="L560" s="193"/>
      <c r="M560" s="622">
        <f t="shared" ref="M560" si="677">I560*E560</f>
        <v>1783.68</v>
      </c>
      <c r="N560" s="195">
        <v>8</v>
      </c>
      <c r="O560" s="622">
        <f>TRUNC(N560*E560,2)</f>
        <v>1783.68</v>
      </c>
      <c r="P560" s="194">
        <v>0</v>
      </c>
      <c r="Q560" s="622">
        <f t="shared" ref="Q560" si="678">S560-O560</f>
        <v>0</v>
      </c>
      <c r="R560" s="194">
        <f>P560+N560</f>
        <v>8</v>
      </c>
      <c r="S560" s="630">
        <f>TRUNC(R560*E560,2)</f>
        <v>1783.68</v>
      </c>
      <c r="T560" s="194">
        <f t="shared" si="674"/>
        <v>0</v>
      </c>
      <c r="U560" s="630">
        <f t="shared" ref="U560" si="679">T560*E560</f>
        <v>0</v>
      </c>
    </row>
    <row r="561" spans="1:21">
      <c r="A561" s="138"/>
      <c r="B561" s="132"/>
      <c r="C561" s="123"/>
      <c r="D561" s="123"/>
      <c r="E561" s="123"/>
      <c r="F561" s="123"/>
      <c r="G561" s="123"/>
      <c r="H561" s="123"/>
      <c r="I561" s="123"/>
      <c r="J561" s="123"/>
      <c r="K561" s="123"/>
      <c r="L561" s="123"/>
      <c r="M561" s="623"/>
      <c r="N561" s="123"/>
      <c r="O561" s="623"/>
      <c r="P561" s="123"/>
      <c r="Q561" s="623"/>
      <c r="R561" s="123"/>
      <c r="S561" s="631"/>
      <c r="T561" s="194"/>
      <c r="U561" s="631"/>
    </row>
    <row r="562" spans="1:21" s="131" customFormat="1">
      <c r="A562" s="137" t="s">
        <v>700</v>
      </c>
      <c r="B562" s="133"/>
      <c r="C562" s="658" t="s">
        <v>105</v>
      </c>
      <c r="D562" s="126"/>
      <c r="E562" s="127"/>
      <c r="F562" s="128"/>
      <c r="G562" s="128"/>
      <c r="H562" s="128"/>
      <c r="I562" s="129"/>
      <c r="J562" s="129">
        <f>SUBTOTAL(9,J563:J565)</f>
        <v>2319.4697000000001</v>
      </c>
      <c r="K562" s="129"/>
      <c r="L562" s="129"/>
      <c r="M562" s="624"/>
      <c r="N562" s="130"/>
      <c r="O562" s="624">
        <f>SUBTOTAL(9,O563:O565)</f>
        <v>2319.46</v>
      </c>
      <c r="P562" s="130"/>
      <c r="Q562" s="624">
        <f>SUBTOTAL(9,Q563:Q565)</f>
        <v>0</v>
      </c>
      <c r="R562" s="129"/>
      <c r="S562" s="624">
        <f>SUBTOTAL(9,S563:S565)</f>
        <v>2319.46</v>
      </c>
      <c r="T562" s="129">
        <f t="shared" si="674"/>
        <v>0</v>
      </c>
      <c r="U562" s="624">
        <f>SUBTOTAL(9,U563:U565)</f>
        <v>0</v>
      </c>
    </row>
    <row r="563" spans="1:21">
      <c r="A563" s="190" t="s">
        <v>701</v>
      </c>
      <c r="B563" s="191">
        <v>10402</v>
      </c>
      <c r="C563" s="657" t="s">
        <v>108</v>
      </c>
      <c r="D563" s="192" t="s">
        <v>57</v>
      </c>
      <c r="E563" s="193">
        <v>3.74</v>
      </c>
      <c r="F563" s="194">
        <v>180.88</v>
      </c>
      <c r="G563" s="194"/>
      <c r="H563" s="194"/>
      <c r="I563" s="193">
        <f t="shared" ref="I563:I565" si="680">F563+G563-H563</f>
        <v>180.88</v>
      </c>
      <c r="J563" s="193">
        <f t="shared" ref="J563:J565" si="681">I563*E563</f>
        <v>676.49120000000005</v>
      </c>
      <c r="K563" s="193"/>
      <c r="L563" s="193"/>
      <c r="M563" s="622">
        <f t="shared" ref="M563:M565" si="682">I563*E563</f>
        <v>676.49120000000005</v>
      </c>
      <c r="N563" s="194">
        <f>'5.1.2.1 '!R24</f>
        <v>180.88</v>
      </c>
      <c r="O563" s="622">
        <f>TRUNC(N563*E563,2)</f>
        <v>676.49</v>
      </c>
      <c r="P563" s="264">
        <f>'5.1.2.1 '!R25</f>
        <v>0</v>
      </c>
      <c r="Q563" s="625">
        <f t="shared" ref="Q563:Q565" si="683">S563-O563</f>
        <v>0</v>
      </c>
      <c r="R563" s="194">
        <f>P563+N563</f>
        <v>180.88</v>
      </c>
      <c r="S563" s="630">
        <f>TRUNC(R563*E563,2)</f>
        <v>676.49</v>
      </c>
      <c r="T563" s="194">
        <f t="shared" si="674"/>
        <v>0</v>
      </c>
      <c r="U563" s="630">
        <f t="shared" ref="U563:U565" si="684">T563*E563</f>
        <v>0</v>
      </c>
    </row>
    <row r="564" spans="1:21">
      <c r="A564" s="190" t="s">
        <v>702</v>
      </c>
      <c r="B564" s="191">
        <v>10404</v>
      </c>
      <c r="C564" s="657" t="s">
        <v>118</v>
      </c>
      <c r="D564" s="192" t="s">
        <v>59</v>
      </c>
      <c r="E564" s="193">
        <v>111.49</v>
      </c>
      <c r="F564" s="194">
        <v>1</v>
      </c>
      <c r="G564" s="194"/>
      <c r="H564" s="194"/>
      <c r="I564" s="193">
        <f t="shared" si="680"/>
        <v>1</v>
      </c>
      <c r="J564" s="193">
        <f t="shared" si="681"/>
        <v>111.49</v>
      </c>
      <c r="K564" s="193"/>
      <c r="L564" s="193"/>
      <c r="M564" s="622">
        <f t="shared" si="682"/>
        <v>111.49</v>
      </c>
      <c r="N564" s="194">
        <f>'5.1.2.2'!R24</f>
        <v>1</v>
      </c>
      <c r="O564" s="622">
        <f t="shared" ref="O564:O565" si="685">TRUNC(N564*E564,2)</f>
        <v>111.49</v>
      </c>
      <c r="P564" s="264">
        <f>'5.1.2.2'!R25</f>
        <v>0</v>
      </c>
      <c r="Q564" s="625">
        <f t="shared" si="683"/>
        <v>0</v>
      </c>
      <c r="R564" s="194">
        <f t="shared" ref="R564:R565" si="686">P564+N564</f>
        <v>1</v>
      </c>
      <c r="S564" s="630">
        <f t="shared" ref="S564:S565" si="687">TRUNC(R564*E564,2)</f>
        <v>111.49</v>
      </c>
      <c r="T564" s="194">
        <f t="shared" si="674"/>
        <v>0</v>
      </c>
      <c r="U564" s="630">
        <f t="shared" si="684"/>
        <v>0</v>
      </c>
    </row>
    <row r="565" spans="1:21" ht="38.25">
      <c r="A565" s="190" t="s">
        <v>703</v>
      </c>
      <c r="B565" s="191">
        <v>30304</v>
      </c>
      <c r="C565" s="657" t="s">
        <v>109</v>
      </c>
      <c r="D565" s="192" t="s">
        <v>58</v>
      </c>
      <c r="E565" s="193">
        <v>56.45</v>
      </c>
      <c r="F565" s="194">
        <v>27.13</v>
      </c>
      <c r="G565" s="194"/>
      <c r="H565" s="194"/>
      <c r="I565" s="193">
        <f t="shared" si="680"/>
        <v>27.13</v>
      </c>
      <c r="J565" s="193">
        <f t="shared" si="681"/>
        <v>1531.4884999999999</v>
      </c>
      <c r="K565" s="193"/>
      <c r="L565" s="193"/>
      <c r="M565" s="622">
        <f t="shared" si="682"/>
        <v>1531.4884999999999</v>
      </c>
      <c r="N565" s="194">
        <f>'5.1.2.3'!R24</f>
        <v>27.13</v>
      </c>
      <c r="O565" s="622">
        <f t="shared" si="685"/>
        <v>1531.48</v>
      </c>
      <c r="P565" s="264">
        <f>'5.1.2.3'!R25</f>
        <v>0</v>
      </c>
      <c r="Q565" s="625">
        <f t="shared" si="683"/>
        <v>0</v>
      </c>
      <c r="R565" s="194">
        <f t="shared" si="686"/>
        <v>27.13</v>
      </c>
      <c r="S565" s="630">
        <f t="shared" si="687"/>
        <v>1531.48</v>
      </c>
      <c r="T565" s="194">
        <f t="shared" si="674"/>
        <v>0</v>
      </c>
      <c r="U565" s="630">
        <f t="shared" si="684"/>
        <v>0</v>
      </c>
    </row>
    <row r="566" spans="1:21">
      <c r="A566" s="138"/>
      <c r="B566" s="132"/>
      <c r="C566" s="123"/>
      <c r="D566" s="123"/>
      <c r="E566" s="123"/>
      <c r="F566" s="123"/>
      <c r="G566" s="123"/>
      <c r="H566" s="123"/>
      <c r="I566" s="123"/>
      <c r="J566" s="123"/>
      <c r="K566" s="123"/>
      <c r="L566" s="123"/>
      <c r="M566" s="623"/>
      <c r="N566" s="123"/>
      <c r="O566" s="623"/>
      <c r="P566" s="123"/>
      <c r="Q566" s="623"/>
      <c r="R566" s="123"/>
      <c r="S566" s="631"/>
      <c r="T566" s="123"/>
      <c r="U566" s="631"/>
    </row>
    <row r="567" spans="1:21" s="213" customFormat="1">
      <c r="A567" s="210" t="s">
        <v>704</v>
      </c>
      <c r="B567" s="211"/>
      <c r="C567" s="655" t="s">
        <v>56</v>
      </c>
      <c r="D567" s="197"/>
      <c r="E567" s="198"/>
      <c r="F567" s="199"/>
      <c r="G567" s="199"/>
      <c r="H567" s="199"/>
      <c r="I567" s="200"/>
      <c r="J567" s="200">
        <f>SUBTOTAL(9,J568:J571)</f>
        <v>9398.8073999999997</v>
      </c>
      <c r="K567" s="200"/>
      <c r="L567" s="200"/>
      <c r="M567" s="620"/>
      <c r="N567" s="201"/>
      <c r="O567" s="620">
        <f>SUBTOTAL(9,O568:O571)</f>
        <v>12980.63</v>
      </c>
      <c r="P567" s="201"/>
      <c r="Q567" s="620">
        <f>SUBTOTAL(9,Q568:Q571)</f>
        <v>0</v>
      </c>
      <c r="R567" s="200"/>
      <c r="S567" s="620">
        <f>SUBTOTAL(9,S568:S571)</f>
        <v>12980.63</v>
      </c>
      <c r="T567" s="200">
        <f t="shared" si="674"/>
        <v>0</v>
      </c>
      <c r="U567" s="620">
        <f>SUBTOTAL(9,U568:U571)</f>
        <v>0</v>
      </c>
    </row>
    <row r="568" spans="1:21" s="131" customFormat="1">
      <c r="A568" s="137" t="s">
        <v>705</v>
      </c>
      <c r="B568" s="133"/>
      <c r="C568" s="658" t="s">
        <v>111</v>
      </c>
      <c r="D568" s="126"/>
      <c r="E568" s="127"/>
      <c r="F568" s="128"/>
      <c r="G568" s="128"/>
      <c r="H568" s="128"/>
      <c r="I568" s="129"/>
      <c r="J568" s="129">
        <f>SUBTOTAL(9,J569:J571)</f>
        <v>9398.8073999999997</v>
      </c>
      <c r="K568" s="129"/>
      <c r="L568" s="129"/>
      <c r="M568" s="624"/>
      <c r="N568" s="130"/>
      <c r="O568" s="624">
        <f>SUBTOTAL(9,O569:O571)</f>
        <v>12980.63</v>
      </c>
      <c r="P568" s="130"/>
      <c r="Q568" s="624">
        <f>SUBTOTAL(9,Q569:Q571)</f>
        <v>0</v>
      </c>
      <c r="R568" s="129"/>
      <c r="S568" s="624">
        <f>SUBTOTAL(9,S569:S571)</f>
        <v>12980.63</v>
      </c>
      <c r="T568" s="129">
        <f t="shared" si="674"/>
        <v>0</v>
      </c>
      <c r="U568" s="624">
        <f>SUBTOTAL(9,U569:U571)</f>
        <v>0</v>
      </c>
    </row>
    <row r="569" spans="1:21">
      <c r="A569" s="190" t="s">
        <v>706</v>
      </c>
      <c r="B569" s="191">
        <v>30103</v>
      </c>
      <c r="C569" s="657" t="s">
        <v>116</v>
      </c>
      <c r="D569" s="192" t="s">
        <v>58</v>
      </c>
      <c r="E569" s="193">
        <v>9.81</v>
      </c>
      <c r="F569" s="194">
        <v>0.88</v>
      </c>
      <c r="G569" s="194">
        <f>REPLANILHAMENTO!H499</f>
        <v>365.12</v>
      </c>
      <c r="H569" s="194"/>
      <c r="I569" s="193">
        <f>F569+G569</f>
        <v>366</v>
      </c>
      <c r="J569" s="193">
        <f>F569*E569</f>
        <v>8.6328000000000014</v>
      </c>
      <c r="K569" s="193">
        <f>G569*E569</f>
        <v>3581.8272000000002</v>
      </c>
      <c r="L569" s="193"/>
      <c r="M569" s="622">
        <f>I569*E569</f>
        <v>3590.46</v>
      </c>
      <c r="N569" s="194">
        <f>'5.2.1.1'!R24</f>
        <v>366</v>
      </c>
      <c r="O569" s="622">
        <f t="shared" ref="O569" si="688">TRUNC(N569*E569,2)</f>
        <v>3590.46</v>
      </c>
      <c r="P569" s="264">
        <f>'5.2.1.1'!R25</f>
        <v>0</v>
      </c>
      <c r="Q569" s="625">
        <f>P569*E569</f>
        <v>0</v>
      </c>
      <c r="R569" s="194">
        <f t="shared" ref="R569" si="689">P569+N569</f>
        <v>366</v>
      </c>
      <c r="S569" s="630">
        <f t="shared" ref="S569" si="690">TRUNC(R569*E569,2)</f>
        <v>3590.46</v>
      </c>
      <c r="T569" s="194">
        <v>0</v>
      </c>
      <c r="U569" s="630">
        <v>0</v>
      </c>
    </row>
    <row r="570" spans="1:21" ht="25.5">
      <c r="A570" s="190" t="s">
        <v>707</v>
      </c>
      <c r="B570" s="191">
        <v>30210</v>
      </c>
      <c r="C570" s="657" t="s">
        <v>117</v>
      </c>
      <c r="D570" s="192" t="s">
        <v>58</v>
      </c>
      <c r="E570" s="193">
        <v>25.99</v>
      </c>
      <c r="F570" s="194">
        <v>0.88</v>
      </c>
      <c r="G570" s="194"/>
      <c r="H570" s="194"/>
      <c r="I570" s="193">
        <f t="shared" ref="I570:I571" si="691">F570+G570-H570</f>
        <v>0.88</v>
      </c>
      <c r="J570" s="193">
        <f t="shared" ref="J570:J571" si="692">I570*E570</f>
        <v>22.871199999999998</v>
      </c>
      <c r="K570" s="193"/>
      <c r="L570" s="193"/>
      <c r="M570" s="622">
        <f t="shared" ref="M570:M571" si="693">I570*E570</f>
        <v>22.871199999999998</v>
      </c>
      <c r="N570" s="194">
        <v>0.88</v>
      </c>
      <c r="O570" s="622">
        <f>TRUNC(N570*E570,2)</f>
        <v>22.87</v>
      </c>
      <c r="P570" s="264">
        <v>0</v>
      </c>
      <c r="Q570" s="625">
        <f>S570-O570</f>
        <v>0</v>
      </c>
      <c r="R570" s="194">
        <f>P570+N570</f>
        <v>0.88</v>
      </c>
      <c r="S570" s="630">
        <f>TRUNC(R570*E570,2)</f>
        <v>22.87</v>
      </c>
      <c r="T570" s="194">
        <f t="shared" ref="T570" si="694">F570-R570</f>
        <v>0</v>
      </c>
      <c r="U570" s="630">
        <f t="shared" ref="U570:U571" si="695">T570*E570</f>
        <v>0</v>
      </c>
    </row>
    <row r="571" spans="1:21" ht="25.5">
      <c r="A571" s="190" t="s">
        <v>708</v>
      </c>
      <c r="B571" s="191">
        <v>30208</v>
      </c>
      <c r="C571" s="657" t="s">
        <v>709</v>
      </c>
      <c r="D571" s="192" t="s">
        <v>58</v>
      </c>
      <c r="E571" s="193">
        <v>115.66</v>
      </c>
      <c r="F571" s="194">
        <v>80.989999999999995</v>
      </c>
      <c r="G571" s="194"/>
      <c r="H571" s="194"/>
      <c r="I571" s="193">
        <f t="shared" si="691"/>
        <v>80.989999999999995</v>
      </c>
      <c r="J571" s="193">
        <f t="shared" si="692"/>
        <v>9367.3033999999989</v>
      </c>
      <c r="K571" s="193"/>
      <c r="L571" s="193"/>
      <c r="M571" s="622">
        <f t="shared" si="693"/>
        <v>9367.3033999999989</v>
      </c>
      <c r="N571" s="194">
        <v>80.989999999999995</v>
      </c>
      <c r="O571" s="622">
        <f>TRUNC(N571*E571,2)</f>
        <v>9367.2999999999993</v>
      </c>
      <c r="P571" s="264">
        <v>0</v>
      </c>
      <c r="Q571" s="625">
        <f>S571-O571</f>
        <v>0</v>
      </c>
      <c r="R571" s="194">
        <f>P571+N571</f>
        <v>80.989999999999995</v>
      </c>
      <c r="S571" s="630">
        <f>TRUNC(R571*E571,2)</f>
        <v>9367.2999999999993</v>
      </c>
      <c r="T571" s="194">
        <f t="shared" si="674"/>
        <v>0</v>
      </c>
      <c r="U571" s="630">
        <f t="shared" si="695"/>
        <v>0</v>
      </c>
    </row>
    <row r="572" spans="1:21" s="213" customFormat="1">
      <c r="A572" s="210" t="s">
        <v>710</v>
      </c>
      <c r="B572" s="211"/>
      <c r="C572" s="655" t="s">
        <v>119</v>
      </c>
      <c r="D572" s="197"/>
      <c r="E572" s="198"/>
      <c r="F572" s="199"/>
      <c r="G572" s="199"/>
      <c r="H572" s="199"/>
      <c r="I572" s="200"/>
      <c r="J572" s="200">
        <f>SUBTOTAL(9,J573:J644)</f>
        <v>365305.14220000006</v>
      </c>
      <c r="K572" s="200"/>
      <c r="L572" s="200"/>
      <c r="M572" s="620"/>
      <c r="N572" s="201"/>
      <c r="O572" s="620">
        <f>SUBTOTAL(9,O573:O644)</f>
        <v>532220.92999999993</v>
      </c>
      <c r="P572" s="201"/>
      <c r="Q572" s="620">
        <f>SUBTOTAL(9,Q573:Q644)</f>
        <v>0</v>
      </c>
      <c r="R572" s="200"/>
      <c r="S572" s="620">
        <f>SUBTOTAL(9,S573:S644)</f>
        <v>545660.09279999998</v>
      </c>
      <c r="T572" s="200">
        <f t="shared" si="674"/>
        <v>0</v>
      </c>
      <c r="U572" s="620">
        <f>SUBTOTAL(9,U573:U644)</f>
        <v>4.3400000009569339E-2</v>
      </c>
    </row>
    <row r="573" spans="1:21" s="131" customFormat="1">
      <c r="A573" s="137" t="s">
        <v>711</v>
      </c>
      <c r="B573" s="133"/>
      <c r="C573" s="658" t="s">
        <v>98</v>
      </c>
      <c r="D573" s="126"/>
      <c r="E573" s="127"/>
      <c r="F573" s="128"/>
      <c r="G573" s="128"/>
      <c r="H573" s="128"/>
      <c r="I573" s="129"/>
      <c r="J573" s="129">
        <f>SUBTOTAL(9,J574:J575)</f>
        <v>1390.9672</v>
      </c>
      <c r="K573" s="129"/>
      <c r="L573" s="129"/>
      <c r="M573" s="624"/>
      <c r="N573" s="130"/>
      <c r="O573" s="624">
        <f>SUBTOTAL(9,O574)</f>
        <v>1390.96</v>
      </c>
      <c r="P573" s="130"/>
      <c r="Q573" s="624">
        <f>SUBTOTAL(9,Q574:Q575)</f>
        <v>0</v>
      </c>
      <c r="R573" s="129"/>
      <c r="S573" s="624">
        <f>SUBTOTAL(9,S574:S575)</f>
        <v>2267.83</v>
      </c>
      <c r="T573" s="129">
        <f t="shared" si="674"/>
        <v>0</v>
      </c>
      <c r="U573" s="624">
        <f>SUBTOTAL(9,U574)</f>
        <v>0</v>
      </c>
    </row>
    <row r="574" spans="1:21">
      <c r="A574" s="190" t="s">
        <v>712</v>
      </c>
      <c r="B574" s="191">
        <v>10501</v>
      </c>
      <c r="C574" s="657" t="s">
        <v>122</v>
      </c>
      <c r="D574" s="192" t="s">
        <v>57</v>
      </c>
      <c r="E574" s="193">
        <v>7.69</v>
      </c>
      <c r="F574" s="194">
        <v>180.88</v>
      </c>
      <c r="G574" s="194"/>
      <c r="H574" s="194"/>
      <c r="I574" s="193">
        <f t="shared" ref="I574" si="696">F574+G574-H574</f>
        <v>180.88</v>
      </c>
      <c r="J574" s="193">
        <f t="shared" ref="J574" si="697">I574*E574</f>
        <v>1390.9672</v>
      </c>
      <c r="K574" s="193"/>
      <c r="L574" s="193"/>
      <c r="M574" s="622">
        <f t="shared" ref="M574" si="698">I574*E574</f>
        <v>1390.9672</v>
      </c>
      <c r="N574" s="194">
        <v>180.88</v>
      </c>
      <c r="O574" s="622">
        <f t="shared" ref="O574" si="699">TRUNC(N574*E574,2)</f>
        <v>1390.96</v>
      </c>
      <c r="P574" s="264">
        <v>0</v>
      </c>
      <c r="Q574" s="625">
        <f t="shared" ref="Q574" si="700">S574-O574</f>
        <v>0</v>
      </c>
      <c r="R574" s="194">
        <f t="shared" ref="R574:R575" si="701">P574+N574</f>
        <v>180.88</v>
      </c>
      <c r="S574" s="630">
        <f t="shared" ref="S574:S575" si="702">TRUNC(R574*E574,2)</f>
        <v>1390.96</v>
      </c>
      <c r="T574" s="194">
        <f t="shared" si="674"/>
        <v>0</v>
      </c>
      <c r="U574" s="630">
        <f t="shared" ref="U574:U575" si="703">T574*E574</f>
        <v>0</v>
      </c>
    </row>
    <row r="575" spans="1:21">
      <c r="A575" s="190" t="s">
        <v>1220</v>
      </c>
      <c r="B575" s="191" t="s">
        <v>1093</v>
      </c>
      <c r="C575" s="657" t="s">
        <v>1095</v>
      </c>
      <c r="D575" s="192" t="s">
        <v>51</v>
      </c>
      <c r="E575" s="193">
        <v>8.0299999999999994</v>
      </c>
      <c r="F575" s="194">
        <v>0</v>
      </c>
      <c r="G575" s="194">
        <v>114</v>
      </c>
      <c r="H575" s="194"/>
      <c r="I575" s="193">
        <v>109.2</v>
      </c>
      <c r="J575" s="193"/>
      <c r="K575" s="193">
        <f>G575*E575</f>
        <v>915.42</v>
      </c>
      <c r="L575" s="193"/>
      <c r="M575" s="622">
        <f>I575*E575</f>
        <v>876.87599999999998</v>
      </c>
      <c r="N575" s="194">
        <v>109.2</v>
      </c>
      <c r="O575" s="622"/>
      <c r="P575" s="560">
        <v>0</v>
      </c>
      <c r="Q575" s="630">
        <f>P575*E575</f>
        <v>0</v>
      </c>
      <c r="R575" s="560">
        <f t="shared" si="701"/>
        <v>109.2</v>
      </c>
      <c r="S575" s="630">
        <f t="shared" si="702"/>
        <v>876.87</v>
      </c>
      <c r="T575" s="560">
        <f>I575-R575</f>
        <v>0</v>
      </c>
      <c r="U575" s="630">
        <f t="shared" si="703"/>
        <v>0</v>
      </c>
    </row>
    <row r="576" spans="1:21">
      <c r="A576" s="138"/>
      <c r="B576" s="132"/>
      <c r="C576" s="123"/>
      <c r="D576" s="123"/>
      <c r="E576" s="123"/>
      <c r="F576" s="123"/>
      <c r="G576" s="123"/>
      <c r="H576" s="123"/>
      <c r="I576" s="123"/>
      <c r="J576" s="123"/>
      <c r="K576" s="123"/>
      <c r="L576" s="123"/>
      <c r="M576" s="623"/>
      <c r="N576" s="123"/>
      <c r="O576" s="623"/>
      <c r="P576" s="123"/>
      <c r="Q576" s="623"/>
      <c r="R576" s="123"/>
      <c r="S576" s="631"/>
      <c r="T576" s="194"/>
      <c r="U576" s="630"/>
    </row>
    <row r="577" spans="1:21" s="131" customFormat="1">
      <c r="A577" s="137" t="s">
        <v>713</v>
      </c>
      <c r="B577" s="133"/>
      <c r="C577" s="658" t="s">
        <v>124</v>
      </c>
      <c r="D577" s="126"/>
      <c r="E577" s="127"/>
      <c r="F577" s="128"/>
      <c r="G577" s="128"/>
      <c r="H577" s="128"/>
      <c r="I577" s="129"/>
      <c r="J577" s="129">
        <f>SUBTOTAL(9,J578:J588)</f>
        <v>130072.26519999999</v>
      </c>
      <c r="K577" s="129"/>
      <c r="L577" s="129"/>
      <c r="M577" s="624"/>
      <c r="N577" s="130"/>
      <c r="O577" s="624">
        <f>SUBTOTAL(9,O578:O588)</f>
        <v>285250.59000000003</v>
      </c>
      <c r="P577" s="130"/>
      <c r="Q577" s="624">
        <f>SUBTOTAL(9,Q578:Q588)</f>
        <v>0</v>
      </c>
      <c r="R577" s="129"/>
      <c r="S577" s="624">
        <f>SUBTOTAL(9,S578:S588)</f>
        <v>297812.88</v>
      </c>
      <c r="T577" s="129">
        <f t="shared" si="674"/>
        <v>0</v>
      </c>
      <c r="U577" s="624">
        <f>SUBTOTAL(9,U578:U588)</f>
        <v>0</v>
      </c>
    </row>
    <row r="578" spans="1:21" ht="25.5">
      <c r="A578" s="190" t="s">
        <v>714</v>
      </c>
      <c r="B578" s="191" t="s">
        <v>136</v>
      </c>
      <c r="C578" s="657" t="s">
        <v>141</v>
      </c>
      <c r="D578" s="192" t="s">
        <v>60</v>
      </c>
      <c r="E578" s="193">
        <v>462.96</v>
      </c>
      <c r="F578" s="194">
        <v>85</v>
      </c>
      <c r="G578" s="194"/>
      <c r="H578" s="194"/>
      <c r="I578" s="193">
        <f t="shared" ref="I578" si="704">F578+G578-H578</f>
        <v>85</v>
      </c>
      <c r="J578" s="193">
        <f t="shared" ref="J578" si="705">I578*E578</f>
        <v>39351.599999999999</v>
      </c>
      <c r="K578" s="193"/>
      <c r="L578" s="193"/>
      <c r="M578" s="622">
        <f t="shared" ref="M578" si="706">I578*E578</f>
        <v>39351.599999999999</v>
      </c>
      <c r="N578" s="194">
        <v>85</v>
      </c>
      <c r="O578" s="622">
        <f t="shared" ref="O578" si="707">TRUNC(N578*E578,2)</f>
        <v>39351.599999999999</v>
      </c>
      <c r="P578" s="194">
        <v>0</v>
      </c>
      <c r="Q578" s="622">
        <f t="shared" ref="Q578" si="708">S578-O578</f>
        <v>0</v>
      </c>
      <c r="R578" s="194">
        <f t="shared" ref="R578" si="709">P578+N578</f>
        <v>85</v>
      </c>
      <c r="S578" s="630">
        <f t="shared" ref="S578" si="710">TRUNC(R578*E578,2)</f>
        <v>39351.599999999999</v>
      </c>
      <c r="T578" s="194">
        <f t="shared" si="674"/>
        <v>0</v>
      </c>
      <c r="U578" s="630">
        <f t="shared" ref="U578" si="711">T578*E578</f>
        <v>0</v>
      </c>
    </row>
    <row r="579" spans="1:21" s="659" customFormat="1">
      <c r="A579" s="555" t="s">
        <v>715</v>
      </c>
      <c r="B579" s="556" t="s">
        <v>137</v>
      </c>
      <c r="C579" s="660" t="s">
        <v>142</v>
      </c>
      <c r="D579" s="557" t="s">
        <v>49</v>
      </c>
      <c r="E579" s="558">
        <v>596.34</v>
      </c>
      <c r="F579" s="559">
        <v>36.83</v>
      </c>
      <c r="G579" s="559"/>
      <c r="H579" s="559">
        <f>F579</f>
        <v>36.83</v>
      </c>
      <c r="I579" s="558">
        <f>F579-H579</f>
        <v>0</v>
      </c>
      <c r="J579" s="558">
        <f>F579*E579</f>
        <v>21963.2022</v>
      </c>
      <c r="K579" s="558"/>
      <c r="L579" s="558">
        <f>H579*E579</f>
        <v>21963.2022</v>
      </c>
      <c r="M579" s="626">
        <f>I579*E579</f>
        <v>0</v>
      </c>
      <c r="N579" s="559">
        <v>0</v>
      </c>
      <c r="O579" s="626">
        <f>TRUNC(N579*E579,2)</f>
        <v>0</v>
      </c>
      <c r="P579" s="559">
        <f>IFERROR(VLOOKUP(A579,#REF!,18,FALSE),)</f>
        <v>0</v>
      </c>
      <c r="Q579" s="626">
        <f>S579-O579</f>
        <v>0</v>
      </c>
      <c r="R579" s="559">
        <f>P579+N579</f>
        <v>0</v>
      </c>
      <c r="S579" s="632">
        <f>TRUNC(R579*E579,2)</f>
        <v>0</v>
      </c>
      <c r="T579" s="559">
        <v>0</v>
      </c>
      <c r="U579" s="632">
        <f t="shared" ref="U579:U586" si="712">I579-S579</f>
        <v>0</v>
      </c>
    </row>
    <row r="580" spans="1:21" s="659" customFormat="1" ht="25.5">
      <c r="A580" s="555" t="s">
        <v>716</v>
      </c>
      <c r="B580" s="556" t="s">
        <v>138</v>
      </c>
      <c r="C580" s="660" t="s">
        <v>143</v>
      </c>
      <c r="D580" s="557" t="s">
        <v>29</v>
      </c>
      <c r="E580" s="558">
        <v>4.82</v>
      </c>
      <c r="F580" s="559">
        <v>528</v>
      </c>
      <c r="G580" s="559"/>
      <c r="H580" s="559">
        <f t="shared" ref="H580:H582" si="713">F580</f>
        <v>528</v>
      </c>
      <c r="I580" s="558">
        <f t="shared" ref="I580:I581" si="714">F580-H580</f>
        <v>0</v>
      </c>
      <c r="J580" s="558">
        <f t="shared" ref="J580:J582" si="715">F580*E580</f>
        <v>2544.96</v>
      </c>
      <c r="K580" s="558"/>
      <c r="L580" s="558">
        <f t="shared" ref="L580:L582" si="716">H580*E580</f>
        <v>2544.96</v>
      </c>
      <c r="M580" s="626">
        <f t="shared" ref="M580:M582" si="717">I580*E580</f>
        <v>0</v>
      </c>
      <c r="N580" s="559">
        <v>0</v>
      </c>
      <c r="O580" s="626">
        <f t="shared" ref="O580:O586" si="718">TRUNC(N580*E580,2)</f>
        <v>0</v>
      </c>
      <c r="P580" s="559">
        <f>IFERROR(VLOOKUP(A580,#REF!,18,FALSE),)</f>
        <v>0</v>
      </c>
      <c r="Q580" s="626">
        <f t="shared" ref="Q580:Q586" si="719">S580-O580</f>
        <v>0</v>
      </c>
      <c r="R580" s="559">
        <f t="shared" ref="R580:R586" si="720">P580+N580</f>
        <v>0</v>
      </c>
      <c r="S580" s="632">
        <f t="shared" ref="S580:S586" si="721">TRUNC(R580*E580,2)</f>
        <v>0</v>
      </c>
      <c r="T580" s="559">
        <v>0</v>
      </c>
      <c r="U580" s="632">
        <f t="shared" si="712"/>
        <v>0</v>
      </c>
    </row>
    <row r="581" spans="1:21" s="659" customFormat="1" ht="25.5">
      <c r="A581" s="555" t="s">
        <v>717</v>
      </c>
      <c r="B581" s="556" t="s">
        <v>139</v>
      </c>
      <c r="C581" s="660" t="s">
        <v>144</v>
      </c>
      <c r="D581" s="557" t="s">
        <v>29</v>
      </c>
      <c r="E581" s="558">
        <v>6.12</v>
      </c>
      <c r="F581" s="559">
        <v>4554</v>
      </c>
      <c r="G581" s="559"/>
      <c r="H581" s="559">
        <f t="shared" si="713"/>
        <v>4554</v>
      </c>
      <c r="I581" s="558">
        <f t="shared" si="714"/>
        <v>0</v>
      </c>
      <c r="J581" s="558">
        <f t="shared" si="715"/>
        <v>27870.48</v>
      </c>
      <c r="K581" s="558"/>
      <c r="L581" s="558">
        <f t="shared" si="716"/>
        <v>27870.48</v>
      </c>
      <c r="M581" s="626">
        <f t="shared" si="717"/>
        <v>0</v>
      </c>
      <c r="N581" s="559">
        <v>0</v>
      </c>
      <c r="O581" s="626">
        <f t="shared" si="718"/>
        <v>0</v>
      </c>
      <c r="P581" s="559">
        <v>0</v>
      </c>
      <c r="Q581" s="626">
        <f t="shared" si="719"/>
        <v>0</v>
      </c>
      <c r="R581" s="559">
        <f t="shared" si="720"/>
        <v>0</v>
      </c>
      <c r="S581" s="632">
        <f t="shared" si="721"/>
        <v>0</v>
      </c>
      <c r="T581" s="559">
        <v>0</v>
      </c>
      <c r="U581" s="632">
        <f t="shared" si="712"/>
        <v>0</v>
      </c>
    </row>
    <row r="582" spans="1:21" s="659" customFormat="1" ht="25.5">
      <c r="A582" s="555" t="s">
        <v>718</v>
      </c>
      <c r="B582" s="556">
        <v>30101</v>
      </c>
      <c r="C582" s="660" t="s">
        <v>145</v>
      </c>
      <c r="D582" s="557" t="s">
        <v>58</v>
      </c>
      <c r="E582" s="558">
        <v>48.58</v>
      </c>
      <c r="F582" s="559">
        <v>5.8</v>
      </c>
      <c r="G582" s="559"/>
      <c r="H582" s="559">
        <f t="shared" si="713"/>
        <v>5.8</v>
      </c>
      <c r="I582" s="558">
        <f>F582-H582</f>
        <v>0</v>
      </c>
      <c r="J582" s="558">
        <f t="shared" si="715"/>
        <v>281.76399999999995</v>
      </c>
      <c r="K582" s="558"/>
      <c r="L582" s="558">
        <f t="shared" si="716"/>
        <v>281.76399999999995</v>
      </c>
      <c r="M582" s="626">
        <f t="shared" si="717"/>
        <v>0</v>
      </c>
      <c r="N582" s="559">
        <v>0</v>
      </c>
      <c r="O582" s="626">
        <f t="shared" si="718"/>
        <v>0</v>
      </c>
      <c r="P582" s="559">
        <f>IFERROR(VLOOKUP(A582,#REF!,18,FALSE),)</f>
        <v>0</v>
      </c>
      <c r="Q582" s="626">
        <f t="shared" si="719"/>
        <v>0</v>
      </c>
      <c r="R582" s="559">
        <f t="shared" si="720"/>
        <v>0</v>
      </c>
      <c r="S582" s="632">
        <f t="shared" si="721"/>
        <v>0</v>
      </c>
      <c r="T582" s="559">
        <v>0</v>
      </c>
      <c r="U582" s="632">
        <f t="shared" si="712"/>
        <v>0</v>
      </c>
    </row>
    <row r="583" spans="1:21" ht="51">
      <c r="A583" s="190" t="s">
        <v>719</v>
      </c>
      <c r="B583" s="191">
        <v>40339</v>
      </c>
      <c r="C583" s="657" t="s">
        <v>146</v>
      </c>
      <c r="D583" s="192" t="s">
        <v>57</v>
      </c>
      <c r="E583" s="193">
        <v>91.04</v>
      </c>
      <c r="F583" s="194">
        <v>122.6</v>
      </c>
      <c r="G583" s="194">
        <f>REPLANILHAMENTO!H512</f>
        <v>756.37</v>
      </c>
      <c r="H583" s="194"/>
      <c r="I583" s="193">
        <f>F583+G583</f>
        <v>878.97</v>
      </c>
      <c r="J583" s="193">
        <f>F583*E583</f>
        <v>11161.504000000001</v>
      </c>
      <c r="K583" s="193">
        <f>G583*E583</f>
        <v>68859.924800000008</v>
      </c>
      <c r="L583" s="193"/>
      <c r="M583" s="622">
        <f>I583*E583</f>
        <v>80021.428800000009</v>
      </c>
      <c r="N583" s="194">
        <f>'5.3.2.6'!R24</f>
        <v>878.97</v>
      </c>
      <c r="O583" s="622">
        <f t="shared" si="718"/>
        <v>80021.42</v>
      </c>
      <c r="P583" s="194">
        <f>'5.3.2.6'!R25</f>
        <v>0</v>
      </c>
      <c r="Q583" s="622">
        <f>P583*E583</f>
        <v>0</v>
      </c>
      <c r="R583" s="194">
        <f>P583+N583</f>
        <v>878.97</v>
      </c>
      <c r="S583" s="630">
        <f>TRUNC(R583*E583,2)</f>
        <v>80021.42</v>
      </c>
      <c r="T583" s="194">
        <f>I583-R583</f>
        <v>0</v>
      </c>
      <c r="U583" s="630">
        <f>T583*E583</f>
        <v>0</v>
      </c>
    </row>
    <row r="584" spans="1:21" ht="25.5">
      <c r="A584" s="190" t="s">
        <v>720</v>
      </c>
      <c r="B584" s="191">
        <v>40328</v>
      </c>
      <c r="C584" s="657" t="s">
        <v>147</v>
      </c>
      <c r="D584" s="192" t="s">
        <v>29</v>
      </c>
      <c r="E584" s="193">
        <v>7.98</v>
      </c>
      <c r="F584" s="194">
        <v>584</v>
      </c>
      <c r="G584" s="194">
        <f>REPLANILHAMENTO!H513</f>
        <v>11879</v>
      </c>
      <c r="H584" s="194"/>
      <c r="I584" s="193">
        <f>F584+G584</f>
        <v>12463</v>
      </c>
      <c r="J584" s="193">
        <f>F584*E584</f>
        <v>4660.3200000000006</v>
      </c>
      <c r="K584" s="193">
        <f>G584*E584</f>
        <v>94794.42</v>
      </c>
      <c r="L584" s="193"/>
      <c r="M584" s="622">
        <f>I584*E584</f>
        <v>99454.74</v>
      </c>
      <c r="N584" s="194">
        <f>'5.3.2.7'!R23</f>
        <v>12463</v>
      </c>
      <c r="O584" s="622">
        <f t="shared" si="718"/>
        <v>99454.74</v>
      </c>
      <c r="P584" s="194">
        <f>'5.3.2.7'!R24</f>
        <v>0</v>
      </c>
      <c r="Q584" s="622">
        <f>P584*E584</f>
        <v>0</v>
      </c>
      <c r="R584" s="194">
        <f>P584+N584</f>
        <v>12463</v>
      </c>
      <c r="S584" s="630">
        <f>TRUNC(R584*E584,2)</f>
        <v>99454.74</v>
      </c>
      <c r="T584" s="194">
        <f>I584-R584</f>
        <v>0</v>
      </c>
      <c r="U584" s="630">
        <f>T584*E584</f>
        <v>0</v>
      </c>
    </row>
    <row r="585" spans="1:21" s="659" customFormat="1" ht="25.5">
      <c r="A585" s="555" t="s">
        <v>721</v>
      </c>
      <c r="B585" s="556">
        <v>40245</v>
      </c>
      <c r="C585" s="660" t="s">
        <v>148</v>
      </c>
      <c r="D585" s="557" t="s">
        <v>29</v>
      </c>
      <c r="E585" s="558">
        <v>8.41</v>
      </c>
      <c r="F585" s="559">
        <v>144</v>
      </c>
      <c r="G585" s="559"/>
      <c r="H585" s="559">
        <f>F585</f>
        <v>144</v>
      </c>
      <c r="I585" s="558">
        <f>F585-H585</f>
        <v>0</v>
      </c>
      <c r="J585" s="558">
        <f t="shared" ref="J585:J586" si="722">F585*E585</f>
        <v>1211.04</v>
      </c>
      <c r="K585" s="558"/>
      <c r="L585" s="558">
        <f t="shared" ref="L585:L586" si="723">H585*E585</f>
        <v>1211.04</v>
      </c>
      <c r="M585" s="626">
        <f t="shared" ref="M585:M586" si="724">I585*E585</f>
        <v>0</v>
      </c>
      <c r="N585" s="559">
        <v>0</v>
      </c>
      <c r="O585" s="626">
        <f t="shared" si="718"/>
        <v>0</v>
      </c>
      <c r="P585" s="559">
        <v>0</v>
      </c>
      <c r="Q585" s="626">
        <f t="shared" si="719"/>
        <v>0</v>
      </c>
      <c r="R585" s="559">
        <f t="shared" si="720"/>
        <v>0</v>
      </c>
      <c r="S585" s="632">
        <f t="shared" si="721"/>
        <v>0</v>
      </c>
      <c r="T585" s="559">
        <v>0</v>
      </c>
      <c r="U585" s="632">
        <f t="shared" si="712"/>
        <v>0</v>
      </c>
    </row>
    <row r="586" spans="1:21" s="659" customFormat="1" ht="25.5">
      <c r="A586" s="555" t="s">
        <v>722</v>
      </c>
      <c r="B586" s="556">
        <v>40246</v>
      </c>
      <c r="C586" s="660" t="s">
        <v>149</v>
      </c>
      <c r="D586" s="557" t="s">
        <v>29</v>
      </c>
      <c r="E586" s="558">
        <v>8.08</v>
      </c>
      <c r="F586" s="559">
        <v>37</v>
      </c>
      <c r="G586" s="559"/>
      <c r="H586" s="559">
        <f>F586</f>
        <v>37</v>
      </c>
      <c r="I586" s="558">
        <f>F586-H586</f>
        <v>0</v>
      </c>
      <c r="J586" s="558">
        <f t="shared" si="722"/>
        <v>298.95999999999998</v>
      </c>
      <c r="K586" s="558"/>
      <c r="L586" s="558">
        <f t="shared" si="723"/>
        <v>298.95999999999998</v>
      </c>
      <c r="M586" s="626">
        <f t="shared" si="724"/>
        <v>0</v>
      </c>
      <c r="N586" s="559">
        <v>0</v>
      </c>
      <c r="O586" s="626">
        <f t="shared" si="718"/>
        <v>0</v>
      </c>
      <c r="P586" s="559">
        <v>0</v>
      </c>
      <c r="Q586" s="626">
        <f t="shared" si="719"/>
        <v>0</v>
      </c>
      <c r="R586" s="559">
        <f t="shared" si="720"/>
        <v>0</v>
      </c>
      <c r="S586" s="632">
        <f t="shared" si="721"/>
        <v>0</v>
      </c>
      <c r="T586" s="559">
        <v>0</v>
      </c>
      <c r="U586" s="632">
        <f t="shared" si="712"/>
        <v>0</v>
      </c>
    </row>
    <row r="587" spans="1:21" ht="51">
      <c r="A587" s="190" t="s">
        <v>723</v>
      </c>
      <c r="B587" s="191" t="s">
        <v>140</v>
      </c>
      <c r="C587" s="657" t="s">
        <v>177</v>
      </c>
      <c r="D587" s="192" t="s">
        <v>58</v>
      </c>
      <c r="E587" s="193">
        <v>486.08</v>
      </c>
      <c r="F587" s="194">
        <v>16.8</v>
      </c>
      <c r="G587" s="194">
        <f>REPLANILHAMENTO!H517</f>
        <v>119.85000000000001</v>
      </c>
      <c r="H587" s="194"/>
      <c r="I587" s="193">
        <f>F587+G587</f>
        <v>136.65</v>
      </c>
      <c r="J587" s="193">
        <f>F587*E587</f>
        <v>8166.1440000000002</v>
      </c>
      <c r="K587" s="193">
        <f>G587*E587</f>
        <v>58256.688000000002</v>
      </c>
      <c r="L587" s="193"/>
      <c r="M587" s="622">
        <f>I587*E587</f>
        <v>66422.831999999995</v>
      </c>
      <c r="N587" s="194">
        <f>'5.3.2.10'!R37</f>
        <v>136.65</v>
      </c>
      <c r="O587" s="622">
        <f>TRUNC(N587*E587,2)</f>
        <v>66422.83</v>
      </c>
      <c r="P587" s="194">
        <f>'5.3.2.10'!R38</f>
        <v>0</v>
      </c>
      <c r="Q587" s="622">
        <f>S587-O587</f>
        <v>0</v>
      </c>
      <c r="R587" s="194">
        <f>P587+N587</f>
        <v>136.65</v>
      </c>
      <c r="S587" s="630">
        <f>TRUNC(R587*E587,2)</f>
        <v>66422.83</v>
      </c>
      <c r="T587" s="194">
        <f>I587-R587</f>
        <v>0</v>
      </c>
      <c r="U587" s="630">
        <f>T587*E587</f>
        <v>0</v>
      </c>
    </row>
    <row r="588" spans="1:21">
      <c r="A588" s="190" t="s">
        <v>724</v>
      </c>
      <c r="B588" s="191">
        <v>40813</v>
      </c>
      <c r="C588" s="657" t="s">
        <v>151</v>
      </c>
      <c r="D588" s="192" t="s">
        <v>57</v>
      </c>
      <c r="E588" s="193">
        <v>64.3</v>
      </c>
      <c r="F588" s="194">
        <v>195.37</v>
      </c>
      <c r="G588" s="194"/>
      <c r="H588" s="194"/>
      <c r="I588" s="193">
        <f t="shared" ref="I588" si="725">F588+G588-H588</f>
        <v>195.37</v>
      </c>
      <c r="J588" s="193">
        <f t="shared" ref="J588" si="726">I588*E588</f>
        <v>12562.290999999999</v>
      </c>
      <c r="K588" s="193"/>
      <c r="L588" s="193"/>
      <c r="M588" s="622">
        <f t="shared" ref="M588" si="727">I588*E588</f>
        <v>12562.290999999999</v>
      </c>
      <c r="N588" s="194">
        <v>0</v>
      </c>
      <c r="O588" s="622">
        <f>TRUNC(N588*E588,2)</f>
        <v>0</v>
      </c>
      <c r="P588" s="194">
        <v>0</v>
      </c>
      <c r="Q588" s="622">
        <f>P588*E588</f>
        <v>0</v>
      </c>
      <c r="R588" s="194">
        <v>195.37</v>
      </c>
      <c r="S588" s="630">
        <f>TRUNC(R588*E588,2)</f>
        <v>12562.29</v>
      </c>
      <c r="T588" s="194">
        <f t="shared" si="674"/>
        <v>0</v>
      </c>
      <c r="U588" s="630">
        <f t="shared" ref="U588" si="728">T588*E588</f>
        <v>0</v>
      </c>
    </row>
    <row r="589" spans="1:21" ht="25.5">
      <c r="A589" s="190" t="s">
        <v>1302</v>
      </c>
      <c r="B589" s="191">
        <v>130110</v>
      </c>
      <c r="C589" s="657" t="str">
        <f>REPLANILHAMENTO!D516</f>
        <v>Lastro regularizado de concreto não estrutural, espessura de 8 cm (máximo de 100m3)</v>
      </c>
      <c r="D589" s="192" t="s">
        <v>57</v>
      </c>
      <c r="E589" s="193">
        <f>REPLANILHAMENTO!F516</f>
        <v>51.84</v>
      </c>
      <c r="F589" s="194">
        <v>0</v>
      </c>
      <c r="G589" s="194">
        <v>226.42</v>
      </c>
      <c r="H589" s="194"/>
      <c r="I589" s="193">
        <f>F589+G589</f>
        <v>226.42</v>
      </c>
      <c r="J589" s="193">
        <v>0</v>
      </c>
      <c r="K589" s="193">
        <f>G589*E589</f>
        <v>11737.612800000001</v>
      </c>
      <c r="L589" s="193"/>
      <c r="M589" s="622">
        <f>I589*E589</f>
        <v>11737.612800000001</v>
      </c>
      <c r="N589" s="194">
        <f>'5.3.2.12'!R23</f>
        <v>226.42</v>
      </c>
      <c r="O589" s="622">
        <f>TRUNC(N589*E589,2)</f>
        <v>11737.61</v>
      </c>
      <c r="P589" s="194">
        <f>'5.3.2.12'!R24</f>
        <v>0</v>
      </c>
      <c r="Q589" s="622">
        <f>P589*E589</f>
        <v>0</v>
      </c>
      <c r="R589" s="194">
        <f>P589+N589</f>
        <v>226.42</v>
      </c>
      <c r="S589" s="630">
        <f>R589*E589</f>
        <v>11737.612800000001</v>
      </c>
      <c r="T589" s="194">
        <f>I589-R589</f>
        <v>0</v>
      </c>
      <c r="U589" s="630">
        <f>T589*E589</f>
        <v>0</v>
      </c>
    </row>
    <row r="590" spans="1:21">
      <c r="A590" s="138"/>
      <c r="B590" s="132"/>
      <c r="C590" s="123"/>
      <c r="D590" s="123"/>
      <c r="E590" s="123"/>
      <c r="F590" s="123"/>
      <c r="G590" s="123"/>
      <c r="H590" s="123"/>
      <c r="I590" s="123"/>
      <c r="J590" s="123"/>
      <c r="K590" s="123"/>
      <c r="L590" s="123"/>
      <c r="M590" s="623"/>
      <c r="N590" s="123"/>
      <c r="O590" s="623"/>
      <c r="P590" s="123"/>
      <c r="Q590" s="623"/>
      <c r="R590" s="123"/>
      <c r="S590" s="631"/>
      <c r="T590" s="123"/>
      <c r="U590" s="631"/>
    </row>
    <row r="591" spans="1:21" s="131" customFormat="1">
      <c r="A591" s="137" t="s">
        <v>725</v>
      </c>
      <c r="B591" s="133"/>
      <c r="C591" s="658" t="s">
        <v>153</v>
      </c>
      <c r="D591" s="126"/>
      <c r="E591" s="127"/>
      <c r="F591" s="128"/>
      <c r="G591" s="128"/>
      <c r="H591" s="128"/>
      <c r="I591" s="129"/>
      <c r="J591" s="129">
        <f>SUBTOTAL(9,J592)</f>
        <v>13844.9586</v>
      </c>
      <c r="K591" s="129"/>
      <c r="L591" s="129"/>
      <c r="M591" s="624"/>
      <c r="N591" s="130"/>
      <c r="O591" s="624">
        <f>SUBTOTAL(9,O592)</f>
        <v>13844.95</v>
      </c>
      <c r="P591" s="130"/>
      <c r="Q591" s="624">
        <f>SUBTOTAL(9,Q592)</f>
        <v>0</v>
      </c>
      <c r="R591" s="129"/>
      <c r="S591" s="624">
        <f>SUBTOTAL(9,S592)</f>
        <v>13844.95</v>
      </c>
      <c r="T591" s="129">
        <f t="shared" si="674"/>
        <v>0</v>
      </c>
      <c r="U591" s="624">
        <f>SUBTOTAL(9,U592)</f>
        <v>0</v>
      </c>
    </row>
    <row r="592" spans="1:21" ht="25.5">
      <c r="A592" s="190" t="s">
        <v>726</v>
      </c>
      <c r="B592" s="191" t="s">
        <v>155</v>
      </c>
      <c r="C592" s="657" t="s">
        <v>156</v>
      </c>
      <c r="D592" s="192" t="s">
        <v>50</v>
      </c>
      <c r="E592" s="193">
        <v>91.41</v>
      </c>
      <c r="F592" s="194">
        <v>151.46</v>
      </c>
      <c r="G592" s="194"/>
      <c r="H592" s="194"/>
      <c r="I592" s="193">
        <f t="shared" ref="I592" si="729">F592+G592-H592</f>
        <v>151.46</v>
      </c>
      <c r="J592" s="193">
        <f t="shared" ref="J592" si="730">I592*E592</f>
        <v>13844.9586</v>
      </c>
      <c r="K592" s="193"/>
      <c r="L592" s="193"/>
      <c r="M592" s="622">
        <f t="shared" ref="M592" si="731">I592*E592</f>
        <v>13844.9586</v>
      </c>
      <c r="N592" s="194">
        <v>151.46</v>
      </c>
      <c r="O592" s="622">
        <f t="shared" ref="O592" si="732">TRUNC(N592*E592,2)</f>
        <v>13844.95</v>
      </c>
      <c r="P592" s="194">
        <v>0</v>
      </c>
      <c r="Q592" s="622">
        <f t="shared" ref="Q592" si="733">S592-O592</f>
        <v>0</v>
      </c>
      <c r="R592" s="194">
        <f t="shared" ref="R592" si="734">P592+N592</f>
        <v>151.46</v>
      </c>
      <c r="S592" s="630">
        <f t="shared" ref="S592" si="735">TRUNC(R592*E592,2)</f>
        <v>13844.95</v>
      </c>
      <c r="T592" s="194">
        <f t="shared" si="674"/>
        <v>0</v>
      </c>
      <c r="U592" s="630">
        <f t="shared" ref="U592" si="736">T592*E592</f>
        <v>0</v>
      </c>
    </row>
    <row r="593" spans="1:21">
      <c r="A593" s="138"/>
      <c r="B593" s="132"/>
      <c r="C593" s="123"/>
      <c r="D593" s="123"/>
      <c r="E593" s="123"/>
      <c r="F593" s="123"/>
      <c r="G593" s="123"/>
      <c r="H593" s="123"/>
      <c r="I593" s="123"/>
      <c r="J593" s="123"/>
      <c r="K593" s="123"/>
      <c r="L593" s="123"/>
      <c r="M593" s="623"/>
      <c r="N593" s="123"/>
      <c r="O593" s="623"/>
      <c r="P593" s="123"/>
      <c r="Q593" s="623"/>
      <c r="R593" s="123"/>
      <c r="S593" s="631"/>
      <c r="T593" s="123"/>
      <c r="U593" s="631"/>
    </row>
    <row r="594" spans="1:21" s="131" customFormat="1">
      <c r="A594" s="137" t="s">
        <v>727</v>
      </c>
      <c r="B594" s="133"/>
      <c r="C594" s="658" t="s">
        <v>158</v>
      </c>
      <c r="D594" s="126"/>
      <c r="E594" s="127"/>
      <c r="F594" s="128"/>
      <c r="G594" s="128"/>
      <c r="H594" s="128"/>
      <c r="I594" s="129"/>
      <c r="J594" s="129">
        <f>SUBTOTAL(9,J595:J597)</f>
        <v>2958.9223000000002</v>
      </c>
      <c r="K594" s="129"/>
      <c r="L594" s="129"/>
      <c r="M594" s="624"/>
      <c r="N594" s="130"/>
      <c r="O594" s="624">
        <f>SUBTOTAL(9,O595:O597)</f>
        <v>2958.91</v>
      </c>
      <c r="P594" s="130"/>
      <c r="Q594" s="624">
        <f>SUBTOTAL(9,Q595:Q597)</f>
        <v>0</v>
      </c>
      <c r="R594" s="129"/>
      <c r="S594" s="624">
        <f>SUBTOTAL(9,S595:S597)</f>
        <v>2958.91</v>
      </c>
      <c r="T594" s="129">
        <f t="shared" si="674"/>
        <v>0</v>
      </c>
      <c r="U594" s="624">
        <f>SUBTOTAL(9,U595:U597)</f>
        <v>0</v>
      </c>
    </row>
    <row r="595" spans="1:21" ht="25.5">
      <c r="A595" s="190" t="s">
        <v>728</v>
      </c>
      <c r="B595" s="191" t="s">
        <v>155</v>
      </c>
      <c r="C595" s="657" t="s">
        <v>156</v>
      </c>
      <c r="D595" s="192" t="s">
        <v>50</v>
      </c>
      <c r="E595" s="193">
        <v>91.41</v>
      </c>
      <c r="F595" s="194">
        <v>23.59</v>
      </c>
      <c r="G595" s="194"/>
      <c r="H595" s="194"/>
      <c r="I595" s="193">
        <f t="shared" ref="I595:I597" si="737">F595+G595-H595</f>
        <v>23.59</v>
      </c>
      <c r="J595" s="193">
        <f t="shared" ref="J595:J597" si="738">I595*E595</f>
        <v>2156.3618999999999</v>
      </c>
      <c r="K595" s="193"/>
      <c r="L595" s="193"/>
      <c r="M595" s="622">
        <f t="shared" ref="M595:M597" si="739">I595*E595</f>
        <v>2156.3618999999999</v>
      </c>
      <c r="N595" s="194">
        <v>23.59</v>
      </c>
      <c r="O595" s="622">
        <f t="shared" ref="O595" si="740">TRUNC(N595*E595,2)</f>
        <v>2156.36</v>
      </c>
      <c r="P595" s="194"/>
      <c r="Q595" s="622">
        <f t="shared" ref="Q595" si="741">S595-O595</f>
        <v>0</v>
      </c>
      <c r="R595" s="194">
        <f t="shared" ref="R595" si="742">P595+N595</f>
        <v>23.59</v>
      </c>
      <c r="S595" s="630">
        <f t="shared" ref="S595" si="743">TRUNC(R595*E595,2)</f>
        <v>2156.36</v>
      </c>
      <c r="T595" s="194">
        <f t="shared" si="674"/>
        <v>0</v>
      </c>
      <c r="U595" s="630">
        <f t="shared" ref="U595:U597" si="744">T595*E595</f>
        <v>0</v>
      </c>
    </row>
    <row r="596" spans="1:21">
      <c r="A596" s="190" t="s">
        <v>729</v>
      </c>
      <c r="B596" s="191">
        <v>200323</v>
      </c>
      <c r="C596" s="657" t="s">
        <v>162</v>
      </c>
      <c r="D596" s="192" t="s">
        <v>58</v>
      </c>
      <c r="E596" s="193">
        <v>125.94</v>
      </c>
      <c r="F596" s="194">
        <v>4.76</v>
      </c>
      <c r="G596" s="194"/>
      <c r="H596" s="194"/>
      <c r="I596" s="193">
        <f t="shared" si="737"/>
        <v>4.76</v>
      </c>
      <c r="J596" s="193">
        <f t="shared" si="738"/>
        <v>599.47439999999995</v>
      </c>
      <c r="K596" s="193"/>
      <c r="L596" s="193"/>
      <c r="M596" s="622">
        <f t="shared" si="739"/>
        <v>599.47439999999995</v>
      </c>
      <c r="N596" s="194">
        <v>4.76</v>
      </c>
      <c r="O596" s="622">
        <f>TRUNC(N596*E596,2)</f>
        <v>599.47</v>
      </c>
      <c r="P596" s="194"/>
      <c r="Q596" s="622">
        <f>S596-O596</f>
        <v>0</v>
      </c>
      <c r="R596" s="194">
        <f>P596+N596</f>
        <v>4.76</v>
      </c>
      <c r="S596" s="630">
        <f>TRUNC(R596*E596,2)</f>
        <v>599.47</v>
      </c>
      <c r="T596" s="194">
        <f t="shared" si="674"/>
        <v>0</v>
      </c>
      <c r="U596" s="630">
        <f t="shared" si="744"/>
        <v>0</v>
      </c>
    </row>
    <row r="597" spans="1:21" ht="38.25">
      <c r="A597" s="190" t="s">
        <v>730</v>
      </c>
      <c r="B597" s="191">
        <v>50501</v>
      </c>
      <c r="C597" s="657" t="s">
        <v>916</v>
      </c>
      <c r="D597" s="192" t="s">
        <v>57</v>
      </c>
      <c r="E597" s="193">
        <v>94.9</v>
      </c>
      <c r="F597" s="194">
        <v>2.14</v>
      </c>
      <c r="G597" s="194"/>
      <c r="H597" s="194"/>
      <c r="I597" s="193">
        <f t="shared" si="737"/>
        <v>2.14</v>
      </c>
      <c r="J597" s="193">
        <f t="shared" si="738"/>
        <v>203.08600000000001</v>
      </c>
      <c r="K597" s="193"/>
      <c r="L597" s="193"/>
      <c r="M597" s="622">
        <f t="shared" si="739"/>
        <v>203.08600000000001</v>
      </c>
      <c r="N597" s="194">
        <v>2.14</v>
      </c>
      <c r="O597" s="622">
        <f t="shared" ref="O597" si="745">TRUNC(N597*E597,2)</f>
        <v>203.08</v>
      </c>
      <c r="P597" s="194">
        <v>0</v>
      </c>
      <c r="Q597" s="622">
        <f t="shared" ref="Q597" si="746">S597-O597</f>
        <v>0</v>
      </c>
      <c r="R597" s="194">
        <v>2.14</v>
      </c>
      <c r="S597" s="630">
        <f t="shared" ref="S597" si="747">TRUNC(R597*E597,2)</f>
        <v>203.08</v>
      </c>
      <c r="T597" s="194">
        <f>F597-R597</f>
        <v>0</v>
      </c>
      <c r="U597" s="630">
        <f t="shared" si="744"/>
        <v>0</v>
      </c>
    </row>
    <row r="598" spans="1:21">
      <c r="A598" s="138"/>
      <c r="B598" s="132"/>
      <c r="C598" s="123"/>
      <c r="D598" s="123"/>
      <c r="E598" s="123"/>
      <c r="F598" s="123"/>
      <c r="G598" s="123"/>
      <c r="H598" s="123"/>
      <c r="I598" s="123"/>
      <c r="J598" s="123"/>
      <c r="K598" s="123"/>
      <c r="L598" s="123"/>
      <c r="M598" s="623"/>
      <c r="N598" s="123"/>
      <c r="O598" s="623"/>
      <c r="P598" s="123"/>
      <c r="Q598" s="623"/>
      <c r="R598" s="123"/>
      <c r="S598" s="631"/>
      <c r="T598" s="123"/>
      <c r="U598" s="631"/>
    </row>
    <row r="599" spans="1:21" s="131" customFormat="1">
      <c r="A599" s="137" t="s">
        <v>731</v>
      </c>
      <c r="B599" s="133"/>
      <c r="C599" s="658" t="s">
        <v>164</v>
      </c>
      <c r="D599" s="126"/>
      <c r="E599" s="127"/>
      <c r="F599" s="128"/>
      <c r="G599" s="128"/>
      <c r="H599" s="128"/>
      <c r="I599" s="129"/>
      <c r="J599" s="129">
        <f>SUBTOTAL(9,J600:J604)</f>
        <v>9240.366</v>
      </c>
      <c r="K599" s="129"/>
      <c r="L599" s="129"/>
      <c r="M599" s="624"/>
      <c r="N599" s="130"/>
      <c r="O599" s="624">
        <f>SUBTOTAL(9,O600:O604)</f>
        <v>9240.36</v>
      </c>
      <c r="P599" s="130"/>
      <c r="Q599" s="624">
        <f>SUBTOTAL(9,Q600:Q604)</f>
        <v>0</v>
      </c>
      <c r="R599" s="129"/>
      <c r="S599" s="624">
        <f>SUBTOTAL(9,S600:S604)</f>
        <v>9240.36</v>
      </c>
      <c r="T599" s="129">
        <f t="shared" si="674"/>
        <v>0</v>
      </c>
      <c r="U599" s="624">
        <f>SUBTOTAL(9,U600:U604)</f>
        <v>0</v>
      </c>
    </row>
    <row r="600" spans="1:21" ht="51">
      <c r="A600" s="190" t="s">
        <v>732</v>
      </c>
      <c r="B600" s="191">
        <v>40339</v>
      </c>
      <c r="C600" s="657" t="s">
        <v>184</v>
      </c>
      <c r="D600" s="192" t="s">
        <v>57</v>
      </c>
      <c r="E600" s="193">
        <v>91.04</v>
      </c>
      <c r="F600" s="194">
        <v>52.4</v>
      </c>
      <c r="G600" s="194"/>
      <c r="H600" s="194"/>
      <c r="I600" s="193">
        <f t="shared" ref="I600:I604" si="748">F600+G600-H600</f>
        <v>52.4</v>
      </c>
      <c r="J600" s="193">
        <f t="shared" ref="J600:J604" si="749">I600*E600</f>
        <v>4770.4960000000001</v>
      </c>
      <c r="K600" s="193"/>
      <c r="L600" s="193"/>
      <c r="M600" s="622">
        <f t="shared" ref="M600:M604" si="750">I600*E600</f>
        <v>4770.4960000000001</v>
      </c>
      <c r="N600" s="194">
        <f>'5.3.5.1'!R21</f>
        <v>52.4</v>
      </c>
      <c r="O600" s="622">
        <f t="shared" ref="O600" si="751">TRUNC(N600*E600,2)</f>
        <v>4770.49</v>
      </c>
      <c r="P600" s="194">
        <f>'5.3.5.1'!R22</f>
        <v>0</v>
      </c>
      <c r="Q600" s="622">
        <f t="shared" ref="Q600" si="752">S600-O600</f>
        <v>0</v>
      </c>
      <c r="R600" s="194">
        <f t="shared" ref="R600" si="753">P600+N600</f>
        <v>52.4</v>
      </c>
      <c r="S600" s="630">
        <f t="shared" ref="S600" si="754">TRUNC(R600*E600,2)</f>
        <v>4770.49</v>
      </c>
      <c r="T600" s="194">
        <f t="shared" si="674"/>
        <v>0</v>
      </c>
      <c r="U600" s="630">
        <f t="shared" ref="U600:U604" si="755">T600*E600</f>
        <v>0</v>
      </c>
    </row>
    <row r="601" spans="1:21" ht="25.5">
      <c r="A601" s="190" t="s">
        <v>733</v>
      </c>
      <c r="B601" s="191">
        <v>40328</v>
      </c>
      <c r="C601" s="657" t="s">
        <v>147</v>
      </c>
      <c r="D601" s="192" t="s">
        <v>29</v>
      </c>
      <c r="E601" s="193">
        <v>7.98</v>
      </c>
      <c r="F601" s="194">
        <v>210</v>
      </c>
      <c r="G601" s="194"/>
      <c r="H601" s="194"/>
      <c r="I601" s="193">
        <f t="shared" si="748"/>
        <v>210</v>
      </c>
      <c r="J601" s="193">
        <f t="shared" si="749"/>
        <v>1675.8000000000002</v>
      </c>
      <c r="K601" s="193"/>
      <c r="L601" s="193"/>
      <c r="M601" s="622">
        <f t="shared" si="750"/>
        <v>1675.8000000000002</v>
      </c>
      <c r="N601" s="194">
        <f>'5.3.5.2'!R26</f>
        <v>210</v>
      </c>
      <c r="O601" s="622">
        <f>TRUNC(N601*E601,2)</f>
        <v>1675.8</v>
      </c>
      <c r="P601" s="194">
        <f>'5.3.5.2'!R27</f>
        <v>0</v>
      </c>
      <c r="Q601" s="622">
        <f>S601-O601</f>
        <v>0</v>
      </c>
      <c r="R601" s="194">
        <f>P601+N601</f>
        <v>210</v>
      </c>
      <c r="S601" s="630">
        <f>TRUNC(R601*E601,2)</f>
        <v>1675.8</v>
      </c>
      <c r="T601" s="194">
        <f t="shared" si="674"/>
        <v>0</v>
      </c>
      <c r="U601" s="630">
        <f t="shared" si="755"/>
        <v>0</v>
      </c>
    </row>
    <row r="602" spans="1:21" ht="25.5">
      <c r="A602" s="190" t="s">
        <v>734</v>
      </c>
      <c r="B602" s="191">
        <v>40245</v>
      </c>
      <c r="C602" s="657" t="s">
        <v>148</v>
      </c>
      <c r="D602" s="192" t="s">
        <v>29</v>
      </c>
      <c r="E602" s="193">
        <v>8.41</v>
      </c>
      <c r="F602" s="194">
        <v>55</v>
      </c>
      <c r="G602" s="194"/>
      <c r="H602" s="194"/>
      <c r="I602" s="193">
        <f t="shared" si="748"/>
        <v>55</v>
      </c>
      <c r="J602" s="193">
        <f t="shared" si="749"/>
        <v>462.55</v>
      </c>
      <c r="K602" s="193"/>
      <c r="L602" s="193"/>
      <c r="M602" s="622">
        <f t="shared" si="750"/>
        <v>462.55</v>
      </c>
      <c r="N602" s="194">
        <f>'5.3.5.3'!R26</f>
        <v>55</v>
      </c>
      <c r="O602" s="622">
        <f t="shared" ref="O602:O604" si="756">TRUNC(N602*E602,2)</f>
        <v>462.55</v>
      </c>
      <c r="P602" s="194">
        <f>'5.3.5.3'!R27</f>
        <v>0</v>
      </c>
      <c r="Q602" s="622">
        <f t="shared" ref="Q602:Q604" si="757">S602-O602</f>
        <v>0</v>
      </c>
      <c r="R602" s="194">
        <f t="shared" ref="R602:R604" si="758">P602+N602</f>
        <v>55</v>
      </c>
      <c r="S602" s="630">
        <f t="shared" ref="S602:S604" si="759">TRUNC(R602*E602,2)</f>
        <v>462.55</v>
      </c>
      <c r="T602" s="194">
        <f t="shared" si="674"/>
        <v>0</v>
      </c>
      <c r="U602" s="630">
        <f t="shared" si="755"/>
        <v>0</v>
      </c>
    </row>
    <row r="603" spans="1:21" ht="25.5">
      <c r="A603" s="190" t="s">
        <v>735</v>
      </c>
      <c r="B603" s="191">
        <v>40246</v>
      </c>
      <c r="C603" s="657" t="s">
        <v>149</v>
      </c>
      <c r="D603" s="192" t="s">
        <v>29</v>
      </c>
      <c r="E603" s="193">
        <v>8.08</v>
      </c>
      <c r="F603" s="194">
        <v>78</v>
      </c>
      <c r="G603" s="194"/>
      <c r="H603" s="194"/>
      <c r="I603" s="193">
        <f t="shared" si="748"/>
        <v>78</v>
      </c>
      <c r="J603" s="193">
        <f t="shared" si="749"/>
        <v>630.24</v>
      </c>
      <c r="K603" s="193"/>
      <c r="L603" s="193"/>
      <c r="M603" s="622">
        <f t="shared" si="750"/>
        <v>630.24</v>
      </c>
      <c r="N603" s="194">
        <f>'5.3.5.4'!R26</f>
        <v>78</v>
      </c>
      <c r="O603" s="622">
        <f t="shared" si="756"/>
        <v>630.24</v>
      </c>
      <c r="P603" s="194">
        <f>'5.3.5.4'!R27</f>
        <v>0</v>
      </c>
      <c r="Q603" s="622">
        <f t="shared" si="757"/>
        <v>0</v>
      </c>
      <c r="R603" s="194">
        <f t="shared" si="758"/>
        <v>78</v>
      </c>
      <c r="S603" s="630">
        <f t="shared" si="759"/>
        <v>630.24</v>
      </c>
      <c r="T603" s="194">
        <f t="shared" si="674"/>
        <v>0</v>
      </c>
      <c r="U603" s="630">
        <f t="shared" si="755"/>
        <v>0</v>
      </c>
    </row>
    <row r="604" spans="1:21" ht="38.25">
      <c r="A604" s="190" t="s">
        <v>736</v>
      </c>
      <c r="B604" s="191" t="s">
        <v>140</v>
      </c>
      <c r="C604" s="657" t="s">
        <v>150</v>
      </c>
      <c r="D604" s="192" t="s">
        <v>58</v>
      </c>
      <c r="E604" s="193">
        <v>486.08</v>
      </c>
      <c r="F604" s="194">
        <v>3.5</v>
      </c>
      <c r="G604" s="194"/>
      <c r="H604" s="194"/>
      <c r="I604" s="193">
        <f t="shared" si="748"/>
        <v>3.5</v>
      </c>
      <c r="J604" s="193">
        <f t="shared" si="749"/>
        <v>1701.28</v>
      </c>
      <c r="K604" s="193"/>
      <c r="L604" s="193"/>
      <c r="M604" s="622">
        <f t="shared" si="750"/>
        <v>1701.28</v>
      </c>
      <c r="N604" s="194">
        <f>'5.3.5.5'!R26</f>
        <v>3.5</v>
      </c>
      <c r="O604" s="622">
        <f t="shared" si="756"/>
        <v>1701.28</v>
      </c>
      <c r="P604" s="194">
        <f>'5.3.5.5'!R27</f>
        <v>0</v>
      </c>
      <c r="Q604" s="622">
        <f t="shared" si="757"/>
        <v>0</v>
      </c>
      <c r="R604" s="194">
        <f t="shared" si="758"/>
        <v>3.5</v>
      </c>
      <c r="S604" s="630">
        <f t="shared" si="759"/>
        <v>1701.28</v>
      </c>
      <c r="T604" s="194">
        <f t="shared" si="674"/>
        <v>0</v>
      </c>
      <c r="U604" s="630">
        <f t="shared" si="755"/>
        <v>0</v>
      </c>
    </row>
    <row r="605" spans="1:21">
      <c r="A605" s="138"/>
      <c r="B605" s="132"/>
      <c r="C605" s="123"/>
      <c r="D605" s="123"/>
      <c r="E605" s="123"/>
      <c r="F605" s="123"/>
      <c r="G605" s="123"/>
      <c r="H605" s="123"/>
      <c r="I605" s="123"/>
      <c r="J605" s="123"/>
      <c r="K605" s="123"/>
      <c r="L605" s="123"/>
      <c r="M605" s="623"/>
      <c r="N605" s="123"/>
      <c r="O605" s="623"/>
      <c r="P605" s="123"/>
      <c r="Q605" s="623"/>
      <c r="R605" s="123"/>
      <c r="S605" s="631"/>
      <c r="T605" s="123"/>
      <c r="U605" s="631"/>
    </row>
    <row r="606" spans="1:21" s="131" customFormat="1">
      <c r="A606" s="137" t="s">
        <v>737</v>
      </c>
      <c r="B606" s="133"/>
      <c r="C606" s="658" t="s">
        <v>171</v>
      </c>
      <c r="D606" s="126"/>
      <c r="E606" s="127"/>
      <c r="F606" s="128"/>
      <c r="G606" s="128"/>
      <c r="H606" s="128"/>
      <c r="I606" s="129"/>
      <c r="J606" s="129">
        <f>SUBTOTAL(9,J607:J611)</f>
        <v>18264.59</v>
      </c>
      <c r="K606" s="129"/>
      <c r="L606" s="129"/>
      <c r="M606" s="624"/>
      <c r="N606" s="130"/>
      <c r="O606" s="624">
        <f>SUBTOTAL(9,O607:O611)</f>
        <v>18264.579999999998</v>
      </c>
      <c r="P606" s="130"/>
      <c r="Q606" s="624">
        <f>SUBTOTAL(9,Q607:Q611)</f>
        <v>0</v>
      </c>
      <c r="R606" s="129"/>
      <c r="S606" s="624">
        <f>SUBTOTAL(9,S607:S611)</f>
        <v>18264.579999999998</v>
      </c>
      <c r="T606" s="129">
        <f t="shared" si="674"/>
        <v>0</v>
      </c>
      <c r="U606" s="624">
        <f>SUBTOTAL(9,U607:U611)</f>
        <v>0</v>
      </c>
    </row>
    <row r="607" spans="1:21" ht="51">
      <c r="A607" s="190" t="s">
        <v>738</v>
      </c>
      <c r="B607" s="191">
        <v>40339</v>
      </c>
      <c r="C607" s="657" t="s">
        <v>184</v>
      </c>
      <c r="D607" s="192" t="s">
        <v>57</v>
      </c>
      <c r="E607" s="193">
        <v>91.04</v>
      </c>
      <c r="F607" s="194">
        <v>87.7</v>
      </c>
      <c r="G607" s="194"/>
      <c r="H607" s="194"/>
      <c r="I607" s="193">
        <f t="shared" ref="I607:I611" si="760">F607+G607-H607</f>
        <v>87.7</v>
      </c>
      <c r="J607" s="193">
        <f t="shared" ref="J607:J611" si="761">I607*E607</f>
        <v>7984.2080000000005</v>
      </c>
      <c r="K607" s="193"/>
      <c r="L607" s="193"/>
      <c r="M607" s="622">
        <f t="shared" ref="M607:M611" si="762">I607*E607</f>
        <v>7984.2080000000005</v>
      </c>
      <c r="N607" s="194">
        <f>'5.3.6.1'!R26</f>
        <v>87.7</v>
      </c>
      <c r="O607" s="622">
        <f t="shared" ref="O607" si="763">TRUNC(N607*E607,2)</f>
        <v>7984.2</v>
      </c>
      <c r="P607" s="194">
        <f>'5.3.6.1'!R27</f>
        <v>0</v>
      </c>
      <c r="Q607" s="622">
        <f t="shared" ref="Q607" si="764">S607-O607</f>
        <v>0</v>
      </c>
      <c r="R607" s="194">
        <f t="shared" ref="R607" si="765">P607+N607</f>
        <v>87.7</v>
      </c>
      <c r="S607" s="630">
        <f t="shared" ref="S607" si="766">TRUNC(R607*E607,2)</f>
        <v>7984.2</v>
      </c>
      <c r="T607" s="194">
        <f t="shared" si="674"/>
        <v>0</v>
      </c>
      <c r="U607" s="630">
        <f t="shared" ref="U607:U611" si="767">T607*E607</f>
        <v>0</v>
      </c>
    </row>
    <row r="608" spans="1:21" ht="25.5">
      <c r="A608" s="190" t="s">
        <v>739</v>
      </c>
      <c r="B608" s="191">
        <v>40328</v>
      </c>
      <c r="C608" s="657" t="s">
        <v>147</v>
      </c>
      <c r="D608" s="192" t="s">
        <v>29</v>
      </c>
      <c r="E608" s="193">
        <v>7.98</v>
      </c>
      <c r="F608" s="194">
        <v>502</v>
      </c>
      <c r="G608" s="194"/>
      <c r="H608" s="194"/>
      <c r="I608" s="193">
        <f t="shared" si="760"/>
        <v>502</v>
      </c>
      <c r="J608" s="193">
        <f t="shared" si="761"/>
        <v>4005.96</v>
      </c>
      <c r="K608" s="193"/>
      <c r="L608" s="193"/>
      <c r="M608" s="622">
        <f t="shared" si="762"/>
        <v>4005.96</v>
      </c>
      <c r="N608" s="194">
        <f>'5.3.6.2'!R26</f>
        <v>502</v>
      </c>
      <c r="O608" s="622">
        <f>TRUNC(N608*E608,2)</f>
        <v>4005.96</v>
      </c>
      <c r="P608" s="194">
        <f>'5.3.6.2'!R27</f>
        <v>0</v>
      </c>
      <c r="Q608" s="622">
        <f>S608-O608</f>
        <v>0</v>
      </c>
      <c r="R608" s="194">
        <f>P608+N608</f>
        <v>502</v>
      </c>
      <c r="S608" s="630">
        <f>TRUNC(R608*E608,2)</f>
        <v>4005.96</v>
      </c>
      <c r="T608" s="194">
        <f t="shared" si="674"/>
        <v>0</v>
      </c>
      <c r="U608" s="630">
        <f t="shared" si="767"/>
        <v>0</v>
      </c>
    </row>
    <row r="609" spans="1:21" ht="25.5">
      <c r="A609" s="190" t="s">
        <v>740</v>
      </c>
      <c r="B609" s="191">
        <v>40245</v>
      </c>
      <c r="C609" s="657" t="s">
        <v>148</v>
      </c>
      <c r="D609" s="192" t="s">
        <v>29</v>
      </c>
      <c r="E609" s="193">
        <v>8.41</v>
      </c>
      <c r="F609" s="194">
        <v>199</v>
      </c>
      <c r="G609" s="194"/>
      <c r="H609" s="194"/>
      <c r="I609" s="193">
        <f t="shared" si="760"/>
        <v>199</v>
      </c>
      <c r="J609" s="193">
        <f t="shared" si="761"/>
        <v>1673.59</v>
      </c>
      <c r="K609" s="193"/>
      <c r="L609" s="193"/>
      <c r="M609" s="622">
        <f t="shared" si="762"/>
        <v>1673.59</v>
      </c>
      <c r="N609" s="194">
        <f>'5.3.6.3'!R26</f>
        <v>199</v>
      </c>
      <c r="O609" s="622">
        <f t="shared" ref="O609:O611" si="768">TRUNC(N609*E609,2)</f>
        <v>1673.59</v>
      </c>
      <c r="P609" s="194">
        <f>'5.3.6.3'!R27</f>
        <v>0</v>
      </c>
      <c r="Q609" s="622">
        <f t="shared" ref="Q609:Q611" si="769">S609-O609</f>
        <v>0</v>
      </c>
      <c r="R609" s="194">
        <f t="shared" ref="R609:R611" si="770">P609+N609</f>
        <v>199</v>
      </c>
      <c r="S609" s="630">
        <f t="shared" ref="S609:S611" si="771">TRUNC(R609*E609,2)</f>
        <v>1673.59</v>
      </c>
      <c r="T609" s="194">
        <f t="shared" si="674"/>
        <v>0</v>
      </c>
      <c r="U609" s="630">
        <f t="shared" si="767"/>
        <v>0</v>
      </c>
    </row>
    <row r="610" spans="1:21" ht="25.5">
      <c r="A610" s="190" t="s">
        <v>741</v>
      </c>
      <c r="B610" s="191">
        <v>40246</v>
      </c>
      <c r="C610" s="657" t="s">
        <v>149</v>
      </c>
      <c r="D610" s="192" t="s">
        <v>29</v>
      </c>
      <c r="E610" s="193">
        <v>8.08</v>
      </c>
      <c r="F610" s="194">
        <v>34</v>
      </c>
      <c r="G610" s="194"/>
      <c r="H610" s="194"/>
      <c r="I610" s="193">
        <f t="shared" si="760"/>
        <v>34</v>
      </c>
      <c r="J610" s="193">
        <f t="shared" si="761"/>
        <v>274.72000000000003</v>
      </c>
      <c r="K610" s="193"/>
      <c r="L610" s="193"/>
      <c r="M610" s="622">
        <f t="shared" si="762"/>
        <v>274.72000000000003</v>
      </c>
      <c r="N610" s="194">
        <f>'5.3.6.4'!R26</f>
        <v>34</v>
      </c>
      <c r="O610" s="622">
        <f t="shared" si="768"/>
        <v>274.72000000000003</v>
      </c>
      <c r="P610" s="194">
        <f>'5.3.6.4'!R27</f>
        <v>0</v>
      </c>
      <c r="Q610" s="622">
        <f t="shared" si="769"/>
        <v>0</v>
      </c>
      <c r="R610" s="194">
        <f t="shared" si="770"/>
        <v>34</v>
      </c>
      <c r="S610" s="630">
        <f t="shared" si="771"/>
        <v>274.72000000000003</v>
      </c>
      <c r="T610" s="194">
        <f t="shared" si="674"/>
        <v>0</v>
      </c>
      <c r="U610" s="630">
        <f t="shared" si="767"/>
        <v>0</v>
      </c>
    </row>
    <row r="611" spans="1:21" ht="51">
      <c r="A611" s="190" t="s">
        <v>742</v>
      </c>
      <c r="B611" s="191" t="s">
        <v>140</v>
      </c>
      <c r="C611" s="657" t="s">
        <v>177</v>
      </c>
      <c r="D611" s="192" t="s">
        <v>58</v>
      </c>
      <c r="E611" s="193">
        <v>486.08</v>
      </c>
      <c r="F611" s="194">
        <v>8.9</v>
      </c>
      <c r="G611" s="194"/>
      <c r="H611" s="194"/>
      <c r="I611" s="193">
        <f t="shared" si="760"/>
        <v>8.9</v>
      </c>
      <c r="J611" s="193">
        <f t="shared" si="761"/>
        <v>4326.1120000000001</v>
      </c>
      <c r="K611" s="193"/>
      <c r="L611" s="193"/>
      <c r="M611" s="622">
        <f t="shared" si="762"/>
        <v>4326.1120000000001</v>
      </c>
      <c r="N611" s="194">
        <f>'5.3.6.5'!R26</f>
        <v>8.9</v>
      </c>
      <c r="O611" s="622">
        <f t="shared" si="768"/>
        <v>4326.1099999999997</v>
      </c>
      <c r="P611" s="194">
        <f>'5.3.6.5'!R27</f>
        <v>0</v>
      </c>
      <c r="Q611" s="622">
        <f t="shared" si="769"/>
        <v>0</v>
      </c>
      <c r="R611" s="194">
        <f t="shared" si="770"/>
        <v>8.9</v>
      </c>
      <c r="S611" s="630">
        <f t="shared" si="771"/>
        <v>4326.1099999999997</v>
      </c>
      <c r="T611" s="194">
        <f t="shared" si="674"/>
        <v>0</v>
      </c>
      <c r="U611" s="630">
        <f t="shared" si="767"/>
        <v>0</v>
      </c>
    </row>
    <row r="612" spans="1:21">
      <c r="A612" s="138"/>
      <c r="B612" s="132"/>
      <c r="C612" s="123"/>
      <c r="D612" s="123"/>
      <c r="E612" s="123"/>
      <c r="F612" s="123"/>
      <c r="G612" s="123"/>
      <c r="H612" s="123"/>
      <c r="I612" s="123"/>
      <c r="J612" s="123"/>
      <c r="K612" s="123"/>
      <c r="L612" s="123"/>
      <c r="M612" s="623"/>
      <c r="N612" s="123"/>
      <c r="O612" s="623"/>
      <c r="P612" s="123"/>
      <c r="Q612" s="623"/>
      <c r="R612" s="123"/>
      <c r="S612" s="631"/>
      <c r="T612" s="123"/>
      <c r="U612" s="631"/>
    </row>
    <row r="613" spans="1:21" s="131" customFormat="1">
      <c r="A613" s="137" t="s">
        <v>743</v>
      </c>
      <c r="B613" s="133"/>
      <c r="C613" s="658" t="s">
        <v>179</v>
      </c>
      <c r="D613" s="126"/>
      <c r="E613" s="127"/>
      <c r="F613" s="128"/>
      <c r="G613" s="128"/>
      <c r="H613" s="128"/>
      <c r="I613" s="129"/>
      <c r="J613" s="129">
        <f>SUBTOTAL(9,J614:J617)</f>
        <v>22658.711199999998</v>
      </c>
      <c r="K613" s="129"/>
      <c r="L613" s="129"/>
      <c r="M613" s="624"/>
      <c r="N613" s="130"/>
      <c r="O613" s="624">
        <f>SUBTOTAL(9,O614:O617)</f>
        <v>22658.7</v>
      </c>
      <c r="P613" s="130"/>
      <c r="Q613" s="624">
        <f>SUBTOTAL(9,Q614:Q617)</f>
        <v>0</v>
      </c>
      <c r="R613" s="129"/>
      <c r="S613" s="624">
        <f>SUBTOTAL(9,S614:S617)</f>
        <v>22658.7</v>
      </c>
      <c r="T613" s="129">
        <f t="shared" si="674"/>
        <v>0</v>
      </c>
      <c r="U613" s="624">
        <f>SUBTOTAL(9,U614:U617)</f>
        <v>0</v>
      </c>
    </row>
    <row r="614" spans="1:21" ht="51">
      <c r="A614" s="190" t="s">
        <v>744</v>
      </c>
      <c r="B614" s="191">
        <v>40339</v>
      </c>
      <c r="C614" s="657" t="s">
        <v>184</v>
      </c>
      <c r="D614" s="192" t="s">
        <v>57</v>
      </c>
      <c r="E614" s="193">
        <v>91.04</v>
      </c>
      <c r="F614" s="194">
        <v>34.1</v>
      </c>
      <c r="G614" s="194"/>
      <c r="H614" s="194"/>
      <c r="I614" s="193">
        <f t="shared" ref="I614:I617" si="772">F614+G614-H614</f>
        <v>34.1</v>
      </c>
      <c r="J614" s="193">
        <f t="shared" ref="J614:J617" si="773">I614*E614</f>
        <v>3104.4640000000004</v>
      </c>
      <c r="K614" s="193"/>
      <c r="L614" s="193"/>
      <c r="M614" s="622">
        <f t="shared" ref="M614:M617" si="774">I614*E614</f>
        <v>3104.4640000000004</v>
      </c>
      <c r="N614" s="194">
        <f>'5.3.7.1'!R21</f>
        <v>34.1</v>
      </c>
      <c r="O614" s="622">
        <f t="shared" ref="O614" si="775">TRUNC(N614*E614,2)</f>
        <v>3104.46</v>
      </c>
      <c r="P614" s="194">
        <f>'5.3.7.1'!R22</f>
        <v>0</v>
      </c>
      <c r="Q614" s="622">
        <f t="shared" ref="Q614" si="776">S614-O614</f>
        <v>0</v>
      </c>
      <c r="R614" s="194">
        <f t="shared" ref="R614" si="777">P614+N614</f>
        <v>34.1</v>
      </c>
      <c r="S614" s="630">
        <f t="shared" ref="S614" si="778">TRUNC(R614*E614,2)</f>
        <v>3104.46</v>
      </c>
      <c r="T614" s="194">
        <f t="shared" si="674"/>
        <v>0</v>
      </c>
      <c r="U614" s="630">
        <f t="shared" ref="U614:U617" si="779">T614*E614</f>
        <v>0</v>
      </c>
    </row>
    <row r="615" spans="1:21" ht="25.5">
      <c r="A615" s="190" t="s">
        <v>745</v>
      </c>
      <c r="B615" s="191">
        <v>40328</v>
      </c>
      <c r="C615" s="657" t="s">
        <v>147</v>
      </c>
      <c r="D615" s="192" t="s">
        <v>29</v>
      </c>
      <c r="E615" s="193">
        <v>7.98</v>
      </c>
      <c r="F615" s="194">
        <v>370.3</v>
      </c>
      <c r="G615" s="194"/>
      <c r="H615" s="194"/>
      <c r="I615" s="193">
        <f t="shared" si="772"/>
        <v>370.3</v>
      </c>
      <c r="J615" s="193">
        <f t="shared" si="773"/>
        <v>2954.9940000000001</v>
      </c>
      <c r="K615" s="193"/>
      <c r="L615" s="193"/>
      <c r="M615" s="622">
        <f t="shared" si="774"/>
        <v>2954.9940000000001</v>
      </c>
      <c r="N615" s="194">
        <f>'5.3.7.2'!R21</f>
        <v>370.3</v>
      </c>
      <c r="O615" s="622">
        <f>TRUNC(N615*E615,2)</f>
        <v>2954.99</v>
      </c>
      <c r="P615" s="194">
        <f>'5.3.7.2'!R22</f>
        <v>0</v>
      </c>
      <c r="Q615" s="622">
        <f>S615-O615</f>
        <v>0</v>
      </c>
      <c r="R615" s="194">
        <f>P615+N615</f>
        <v>370.3</v>
      </c>
      <c r="S615" s="630">
        <f>TRUNC(R615*E615,2)</f>
        <v>2954.99</v>
      </c>
      <c r="T615" s="194">
        <f t="shared" si="674"/>
        <v>0</v>
      </c>
      <c r="U615" s="630">
        <f t="shared" si="779"/>
        <v>0</v>
      </c>
    </row>
    <row r="616" spans="1:21" ht="51">
      <c r="A616" s="190" t="s">
        <v>746</v>
      </c>
      <c r="B616" s="191" t="s">
        <v>140</v>
      </c>
      <c r="C616" s="657" t="s">
        <v>177</v>
      </c>
      <c r="D616" s="192" t="s">
        <v>58</v>
      </c>
      <c r="E616" s="193">
        <v>486.08</v>
      </c>
      <c r="F616" s="194">
        <v>6.54</v>
      </c>
      <c r="G616" s="194"/>
      <c r="H616" s="194"/>
      <c r="I616" s="193">
        <f t="shared" si="772"/>
        <v>6.54</v>
      </c>
      <c r="J616" s="193">
        <f t="shared" si="773"/>
        <v>3178.9631999999997</v>
      </c>
      <c r="K616" s="193"/>
      <c r="L616" s="193"/>
      <c r="M616" s="622">
        <f t="shared" si="774"/>
        <v>3178.9631999999997</v>
      </c>
      <c r="N616" s="194">
        <f>'5.3.7.3'!R21</f>
        <v>6.54</v>
      </c>
      <c r="O616" s="622">
        <f t="shared" ref="O616:O617" si="780">TRUNC(N616*E616,2)</f>
        <v>3178.96</v>
      </c>
      <c r="P616" s="194">
        <f>'5.3.7.3'!R22</f>
        <v>0</v>
      </c>
      <c r="Q616" s="622">
        <f t="shared" ref="Q616:Q617" si="781">S616-O616</f>
        <v>0</v>
      </c>
      <c r="R616" s="194">
        <f t="shared" ref="R616:R617" si="782">P616+N616</f>
        <v>6.54</v>
      </c>
      <c r="S616" s="630">
        <f t="shared" ref="S616:S617" si="783">TRUNC(R616*E616,2)</f>
        <v>3178.96</v>
      </c>
      <c r="T616" s="194">
        <f t="shared" si="674"/>
        <v>0</v>
      </c>
      <c r="U616" s="630">
        <f t="shared" si="779"/>
        <v>0</v>
      </c>
    </row>
    <row r="617" spans="1:21" ht="25.5">
      <c r="A617" s="190" t="s">
        <v>747</v>
      </c>
      <c r="B617" s="191">
        <v>40602</v>
      </c>
      <c r="C617" s="657" t="s">
        <v>185</v>
      </c>
      <c r="D617" s="192" t="s">
        <v>57</v>
      </c>
      <c r="E617" s="193">
        <v>79.41</v>
      </c>
      <c r="F617" s="194">
        <v>169</v>
      </c>
      <c r="G617" s="194"/>
      <c r="H617" s="194"/>
      <c r="I617" s="193">
        <f t="shared" si="772"/>
        <v>169</v>
      </c>
      <c r="J617" s="193">
        <f t="shared" si="773"/>
        <v>13420.289999999999</v>
      </c>
      <c r="K617" s="193"/>
      <c r="L617" s="193"/>
      <c r="M617" s="622">
        <f t="shared" si="774"/>
        <v>13420.289999999999</v>
      </c>
      <c r="N617" s="194">
        <f>'5.3.7.4'!R26</f>
        <v>169</v>
      </c>
      <c r="O617" s="622">
        <f t="shared" si="780"/>
        <v>13420.29</v>
      </c>
      <c r="P617" s="194">
        <f>'5.3.7.4'!R27</f>
        <v>0</v>
      </c>
      <c r="Q617" s="622">
        <f t="shared" si="781"/>
        <v>0</v>
      </c>
      <c r="R617" s="194">
        <f t="shared" si="782"/>
        <v>169</v>
      </c>
      <c r="S617" s="630">
        <f t="shared" si="783"/>
        <v>13420.29</v>
      </c>
      <c r="T617" s="194">
        <f t="shared" si="674"/>
        <v>0</v>
      </c>
      <c r="U617" s="630">
        <f t="shared" si="779"/>
        <v>0</v>
      </c>
    </row>
    <row r="618" spans="1:21">
      <c r="A618" s="138"/>
      <c r="B618" s="132"/>
      <c r="C618" s="123"/>
      <c r="D618" s="123"/>
      <c r="E618" s="123"/>
      <c r="F618" s="123"/>
      <c r="G618" s="123"/>
      <c r="H618" s="123"/>
      <c r="I618" s="123"/>
      <c r="J618" s="123"/>
      <c r="K618" s="123"/>
      <c r="L618" s="123"/>
      <c r="M618" s="623"/>
      <c r="N618" s="123"/>
      <c r="O618" s="623"/>
      <c r="P618" s="123"/>
      <c r="Q618" s="623"/>
      <c r="R618" s="123"/>
      <c r="S618" s="631"/>
      <c r="T618" s="123"/>
      <c r="U618" s="631"/>
    </row>
    <row r="619" spans="1:21" s="131" customFormat="1">
      <c r="A619" s="137" t="s">
        <v>748</v>
      </c>
      <c r="B619" s="133"/>
      <c r="C619" s="658" t="s">
        <v>187</v>
      </c>
      <c r="D619" s="126"/>
      <c r="E619" s="127"/>
      <c r="F619" s="128"/>
      <c r="G619" s="128"/>
      <c r="H619" s="128"/>
      <c r="I619" s="129"/>
      <c r="J619" s="129">
        <f>SUBTOTAL(9,J620:J625)</f>
        <v>49946.759399999988</v>
      </c>
      <c r="K619" s="129"/>
      <c r="L619" s="129"/>
      <c r="M619" s="624"/>
      <c r="N619" s="130"/>
      <c r="O619" s="624">
        <f>SUBTOTAL(9,O620:O625)</f>
        <v>49946.729999999996</v>
      </c>
      <c r="P619" s="130"/>
      <c r="Q619" s="624">
        <f>SUBTOTAL(9,Q620:Q625)</f>
        <v>0</v>
      </c>
      <c r="R619" s="129"/>
      <c r="S619" s="624">
        <f>SUBTOTAL(9,S620:S625)</f>
        <v>49946.729999999996</v>
      </c>
      <c r="T619" s="129">
        <f t="shared" si="674"/>
        <v>0</v>
      </c>
      <c r="U619" s="624">
        <f>SUM(U620:U625)</f>
        <v>0</v>
      </c>
    </row>
    <row r="620" spans="1:21" ht="51">
      <c r="A620" s="190" t="s">
        <v>749</v>
      </c>
      <c r="B620" s="191">
        <v>90102</v>
      </c>
      <c r="C620" s="657" t="s">
        <v>194</v>
      </c>
      <c r="D620" s="192" t="s">
        <v>57</v>
      </c>
      <c r="E620" s="193">
        <v>89.99</v>
      </c>
      <c r="F620" s="194">
        <v>191.8</v>
      </c>
      <c r="G620" s="194"/>
      <c r="H620" s="194"/>
      <c r="I620" s="193">
        <f t="shared" ref="I620:I625" si="784">F620+G620-H620</f>
        <v>191.8</v>
      </c>
      <c r="J620" s="193">
        <f t="shared" ref="J620:J625" si="785">I620*E620</f>
        <v>17260.081999999999</v>
      </c>
      <c r="K620" s="193"/>
      <c r="L620" s="193"/>
      <c r="M620" s="622">
        <f t="shared" ref="M620:M625" si="786">I620*E620</f>
        <v>17260.081999999999</v>
      </c>
      <c r="N620" s="194">
        <v>191.8</v>
      </c>
      <c r="O620" s="622">
        <f>TRUNC(N620*E620,2)</f>
        <v>17260.080000000002</v>
      </c>
      <c r="P620" s="194">
        <v>0</v>
      </c>
      <c r="Q620" s="622">
        <f t="shared" ref="Q620" si="787">S620-O620</f>
        <v>0</v>
      </c>
      <c r="R620" s="194">
        <f t="shared" ref="R620" si="788">P620+N620</f>
        <v>191.8</v>
      </c>
      <c r="S620" s="630">
        <f t="shared" ref="S620" si="789">TRUNC(R620*E620,2)</f>
        <v>17260.080000000002</v>
      </c>
      <c r="T620" s="194">
        <f>F620-R620</f>
        <v>0</v>
      </c>
      <c r="U620" s="630">
        <f t="shared" ref="U620:U625" si="790">T620*E620</f>
        <v>0</v>
      </c>
    </row>
    <row r="621" spans="1:21" ht="51">
      <c r="A621" s="190" t="s">
        <v>750</v>
      </c>
      <c r="B621" s="191">
        <v>90223</v>
      </c>
      <c r="C621" s="657" t="s">
        <v>195</v>
      </c>
      <c r="D621" s="192" t="s">
        <v>57</v>
      </c>
      <c r="E621" s="193">
        <v>124.46</v>
      </c>
      <c r="F621" s="194">
        <v>200.69</v>
      </c>
      <c r="G621" s="194"/>
      <c r="H621" s="194"/>
      <c r="I621" s="193">
        <f t="shared" si="784"/>
        <v>200.69</v>
      </c>
      <c r="J621" s="193">
        <f t="shared" si="785"/>
        <v>24977.877399999998</v>
      </c>
      <c r="K621" s="193"/>
      <c r="L621" s="193"/>
      <c r="M621" s="622">
        <f t="shared" si="786"/>
        <v>24977.877399999998</v>
      </c>
      <c r="N621" s="194">
        <v>200.69</v>
      </c>
      <c r="O621" s="622">
        <f>TRUNC(N621*E621,2)</f>
        <v>24977.87</v>
      </c>
      <c r="P621" s="194">
        <v>0</v>
      </c>
      <c r="Q621" s="622">
        <f>S621-O621</f>
        <v>0</v>
      </c>
      <c r="R621" s="194">
        <f>P621+N621</f>
        <v>200.69</v>
      </c>
      <c r="S621" s="630">
        <f>TRUNC(R621*E621,2)</f>
        <v>24977.87</v>
      </c>
      <c r="T621" s="194">
        <f t="shared" si="674"/>
        <v>0</v>
      </c>
      <c r="U621" s="630">
        <f t="shared" si="790"/>
        <v>0</v>
      </c>
    </row>
    <row r="622" spans="1:21" ht="51">
      <c r="A622" s="190" t="s">
        <v>751</v>
      </c>
      <c r="B622" s="191">
        <v>40339</v>
      </c>
      <c r="C622" s="657" t="s">
        <v>196</v>
      </c>
      <c r="D622" s="192" t="s">
        <v>57</v>
      </c>
      <c r="E622" s="193">
        <v>91.04</v>
      </c>
      <c r="F622" s="194">
        <v>25.2</v>
      </c>
      <c r="G622" s="194"/>
      <c r="H622" s="194"/>
      <c r="I622" s="193">
        <f t="shared" si="784"/>
        <v>25.2</v>
      </c>
      <c r="J622" s="193">
        <f t="shared" si="785"/>
        <v>2294.2080000000001</v>
      </c>
      <c r="K622" s="193"/>
      <c r="L622" s="193"/>
      <c r="M622" s="622">
        <f t="shared" si="786"/>
        <v>2294.2080000000001</v>
      </c>
      <c r="N622" s="194">
        <f>'5.3.8.3'!R21</f>
        <v>25.2</v>
      </c>
      <c r="O622" s="622">
        <f t="shared" ref="O622:O625" si="791">TRUNC(N622*E622,2)</f>
        <v>2294.1999999999998</v>
      </c>
      <c r="P622" s="194">
        <f>'5.3.8.3'!R22</f>
        <v>0</v>
      </c>
      <c r="Q622" s="622">
        <f t="shared" ref="Q622:Q625" si="792">S622-O622</f>
        <v>0</v>
      </c>
      <c r="R622" s="194">
        <f t="shared" ref="R622:R625" si="793">P622+N622</f>
        <v>25.2</v>
      </c>
      <c r="S622" s="630">
        <f t="shared" ref="S622:S625" si="794">TRUNC(R622*E622,2)</f>
        <v>2294.1999999999998</v>
      </c>
      <c r="T622" s="194">
        <f t="shared" si="674"/>
        <v>0</v>
      </c>
      <c r="U622" s="630">
        <f t="shared" si="790"/>
        <v>0</v>
      </c>
    </row>
    <row r="623" spans="1:21" ht="25.5">
      <c r="A623" s="190" t="s">
        <v>752</v>
      </c>
      <c r="B623" s="191">
        <v>40328</v>
      </c>
      <c r="C623" s="657" t="s">
        <v>197</v>
      </c>
      <c r="D623" s="192" t="s">
        <v>29</v>
      </c>
      <c r="E623" s="193">
        <v>7.98</v>
      </c>
      <c r="F623" s="194">
        <v>122</v>
      </c>
      <c r="G623" s="194"/>
      <c r="H623" s="194"/>
      <c r="I623" s="193">
        <f t="shared" si="784"/>
        <v>122</v>
      </c>
      <c r="J623" s="193">
        <f t="shared" si="785"/>
        <v>973.56000000000006</v>
      </c>
      <c r="K623" s="193"/>
      <c r="L623" s="193"/>
      <c r="M623" s="622">
        <f t="shared" si="786"/>
        <v>973.56000000000006</v>
      </c>
      <c r="N623" s="194">
        <f>'5.3.8.4'!R21</f>
        <v>122</v>
      </c>
      <c r="O623" s="622">
        <f t="shared" si="791"/>
        <v>973.56</v>
      </c>
      <c r="P623" s="194">
        <f>'5.3.8.4'!R22</f>
        <v>0</v>
      </c>
      <c r="Q623" s="622">
        <f t="shared" si="792"/>
        <v>0</v>
      </c>
      <c r="R623" s="194">
        <f t="shared" si="793"/>
        <v>122</v>
      </c>
      <c r="S623" s="630">
        <f t="shared" si="794"/>
        <v>973.56</v>
      </c>
      <c r="T623" s="194">
        <f t="shared" si="674"/>
        <v>0</v>
      </c>
      <c r="U623" s="630">
        <f t="shared" si="790"/>
        <v>0</v>
      </c>
    </row>
    <row r="624" spans="1:21" ht="51">
      <c r="A624" s="190" t="s">
        <v>753</v>
      </c>
      <c r="B624" s="191" t="s">
        <v>140</v>
      </c>
      <c r="C624" s="657" t="s">
        <v>198</v>
      </c>
      <c r="D624" s="192" t="s">
        <v>58</v>
      </c>
      <c r="E624" s="193">
        <v>486.08</v>
      </c>
      <c r="F624" s="194">
        <v>1.3</v>
      </c>
      <c r="G624" s="194"/>
      <c r="H624" s="194"/>
      <c r="I624" s="193">
        <f t="shared" si="784"/>
        <v>1.3</v>
      </c>
      <c r="J624" s="193">
        <f t="shared" si="785"/>
        <v>631.904</v>
      </c>
      <c r="K624" s="193"/>
      <c r="L624" s="193"/>
      <c r="M624" s="622">
        <f t="shared" si="786"/>
        <v>631.904</v>
      </c>
      <c r="N624" s="194">
        <f>'5.3.8.5'!R21</f>
        <v>1.3</v>
      </c>
      <c r="O624" s="622">
        <f t="shared" si="791"/>
        <v>631.9</v>
      </c>
      <c r="P624" s="194">
        <f>'5.3.8.5'!R22</f>
        <v>0</v>
      </c>
      <c r="Q624" s="622">
        <f t="shared" si="792"/>
        <v>0</v>
      </c>
      <c r="R624" s="194">
        <f t="shared" si="793"/>
        <v>1.3</v>
      </c>
      <c r="S624" s="630">
        <f t="shared" si="794"/>
        <v>631.9</v>
      </c>
      <c r="T624" s="194">
        <f t="shared" si="674"/>
        <v>0</v>
      </c>
      <c r="U624" s="630">
        <f t="shared" si="790"/>
        <v>0</v>
      </c>
    </row>
    <row r="625" spans="1:21" ht="51">
      <c r="A625" s="190" t="s">
        <v>754</v>
      </c>
      <c r="B625" s="191">
        <v>50602</v>
      </c>
      <c r="C625" s="657" t="s">
        <v>199</v>
      </c>
      <c r="D625" s="192" t="s">
        <v>57</v>
      </c>
      <c r="E625" s="193">
        <v>62.2</v>
      </c>
      <c r="F625" s="194">
        <v>61.24</v>
      </c>
      <c r="G625" s="194"/>
      <c r="H625" s="194"/>
      <c r="I625" s="193">
        <f t="shared" si="784"/>
        <v>61.24</v>
      </c>
      <c r="J625" s="193">
        <f t="shared" si="785"/>
        <v>3809.1280000000002</v>
      </c>
      <c r="K625" s="193"/>
      <c r="L625" s="193"/>
      <c r="M625" s="622">
        <f t="shared" si="786"/>
        <v>3809.1280000000002</v>
      </c>
      <c r="N625" s="194">
        <f>'5.3.8.6'!R21</f>
        <v>61.24</v>
      </c>
      <c r="O625" s="622">
        <f t="shared" si="791"/>
        <v>3809.12</v>
      </c>
      <c r="P625" s="194">
        <f>'5.3.8.6'!R22</f>
        <v>0</v>
      </c>
      <c r="Q625" s="622">
        <f t="shared" si="792"/>
        <v>0</v>
      </c>
      <c r="R625" s="194">
        <f t="shared" si="793"/>
        <v>61.24</v>
      </c>
      <c r="S625" s="630">
        <f t="shared" si="794"/>
        <v>3809.12</v>
      </c>
      <c r="T625" s="194">
        <f t="shared" si="674"/>
        <v>0</v>
      </c>
      <c r="U625" s="630">
        <f t="shared" si="790"/>
        <v>0</v>
      </c>
    </row>
    <row r="626" spans="1:21">
      <c r="A626" s="138"/>
      <c r="B626" s="132"/>
      <c r="C626" s="123"/>
      <c r="D626" s="123"/>
      <c r="E626" s="123"/>
      <c r="F626" s="123"/>
      <c r="G626" s="123"/>
      <c r="H626" s="123"/>
      <c r="I626" s="123"/>
      <c r="J626" s="123"/>
      <c r="K626" s="123"/>
      <c r="L626" s="123"/>
      <c r="M626" s="623"/>
      <c r="N626" s="123"/>
      <c r="O626" s="623"/>
      <c r="P626" s="123"/>
      <c r="Q626" s="623"/>
      <c r="R626" s="123"/>
      <c r="S626" s="631"/>
      <c r="T626" s="123"/>
      <c r="U626" s="631"/>
    </row>
    <row r="627" spans="1:21" s="131" customFormat="1">
      <c r="A627" s="137" t="s">
        <v>755</v>
      </c>
      <c r="B627" s="133"/>
      <c r="C627" s="658" t="s">
        <v>201</v>
      </c>
      <c r="D627" s="126"/>
      <c r="E627" s="127"/>
      <c r="F627" s="128"/>
      <c r="G627" s="128"/>
      <c r="H627" s="128"/>
      <c r="I627" s="129"/>
      <c r="J627" s="129">
        <f>SUBTOTAL(9,J628:J631)</f>
        <v>6322.5289000000002</v>
      </c>
      <c r="K627" s="129"/>
      <c r="L627" s="129"/>
      <c r="M627" s="624"/>
      <c r="N627" s="130"/>
      <c r="O627" s="624">
        <f>SUBTOTAL(9,O628:O631)</f>
        <v>6322.51</v>
      </c>
      <c r="P627" s="130"/>
      <c r="Q627" s="624">
        <f>SUBTOTAL(9,Q628:Q631)</f>
        <v>0</v>
      </c>
      <c r="R627" s="129"/>
      <c r="S627" s="624">
        <f>SUBTOTAL(9,S628:S631)</f>
        <v>6322.51</v>
      </c>
      <c r="T627" s="129">
        <f t="shared" ref="T627:T696" si="795">F627-R627</f>
        <v>0</v>
      </c>
      <c r="U627" s="624">
        <f>SUBTOTAL(9,U628:U631)</f>
        <v>0</v>
      </c>
    </row>
    <row r="628" spans="1:21" ht="34.5" customHeight="1">
      <c r="A628" s="190" t="s">
        <v>756</v>
      </c>
      <c r="B628" s="191" t="s">
        <v>206</v>
      </c>
      <c r="C628" s="657" t="s">
        <v>207</v>
      </c>
      <c r="D628" s="192" t="s">
        <v>60</v>
      </c>
      <c r="E628" s="193">
        <v>72.83</v>
      </c>
      <c r="F628" s="194">
        <v>44.2</v>
      </c>
      <c r="G628" s="194"/>
      <c r="H628" s="194"/>
      <c r="I628" s="193">
        <f t="shared" ref="I628:I631" si="796">F628+G628-H628</f>
        <v>44.2</v>
      </c>
      <c r="J628" s="193">
        <f t="shared" ref="J628:J631" si="797">I628*E628</f>
        <v>3219.0860000000002</v>
      </c>
      <c r="K628" s="193"/>
      <c r="L628" s="193"/>
      <c r="M628" s="622">
        <f t="shared" ref="M628:M631" si="798">I628*E628</f>
        <v>3219.0860000000002</v>
      </c>
      <c r="N628" s="194">
        <v>44.2</v>
      </c>
      <c r="O628" s="622">
        <f t="shared" ref="O628" si="799">TRUNC(N628*E628,2)</f>
        <v>3219.08</v>
      </c>
      <c r="P628" s="194">
        <v>0</v>
      </c>
      <c r="Q628" s="622">
        <f t="shared" ref="Q628" si="800">S628-O628</f>
        <v>0</v>
      </c>
      <c r="R628" s="194">
        <f t="shared" ref="R628" si="801">P628+N628</f>
        <v>44.2</v>
      </c>
      <c r="S628" s="630">
        <f t="shared" ref="S628" si="802">TRUNC(R628*E628,2)</f>
        <v>3219.08</v>
      </c>
      <c r="T628" s="194">
        <f t="shared" si="795"/>
        <v>0</v>
      </c>
      <c r="U628" s="630">
        <f t="shared" ref="U628:U631" si="803">T628*E628</f>
        <v>0</v>
      </c>
    </row>
    <row r="629" spans="1:21">
      <c r="A629" s="190" t="s">
        <v>757</v>
      </c>
      <c r="B629" s="191">
        <v>90302</v>
      </c>
      <c r="C629" s="657" t="s">
        <v>208</v>
      </c>
      <c r="D629" s="192" t="s">
        <v>51</v>
      </c>
      <c r="E629" s="193">
        <v>31.38</v>
      </c>
      <c r="F629" s="194">
        <v>64.14</v>
      </c>
      <c r="G629" s="194"/>
      <c r="H629" s="194"/>
      <c r="I629" s="193">
        <f t="shared" si="796"/>
        <v>64.14</v>
      </c>
      <c r="J629" s="193">
        <f t="shared" si="797"/>
        <v>2012.7131999999999</v>
      </c>
      <c r="K629" s="193"/>
      <c r="L629" s="193"/>
      <c r="M629" s="622">
        <f t="shared" si="798"/>
        <v>2012.7131999999999</v>
      </c>
      <c r="N629" s="194">
        <v>64.14</v>
      </c>
      <c r="O629" s="622">
        <f>TRUNC(N629*E629,2)</f>
        <v>2012.71</v>
      </c>
      <c r="P629" s="194">
        <v>0</v>
      </c>
      <c r="Q629" s="622">
        <f>S629-O629</f>
        <v>0</v>
      </c>
      <c r="R629" s="194">
        <f>P629+N629</f>
        <v>64.14</v>
      </c>
      <c r="S629" s="630">
        <f>TRUNC(R629*E629,2)</f>
        <v>2012.71</v>
      </c>
      <c r="T629" s="194">
        <f t="shared" si="795"/>
        <v>0</v>
      </c>
      <c r="U629" s="630">
        <f t="shared" si="803"/>
        <v>0</v>
      </c>
    </row>
    <row r="630" spans="1:21" ht="25.5">
      <c r="A630" s="190" t="s">
        <v>758</v>
      </c>
      <c r="B630" s="191">
        <v>141909</v>
      </c>
      <c r="C630" s="657" t="s">
        <v>209</v>
      </c>
      <c r="D630" s="192" t="s">
        <v>51</v>
      </c>
      <c r="E630" s="193">
        <v>61.57</v>
      </c>
      <c r="F630" s="194">
        <v>9.27</v>
      </c>
      <c r="G630" s="194"/>
      <c r="H630" s="194"/>
      <c r="I630" s="193">
        <f t="shared" si="796"/>
        <v>9.27</v>
      </c>
      <c r="J630" s="193">
        <f t="shared" si="797"/>
        <v>570.75389999999993</v>
      </c>
      <c r="K630" s="193"/>
      <c r="L630" s="193"/>
      <c r="M630" s="622">
        <f t="shared" si="798"/>
        <v>570.75389999999993</v>
      </c>
      <c r="N630" s="194">
        <v>9.27</v>
      </c>
      <c r="O630" s="622">
        <f t="shared" ref="O630:O631" si="804">TRUNC(N630*E630,2)</f>
        <v>570.75</v>
      </c>
      <c r="P630" s="194"/>
      <c r="Q630" s="622">
        <f t="shared" ref="Q630:Q631" si="805">S630-O630</f>
        <v>0</v>
      </c>
      <c r="R630" s="194">
        <f t="shared" ref="R630:R631" si="806">P630+N630</f>
        <v>9.27</v>
      </c>
      <c r="S630" s="630">
        <f t="shared" ref="S630:S631" si="807">TRUNC(R630*E630,2)</f>
        <v>570.75</v>
      </c>
      <c r="T630" s="194">
        <f t="shared" si="795"/>
        <v>0</v>
      </c>
      <c r="U630" s="630">
        <f t="shared" si="803"/>
        <v>0</v>
      </c>
    </row>
    <row r="631" spans="1:21" ht="25.5">
      <c r="A631" s="190" t="s">
        <v>759</v>
      </c>
      <c r="B631" s="191">
        <v>140903</v>
      </c>
      <c r="C631" s="657" t="s">
        <v>607</v>
      </c>
      <c r="D631" s="192" t="s">
        <v>51</v>
      </c>
      <c r="E631" s="193">
        <v>48.46</v>
      </c>
      <c r="F631" s="194">
        <v>10.73</v>
      </c>
      <c r="G631" s="194"/>
      <c r="H631" s="194"/>
      <c r="I631" s="193">
        <f t="shared" si="796"/>
        <v>10.73</v>
      </c>
      <c r="J631" s="193">
        <f t="shared" si="797"/>
        <v>519.97580000000005</v>
      </c>
      <c r="K631" s="193"/>
      <c r="L631" s="193"/>
      <c r="M631" s="622">
        <f t="shared" si="798"/>
        <v>519.97580000000005</v>
      </c>
      <c r="N631" s="194">
        <v>10.73</v>
      </c>
      <c r="O631" s="622">
        <f t="shared" si="804"/>
        <v>519.97</v>
      </c>
      <c r="P631" s="194"/>
      <c r="Q631" s="622">
        <f t="shared" si="805"/>
        <v>0</v>
      </c>
      <c r="R631" s="194">
        <f t="shared" si="806"/>
        <v>10.73</v>
      </c>
      <c r="S631" s="630">
        <f t="shared" si="807"/>
        <v>519.97</v>
      </c>
      <c r="T631" s="194">
        <f t="shared" si="795"/>
        <v>0</v>
      </c>
      <c r="U631" s="630">
        <f t="shared" si="803"/>
        <v>0</v>
      </c>
    </row>
    <row r="632" spans="1:21">
      <c r="A632" s="138"/>
      <c r="B632" s="132"/>
      <c r="C632" s="123"/>
      <c r="D632" s="123"/>
      <c r="E632" s="123"/>
      <c r="F632" s="123"/>
      <c r="G632" s="123"/>
      <c r="H632" s="123"/>
      <c r="I632" s="123"/>
      <c r="J632" s="123"/>
      <c r="K632" s="123"/>
      <c r="L632" s="123"/>
      <c r="M632" s="623"/>
      <c r="N632" s="123"/>
      <c r="O632" s="623"/>
      <c r="P632" s="123"/>
      <c r="Q632" s="623"/>
      <c r="R632" s="123"/>
      <c r="S632" s="631"/>
      <c r="T632" s="123"/>
      <c r="U632" s="631"/>
    </row>
    <row r="633" spans="1:21" s="131" customFormat="1">
      <c r="A633" s="137" t="s">
        <v>850</v>
      </c>
      <c r="B633" s="133"/>
      <c r="C633" s="658" t="s">
        <v>212</v>
      </c>
      <c r="D633" s="126"/>
      <c r="E633" s="127"/>
      <c r="F633" s="128"/>
      <c r="G633" s="128"/>
      <c r="H633" s="128"/>
      <c r="I633" s="129"/>
      <c r="J633" s="129">
        <f>SUBTOTAL(9,J634:J644)</f>
        <v>110605.07340000001</v>
      </c>
      <c r="K633" s="129"/>
      <c r="L633" s="129"/>
      <c r="M633" s="129">
        <f>SUBTOTAL(9,M634:M644)</f>
        <v>110605.07340000001</v>
      </c>
      <c r="N633" s="130"/>
      <c r="O633" s="624">
        <f>SUBTOTAL(9,O634:O644)</f>
        <v>110605.03</v>
      </c>
      <c r="P633" s="130"/>
      <c r="Q633" s="624">
        <f>SUBTOTAL(9,Q634:Q644)</f>
        <v>0</v>
      </c>
      <c r="R633" s="129"/>
      <c r="S633" s="624">
        <f>SUBTOTAL(9,S634:S644)</f>
        <v>110605.03</v>
      </c>
      <c r="T633" s="129">
        <f t="shared" si="795"/>
        <v>0</v>
      </c>
      <c r="U633" s="624">
        <f>M633-S633</f>
        <v>4.3400000009569339E-2</v>
      </c>
    </row>
    <row r="634" spans="1:21">
      <c r="A634" s="190" t="s">
        <v>760</v>
      </c>
      <c r="B634" s="191" t="s">
        <v>224</v>
      </c>
      <c r="C634" s="657" t="s">
        <v>229</v>
      </c>
      <c r="D634" s="192" t="s">
        <v>50</v>
      </c>
      <c r="E634" s="193">
        <v>280.31</v>
      </c>
      <c r="F634" s="194">
        <v>111.39</v>
      </c>
      <c r="G634" s="194"/>
      <c r="H634" s="194"/>
      <c r="I634" s="193">
        <f t="shared" ref="I634:I644" si="808">F634+G634-H634</f>
        <v>111.39</v>
      </c>
      <c r="J634" s="193">
        <f t="shared" ref="J634:J644" si="809">I634*E634</f>
        <v>31223.730899999999</v>
      </c>
      <c r="K634" s="193"/>
      <c r="L634" s="193"/>
      <c r="M634" s="622">
        <f t="shared" ref="M634:M644" si="810">I634*E634</f>
        <v>31223.730899999999</v>
      </c>
      <c r="N634" s="194">
        <v>111.39</v>
      </c>
      <c r="O634" s="622">
        <f t="shared" ref="O634" si="811">TRUNC(N634*E634,2)</f>
        <v>31223.73</v>
      </c>
      <c r="P634" s="194"/>
      <c r="Q634" s="622">
        <f t="shared" ref="Q634" si="812">S634-O634</f>
        <v>0</v>
      </c>
      <c r="R634" s="194">
        <f>P634+N634</f>
        <v>111.39</v>
      </c>
      <c r="S634" s="630">
        <f t="shared" ref="S634" si="813">TRUNC(R634*E634,2)</f>
        <v>31223.73</v>
      </c>
      <c r="T634" s="194">
        <f>I634-R634</f>
        <v>0</v>
      </c>
      <c r="U634" s="630">
        <f t="shared" ref="U634:U644" si="814">T634*E634</f>
        <v>0</v>
      </c>
    </row>
    <row r="635" spans="1:21">
      <c r="A635" s="190" t="s">
        <v>761</v>
      </c>
      <c r="B635" s="191" t="s">
        <v>225</v>
      </c>
      <c r="C635" s="657" t="s">
        <v>230</v>
      </c>
      <c r="D635" s="192" t="s">
        <v>50</v>
      </c>
      <c r="E635" s="193">
        <v>645.84</v>
      </c>
      <c r="F635" s="194">
        <v>15.3</v>
      </c>
      <c r="G635" s="194"/>
      <c r="H635" s="194"/>
      <c r="I635" s="193">
        <f t="shared" si="808"/>
        <v>15.3</v>
      </c>
      <c r="J635" s="193">
        <f t="shared" si="809"/>
        <v>9881.3520000000008</v>
      </c>
      <c r="K635" s="193"/>
      <c r="L635" s="193"/>
      <c r="M635" s="622">
        <f t="shared" si="810"/>
        <v>9881.3520000000008</v>
      </c>
      <c r="N635" s="194">
        <v>15.3</v>
      </c>
      <c r="O635" s="622">
        <f>TRUNC(N635*E635,2)</f>
        <v>9881.35</v>
      </c>
      <c r="P635" s="194"/>
      <c r="Q635" s="622">
        <f>S635-O635</f>
        <v>0</v>
      </c>
      <c r="R635" s="194">
        <f>P635+N635</f>
        <v>15.3</v>
      </c>
      <c r="S635" s="630">
        <f>TRUNC(R635*E635,2)</f>
        <v>9881.35</v>
      </c>
      <c r="T635" s="194">
        <f t="shared" si="795"/>
        <v>0</v>
      </c>
      <c r="U635" s="630">
        <f t="shared" si="814"/>
        <v>0</v>
      </c>
    </row>
    <row r="636" spans="1:21" ht="25.5">
      <c r="A636" s="190" t="s">
        <v>762</v>
      </c>
      <c r="B636" s="191" t="s">
        <v>226</v>
      </c>
      <c r="C636" s="657" t="s">
        <v>231</v>
      </c>
      <c r="D636" s="192" t="s">
        <v>50</v>
      </c>
      <c r="E636" s="193">
        <v>651.87</v>
      </c>
      <c r="F636" s="194">
        <v>5.63</v>
      </c>
      <c r="G636" s="194"/>
      <c r="H636" s="194"/>
      <c r="I636" s="193">
        <f t="shared" si="808"/>
        <v>5.63</v>
      </c>
      <c r="J636" s="193">
        <f t="shared" si="809"/>
        <v>3670.0281</v>
      </c>
      <c r="K636" s="193"/>
      <c r="L636" s="193"/>
      <c r="M636" s="622">
        <f t="shared" si="810"/>
        <v>3670.0281</v>
      </c>
      <c r="N636" s="194">
        <v>5.63</v>
      </c>
      <c r="O636" s="622">
        <f t="shared" ref="O636:O644" si="815">TRUNC(N636*E636,2)</f>
        <v>3670.02</v>
      </c>
      <c r="P636" s="194"/>
      <c r="Q636" s="622">
        <f t="shared" ref="Q636:Q644" si="816">S636-O636</f>
        <v>0</v>
      </c>
      <c r="R636" s="194">
        <f t="shared" ref="R636:R644" si="817">P636+N636</f>
        <v>5.63</v>
      </c>
      <c r="S636" s="630">
        <f t="shared" ref="S636:S644" si="818">TRUNC(R636*E636,2)</f>
        <v>3670.02</v>
      </c>
      <c r="T636" s="194">
        <f t="shared" si="795"/>
        <v>0</v>
      </c>
      <c r="U636" s="630">
        <f t="shared" si="814"/>
        <v>0</v>
      </c>
    </row>
    <row r="637" spans="1:21" ht="25.5">
      <c r="A637" s="190" t="s">
        <v>763</v>
      </c>
      <c r="B637" s="191">
        <v>210322</v>
      </c>
      <c r="C637" s="657" t="s">
        <v>232</v>
      </c>
      <c r="D637" s="192" t="s">
        <v>51</v>
      </c>
      <c r="E637" s="193">
        <v>91.5</v>
      </c>
      <c r="F637" s="194">
        <v>13.65</v>
      </c>
      <c r="G637" s="194"/>
      <c r="H637" s="194"/>
      <c r="I637" s="193">
        <f t="shared" si="808"/>
        <v>13.65</v>
      </c>
      <c r="J637" s="193">
        <f t="shared" si="809"/>
        <v>1248.9750000000001</v>
      </c>
      <c r="K637" s="193"/>
      <c r="L637" s="193"/>
      <c r="M637" s="622">
        <f t="shared" si="810"/>
        <v>1248.9750000000001</v>
      </c>
      <c r="N637" s="194">
        <v>13.65</v>
      </c>
      <c r="O637" s="622">
        <f t="shared" si="815"/>
        <v>1248.97</v>
      </c>
      <c r="P637" s="194"/>
      <c r="Q637" s="622">
        <f t="shared" si="816"/>
        <v>0</v>
      </c>
      <c r="R637" s="194">
        <f t="shared" si="817"/>
        <v>13.65</v>
      </c>
      <c r="S637" s="630">
        <f t="shared" si="818"/>
        <v>1248.97</v>
      </c>
      <c r="T637" s="194">
        <f t="shared" si="795"/>
        <v>0</v>
      </c>
      <c r="U637" s="630">
        <f t="shared" si="814"/>
        <v>0</v>
      </c>
    </row>
    <row r="638" spans="1:21" ht="25.5">
      <c r="A638" s="190" t="s">
        <v>764</v>
      </c>
      <c r="B638" s="191" t="s">
        <v>227</v>
      </c>
      <c r="C638" s="657" t="s">
        <v>233</v>
      </c>
      <c r="D638" s="192" t="s">
        <v>51</v>
      </c>
      <c r="E638" s="193">
        <v>366.23</v>
      </c>
      <c r="F638" s="194">
        <v>4.1500000000000004</v>
      </c>
      <c r="G638" s="194"/>
      <c r="H638" s="194"/>
      <c r="I638" s="193">
        <f t="shared" si="808"/>
        <v>4.1500000000000004</v>
      </c>
      <c r="J638" s="193">
        <f t="shared" si="809"/>
        <v>1519.8545000000001</v>
      </c>
      <c r="K638" s="193"/>
      <c r="L638" s="193"/>
      <c r="M638" s="622">
        <f t="shared" si="810"/>
        <v>1519.8545000000001</v>
      </c>
      <c r="N638" s="194">
        <v>4.1500000000000004</v>
      </c>
      <c r="O638" s="622">
        <f t="shared" si="815"/>
        <v>1519.85</v>
      </c>
      <c r="P638" s="194"/>
      <c r="Q638" s="622">
        <f t="shared" si="816"/>
        <v>0</v>
      </c>
      <c r="R638" s="194">
        <f t="shared" si="817"/>
        <v>4.1500000000000004</v>
      </c>
      <c r="S638" s="630">
        <f t="shared" si="818"/>
        <v>1519.85</v>
      </c>
      <c r="T638" s="194">
        <f t="shared" si="795"/>
        <v>0</v>
      </c>
      <c r="U638" s="630">
        <f t="shared" si="814"/>
        <v>0</v>
      </c>
    </row>
    <row r="639" spans="1:21" ht="60.75" customHeight="1">
      <c r="A639" s="190" t="s">
        <v>765</v>
      </c>
      <c r="B639" s="191">
        <v>50608</v>
      </c>
      <c r="C639" s="657" t="s">
        <v>234</v>
      </c>
      <c r="D639" s="192" t="s">
        <v>57</v>
      </c>
      <c r="E639" s="193">
        <v>88.68</v>
      </c>
      <c r="F639" s="194">
        <v>8.32</v>
      </c>
      <c r="G639" s="194"/>
      <c r="H639" s="194"/>
      <c r="I639" s="193">
        <f t="shared" si="808"/>
        <v>8.32</v>
      </c>
      <c r="J639" s="193">
        <f t="shared" si="809"/>
        <v>737.81760000000008</v>
      </c>
      <c r="K639" s="193"/>
      <c r="L639" s="193"/>
      <c r="M639" s="622">
        <f t="shared" si="810"/>
        <v>737.81760000000008</v>
      </c>
      <c r="N639" s="194">
        <f>'5.3.10.6 '!R21</f>
        <v>8.32</v>
      </c>
      <c r="O639" s="622">
        <f t="shared" si="815"/>
        <v>737.81</v>
      </c>
      <c r="P639" s="194">
        <f>'5.3.10.6 '!R22</f>
        <v>0</v>
      </c>
      <c r="Q639" s="622">
        <f t="shared" si="816"/>
        <v>0</v>
      </c>
      <c r="R639" s="194">
        <f t="shared" si="817"/>
        <v>8.32</v>
      </c>
      <c r="S639" s="630">
        <f t="shared" si="818"/>
        <v>737.81</v>
      </c>
      <c r="T639" s="194">
        <f t="shared" si="795"/>
        <v>0</v>
      </c>
      <c r="U639" s="630">
        <f t="shared" si="814"/>
        <v>0</v>
      </c>
    </row>
    <row r="640" spans="1:21" ht="25.5">
      <c r="A640" s="190" t="s">
        <v>766</v>
      </c>
      <c r="B640" s="191">
        <v>120101</v>
      </c>
      <c r="C640" s="657" t="s">
        <v>235</v>
      </c>
      <c r="D640" s="192" t="s">
        <v>57</v>
      </c>
      <c r="E640" s="193">
        <v>5.64</v>
      </c>
      <c r="F640" s="194">
        <v>531.42999999999995</v>
      </c>
      <c r="G640" s="194"/>
      <c r="H640" s="194"/>
      <c r="I640" s="193">
        <f t="shared" si="808"/>
        <v>531.42999999999995</v>
      </c>
      <c r="J640" s="193">
        <f t="shared" si="809"/>
        <v>2997.2651999999994</v>
      </c>
      <c r="K640" s="193"/>
      <c r="L640" s="193"/>
      <c r="M640" s="622">
        <f t="shared" si="810"/>
        <v>2997.2651999999994</v>
      </c>
      <c r="N640" s="194">
        <f>'5.3.10.7'!R21</f>
        <v>531.42999999999995</v>
      </c>
      <c r="O640" s="622">
        <f t="shared" si="815"/>
        <v>2997.26</v>
      </c>
      <c r="P640" s="194">
        <f>'5.3.10.7'!R22</f>
        <v>0</v>
      </c>
      <c r="Q640" s="622">
        <f t="shared" si="816"/>
        <v>0</v>
      </c>
      <c r="R640" s="194">
        <f t="shared" si="817"/>
        <v>531.42999999999995</v>
      </c>
      <c r="S640" s="630">
        <f t="shared" si="818"/>
        <v>2997.26</v>
      </c>
      <c r="T640" s="194">
        <f t="shared" si="795"/>
        <v>0</v>
      </c>
      <c r="U640" s="630">
        <f t="shared" si="814"/>
        <v>0</v>
      </c>
    </row>
    <row r="641" spans="1:21" ht="33" customHeight="1">
      <c r="A641" s="190" t="s">
        <v>767</v>
      </c>
      <c r="B641" s="191">
        <v>120303</v>
      </c>
      <c r="C641" s="657" t="s">
        <v>236</v>
      </c>
      <c r="D641" s="192" t="s">
        <v>57</v>
      </c>
      <c r="E641" s="193">
        <v>49.24</v>
      </c>
      <c r="F641" s="194">
        <v>531.42999999999995</v>
      </c>
      <c r="G641" s="194"/>
      <c r="H641" s="194"/>
      <c r="I641" s="193">
        <f t="shared" si="808"/>
        <v>531.42999999999995</v>
      </c>
      <c r="J641" s="193">
        <f t="shared" si="809"/>
        <v>26167.6132</v>
      </c>
      <c r="K641" s="193"/>
      <c r="L641" s="193"/>
      <c r="M641" s="622">
        <f t="shared" si="810"/>
        <v>26167.6132</v>
      </c>
      <c r="N641" s="194">
        <f>'5.3.10.8'!R21</f>
        <v>531.42999999999995</v>
      </c>
      <c r="O641" s="622">
        <f t="shared" si="815"/>
        <v>26167.61</v>
      </c>
      <c r="P641" s="194">
        <f>'5.3.10.8'!R22</f>
        <v>0</v>
      </c>
      <c r="Q641" s="622">
        <f t="shared" si="816"/>
        <v>0</v>
      </c>
      <c r="R641" s="194">
        <f t="shared" si="817"/>
        <v>531.42999999999995</v>
      </c>
      <c r="S641" s="630">
        <f t="shared" si="818"/>
        <v>26167.61</v>
      </c>
      <c r="T641" s="194">
        <f t="shared" si="795"/>
        <v>0</v>
      </c>
      <c r="U641" s="630">
        <f t="shared" si="814"/>
        <v>0</v>
      </c>
    </row>
    <row r="642" spans="1:21" ht="25.5">
      <c r="A642" s="190" t="s">
        <v>768</v>
      </c>
      <c r="B642" s="191">
        <v>190117</v>
      </c>
      <c r="C642" s="657" t="s">
        <v>237</v>
      </c>
      <c r="D642" s="192" t="s">
        <v>57</v>
      </c>
      <c r="E642" s="193">
        <v>18.27</v>
      </c>
      <c r="F642" s="194">
        <v>531.42999999999995</v>
      </c>
      <c r="G642" s="194"/>
      <c r="H642" s="194"/>
      <c r="I642" s="193">
        <f t="shared" si="808"/>
        <v>531.42999999999995</v>
      </c>
      <c r="J642" s="193">
        <f t="shared" si="809"/>
        <v>9709.226099999998</v>
      </c>
      <c r="K642" s="193"/>
      <c r="L642" s="193"/>
      <c r="M642" s="622">
        <f t="shared" si="810"/>
        <v>9709.226099999998</v>
      </c>
      <c r="N642" s="194">
        <f>'5.3.10.9'!N24</f>
        <v>531.42999999999995</v>
      </c>
      <c r="O642" s="622">
        <f t="shared" si="815"/>
        <v>9709.2199999999993</v>
      </c>
      <c r="P642" s="194">
        <f>'5.3.10.9'!N25</f>
        <v>0</v>
      </c>
      <c r="Q642" s="622">
        <f t="shared" si="816"/>
        <v>0</v>
      </c>
      <c r="R642" s="194">
        <f t="shared" si="817"/>
        <v>531.42999999999995</v>
      </c>
      <c r="S642" s="630">
        <f t="shared" si="818"/>
        <v>9709.2199999999993</v>
      </c>
      <c r="T642" s="194">
        <f t="shared" si="795"/>
        <v>0</v>
      </c>
      <c r="U642" s="630">
        <f t="shared" si="814"/>
        <v>0</v>
      </c>
    </row>
    <row r="643" spans="1:21" ht="51">
      <c r="A643" s="190" t="s">
        <v>769</v>
      </c>
      <c r="B643" s="191">
        <v>130230</v>
      </c>
      <c r="C643" s="657" t="s">
        <v>238</v>
      </c>
      <c r="D643" s="192" t="s">
        <v>57</v>
      </c>
      <c r="E643" s="193">
        <v>106.19</v>
      </c>
      <c r="F643" s="194">
        <v>142.32</v>
      </c>
      <c r="G643" s="194"/>
      <c r="H643" s="194"/>
      <c r="I643" s="193">
        <f t="shared" si="808"/>
        <v>142.32</v>
      </c>
      <c r="J643" s="193">
        <f t="shared" si="809"/>
        <v>15112.960799999999</v>
      </c>
      <c r="K643" s="193"/>
      <c r="L643" s="193"/>
      <c r="M643" s="622">
        <f t="shared" si="810"/>
        <v>15112.960799999999</v>
      </c>
      <c r="N643" s="194">
        <f>'5.3.10.10'!N24</f>
        <v>142.32</v>
      </c>
      <c r="O643" s="622">
        <f t="shared" si="815"/>
        <v>15112.96</v>
      </c>
      <c r="P643" s="194">
        <f>'5.3.10.10'!N25</f>
        <v>0</v>
      </c>
      <c r="Q643" s="622">
        <f t="shared" si="816"/>
        <v>0</v>
      </c>
      <c r="R643" s="194">
        <f t="shared" si="817"/>
        <v>142.32</v>
      </c>
      <c r="S643" s="630">
        <f t="shared" si="818"/>
        <v>15112.96</v>
      </c>
      <c r="T643" s="194">
        <f t="shared" si="795"/>
        <v>0</v>
      </c>
      <c r="U643" s="630">
        <f t="shared" si="814"/>
        <v>0</v>
      </c>
    </row>
    <row r="644" spans="1:21" ht="25.5">
      <c r="A644" s="190" t="s">
        <v>770</v>
      </c>
      <c r="B644" s="191" t="s">
        <v>228</v>
      </c>
      <c r="C644" s="657" t="s">
        <v>239</v>
      </c>
      <c r="D644" s="192" t="s">
        <v>72</v>
      </c>
      <c r="E644" s="193">
        <v>333.45</v>
      </c>
      <c r="F644" s="194">
        <v>25</v>
      </c>
      <c r="G644" s="194"/>
      <c r="H644" s="194"/>
      <c r="I644" s="193">
        <f t="shared" si="808"/>
        <v>25</v>
      </c>
      <c r="J644" s="193">
        <f t="shared" si="809"/>
        <v>8336.25</v>
      </c>
      <c r="K644" s="193"/>
      <c r="L644" s="193"/>
      <c r="M644" s="622">
        <f t="shared" si="810"/>
        <v>8336.25</v>
      </c>
      <c r="N644" s="194">
        <v>25</v>
      </c>
      <c r="O644" s="622">
        <f t="shared" si="815"/>
        <v>8336.25</v>
      </c>
      <c r="P644" s="194">
        <v>0</v>
      </c>
      <c r="Q644" s="622">
        <f t="shared" si="816"/>
        <v>0</v>
      </c>
      <c r="R644" s="194">
        <f t="shared" si="817"/>
        <v>25</v>
      </c>
      <c r="S644" s="630">
        <f t="shared" si="818"/>
        <v>8336.25</v>
      </c>
      <c r="T644" s="194">
        <f t="shared" si="795"/>
        <v>0</v>
      </c>
      <c r="U644" s="630">
        <f t="shared" si="814"/>
        <v>0</v>
      </c>
    </row>
    <row r="645" spans="1:21">
      <c r="A645" s="138"/>
      <c r="B645" s="132"/>
      <c r="C645" s="123"/>
      <c r="D645" s="123"/>
      <c r="E645" s="123"/>
      <c r="F645" s="123"/>
      <c r="G645" s="123"/>
      <c r="H645" s="123"/>
      <c r="I645" s="123"/>
      <c r="J645" s="123"/>
      <c r="K645" s="123"/>
      <c r="L645" s="123"/>
      <c r="M645" s="623"/>
      <c r="N645" s="123"/>
      <c r="O645" s="623"/>
      <c r="P645" s="123"/>
      <c r="Q645" s="623"/>
      <c r="R645" s="123"/>
      <c r="S645" s="631"/>
      <c r="T645" s="123"/>
      <c r="U645" s="631"/>
    </row>
    <row r="646" spans="1:21" s="213" customFormat="1">
      <c r="A646" s="210" t="s">
        <v>771</v>
      </c>
      <c r="B646" s="211"/>
      <c r="C646" s="655" t="s">
        <v>240</v>
      </c>
      <c r="D646" s="197"/>
      <c r="E646" s="198"/>
      <c r="F646" s="199"/>
      <c r="G646" s="199"/>
      <c r="H646" s="199"/>
      <c r="I646" s="200"/>
      <c r="J646" s="200">
        <f>SUBTOTAL(9,J647:J685)</f>
        <v>667462.34789999994</v>
      </c>
      <c r="K646" s="200"/>
      <c r="L646" s="200"/>
      <c r="M646" s="620"/>
      <c r="N646" s="201"/>
      <c r="O646" s="620">
        <f>SUBTOTAL(9,O647:O685)</f>
        <v>410016.27</v>
      </c>
      <c r="P646" s="201"/>
      <c r="Q646" s="620">
        <f>SUBTOTAL(9,Q647:Q685)</f>
        <v>168065.58399999997</v>
      </c>
      <c r="R646" s="200"/>
      <c r="S646" s="620">
        <f>SUBTOTAL(9,S647:S685)</f>
        <v>915654.67</v>
      </c>
      <c r="T646" s="200">
        <f t="shared" si="795"/>
        <v>0</v>
      </c>
      <c r="U646" s="620">
        <f>SUBTOTAL(9,U647:U685)</f>
        <v>0</v>
      </c>
    </row>
    <row r="647" spans="1:21" s="131" customFormat="1" ht="22.5" customHeight="1">
      <c r="A647" s="137" t="s">
        <v>772</v>
      </c>
      <c r="B647" s="133"/>
      <c r="C647" s="658" t="s">
        <v>242</v>
      </c>
      <c r="D647" s="126"/>
      <c r="E647" s="127"/>
      <c r="F647" s="128"/>
      <c r="G647" s="128"/>
      <c r="H647" s="128"/>
      <c r="I647" s="129"/>
      <c r="J647" s="129">
        <f>SUBTOTAL(9,J648:J659)</f>
        <v>296584.22210000007</v>
      </c>
      <c r="K647" s="129"/>
      <c r="L647" s="129"/>
      <c r="M647" s="624"/>
      <c r="N647" s="130"/>
      <c r="O647" s="624">
        <f>SUBTOTAL(9,O648:O659)</f>
        <v>232788.75</v>
      </c>
      <c r="P647" s="130"/>
      <c r="Q647" s="624">
        <f>SUBTOTAL(9,Q648:Q659)</f>
        <v>14092.670000000002</v>
      </c>
      <c r="R647" s="129"/>
      <c r="S647" s="624">
        <f>SUBTOTAL(9,S648:S659)</f>
        <v>304353.90000000002</v>
      </c>
      <c r="T647" s="129">
        <f t="shared" si="795"/>
        <v>0</v>
      </c>
      <c r="U647" s="624">
        <f>SUBTOTAL(9,U648:U660)</f>
        <v>0</v>
      </c>
    </row>
    <row r="648" spans="1:21" ht="25.5">
      <c r="A648" s="190" t="s">
        <v>773</v>
      </c>
      <c r="B648" s="191">
        <v>40405</v>
      </c>
      <c r="C648" s="657" t="s">
        <v>264</v>
      </c>
      <c r="D648" s="192" t="s">
        <v>57</v>
      </c>
      <c r="E648" s="193">
        <v>86.33</v>
      </c>
      <c r="F648" s="194">
        <v>341</v>
      </c>
      <c r="G648" s="194">
        <f>REPLANILHAMENTO!H568</f>
        <v>90</v>
      </c>
      <c r="H648" s="194"/>
      <c r="I648" s="193">
        <f>F648+G648</f>
        <v>431</v>
      </c>
      <c r="J648" s="193">
        <f>F648*E648</f>
        <v>29438.53</v>
      </c>
      <c r="K648" s="193">
        <f>G648*E648</f>
        <v>7769.7</v>
      </c>
      <c r="L648" s="193"/>
      <c r="M648" s="622">
        <f>I648*E648</f>
        <v>37208.229999999996</v>
      </c>
      <c r="N648" s="194">
        <f>'5.4.1.1'!R24</f>
        <v>431</v>
      </c>
      <c r="O648" s="622">
        <f t="shared" ref="O648:O660" si="819">TRUNC(N648*E648,2)</f>
        <v>37208.230000000003</v>
      </c>
      <c r="P648" s="194">
        <f>'5.4.1.1'!R25</f>
        <v>0</v>
      </c>
      <c r="Q648" s="622">
        <f t="shared" ref="Q648:Q655" si="820">P648*E648</f>
        <v>0</v>
      </c>
      <c r="R648" s="194">
        <f>P648+N648</f>
        <v>431</v>
      </c>
      <c r="S648" s="630">
        <f t="shared" ref="S648:S659" si="821">TRUNC(R648*E648,2)</f>
        <v>37208.230000000003</v>
      </c>
      <c r="T648" s="194">
        <v>0</v>
      </c>
      <c r="U648" s="630">
        <v>0</v>
      </c>
    </row>
    <row r="649" spans="1:21" ht="25.5">
      <c r="A649" s="190" t="s">
        <v>774</v>
      </c>
      <c r="B649" s="191" t="s">
        <v>255</v>
      </c>
      <c r="C649" s="657" t="s">
        <v>265</v>
      </c>
      <c r="D649" s="192" t="s">
        <v>29</v>
      </c>
      <c r="E649" s="193">
        <v>7.33</v>
      </c>
      <c r="F649" s="194">
        <v>3966.02</v>
      </c>
      <c r="G649" s="194"/>
      <c r="H649" s="194"/>
      <c r="I649" s="193">
        <f t="shared" ref="I649:I659" si="822">F649+G649-H649</f>
        <v>3966.02</v>
      </c>
      <c r="J649" s="193">
        <f t="shared" ref="J649:J659" si="823">I649*E649</f>
        <v>29070.926599999999</v>
      </c>
      <c r="K649" s="193"/>
      <c r="L649" s="193"/>
      <c r="M649" s="622">
        <f t="shared" ref="M649:M659" si="824">I649*E649</f>
        <v>29070.926599999999</v>
      </c>
      <c r="N649" s="194">
        <f>3569.418+396.602</f>
        <v>3966.02</v>
      </c>
      <c r="O649" s="622">
        <f t="shared" si="819"/>
        <v>29070.92</v>
      </c>
      <c r="P649" s="194">
        <v>0</v>
      </c>
      <c r="Q649" s="622">
        <f t="shared" si="820"/>
        <v>0</v>
      </c>
      <c r="R649" s="194">
        <f t="shared" ref="R649:R659" si="825">P649+N649</f>
        <v>3966.02</v>
      </c>
      <c r="S649" s="630">
        <f t="shared" si="821"/>
        <v>29070.92</v>
      </c>
      <c r="T649" s="194">
        <f t="shared" si="795"/>
        <v>0</v>
      </c>
      <c r="U649" s="630">
        <f t="shared" ref="U649:U660" si="826">T649*E649</f>
        <v>0</v>
      </c>
    </row>
    <row r="650" spans="1:21" ht="25.5">
      <c r="A650" s="190" t="s">
        <v>775</v>
      </c>
      <c r="B650" s="191">
        <v>40328</v>
      </c>
      <c r="C650" s="657" t="s">
        <v>147</v>
      </c>
      <c r="D650" s="192" t="s">
        <v>29</v>
      </c>
      <c r="E650" s="193">
        <v>7.98</v>
      </c>
      <c r="F650" s="194">
        <v>1880</v>
      </c>
      <c r="G650" s="194"/>
      <c r="H650" s="194"/>
      <c r="I650" s="193">
        <f t="shared" si="822"/>
        <v>1880</v>
      </c>
      <c r="J650" s="193">
        <f t="shared" si="823"/>
        <v>15002.400000000001</v>
      </c>
      <c r="K650" s="193"/>
      <c r="L650" s="193"/>
      <c r="M650" s="622">
        <f t="shared" si="824"/>
        <v>15002.400000000001</v>
      </c>
      <c r="N650" s="194">
        <v>1880</v>
      </c>
      <c r="O650" s="622">
        <f t="shared" si="819"/>
        <v>15002.4</v>
      </c>
      <c r="P650" s="194">
        <v>0</v>
      </c>
      <c r="Q650" s="622">
        <f t="shared" si="820"/>
        <v>0</v>
      </c>
      <c r="R650" s="194">
        <f t="shared" si="825"/>
        <v>1880</v>
      </c>
      <c r="S650" s="630">
        <f t="shared" si="821"/>
        <v>15002.4</v>
      </c>
      <c r="T650" s="194">
        <f t="shared" si="795"/>
        <v>0</v>
      </c>
      <c r="U650" s="630">
        <f t="shared" si="826"/>
        <v>0</v>
      </c>
    </row>
    <row r="651" spans="1:21">
      <c r="A651" s="190" t="s">
        <v>776</v>
      </c>
      <c r="B651" s="191" t="s">
        <v>256</v>
      </c>
      <c r="C651" s="657" t="s">
        <v>266</v>
      </c>
      <c r="D651" s="192" t="s">
        <v>29</v>
      </c>
      <c r="E651" s="193">
        <v>11.02</v>
      </c>
      <c r="F651" s="194">
        <v>73</v>
      </c>
      <c r="G651" s="194"/>
      <c r="H651" s="194"/>
      <c r="I651" s="193">
        <f t="shared" si="822"/>
        <v>73</v>
      </c>
      <c r="J651" s="193">
        <f t="shared" si="823"/>
        <v>804.45999999999992</v>
      </c>
      <c r="K651" s="193"/>
      <c r="L651" s="193"/>
      <c r="M651" s="622">
        <f t="shared" si="824"/>
        <v>804.45999999999992</v>
      </c>
      <c r="N651" s="194">
        <v>73</v>
      </c>
      <c r="O651" s="622">
        <f t="shared" si="819"/>
        <v>804.46</v>
      </c>
      <c r="P651" s="194">
        <v>0</v>
      </c>
      <c r="Q651" s="622">
        <f t="shared" si="820"/>
        <v>0</v>
      </c>
      <c r="R651" s="194">
        <f t="shared" si="825"/>
        <v>73</v>
      </c>
      <c r="S651" s="630">
        <f t="shared" si="821"/>
        <v>804.46</v>
      </c>
      <c r="T651" s="194">
        <f t="shared" si="795"/>
        <v>0</v>
      </c>
      <c r="U651" s="630">
        <f t="shared" si="826"/>
        <v>0</v>
      </c>
    </row>
    <row r="652" spans="1:21" ht="51">
      <c r="A652" s="190" t="s">
        <v>777</v>
      </c>
      <c r="B652" s="191" t="s">
        <v>257</v>
      </c>
      <c r="C652" s="657" t="s">
        <v>267</v>
      </c>
      <c r="D652" s="192" t="s">
        <v>58</v>
      </c>
      <c r="E652" s="193">
        <v>777.83</v>
      </c>
      <c r="F652" s="194">
        <v>28.05</v>
      </c>
      <c r="G652" s="194"/>
      <c r="H652" s="194"/>
      <c r="I652" s="193">
        <f t="shared" si="822"/>
        <v>28.05</v>
      </c>
      <c r="J652" s="193">
        <f t="shared" si="823"/>
        <v>21818.131500000003</v>
      </c>
      <c r="K652" s="193"/>
      <c r="L652" s="193"/>
      <c r="M652" s="622">
        <f t="shared" si="824"/>
        <v>21818.131500000003</v>
      </c>
      <c r="N652" s="194">
        <v>28.05</v>
      </c>
      <c r="O652" s="622">
        <f t="shared" si="819"/>
        <v>21818.13</v>
      </c>
      <c r="P652" s="194">
        <v>0</v>
      </c>
      <c r="Q652" s="622">
        <f t="shared" si="820"/>
        <v>0</v>
      </c>
      <c r="R652" s="194">
        <f t="shared" si="825"/>
        <v>28.05</v>
      </c>
      <c r="S652" s="630">
        <f t="shared" si="821"/>
        <v>21818.13</v>
      </c>
      <c r="T652" s="194">
        <f t="shared" si="795"/>
        <v>0</v>
      </c>
      <c r="U652" s="630">
        <f t="shared" si="826"/>
        <v>0</v>
      </c>
    </row>
    <row r="653" spans="1:21" ht="25.5">
      <c r="A653" s="190" t="s">
        <v>778</v>
      </c>
      <c r="B653" s="191" t="s">
        <v>258</v>
      </c>
      <c r="C653" s="657" t="s">
        <v>268</v>
      </c>
      <c r="D653" s="192" t="s">
        <v>49</v>
      </c>
      <c r="E653" s="193">
        <v>641.15</v>
      </c>
      <c r="F653" s="194">
        <v>113.84</v>
      </c>
      <c r="G653" s="194"/>
      <c r="H653" s="194"/>
      <c r="I653" s="193">
        <f t="shared" si="822"/>
        <v>113.84</v>
      </c>
      <c r="J653" s="193">
        <f t="shared" si="823"/>
        <v>72988.516000000003</v>
      </c>
      <c r="K653" s="193"/>
      <c r="L653" s="193"/>
      <c r="M653" s="622">
        <f t="shared" si="824"/>
        <v>72988.516000000003</v>
      </c>
      <c r="N653" s="194">
        <v>113.84</v>
      </c>
      <c r="O653" s="622">
        <f t="shared" si="819"/>
        <v>72988.509999999995</v>
      </c>
      <c r="P653" s="194">
        <v>0</v>
      </c>
      <c r="Q653" s="622">
        <f t="shared" si="820"/>
        <v>0</v>
      </c>
      <c r="R653" s="194">
        <f t="shared" si="825"/>
        <v>113.84</v>
      </c>
      <c r="S653" s="630">
        <f t="shared" si="821"/>
        <v>72988.509999999995</v>
      </c>
      <c r="T653" s="194">
        <f t="shared" si="795"/>
        <v>0</v>
      </c>
      <c r="U653" s="630">
        <f t="shared" si="826"/>
        <v>0</v>
      </c>
    </row>
    <row r="654" spans="1:21" ht="25.5">
      <c r="A654" s="190" t="s">
        <v>779</v>
      </c>
      <c r="B654" s="191" t="s">
        <v>259</v>
      </c>
      <c r="C654" s="657" t="s">
        <v>269</v>
      </c>
      <c r="D654" s="192" t="s">
        <v>72</v>
      </c>
      <c r="E654" s="193">
        <v>14345.61</v>
      </c>
      <c r="F654" s="194">
        <v>4</v>
      </c>
      <c r="G654" s="194"/>
      <c r="H654" s="194"/>
      <c r="I654" s="193">
        <f t="shared" si="822"/>
        <v>4</v>
      </c>
      <c r="J654" s="193">
        <f t="shared" si="823"/>
        <v>57382.44</v>
      </c>
      <c r="K654" s="193"/>
      <c r="L654" s="193"/>
      <c r="M654" s="622">
        <f t="shared" si="824"/>
        <v>57382.44</v>
      </c>
      <c r="N654" s="194">
        <v>0</v>
      </c>
      <c r="O654" s="622">
        <f t="shared" si="819"/>
        <v>0</v>
      </c>
      <c r="P654" s="194"/>
      <c r="Q654" s="622">
        <f t="shared" si="820"/>
        <v>0</v>
      </c>
      <c r="R654" s="194">
        <v>4</v>
      </c>
      <c r="S654" s="630">
        <f t="shared" si="821"/>
        <v>57382.44</v>
      </c>
      <c r="T654" s="194">
        <f t="shared" si="795"/>
        <v>0</v>
      </c>
      <c r="U654" s="630">
        <f t="shared" si="826"/>
        <v>0</v>
      </c>
    </row>
    <row r="655" spans="1:21" ht="25.5">
      <c r="A655" s="190" t="s">
        <v>780</v>
      </c>
      <c r="B655" s="191" t="s">
        <v>260</v>
      </c>
      <c r="C655" s="657" t="s">
        <v>270</v>
      </c>
      <c r="D655" s="192" t="s">
        <v>72</v>
      </c>
      <c r="E655" s="193">
        <v>5478.19</v>
      </c>
      <c r="F655" s="194">
        <v>2</v>
      </c>
      <c r="G655" s="194"/>
      <c r="H655" s="194"/>
      <c r="I655" s="193">
        <f t="shared" si="822"/>
        <v>2</v>
      </c>
      <c r="J655" s="193">
        <f t="shared" si="823"/>
        <v>10956.38</v>
      </c>
      <c r="K655" s="193"/>
      <c r="L655" s="193"/>
      <c r="M655" s="622">
        <f t="shared" si="824"/>
        <v>10956.38</v>
      </c>
      <c r="N655" s="194">
        <v>2</v>
      </c>
      <c r="O655" s="622">
        <f t="shared" si="819"/>
        <v>10956.38</v>
      </c>
      <c r="P655" s="194">
        <v>0</v>
      </c>
      <c r="Q655" s="622">
        <f t="shared" si="820"/>
        <v>0</v>
      </c>
      <c r="R655" s="194">
        <f t="shared" si="825"/>
        <v>2</v>
      </c>
      <c r="S655" s="630">
        <f t="shared" si="821"/>
        <v>10956.38</v>
      </c>
      <c r="T655" s="194">
        <f>I655-R655</f>
        <v>0</v>
      </c>
      <c r="U655" s="630">
        <f t="shared" si="826"/>
        <v>0</v>
      </c>
    </row>
    <row r="656" spans="1:21" ht="38.25">
      <c r="A656" s="190" t="s">
        <v>781</v>
      </c>
      <c r="B656" s="191">
        <v>40817</v>
      </c>
      <c r="C656" s="657" t="s">
        <v>271</v>
      </c>
      <c r="D656" s="192" t="s">
        <v>58</v>
      </c>
      <c r="E656" s="193">
        <v>3001.6</v>
      </c>
      <c r="F656" s="194">
        <v>0.03</v>
      </c>
      <c r="G656" s="194"/>
      <c r="H656" s="194"/>
      <c r="I656" s="193">
        <f t="shared" si="822"/>
        <v>0.03</v>
      </c>
      <c r="J656" s="193">
        <f t="shared" si="823"/>
        <v>90.047999999999988</v>
      </c>
      <c r="K656" s="193"/>
      <c r="L656" s="193"/>
      <c r="M656" s="622">
        <f t="shared" si="824"/>
        <v>90.047999999999988</v>
      </c>
      <c r="N656" s="194">
        <v>0</v>
      </c>
      <c r="O656" s="622">
        <f t="shared" si="819"/>
        <v>0</v>
      </c>
      <c r="P656" s="194"/>
      <c r="Q656" s="622">
        <f>P656*E656</f>
        <v>0</v>
      </c>
      <c r="R656" s="194">
        <v>0.03</v>
      </c>
      <c r="S656" s="630">
        <f t="shared" si="821"/>
        <v>90.04</v>
      </c>
      <c r="T656" s="194">
        <f t="shared" si="795"/>
        <v>0</v>
      </c>
      <c r="U656" s="630">
        <f t="shared" si="826"/>
        <v>0</v>
      </c>
    </row>
    <row r="657" spans="1:21">
      <c r="A657" s="190" t="s">
        <v>782</v>
      </c>
      <c r="B657" s="191" t="s">
        <v>261</v>
      </c>
      <c r="C657" s="657" t="s">
        <v>272</v>
      </c>
      <c r="D657" s="192" t="s">
        <v>72</v>
      </c>
      <c r="E657" s="193">
        <v>2011.04</v>
      </c>
      <c r="F657" s="194">
        <v>15</v>
      </c>
      <c r="G657" s="194"/>
      <c r="H657" s="194"/>
      <c r="I657" s="193">
        <f t="shared" si="822"/>
        <v>15</v>
      </c>
      <c r="J657" s="193">
        <f t="shared" si="823"/>
        <v>30165.599999999999</v>
      </c>
      <c r="K657" s="193"/>
      <c r="L657" s="193"/>
      <c r="M657" s="622">
        <f t="shared" si="824"/>
        <v>30165.599999999999</v>
      </c>
      <c r="N657" s="194">
        <v>15</v>
      </c>
      <c r="O657" s="622">
        <f t="shared" si="819"/>
        <v>30165.599999999999</v>
      </c>
      <c r="P657" s="194">
        <v>0</v>
      </c>
      <c r="Q657" s="622">
        <f>P657*E657</f>
        <v>0</v>
      </c>
      <c r="R657" s="194">
        <f t="shared" si="825"/>
        <v>15</v>
      </c>
      <c r="S657" s="630">
        <f t="shared" si="821"/>
        <v>30165.599999999999</v>
      </c>
      <c r="T657" s="194">
        <f t="shared" si="795"/>
        <v>0</v>
      </c>
      <c r="U657" s="630">
        <f t="shared" si="826"/>
        <v>0</v>
      </c>
    </row>
    <row r="658" spans="1:21" s="725" customFormat="1" ht="25.5">
      <c r="A658" s="577" t="s">
        <v>783</v>
      </c>
      <c r="B658" s="578" t="s">
        <v>262</v>
      </c>
      <c r="C658" s="722" t="s">
        <v>273</v>
      </c>
      <c r="D658" s="580" t="s">
        <v>72</v>
      </c>
      <c r="E658" s="581">
        <v>28185.33</v>
      </c>
      <c r="F658" s="582">
        <v>1</v>
      </c>
      <c r="G658" s="582"/>
      <c r="H658" s="582"/>
      <c r="I658" s="581">
        <f t="shared" si="822"/>
        <v>1</v>
      </c>
      <c r="J658" s="581">
        <f t="shared" si="823"/>
        <v>28185.33</v>
      </c>
      <c r="K658" s="581"/>
      <c r="L658" s="581"/>
      <c r="M658" s="723">
        <f t="shared" si="824"/>
        <v>28185.33</v>
      </c>
      <c r="N658" s="582">
        <v>0.5</v>
      </c>
      <c r="O658" s="723">
        <f t="shared" si="819"/>
        <v>14092.66</v>
      </c>
      <c r="P658" s="582">
        <v>0.5</v>
      </c>
      <c r="Q658" s="723">
        <f t="shared" ref="Q658" si="827">S658-O658</f>
        <v>14092.670000000002</v>
      </c>
      <c r="R658" s="582">
        <f t="shared" si="825"/>
        <v>1</v>
      </c>
      <c r="S658" s="724">
        <f t="shared" si="821"/>
        <v>28185.33</v>
      </c>
      <c r="T658" s="582">
        <f t="shared" si="795"/>
        <v>0</v>
      </c>
      <c r="U658" s="724">
        <f t="shared" si="826"/>
        <v>0</v>
      </c>
    </row>
    <row r="659" spans="1:21">
      <c r="A659" s="190" t="s">
        <v>784</v>
      </c>
      <c r="B659" s="191" t="s">
        <v>263</v>
      </c>
      <c r="C659" s="657" t="s">
        <v>274</v>
      </c>
      <c r="D659" s="192" t="s">
        <v>72</v>
      </c>
      <c r="E659" s="193">
        <v>340.73</v>
      </c>
      <c r="F659" s="194">
        <v>2</v>
      </c>
      <c r="G659" s="194"/>
      <c r="H659" s="194"/>
      <c r="I659" s="193">
        <f t="shared" si="822"/>
        <v>2</v>
      </c>
      <c r="J659" s="193">
        <f t="shared" si="823"/>
        <v>681.46</v>
      </c>
      <c r="K659" s="193"/>
      <c r="L659" s="193"/>
      <c r="M659" s="622">
        <f t="shared" si="824"/>
        <v>681.46</v>
      </c>
      <c r="N659" s="194">
        <v>2</v>
      </c>
      <c r="O659" s="622">
        <f t="shared" si="819"/>
        <v>681.46</v>
      </c>
      <c r="P659" s="264">
        <v>0</v>
      </c>
      <c r="Q659" s="622">
        <f>P659*E659</f>
        <v>0</v>
      </c>
      <c r="R659" s="194">
        <f t="shared" si="825"/>
        <v>2</v>
      </c>
      <c r="S659" s="630">
        <f t="shared" si="821"/>
        <v>681.46</v>
      </c>
      <c r="T659" s="194">
        <f t="shared" si="795"/>
        <v>0</v>
      </c>
      <c r="U659" s="630">
        <f t="shared" si="826"/>
        <v>0</v>
      </c>
    </row>
    <row r="660" spans="1:21">
      <c r="A660" s="190" t="s">
        <v>1229</v>
      </c>
      <c r="B660" s="191" t="s">
        <v>774</v>
      </c>
      <c r="C660" s="657" t="s">
        <v>1119</v>
      </c>
      <c r="D660" s="192" t="s">
        <v>10</v>
      </c>
      <c r="E660" s="193">
        <v>13295.45</v>
      </c>
      <c r="F660" s="194">
        <v>0</v>
      </c>
      <c r="G660" s="194">
        <v>1</v>
      </c>
      <c r="H660" s="194">
        <v>0</v>
      </c>
      <c r="I660" s="193">
        <v>1</v>
      </c>
      <c r="J660" s="193"/>
      <c r="K660" s="193">
        <f>G660*E660</f>
        <v>13295.45</v>
      </c>
      <c r="L660" s="193"/>
      <c r="M660" s="622">
        <f>I660*E660</f>
        <v>13295.45</v>
      </c>
      <c r="N660" s="194">
        <v>1</v>
      </c>
      <c r="O660" s="622">
        <f t="shared" si="819"/>
        <v>13295.45</v>
      </c>
      <c r="P660" s="194">
        <v>0</v>
      </c>
      <c r="Q660" s="622">
        <f>P660*E660</f>
        <v>0</v>
      </c>
      <c r="R660" s="194">
        <f>N660+P660</f>
        <v>1</v>
      </c>
      <c r="S660" s="630">
        <f>TRUNC(R660*E660,2)</f>
        <v>13295.45</v>
      </c>
      <c r="T660" s="194">
        <f>I660-R660</f>
        <v>0</v>
      </c>
      <c r="U660" s="630">
        <f t="shared" si="826"/>
        <v>0</v>
      </c>
    </row>
    <row r="661" spans="1:21">
      <c r="A661" s="138"/>
      <c r="B661" s="132"/>
      <c r="C661" s="123"/>
      <c r="D661" s="123"/>
      <c r="E661" s="123"/>
      <c r="F661" s="123"/>
      <c r="G661" s="123"/>
      <c r="H661" s="123"/>
      <c r="I661" s="123"/>
      <c r="J661" s="123"/>
      <c r="K661" s="123"/>
      <c r="L661" s="123"/>
      <c r="M661" s="623"/>
      <c r="N661" s="123"/>
      <c r="O661" s="623"/>
      <c r="P661" s="123"/>
      <c r="Q661" s="623"/>
      <c r="R661" s="123"/>
      <c r="S661" s="631"/>
      <c r="T661" s="123"/>
      <c r="U661" s="631"/>
    </row>
    <row r="662" spans="1:21" s="131" customFormat="1">
      <c r="A662" s="137" t="s">
        <v>785</v>
      </c>
      <c r="B662" s="133"/>
      <c r="C662" s="658" t="s">
        <v>276</v>
      </c>
      <c r="D662" s="126"/>
      <c r="E662" s="127"/>
      <c r="F662" s="128"/>
      <c r="G662" s="128"/>
      <c r="H662" s="128"/>
      <c r="I662" s="129"/>
      <c r="J662" s="129">
        <f>SUBTOTAL(9,J663:J663)</f>
        <v>1359.12</v>
      </c>
      <c r="K662" s="129"/>
      <c r="L662" s="129"/>
      <c r="M662" s="624"/>
      <c r="N662" s="130"/>
      <c r="O662" s="624">
        <f>SUBTOTAL(9,O663:O663)</f>
        <v>0</v>
      </c>
      <c r="P662" s="130"/>
      <c r="Q662" s="624">
        <f>SUBTOTAL(9,Q663:Q663)</f>
        <v>1359.12</v>
      </c>
      <c r="R662" s="129"/>
      <c r="S662" s="624">
        <f>SUBTOTAL(9,S663:S663)</f>
        <v>1359.12</v>
      </c>
      <c r="T662" s="129">
        <f t="shared" si="795"/>
        <v>0</v>
      </c>
      <c r="U662" s="624">
        <f>SUBTOTAL(9,U663:U663)</f>
        <v>0</v>
      </c>
    </row>
    <row r="663" spans="1:21" s="725" customFormat="1" ht="25.5">
      <c r="A663" s="577" t="s">
        <v>786</v>
      </c>
      <c r="B663" s="578" t="s">
        <v>787</v>
      </c>
      <c r="C663" s="722" t="s">
        <v>788</v>
      </c>
      <c r="D663" s="580" t="s">
        <v>72</v>
      </c>
      <c r="E663" s="581">
        <v>1359.12</v>
      </c>
      <c r="F663" s="582">
        <v>1</v>
      </c>
      <c r="G663" s="582"/>
      <c r="H663" s="582"/>
      <c r="I663" s="581">
        <f t="shared" ref="I663" si="828">F663+G663-H663</f>
        <v>1</v>
      </c>
      <c r="J663" s="581">
        <f t="shared" ref="J663" si="829">I663*E663</f>
        <v>1359.12</v>
      </c>
      <c r="K663" s="581"/>
      <c r="L663" s="581"/>
      <c r="M663" s="723">
        <f t="shared" ref="M663" si="830">I663*E663</f>
        <v>1359.12</v>
      </c>
      <c r="N663" s="582">
        <v>0</v>
      </c>
      <c r="O663" s="723">
        <f t="shared" ref="O663" si="831">TRUNC(N663*E663,2)</f>
        <v>0</v>
      </c>
      <c r="P663" s="582">
        <v>1</v>
      </c>
      <c r="Q663" s="723">
        <f t="shared" ref="Q663" si="832">S663-O663</f>
        <v>1359.12</v>
      </c>
      <c r="R663" s="582">
        <f t="shared" ref="R663" si="833">P663+N663</f>
        <v>1</v>
      </c>
      <c r="S663" s="724">
        <f t="shared" ref="S663" si="834">TRUNC(R663*E663,2)</f>
        <v>1359.12</v>
      </c>
      <c r="T663" s="582">
        <f t="shared" si="795"/>
        <v>0</v>
      </c>
      <c r="U663" s="724">
        <f t="shared" ref="U663" si="835">T663*E663</f>
        <v>0</v>
      </c>
    </row>
    <row r="664" spans="1:21">
      <c r="A664" s="138"/>
      <c r="B664" s="132"/>
      <c r="C664" s="123"/>
      <c r="D664" s="123"/>
      <c r="E664" s="123"/>
      <c r="F664" s="123"/>
      <c r="G664" s="123"/>
      <c r="H664" s="123"/>
      <c r="I664" s="123"/>
      <c r="J664" s="123"/>
      <c r="K664" s="123"/>
      <c r="L664" s="123"/>
      <c r="M664" s="623"/>
      <c r="N664" s="123"/>
      <c r="O664" s="623"/>
      <c r="P664" s="123"/>
      <c r="Q664" s="623"/>
      <c r="R664" s="123"/>
      <c r="S664" s="631"/>
      <c r="T664" s="123"/>
      <c r="U664" s="631"/>
    </row>
    <row r="665" spans="1:21" s="131" customFormat="1">
      <c r="A665" s="137" t="s">
        <v>789</v>
      </c>
      <c r="B665" s="133"/>
      <c r="C665" s="658" t="s">
        <v>281</v>
      </c>
      <c r="D665" s="126"/>
      <c r="E665" s="127"/>
      <c r="F665" s="128"/>
      <c r="G665" s="128"/>
      <c r="H665" s="128"/>
      <c r="I665" s="129"/>
      <c r="J665" s="129">
        <f>SUBTOTAL(9,J666:J679)</f>
        <v>360780.75800000003</v>
      </c>
      <c r="K665" s="129"/>
      <c r="L665" s="129"/>
      <c r="M665" s="624"/>
      <c r="N665" s="130"/>
      <c r="O665" s="624">
        <f>SUBTOTAL(9,O666:O679)</f>
        <v>163932.07</v>
      </c>
      <c r="P665" s="130"/>
      <c r="Q665" s="624">
        <f>SUBTOTAL(9,Q666:Q682)</f>
        <v>152613.79399999999</v>
      </c>
      <c r="R665" s="129"/>
      <c r="S665" s="624">
        <f>SUBTOTAL(9,S666:S679)</f>
        <v>220238.97</v>
      </c>
      <c r="T665" s="129">
        <f t="shared" si="795"/>
        <v>0</v>
      </c>
      <c r="U665" s="624">
        <f>SUBTOTAL(9,U666:U679)</f>
        <v>0</v>
      </c>
    </row>
    <row r="666" spans="1:21" ht="38.25">
      <c r="A666" s="190" t="s">
        <v>790</v>
      </c>
      <c r="B666" s="191" t="s">
        <v>294</v>
      </c>
      <c r="C666" s="657" t="s">
        <v>304</v>
      </c>
      <c r="D666" s="192" t="s">
        <v>315</v>
      </c>
      <c r="E666" s="193">
        <v>18178.13</v>
      </c>
      <c r="F666" s="194">
        <v>2</v>
      </c>
      <c r="G666" s="194"/>
      <c r="H666" s="194"/>
      <c r="I666" s="193">
        <f t="shared" ref="I666" si="836">F666+G666-H666</f>
        <v>2</v>
      </c>
      <c r="J666" s="193">
        <f t="shared" ref="J666" si="837">I666*E666</f>
        <v>36356.26</v>
      </c>
      <c r="K666" s="193"/>
      <c r="L666" s="193"/>
      <c r="M666" s="622">
        <f t="shared" ref="M666:M677" si="838">I666*E666</f>
        <v>36356.26</v>
      </c>
      <c r="N666" s="194">
        <v>2</v>
      </c>
      <c r="O666" s="622">
        <f t="shared" ref="O666:O679" si="839">TRUNC(N666*E666,2)</f>
        <v>36356.26</v>
      </c>
      <c r="P666" s="194">
        <v>0</v>
      </c>
      <c r="Q666" s="622">
        <f t="shared" ref="Q666:Q679" si="840">S666-O666</f>
        <v>0</v>
      </c>
      <c r="R666" s="194">
        <f t="shared" ref="R666:R681" si="841">P666+N666</f>
        <v>2</v>
      </c>
      <c r="S666" s="630">
        <f>TRUNC(R666*E666,2)</f>
        <v>36356.26</v>
      </c>
      <c r="T666" s="194">
        <f t="shared" si="795"/>
        <v>0</v>
      </c>
      <c r="U666" s="630">
        <f t="shared" ref="U666" si="842">T666*E666</f>
        <v>0</v>
      </c>
    </row>
    <row r="667" spans="1:21" s="659" customFormat="1" ht="25.5">
      <c r="A667" s="555" t="s">
        <v>791</v>
      </c>
      <c r="B667" s="556" t="s">
        <v>295</v>
      </c>
      <c r="C667" s="660" t="s">
        <v>305</v>
      </c>
      <c r="D667" s="557" t="s">
        <v>51</v>
      </c>
      <c r="E667" s="558">
        <v>1268.83</v>
      </c>
      <c r="F667" s="559">
        <v>92.4</v>
      </c>
      <c r="G667" s="559"/>
      <c r="H667" s="559">
        <f>F667</f>
        <v>92.4</v>
      </c>
      <c r="I667" s="558">
        <f>F667+G667-H667</f>
        <v>0</v>
      </c>
      <c r="J667" s="558">
        <f>F667*E667</f>
        <v>117239.89200000001</v>
      </c>
      <c r="K667" s="558"/>
      <c r="L667" s="558">
        <f>H667*E667</f>
        <v>117239.89200000001</v>
      </c>
      <c r="M667" s="626">
        <f t="shared" si="838"/>
        <v>0</v>
      </c>
      <c r="N667" s="559">
        <v>0</v>
      </c>
      <c r="O667" s="626">
        <f t="shared" si="839"/>
        <v>0</v>
      </c>
      <c r="P667" s="559">
        <f>IFERROR(VLOOKUP(A667,#REF!,18,FALSE),)</f>
        <v>0</v>
      </c>
      <c r="Q667" s="626">
        <f t="shared" si="840"/>
        <v>0</v>
      </c>
      <c r="R667" s="559">
        <f t="shared" si="841"/>
        <v>0</v>
      </c>
      <c r="S667" s="632">
        <f t="shared" ref="S667:S681" si="843">TRUNC(R667*E667,2)</f>
        <v>0</v>
      </c>
      <c r="T667" s="559">
        <f>M667-R667</f>
        <v>0</v>
      </c>
      <c r="U667" s="632">
        <f t="shared" ref="U667:U678" si="844">I667-S667</f>
        <v>0</v>
      </c>
    </row>
    <row r="668" spans="1:21" s="725" customFormat="1" ht="25.5">
      <c r="A668" s="577" t="s">
        <v>792</v>
      </c>
      <c r="B668" s="578" t="s">
        <v>296</v>
      </c>
      <c r="C668" s="722" t="s">
        <v>306</v>
      </c>
      <c r="D668" s="580" t="s">
        <v>51</v>
      </c>
      <c r="E668" s="581">
        <v>294.97000000000003</v>
      </c>
      <c r="F668" s="582">
        <v>92.4</v>
      </c>
      <c r="G668" s="582">
        <f>REPLANILHAMENTO!H587</f>
        <v>186.6</v>
      </c>
      <c r="H668" s="582"/>
      <c r="I668" s="581">
        <f>F668+G668</f>
        <v>279</v>
      </c>
      <c r="J668" s="581">
        <f>F668*E668</f>
        <v>27255.228000000003</v>
      </c>
      <c r="K668" s="581">
        <f>G668*E668</f>
        <v>55041.402000000002</v>
      </c>
      <c r="L668" s="581"/>
      <c r="M668" s="723">
        <f t="shared" si="838"/>
        <v>82296.63</v>
      </c>
      <c r="N668" s="582">
        <v>195.3</v>
      </c>
      <c r="O668" s="723">
        <f t="shared" si="839"/>
        <v>57607.64</v>
      </c>
      <c r="P668" s="582">
        <v>83.7</v>
      </c>
      <c r="Q668" s="723">
        <f t="shared" si="840"/>
        <v>24688.990000000005</v>
      </c>
      <c r="R668" s="582">
        <f t="shared" si="841"/>
        <v>279</v>
      </c>
      <c r="S668" s="724">
        <f t="shared" si="843"/>
        <v>82296.63</v>
      </c>
      <c r="T668" s="582">
        <f>I668-R668</f>
        <v>0</v>
      </c>
      <c r="U668" s="724">
        <f>T668*E668</f>
        <v>0</v>
      </c>
    </row>
    <row r="669" spans="1:21" s="659" customFormat="1" ht="26.25" customHeight="1">
      <c r="A669" s="555" t="s">
        <v>793</v>
      </c>
      <c r="B669" s="556" t="s">
        <v>297</v>
      </c>
      <c r="C669" s="660" t="s">
        <v>307</v>
      </c>
      <c r="D669" s="557" t="s">
        <v>51</v>
      </c>
      <c r="E669" s="558">
        <v>309.62</v>
      </c>
      <c r="F669" s="559">
        <v>66.599999999999994</v>
      </c>
      <c r="G669" s="559"/>
      <c r="H669" s="559">
        <f>F669</f>
        <v>66.599999999999994</v>
      </c>
      <c r="I669" s="558">
        <f>F669+G669-H669</f>
        <v>0</v>
      </c>
      <c r="J669" s="558">
        <f>F669*E669</f>
        <v>20620.691999999999</v>
      </c>
      <c r="K669" s="558"/>
      <c r="L669" s="558">
        <f>H669*E669</f>
        <v>20620.691999999999</v>
      </c>
      <c r="M669" s="626">
        <f t="shared" si="838"/>
        <v>0</v>
      </c>
      <c r="N669" s="559">
        <v>0</v>
      </c>
      <c r="O669" s="626">
        <f t="shared" si="839"/>
        <v>0</v>
      </c>
      <c r="P669" s="559">
        <f>IFERROR(VLOOKUP(A669,#REF!,18,FALSE),)</f>
        <v>0</v>
      </c>
      <c r="Q669" s="626">
        <f t="shared" si="840"/>
        <v>0</v>
      </c>
      <c r="R669" s="559">
        <f t="shared" si="841"/>
        <v>0</v>
      </c>
      <c r="S669" s="632">
        <f t="shared" si="843"/>
        <v>0</v>
      </c>
      <c r="T669" s="559">
        <f>M669-R669</f>
        <v>0</v>
      </c>
      <c r="U669" s="632">
        <f t="shared" si="844"/>
        <v>0</v>
      </c>
    </row>
    <row r="670" spans="1:21" s="725" customFormat="1" ht="25.5">
      <c r="A670" s="577" t="s">
        <v>794</v>
      </c>
      <c r="B670" s="578" t="s">
        <v>298</v>
      </c>
      <c r="C670" s="722" t="s">
        <v>308</v>
      </c>
      <c r="D670" s="580" t="s">
        <v>51</v>
      </c>
      <c r="E670" s="581">
        <v>358.26</v>
      </c>
      <c r="F670" s="582">
        <v>66.599999999999994</v>
      </c>
      <c r="G670" s="582">
        <f>REPLANILHAMENTO!H590</f>
        <v>212.4</v>
      </c>
      <c r="H670" s="582"/>
      <c r="I670" s="581">
        <f>F670+G670</f>
        <v>279</v>
      </c>
      <c r="J670" s="581">
        <f>F670*E670</f>
        <v>23860.115999999998</v>
      </c>
      <c r="K670" s="581">
        <f>G670*E670</f>
        <v>76094.423999999999</v>
      </c>
      <c r="L670" s="581"/>
      <c r="M670" s="723">
        <f t="shared" si="838"/>
        <v>99954.54</v>
      </c>
      <c r="N670" s="582">
        <v>195.3</v>
      </c>
      <c r="O670" s="723">
        <f t="shared" si="839"/>
        <v>69968.17</v>
      </c>
      <c r="P670" s="582">
        <v>83.7</v>
      </c>
      <c r="Q670" s="723">
        <f t="shared" si="840"/>
        <v>29986.369999999995</v>
      </c>
      <c r="R670" s="582">
        <f t="shared" si="841"/>
        <v>279</v>
      </c>
      <c r="S670" s="724">
        <f t="shared" si="843"/>
        <v>99954.54</v>
      </c>
      <c r="T670" s="582">
        <f>I670-R670</f>
        <v>0</v>
      </c>
      <c r="U670" s="724">
        <f>T670*E670</f>
        <v>0</v>
      </c>
    </row>
    <row r="671" spans="1:21" s="659" customFormat="1" ht="25.5">
      <c r="A671" s="555" t="s">
        <v>795</v>
      </c>
      <c r="B671" s="556" t="s">
        <v>497</v>
      </c>
      <c r="C671" s="660" t="s">
        <v>500</v>
      </c>
      <c r="D671" s="557" t="s">
        <v>51</v>
      </c>
      <c r="E671" s="558">
        <v>3440.35</v>
      </c>
      <c r="F671" s="559">
        <v>8</v>
      </c>
      <c r="G671" s="559"/>
      <c r="H671" s="559">
        <f>F671</f>
        <v>8</v>
      </c>
      <c r="I671" s="558">
        <f>F671+G671-H671</f>
        <v>0</v>
      </c>
      <c r="J671" s="558">
        <f>F671*E671</f>
        <v>27522.799999999999</v>
      </c>
      <c r="K671" s="558"/>
      <c r="L671" s="558">
        <f>H671*E671</f>
        <v>27522.799999999999</v>
      </c>
      <c r="M671" s="626">
        <f t="shared" si="838"/>
        <v>0</v>
      </c>
      <c r="N671" s="559">
        <v>0</v>
      </c>
      <c r="O671" s="626">
        <f t="shared" si="839"/>
        <v>0</v>
      </c>
      <c r="P671" s="559">
        <f>IFERROR(VLOOKUP(A671,#REF!,18,FALSE),)</f>
        <v>0</v>
      </c>
      <c r="Q671" s="626">
        <f t="shared" si="840"/>
        <v>0</v>
      </c>
      <c r="R671" s="559">
        <f t="shared" si="841"/>
        <v>0</v>
      </c>
      <c r="S671" s="632">
        <f t="shared" si="843"/>
        <v>0</v>
      </c>
      <c r="T671" s="559">
        <f>M671-R671</f>
        <v>0</v>
      </c>
      <c r="U671" s="632">
        <f t="shared" si="844"/>
        <v>0</v>
      </c>
    </row>
    <row r="672" spans="1:21" s="659" customFormat="1" ht="38.25">
      <c r="A672" s="555" t="s">
        <v>796</v>
      </c>
      <c r="B672" s="556" t="s">
        <v>498</v>
      </c>
      <c r="C672" s="660" t="s">
        <v>501</v>
      </c>
      <c r="D672" s="557" t="s">
        <v>51</v>
      </c>
      <c r="E672" s="558">
        <v>2019.23</v>
      </c>
      <c r="F672" s="559">
        <v>8</v>
      </c>
      <c r="G672" s="559"/>
      <c r="H672" s="559">
        <f t="shared" ref="H672:H676" si="845">F672</f>
        <v>8</v>
      </c>
      <c r="I672" s="558">
        <f t="shared" ref="I672:I677" si="846">F672+G672-H672</f>
        <v>0</v>
      </c>
      <c r="J672" s="558">
        <f t="shared" ref="J672:J676" si="847">F672*E672</f>
        <v>16153.84</v>
      </c>
      <c r="K672" s="558"/>
      <c r="L672" s="558">
        <f t="shared" ref="L672:L676" si="848">H672*E672</f>
        <v>16153.84</v>
      </c>
      <c r="M672" s="626">
        <f t="shared" si="838"/>
        <v>0</v>
      </c>
      <c r="N672" s="559">
        <v>0</v>
      </c>
      <c r="O672" s="626">
        <f t="shared" si="839"/>
        <v>0</v>
      </c>
      <c r="P672" s="559">
        <f>IFERROR(VLOOKUP(A672,#REF!,18,FALSE),)</f>
        <v>0</v>
      </c>
      <c r="Q672" s="626">
        <f t="shared" si="840"/>
        <v>0</v>
      </c>
      <c r="R672" s="559">
        <f t="shared" si="841"/>
        <v>0</v>
      </c>
      <c r="S672" s="632">
        <f t="shared" si="843"/>
        <v>0</v>
      </c>
      <c r="T672" s="559">
        <f t="shared" ref="T672:T676" si="849">M672-R672</f>
        <v>0</v>
      </c>
      <c r="U672" s="632">
        <f t="shared" si="844"/>
        <v>0</v>
      </c>
    </row>
    <row r="673" spans="1:21" s="659" customFormat="1" ht="25.5">
      <c r="A673" s="555" t="s">
        <v>797</v>
      </c>
      <c r="B673" s="556" t="s">
        <v>299</v>
      </c>
      <c r="C673" s="660" t="s">
        <v>309</v>
      </c>
      <c r="D673" s="557" t="s">
        <v>29</v>
      </c>
      <c r="E673" s="558">
        <v>8.1199999999999992</v>
      </c>
      <c r="F673" s="559">
        <v>6521</v>
      </c>
      <c r="G673" s="559"/>
      <c r="H673" s="559">
        <f t="shared" si="845"/>
        <v>6521</v>
      </c>
      <c r="I673" s="558">
        <f t="shared" si="846"/>
        <v>0</v>
      </c>
      <c r="J673" s="558">
        <f t="shared" si="847"/>
        <v>52950.52</v>
      </c>
      <c r="K673" s="558"/>
      <c r="L673" s="558">
        <f t="shared" si="848"/>
        <v>52950.52</v>
      </c>
      <c r="M673" s="626">
        <f t="shared" si="838"/>
        <v>0</v>
      </c>
      <c r="N673" s="559">
        <v>0</v>
      </c>
      <c r="O673" s="626">
        <f t="shared" si="839"/>
        <v>0</v>
      </c>
      <c r="P673" s="559">
        <f>IFERROR(VLOOKUP(A673,#REF!,18,FALSE),)</f>
        <v>0</v>
      </c>
      <c r="Q673" s="626">
        <f t="shared" si="840"/>
        <v>0</v>
      </c>
      <c r="R673" s="559">
        <f t="shared" si="841"/>
        <v>0</v>
      </c>
      <c r="S673" s="632">
        <f t="shared" si="843"/>
        <v>0</v>
      </c>
      <c r="T673" s="559">
        <f t="shared" si="849"/>
        <v>0</v>
      </c>
      <c r="U673" s="632">
        <f t="shared" si="844"/>
        <v>0</v>
      </c>
    </row>
    <row r="674" spans="1:21" s="659" customFormat="1">
      <c r="A674" s="555" t="s">
        <v>798</v>
      </c>
      <c r="B674" s="556" t="s">
        <v>300</v>
      </c>
      <c r="C674" s="660" t="s">
        <v>310</v>
      </c>
      <c r="D674" s="557" t="s">
        <v>29</v>
      </c>
      <c r="E674" s="558">
        <v>0.64</v>
      </c>
      <c r="F674" s="559">
        <v>6521</v>
      </c>
      <c r="G674" s="559"/>
      <c r="H674" s="559">
        <f t="shared" si="845"/>
        <v>6521</v>
      </c>
      <c r="I674" s="558">
        <f t="shared" si="846"/>
        <v>0</v>
      </c>
      <c r="J674" s="558">
        <f t="shared" si="847"/>
        <v>4173.4400000000005</v>
      </c>
      <c r="K674" s="558"/>
      <c r="L674" s="558">
        <f t="shared" si="848"/>
        <v>4173.4400000000005</v>
      </c>
      <c r="M674" s="626">
        <f t="shared" si="838"/>
        <v>0</v>
      </c>
      <c r="N674" s="559">
        <v>0</v>
      </c>
      <c r="O674" s="626">
        <f t="shared" si="839"/>
        <v>0</v>
      </c>
      <c r="P674" s="559">
        <f>IFERROR(VLOOKUP(A674,#REF!,18,FALSE),)</f>
        <v>0</v>
      </c>
      <c r="Q674" s="626">
        <f t="shared" si="840"/>
        <v>0</v>
      </c>
      <c r="R674" s="559">
        <f t="shared" si="841"/>
        <v>0</v>
      </c>
      <c r="S674" s="632">
        <f t="shared" si="843"/>
        <v>0</v>
      </c>
      <c r="T674" s="559">
        <f t="shared" si="849"/>
        <v>0</v>
      </c>
      <c r="U674" s="632">
        <f t="shared" si="844"/>
        <v>0</v>
      </c>
    </row>
    <row r="675" spans="1:21" s="659" customFormat="1" ht="38.25">
      <c r="A675" s="555" t="s">
        <v>799</v>
      </c>
      <c r="B675" s="556" t="s">
        <v>140</v>
      </c>
      <c r="C675" s="660" t="s">
        <v>804</v>
      </c>
      <c r="D675" s="557" t="s">
        <v>58</v>
      </c>
      <c r="E675" s="558">
        <v>486.08</v>
      </c>
      <c r="F675" s="559">
        <v>36.89</v>
      </c>
      <c r="G675" s="559"/>
      <c r="H675" s="559">
        <f t="shared" si="845"/>
        <v>36.89</v>
      </c>
      <c r="I675" s="558">
        <f t="shared" si="846"/>
        <v>0</v>
      </c>
      <c r="J675" s="558">
        <f t="shared" si="847"/>
        <v>17931.4912</v>
      </c>
      <c r="K675" s="558"/>
      <c r="L675" s="558">
        <f t="shared" si="848"/>
        <v>17931.4912</v>
      </c>
      <c r="M675" s="626">
        <f t="shared" si="838"/>
        <v>0</v>
      </c>
      <c r="N675" s="559">
        <v>0</v>
      </c>
      <c r="O675" s="626">
        <f t="shared" si="839"/>
        <v>0</v>
      </c>
      <c r="P675" s="559">
        <f>IFERROR(VLOOKUP(A675,#REF!,18,FALSE),)</f>
        <v>0</v>
      </c>
      <c r="Q675" s="626">
        <f t="shared" si="840"/>
        <v>0</v>
      </c>
      <c r="R675" s="559">
        <f t="shared" si="841"/>
        <v>0</v>
      </c>
      <c r="S675" s="632">
        <f t="shared" si="843"/>
        <v>0</v>
      </c>
      <c r="T675" s="559">
        <f t="shared" si="849"/>
        <v>0</v>
      </c>
      <c r="U675" s="632">
        <f t="shared" si="844"/>
        <v>0</v>
      </c>
    </row>
    <row r="676" spans="1:21" s="659" customFormat="1">
      <c r="A676" s="555" t="s">
        <v>800</v>
      </c>
      <c r="B676" s="556" t="s">
        <v>301</v>
      </c>
      <c r="C676" s="660" t="s">
        <v>311</v>
      </c>
      <c r="D676" s="557" t="s">
        <v>49</v>
      </c>
      <c r="E676" s="558">
        <v>105.97</v>
      </c>
      <c r="F676" s="559">
        <v>36.89</v>
      </c>
      <c r="G676" s="559"/>
      <c r="H676" s="559">
        <f t="shared" si="845"/>
        <v>36.89</v>
      </c>
      <c r="I676" s="558">
        <f t="shared" si="846"/>
        <v>0</v>
      </c>
      <c r="J676" s="558">
        <f t="shared" si="847"/>
        <v>3909.2332999999999</v>
      </c>
      <c r="K676" s="558"/>
      <c r="L676" s="558">
        <f t="shared" si="848"/>
        <v>3909.2332999999999</v>
      </c>
      <c r="M676" s="626">
        <f t="shared" si="838"/>
        <v>0</v>
      </c>
      <c r="N676" s="559">
        <v>0</v>
      </c>
      <c r="O676" s="626">
        <f t="shared" si="839"/>
        <v>0</v>
      </c>
      <c r="P676" s="559">
        <f>IFERROR(VLOOKUP(A676,#REF!,18,FALSE),)</f>
        <v>0</v>
      </c>
      <c r="Q676" s="626">
        <f t="shared" si="840"/>
        <v>0</v>
      </c>
      <c r="R676" s="559">
        <f t="shared" si="841"/>
        <v>0</v>
      </c>
      <c r="S676" s="632">
        <f t="shared" si="843"/>
        <v>0</v>
      </c>
      <c r="T676" s="559">
        <f t="shared" si="849"/>
        <v>0</v>
      </c>
      <c r="U676" s="632">
        <f t="shared" si="844"/>
        <v>0</v>
      </c>
    </row>
    <row r="677" spans="1:21" s="725" customFormat="1">
      <c r="A677" s="577" t="s">
        <v>801</v>
      </c>
      <c r="B677" s="578" t="s">
        <v>302</v>
      </c>
      <c r="C677" s="722" t="s">
        <v>312</v>
      </c>
      <c r="D677" s="580" t="s">
        <v>72</v>
      </c>
      <c r="E677" s="581">
        <v>1.62</v>
      </c>
      <c r="F677" s="582">
        <v>4</v>
      </c>
      <c r="G677" s="582"/>
      <c r="H677" s="582"/>
      <c r="I677" s="581">
        <f t="shared" si="846"/>
        <v>4</v>
      </c>
      <c r="J677" s="581">
        <f t="shared" ref="J677" si="850">I677*E677</f>
        <v>6.48</v>
      </c>
      <c r="K677" s="581"/>
      <c r="L677" s="581"/>
      <c r="M677" s="723">
        <f t="shared" si="838"/>
        <v>6.48</v>
      </c>
      <c r="N677" s="582">
        <v>0</v>
      </c>
      <c r="O677" s="723">
        <f t="shared" si="839"/>
        <v>0</v>
      </c>
      <c r="P677" s="582">
        <v>4</v>
      </c>
      <c r="Q677" s="723">
        <f t="shared" si="840"/>
        <v>6.48</v>
      </c>
      <c r="R677" s="582">
        <f t="shared" si="841"/>
        <v>4</v>
      </c>
      <c r="S677" s="724">
        <f t="shared" si="843"/>
        <v>6.48</v>
      </c>
      <c r="T677" s="582">
        <f t="shared" si="795"/>
        <v>0</v>
      </c>
      <c r="U677" s="724">
        <f t="shared" ref="U677" si="851">T677*E677</f>
        <v>0</v>
      </c>
    </row>
    <row r="678" spans="1:21" s="659" customFormat="1" ht="25.5">
      <c r="A678" s="555" t="s">
        <v>802</v>
      </c>
      <c r="B678" s="556" t="s">
        <v>303</v>
      </c>
      <c r="C678" s="660" t="s">
        <v>313</v>
      </c>
      <c r="D678" s="557" t="s">
        <v>72</v>
      </c>
      <c r="E678" s="558">
        <v>5793.75</v>
      </c>
      <c r="F678" s="559">
        <v>2</v>
      </c>
      <c r="G678" s="559"/>
      <c r="H678" s="559">
        <v>2</v>
      </c>
      <c r="I678" s="558">
        <f>F678+G678-H678</f>
        <v>0</v>
      </c>
      <c r="J678" s="558">
        <f>F678*E678</f>
        <v>11587.5</v>
      </c>
      <c r="K678" s="558"/>
      <c r="L678" s="558">
        <f>H678*E678</f>
        <v>11587.5</v>
      </c>
      <c r="M678" s="626">
        <f>I678*E678</f>
        <v>0</v>
      </c>
      <c r="N678" s="559">
        <v>0</v>
      </c>
      <c r="O678" s="626">
        <f t="shared" si="839"/>
        <v>0</v>
      </c>
      <c r="P678" s="559">
        <f>IFERROR(VLOOKUP(A678,#REF!,18,FALSE),)</f>
        <v>0</v>
      </c>
      <c r="Q678" s="626">
        <f t="shared" si="840"/>
        <v>0</v>
      </c>
      <c r="R678" s="559">
        <f t="shared" si="841"/>
        <v>0</v>
      </c>
      <c r="S678" s="632">
        <f t="shared" si="843"/>
        <v>0</v>
      </c>
      <c r="T678" s="559">
        <f>M678-R678</f>
        <v>0</v>
      </c>
      <c r="U678" s="632">
        <f t="shared" si="844"/>
        <v>0</v>
      </c>
    </row>
    <row r="679" spans="1:21" s="725" customFormat="1" ht="25.5">
      <c r="A679" s="577" t="s">
        <v>803</v>
      </c>
      <c r="B679" s="578">
        <v>190418</v>
      </c>
      <c r="C679" s="722" t="s">
        <v>314</v>
      </c>
      <c r="D679" s="580" t="s">
        <v>57</v>
      </c>
      <c r="E679" s="581">
        <v>33.049999999999997</v>
      </c>
      <c r="F679" s="582">
        <v>36.71</v>
      </c>
      <c r="G679" s="582">
        <f>REPLANILHAMENTO!H600</f>
        <v>12.46</v>
      </c>
      <c r="H679" s="582"/>
      <c r="I679" s="581">
        <f>F679+G679</f>
        <v>49.17</v>
      </c>
      <c r="J679" s="581">
        <f>F679*E679</f>
        <v>1213.2655</v>
      </c>
      <c r="K679" s="581">
        <f>G679*E679</f>
        <v>411.803</v>
      </c>
      <c r="L679" s="581"/>
      <c r="M679" s="723">
        <f>I679*E679</f>
        <v>1625.0684999999999</v>
      </c>
      <c r="N679" s="582">
        <v>0</v>
      </c>
      <c r="O679" s="723">
        <f t="shared" si="839"/>
        <v>0</v>
      </c>
      <c r="P679" s="582">
        <v>49.17</v>
      </c>
      <c r="Q679" s="723">
        <f t="shared" si="840"/>
        <v>1625.06</v>
      </c>
      <c r="R679" s="582">
        <f t="shared" si="841"/>
        <v>49.17</v>
      </c>
      <c r="S679" s="724">
        <f t="shared" si="843"/>
        <v>1625.06</v>
      </c>
      <c r="T679" s="582">
        <f>I679-R679</f>
        <v>0</v>
      </c>
      <c r="U679" s="724">
        <f>T679*E679</f>
        <v>0</v>
      </c>
    </row>
    <row r="680" spans="1:21" ht="25.5">
      <c r="A680" s="190" t="s">
        <v>1232</v>
      </c>
      <c r="B680" s="191" t="s">
        <v>793</v>
      </c>
      <c r="C680" s="657" t="s">
        <v>1181</v>
      </c>
      <c r="D680" s="192" t="s">
        <v>51</v>
      </c>
      <c r="E680" s="193">
        <v>742.5</v>
      </c>
      <c r="F680" s="194">
        <v>0</v>
      </c>
      <c r="G680" s="194">
        <v>279</v>
      </c>
      <c r="H680" s="194">
        <v>0</v>
      </c>
      <c r="I680" s="193">
        <f>F680+G680-H680</f>
        <v>279</v>
      </c>
      <c r="J680" s="193"/>
      <c r="K680" s="193">
        <f>G680*E680</f>
        <v>207157.5</v>
      </c>
      <c r="L680" s="193"/>
      <c r="M680" s="622">
        <f>I680*E680</f>
        <v>207157.5</v>
      </c>
      <c r="N680" s="194">
        <f>'5.4.3.15'!R19</f>
        <v>279</v>
      </c>
      <c r="O680" s="622">
        <v>0</v>
      </c>
      <c r="P680" s="194">
        <f>'5.4.3.15'!R20</f>
        <v>0</v>
      </c>
      <c r="Q680" s="622">
        <f>P680*E680</f>
        <v>0</v>
      </c>
      <c r="R680" s="194">
        <f t="shared" si="841"/>
        <v>279</v>
      </c>
      <c r="S680" s="630">
        <f t="shared" si="843"/>
        <v>207157.5</v>
      </c>
      <c r="T680" s="194">
        <f>I680-R680</f>
        <v>0</v>
      </c>
      <c r="U680" s="630">
        <f>T680*E680</f>
        <v>0</v>
      </c>
    </row>
    <row r="681" spans="1:21" s="725" customFormat="1" ht="25.5">
      <c r="A681" s="577" t="s">
        <v>1233</v>
      </c>
      <c r="B681" s="578" t="s">
        <v>796</v>
      </c>
      <c r="C681" s="722" t="s">
        <v>1131</v>
      </c>
      <c r="D681" s="580" t="s">
        <v>51</v>
      </c>
      <c r="E681" s="581">
        <v>575.30999999999995</v>
      </c>
      <c r="F681" s="582">
        <v>0</v>
      </c>
      <c r="G681" s="582">
        <v>279</v>
      </c>
      <c r="H681" s="582">
        <v>0</v>
      </c>
      <c r="I681" s="581">
        <f>F681+G681-H681</f>
        <v>279</v>
      </c>
      <c r="J681" s="581"/>
      <c r="K681" s="581">
        <f>G681*E681</f>
        <v>160511.49</v>
      </c>
      <c r="L681" s="581"/>
      <c r="M681" s="723">
        <f>I681*E681</f>
        <v>160511.49</v>
      </c>
      <c r="N681" s="582">
        <v>111.60000000000001</v>
      </c>
      <c r="O681" s="723">
        <v>0</v>
      </c>
      <c r="P681" s="582">
        <v>167.4</v>
      </c>
      <c r="Q681" s="723">
        <f>P681*E681</f>
        <v>96306.894</v>
      </c>
      <c r="R681" s="582">
        <f t="shared" si="841"/>
        <v>279</v>
      </c>
      <c r="S681" s="724">
        <f t="shared" si="843"/>
        <v>160511.49</v>
      </c>
      <c r="T681" s="582">
        <f>I681-R681</f>
        <v>0</v>
      </c>
      <c r="U681" s="724">
        <f>T681*E681</f>
        <v>0</v>
      </c>
    </row>
    <row r="682" spans="1:21" ht="25.5">
      <c r="A682" s="190" t="s">
        <v>1235</v>
      </c>
      <c r="B682" s="191" t="s">
        <v>1235</v>
      </c>
      <c r="C682" s="657" t="s">
        <v>1236</v>
      </c>
      <c r="D682" s="192" t="s">
        <v>72</v>
      </c>
      <c r="E682" s="193">
        <v>6550.59</v>
      </c>
      <c r="F682" s="194">
        <v>0</v>
      </c>
      <c r="G682" s="194">
        <v>2</v>
      </c>
      <c r="H682" s="194">
        <v>0</v>
      </c>
      <c r="I682" s="193">
        <f>F682+G682-H682</f>
        <v>2</v>
      </c>
      <c r="J682" s="193"/>
      <c r="K682" s="193">
        <f>G682*E682</f>
        <v>13101.18</v>
      </c>
      <c r="L682" s="193"/>
      <c r="M682" s="622">
        <f>I682*E682</f>
        <v>13101.18</v>
      </c>
      <c r="N682" s="194">
        <v>0</v>
      </c>
      <c r="O682" s="622">
        <v>0</v>
      </c>
      <c r="P682" s="194">
        <v>0</v>
      </c>
      <c r="Q682" s="622"/>
      <c r="R682" s="194"/>
      <c r="S682" s="630"/>
      <c r="T682" s="194"/>
      <c r="U682" s="630"/>
    </row>
    <row r="683" spans="1:21">
      <c r="A683" s="138"/>
      <c r="B683" s="132"/>
      <c r="C683" s="123"/>
      <c r="D683" s="123"/>
      <c r="E683" s="123"/>
      <c r="F683" s="123"/>
      <c r="G683" s="123"/>
      <c r="H683" s="123"/>
      <c r="I683" s="123"/>
      <c r="J683" s="123"/>
      <c r="K683" s="123"/>
      <c r="L683" s="123"/>
      <c r="M683" s="623"/>
      <c r="N683" s="123"/>
      <c r="O683" s="623"/>
      <c r="P683" s="123"/>
      <c r="Q683" s="623"/>
      <c r="R683" s="123"/>
      <c r="S683" s="631"/>
      <c r="T683" s="123"/>
      <c r="U683" s="631"/>
    </row>
    <row r="684" spans="1:21" s="131" customFormat="1">
      <c r="A684" s="137" t="s">
        <v>805</v>
      </c>
      <c r="B684" s="133"/>
      <c r="C684" s="658" t="s">
        <v>212</v>
      </c>
      <c r="D684" s="126"/>
      <c r="E684" s="127"/>
      <c r="F684" s="128"/>
      <c r="G684" s="128"/>
      <c r="H684" s="128"/>
      <c r="I684" s="129"/>
      <c r="J684" s="129">
        <f>SUBTOTAL(9,J685:J685)</f>
        <v>8738.247800000001</v>
      </c>
      <c r="K684" s="129"/>
      <c r="L684" s="129"/>
      <c r="M684" s="624"/>
      <c r="N684" s="130"/>
      <c r="O684" s="624">
        <f>SUBTOTAL(9,O685:O685)</f>
        <v>0</v>
      </c>
      <c r="P684" s="130"/>
      <c r="Q684" s="624">
        <f>SUBTOTAL(9,Q685:Q685)</f>
        <v>0</v>
      </c>
      <c r="R684" s="129"/>
      <c r="S684" s="624">
        <f>SUBTOTAL(9,S685:S685)</f>
        <v>8738.24</v>
      </c>
      <c r="T684" s="129">
        <f t="shared" si="795"/>
        <v>0</v>
      </c>
      <c r="U684" s="624">
        <f>SUBTOTAL(9,U685:U685)</f>
        <v>0</v>
      </c>
    </row>
    <row r="685" spans="1:21" ht="25.5">
      <c r="A685" s="190" t="s">
        <v>806</v>
      </c>
      <c r="B685" s="191" t="s">
        <v>227</v>
      </c>
      <c r="C685" s="657" t="s">
        <v>233</v>
      </c>
      <c r="D685" s="192" t="s">
        <v>51</v>
      </c>
      <c r="E685" s="193">
        <v>366.23</v>
      </c>
      <c r="F685" s="194">
        <v>23.86</v>
      </c>
      <c r="G685" s="194"/>
      <c r="H685" s="194"/>
      <c r="I685" s="193">
        <f t="shared" ref="I685" si="852">F685+G685-H685</f>
        <v>23.86</v>
      </c>
      <c r="J685" s="193">
        <f t="shared" ref="J685" si="853">I685*E685</f>
        <v>8738.247800000001</v>
      </c>
      <c r="K685" s="193"/>
      <c r="L685" s="193"/>
      <c r="M685" s="622">
        <f>I685*E685</f>
        <v>8738.247800000001</v>
      </c>
      <c r="N685" s="194">
        <v>0</v>
      </c>
      <c r="O685" s="622">
        <f t="shared" ref="O685" si="854">TRUNC(N685*E685,2)</f>
        <v>0</v>
      </c>
      <c r="P685" s="194">
        <v>0</v>
      </c>
      <c r="Q685" s="622">
        <f>P685*E685</f>
        <v>0</v>
      </c>
      <c r="R685" s="194">
        <v>23.86</v>
      </c>
      <c r="S685" s="630">
        <f t="shared" ref="S685" si="855">TRUNC(R685*E685,2)</f>
        <v>8738.24</v>
      </c>
      <c r="T685" s="194">
        <f t="shared" si="795"/>
        <v>0</v>
      </c>
      <c r="U685" s="630">
        <f t="shared" ref="U685" si="856">T685*E685</f>
        <v>0</v>
      </c>
    </row>
    <row r="686" spans="1:21">
      <c r="A686" s="138"/>
      <c r="B686" s="132"/>
      <c r="C686" s="123"/>
      <c r="D686" s="123"/>
      <c r="E686" s="123"/>
      <c r="F686" s="123"/>
      <c r="G686" s="123"/>
      <c r="H686" s="123"/>
      <c r="I686" s="123"/>
      <c r="J686" s="123"/>
      <c r="K686" s="123"/>
      <c r="L686" s="123"/>
      <c r="M686" s="623"/>
      <c r="N686" s="123"/>
      <c r="O686" s="623"/>
      <c r="P686" s="123"/>
      <c r="Q686" s="623"/>
      <c r="R686" s="123"/>
      <c r="S686" s="631"/>
      <c r="T686" s="123"/>
      <c r="U686" s="631"/>
    </row>
    <row r="687" spans="1:21" s="213" customFormat="1">
      <c r="A687" s="210" t="s">
        <v>807</v>
      </c>
      <c r="B687" s="211"/>
      <c r="C687" s="655" t="s">
        <v>318</v>
      </c>
      <c r="D687" s="197"/>
      <c r="E687" s="198"/>
      <c r="F687" s="199"/>
      <c r="G687" s="199"/>
      <c r="H687" s="199"/>
      <c r="I687" s="200"/>
      <c r="J687" s="200">
        <f>SUBTOTAL(9,J688:J692)</f>
        <v>427452.38440000004</v>
      </c>
      <c r="K687" s="200"/>
      <c r="L687" s="200"/>
      <c r="M687" s="620"/>
      <c r="N687" s="201"/>
      <c r="O687" s="620">
        <f>SUBTOTAL(9,O688:O692)</f>
        <v>375497.62</v>
      </c>
      <c r="P687" s="201"/>
      <c r="Q687" s="620">
        <f>SUBTOTAL(9,Q688:Q692)</f>
        <v>44965.580000000016</v>
      </c>
      <c r="R687" s="200"/>
      <c r="S687" s="620">
        <f>SUBTOTAL(9,S688:S692)</f>
        <v>427452.38</v>
      </c>
      <c r="T687" s="200">
        <f t="shared" si="795"/>
        <v>0</v>
      </c>
      <c r="U687" s="620">
        <f>SUBTOTAL(9,U688:U692)</f>
        <v>0</v>
      </c>
    </row>
    <row r="688" spans="1:21" s="131" customFormat="1">
      <c r="A688" s="137" t="s">
        <v>808</v>
      </c>
      <c r="B688" s="133"/>
      <c r="C688" s="658" t="s">
        <v>318</v>
      </c>
      <c r="D688" s="126"/>
      <c r="E688" s="127"/>
      <c r="F688" s="128"/>
      <c r="G688" s="128"/>
      <c r="H688" s="128"/>
      <c r="I688" s="129"/>
      <c r="J688" s="129">
        <f>SUBTOTAL(9,J689:J692)</f>
        <v>427452.38440000004</v>
      </c>
      <c r="K688" s="129"/>
      <c r="L688" s="129"/>
      <c r="M688" s="624"/>
      <c r="N688" s="130"/>
      <c r="O688" s="624">
        <f>SUBTOTAL(9,O689:O692)</f>
        <v>375497.62</v>
      </c>
      <c r="P688" s="130"/>
      <c r="Q688" s="624">
        <f>SUBTOTAL(9,Q689:Q692)</f>
        <v>44965.580000000016</v>
      </c>
      <c r="R688" s="129"/>
      <c r="S688" s="624">
        <f>SUBTOTAL(9,S689:S692)</f>
        <v>427452.38</v>
      </c>
      <c r="T688" s="129">
        <f t="shared" si="795"/>
        <v>0</v>
      </c>
      <c r="U688" s="624">
        <f>SUBTOTAL(9,U689:U692)</f>
        <v>0</v>
      </c>
    </row>
    <row r="689" spans="1:21" s="725" customFormat="1" ht="25.5">
      <c r="A689" s="577" t="s">
        <v>809</v>
      </c>
      <c r="B689" s="578" t="s">
        <v>323</v>
      </c>
      <c r="C689" s="722" t="s">
        <v>326</v>
      </c>
      <c r="D689" s="580" t="s">
        <v>59</v>
      </c>
      <c r="E689" s="581">
        <v>409453.83</v>
      </c>
      <c r="F689" s="582">
        <v>1</v>
      </c>
      <c r="G689" s="582"/>
      <c r="H689" s="582"/>
      <c r="I689" s="581">
        <f t="shared" ref="I689:I692" si="857">F689+G689-H689</f>
        <v>1</v>
      </c>
      <c r="J689" s="581">
        <f t="shared" ref="J689:J692" si="858">I689*E689</f>
        <v>409453.83</v>
      </c>
      <c r="K689" s="581"/>
      <c r="L689" s="581"/>
      <c r="M689" s="723">
        <f t="shared" ref="M689:M692" si="859">I689*E689</f>
        <v>409453.83</v>
      </c>
      <c r="N689" s="582">
        <f>'5.5.1.1'!R21</f>
        <v>0.89999999999999991</v>
      </c>
      <c r="O689" s="723">
        <f t="shared" ref="O689" si="860">TRUNC(N689*E689,2)</f>
        <v>368508.44</v>
      </c>
      <c r="P689" s="582">
        <v>0.10000000000000009</v>
      </c>
      <c r="Q689" s="723">
        <f t="shared" ref="Q689" si="861">S689-O689</f>
        <v>40945.390000000014</v>
      </c>
      <c r="R689" s="582">
        <f t="shared" ref="R689" si="862">P689+N689</f>
        <v>1</v>
      </c>
      <c r="S689" s="724">
        <f t="shared" ref="S689" si="863">TRUNC(R689*E689,2)</f>
        <v>409453.83</v>
      </c>
      <c r="T689" s="582">
        <f t="shared" si="795"/>
        <v>0</v>
      </c>
      <c r="U689" s="724">
        <f t="shared" ref="U689:U692" si="864">T689*E689</f>
        <v>0</v>
      </c>
    </row>
    <row r="690" spans="1:21" s="725" customFormat="1">
      <c r="A690" s="577" t="s">
        <v>810</v>
      </c>
      <c r="B690" s="578" t="s">
        <v>324</v>
      </c>
      <c r="C690" s="722" t="s">
        <v>327</v>
      </c>
      <c r="D690" s="580" t="s">
        <v>59</v>
      </c>
      <c r="E690" s="581">
        <v>3812.11</v>
      </c>
      <c r="F690" s="582">
        <v>1</v>
      </c>
      <c r="G690" s="582"/>
      <c r="H690" s="582"/>
      <c r="I690" s="581">
        <f t="shared" si="857"/>
        <v>1</v>
      </c>
      <c r="J690" s="581">
        <f t="shared" si="858"/>
        <v>3812.11</v>
      </c>
      <c r="K690" s="581"/>
      <c r="L690" s="581"/>
      <c r="M690" s="723">
        <f t="shared" si="859"/>
        <v>3812.11</v>
      </c>
      <c r="N690" s="582">
        <v>0</v>
      </c>
      <c r="O690" s="723">
        <f>TRUNC(N690*E690,2)</f>
        <v>0</v>
      </c>
      <c r="P690" s="582">
        <v>1</v>
      </c>
      <c r="Q690" s="723">
        <f>S690-O690</f>
        <v>3812.11</v>
      </c>
      <c r="R690" s="582">
        <f>P690+N690</f>
        <v>1</v>
      </c>
      <c r="S690" s="724">
        <f>TRUNC(R690*E690,2)</f>
        <v>3812.11</v>
      </c>
      <c r="T690" s="582">
        <f t="shared" si="795"/>
        <v>0</v>
      </c>
      <c r="U690" s="724">
        <f t="shared" si="864"/>
        <v>0</v>
      </c>
    </row>
    <row r="691" spans="1:21" s="725" customFormat="1" ht="25.5">
      <c r="A691" s="577" t="s">
        <v>811</v>
      </c>
      <c r="B691" s="578" t="s">
        <v>813</v>
      </c>
      <c r="C691" s="722" t="s">
        <v>814</v>
      </c>
      <c r="D691" s="580" t="s">
        <v>72</v>
      </c>
      <c r="E691" s="581">
        <v>208.08</v>
      </c>
      <c r="F691" s="582">
        <v>1</v>
      </c>
      <c r="G691" s="582"/>
      <c r="H691" s="582"/>
      <c r="I691" s="581">
        <f t="shared" si="857"/>
        <v>1</v>
      </c>
      <c r="J691" s="581">
        <f t="shared" si="858"/>
        <v>208.08</v>
      </c>
      <c r="K691" s="581"/>
      <c r="L691" s="581"/>
      <c r="M691" s="723">
        <f t="shared" si="859"/>
        <v>208.08</v>
      </c>
      <c r="N691" s="582">
        <v>0</v>
      </c>
      <c r="O691" s="723">
        <f>TRUNC(N691*E691,2)</f>
        <v>0</v>
      </c>
      <c r="P691" s="582">
        <v>1</v>
      </c>
      <c r="Q691" s="723">
        <f>S691-O691</f>
        <v>208.08</v>
      </c>
      <c r="R691" s="582">
        <f>P691+N691</f>
        <v>1</v>
      </c>
      <c r="S691" s="724">
        <f>TRUNC(R691*E691,2)</f>
        <v>208.08</v>
      </c>
      <c r="T691" s="582">
        <f t="shared" si="795"/>
        <v>0</v>
      </c>
      <c r="U691" s="724">
        <f t="shared" si="864"/>
        <v>0</v>
      </c>
    </row>
    <row r="692" spans="1:21" ht="25.5">
      <c r="A692" s="190" t="s">
        <v>812</v>
      </c>
      <c r="B692" s="191" t="s">
        <v>325</v>
      </c>
      <c r="C692" s="657" t="s">
        <v>328</v>
      </c>
      <c r="D692" s="192" t="s">
        <v>50</v>
      </c>
      <c r="E692" s="193">
        <v>115.83</v>
      </c>
      <c r="F692" s="194">
        <v>120.68</v>
      </c>
      <c r="G692" s="194"/>
      <c r="H692" s="194"/>
      <c r="I692" s="193">
        <f t="shared" si="857"/>
        <v>120.68</v>
      </c>
      <c r="J692" s="193">
        <f t="shared" si="858"/>
        <v>13978.3644</v>
      </c>
      <c r="K692" s="193"/>
      <c r="L692" s="193"/>
      <c r="M692" s="622">
        <f t="shared" si="859"/>
        <v>13978.3644</v>
      </c>
      <c r="N692" s="194">
        <f>'5.5.1.4'!R19</f>
        <v>60.34</v>
      </c>
      <c r="O692" s="622">
        <f t="shared" ref="O692" si="865">TRUNC(N692*E692,2)</f>
        <v>6989.18</v>
      </c>
      <c r="P692" s="194">
        <v>0</v>
      </c>
      <c r="Q692" s="622">
        <f>P692*E692</f>
        <v>0</v>
      </c>
      <c r="R692" s="194">
        <v>120.68</v>
      </c>
      <c r="S692" s="630">
        <f t="shared" ref="S692" si="866">TRUNC(R692*E692,2)</f>
        <v>13978.36</v>
      </c>
      <c r="T692" s="194">
        <f t="shared" si="795"/>
        <v>0</v>
      </c>
      <c r="U692" s="630">
        <f t="shared" si="864"/>
        <v>0</v>
      </c>
    </row>
    <row r="693" spans="1:21">
      <c r="A693" s="138"/>
      <c r="B693" s="132"/>
      <c r="C693" s="123"/>
      <c r="D693" s="123"/>
      <c r="E693" s="123"/>
      <c r="F693" s="123"/>
      <c r="G693" s="123"/>
      <c r="H693" s="123"/>
      <c r="I693" s="123"/>
      <c r="J693" s="123"/>
      <c r="K693" s="123"/>
      <c r="L693" s="123"/>
      <c r="M693" s="623"/>
      <c r="N693" s="123"/>
      <c r="O693" s="623"/>
      <c r="P693" s="123"/>
      <c r="Q693" s="623"/>
      <c r="R693" s="123"/>
      <c r="S693" s="631"/>
      <c r="T693" s="123"/>
      <c r="U693" s="631"/>
    </row>
    <row r="694" spans="1:21" s="213" customFormat="1">
      <c r="A694" s="210" t="s">
        <v>815</v>
      </c>
      <c r="B694" s="211"/>
      <c r="C694" s="655" t="s">
        <v>329</v>
      </c>
      <c r="D694" s="197"/>
      <c r="E694" s="198"/>
      <c r="F694" s="199"/>
      <c r="G694" s="199"/>
      <c r="H694" s="199"/>
      <c r="I694" s="200"/>
      <c r="J694" s="200">
        <f>SUBTOTAL(9,J696:J720)</f>
        <v>43372.777000000002</v>
      </c>
      <c r="K694" s="200"/>
      <c r="L694" s="200"/>
      <c r="M694" s="620"/>
      <c r="N694" s="201"/>
      <c r="O694" s="620">
        <f>SUBTOTAL(9,O696:O720)</f>
        <v>39993.79</v>
      </c>
      <c r="P694" s="201"/>
      <c r="Q694" s="620">
        <f>SUBTOTAL(9,Q696:Q720)</f>
        <v>0</v>
      </c>
      <c r="R694" s="200"/>
      <c r="S694" s="620">
        <f>SUBTOTAL(9,S696:S720)</f>
        <v>43372.770000000004</v>
      </c>
      <c r="T694" s="200">
        <f t="shared" si="795"/>
        <v>0</v>
      </c>
      <c r="U694" s="620">
        <f>SUBTOTAL(9,U696:U720)</f>
        <v>0</v>
      </c>
    </row>
    <row r="695" spans="1:21" s="131" customFormat="1">
      <c r="A695" s="137" t="s">
        <v>816</v>
      </c>
      <c r="B695" s="133"/>
      <c r="C695" s="658" t="s">
        <v>329</v>
      </c>
      <c r="D695" s="126"/>
      <c r="E695" s="127"/>
      <c r="F695" s="128"/>
      <c r="G695" s="128"/>
      <c r="H695" s="128"/>
      <c r="I695" s="129"/>
      <c r="J695" s="129">
        <f>SUBTOTAL(9,J696:J714)</f>
        <v>39993.794000000002</v>
      </c>
      <c r="K695" s="129"/>
      <c r="L695" s="129"/>
      <c r="M695" s="624"/>
      <c r="N695" s="130"/>
      <c r="O695" s="624">
        <f>SUBTOTAL(9,O696:O714)</f>
        <v>39993.79</v>
      </c>
      <c r="P695" s="130"/>
      <c r="Q695" s="624">
        <f>SUBTOTAL(9,Q696:Q714)</f>
        <v>0</v>
      </c>
      <c r="R695" s="129"/>
      <c r="S695" s="624">
        <f>SUBTOTAL(9,S696:S714)</f>
        <v>39993.79</v>
      </c>
      <c r="T695" s="129">
        <f t="shared" si="795"/>
        <v>0</v>
      </c>
      <c r="U695" s="624">
        <f>SUBTOTAL(9,U696:U714)</f>
        <v>0</v>
      </c>
    </row>
    <row r="696" spans="1:21" ht="25.5">
      <c r="A696" s="190" t="s">
        <v>817</v>
      </c>
      <c r="B696" s="191">
        <v>151701</v>
      </c>
      <c r="C696" s="657" t="s">
        <v>685</v>
      </c>
      <c r="D696" s="192" t="s">
        <v>59</v>
      </c>
      <c r="E696" s="193">
        <v>1510.64</v>
      </c>
      <c r="F696" s="194">
        <v>1</v>
      </c>
      <c r="G696" s="194"/>
      <c r="H696" s="194"/>
      <c r="I696" s="193">
        <f t="shared" ref="I696:I714" si="867">F696+G696-H696</f>
        <v>1</v>
      </c>
      <c r="J696" s="193">
        <f t="shared" ref="J696:J714" si="868">I696*E696</f>
        <v>1510.64</v>
      </c>
      <c r="K696" s="193"/>
      <c r="L696" s="193"/>
      <c r="M696" s="622">
        <f t="shared" ref="M696:M714" si="869">I696*E696</f>
        <v>1510.64</v>
      </c>
      <c r="N696" s="194">
        <v>1</v>
      </c>
      <c r="O696" s="622">
        <f t="shared" ref="O696:O714" si="870">TRUNC(N696*E696,2)</f>
        <v>1510.64</v>
      </c>
      <c r="P696" s="194"/>
      <c r="Q696" s="622">
        <f t="shared" ref="Q696:Q714" si="871">S696-O696</f>
        <v>0</v>
      </c>
      <c r="R696" s="194">
        <f t="shared" ref="R696:R714" si="872">P696+N696</f>
        <v>1</v>
      </c>
      <c r="S696" s="630">
        <f t="shared" ref="S696:S714" si="873">TRUNC(R696*E696,2)</f>
        <v>1510.64</v>
      </c>
      <c r="T696" s="194">
        <f t="shared" si="795"/>
        <v>0</v>
      </c>
      <c r="U696" s="630">
        <f t="shared" ref="U696:U714" si="874">T696*E696</f>
        <v>0</v>
      </c>
    </row>
    <row r="697" spans="1:21" ht="25.5">
      <c r="A697" s="190" t="s">
        <v>818</v>
      </c>
      <c r="B697" s="191">
        <v>150312</v>
      </c>
      <c r="C697" s="657" t="s">
        <v>350</v>
      </c>
      <c r="D697" s="192" t="s">
        <v>59</v>
      </c>
      <c r="E697" s="193">
        <v>103.79</v>
      </c>
      <c r="F697" s="194">
        <v>1</v>
      </c>
      <c r="G697" s="194"/>
      <c r="H697" s="194"/>
      <c r="I697" s="193">
        <f t="shared" si="867"/>
        <v>1</v>
      </c>
      <c r="J697" s="193">
        <f t="shared" si="868"/>
        <v>103.79</v>
      </c>
      <c r="K697" s="193"/>
      <c r="L697" s="193"/>
      <c r="M697" s="622">
        <f t="shared" si="869"/>
        <v>103.79</v>
      </c>
      <c r="N697" s="194">
        <v>1</v>
      </c>
      <c r="O697" s="622">
        <f t="shared" si="870"/>
        <v>103.79</v>
      </c>
      <c r="P697" s="194"/>
      <c r="Q697" s="622">
        <f t="shared" si="871"/>
        <v>0</v>
      </c>
      <c r="R697" s="194">
        <f t="shared" si="872"/>
        <v>1</v>
      </c>
      <c r="S697" s="630">
        <f t="shared" si="873"/>
        <v>103.79</v>
      </c>
      <c r="T697" s="194">
        <f t="shared" ref="T697:T728" si="875">F697-R697</f>
        <v>0</v>
      </c>
      <c r="U697" s="630">
        <f t="shared" si="874"/>
        <v>0</v>
      </c>
    </row>
    <row r="698" spans="1:21">
      <c r="A698" s="190" t="s">
        <v>819</v>
      </c>
      <c r="B698" s="191">
        <v>150628</v>
      </c>
      <c r="C698" s="657" t="s">
        <v>351</v>
      </c>
      <c r="D698" s="192" t="s">
        <v>59</v>
      </c>
      <c r="E698" s="193">
        <v>7.47</v>
      </c>
      <c r="F698" s="194">
        <v>20</v>
      </c>
      <c r="G698" s="194"/>
      <c r="H698" s="194"/>
      <c r="I698" s="193">
        <f t="shared" si="867"/>
        <v>20</v>
      </c>
      <c r="J698" s="193">
        <f t="shared" si="868"/>
        <v>149.4</v>
      </c>
      <c r="K698" s="193"/>
      <c r="L698" s="193"/>
      <c r="M698" s="622">
        <f t="shared" si="869"/>
        <v>149.4</v>
      </c>
      <c r="N698" s="194">
        <v>20</v>
      </c>
      <c r="O698" s="622">
        <f t="shared" si="870"/>
        <v>149.4</v>
      </c>
      <c r="P698" s="194"/>
      <c r="Q698" s="622">
        <f t="shared" si="871"/>
        <v>0</v>
      </c>
      <c r="R698" s="194">
        <f t="shared" si="872"/>
        <v>20</v>
      </c>
      <c r="S698" s="630">
        <f t="shared" si="873"/>
        <v>149.4</v>
      </c>
      <c r="T698" s="194">
        <f t="shared" si="875"/>
        <v>0</v>
      </c>
      <c r="U698" s="630">
        <f t="shared" si="874"/>
        <v>0</v>
      </c>
    </row>
    <row r="699" spans="1:21" ht="25.5">
      <c r="A699" s="190" t="s">
        <v>820</v>
      </c>
      <c r="B699" s="191">
        <v>151417</v>
      </c>
      <c r="C699" s="657" t="s">
        <v>352</v>
      </c>
      <c r="D699" s="192" t="s">
        <v>51</v>
      </c>
      <c r="E699" s="193">
        <v>5.86</v>
      </c>
      <c r="F699" s="194">
        <v>169.2</v>
      </c>
      <c r="G699" s="194"/>
      <c r="H699" s="194"/>
      <c r="I699" s="193">
        <f t="shared" si="867"/>
        <v>169.2</v>
      </c>
      <c r="J699" s="193">
        <f t="shared" si="868"/>
        <v>991.51199999999994</v>
      </c>
      <c r="K699" s="193"/>
      <c r="L699" s="193"/>
      <c r="M699" s="622">
        <f t="shared" si="869"/>
        <v>991.51199999999994</v>
      </c>
      <c r="N699" s="194">
        <v>169.2</v>
      </c>
      <c r="O699" s="622">
        <f t="shared" si="870"/>
        <v>991.51</v>
      </c>
      <c r="P699" s="194"/>
      <c r="Q699" s="622">
        <f t="shared" si="871"/>
        <v>0</v>
      </c>
      <c r="R699" s="194">
        <f t="shared" si="872"/>
        <v>169.2</v>
      </c>
      <c r="S699" s="630">
        <f t="shared" si="873"/>
        <v>991.51</v>
      </c>
      <c r="T699" s="194">
        <f t="shared" si="875"/>
        <v>0</v>
      </c>
      <c r="U699" s="630">
        <f t="shared" si="874"/>
        <v>0</v>
      </c>
    </row>
    <row r="700" spans="1:21" ht="25.5">
      <c r="A700" s="190" t="s">
        <v>821</v>
      </c>
      <c r="B700" s="191">
        <v>151418</v>
      </c>
      <c r="C700" s="657" t="s">
        <v>353</v>
      </c>
      <c r="D700" s="192" t="s">
        <v>51</v>
      </c>
      <c r="E700" s="193">
        <v>6.74</v>
      </c>
      <c r="F700" s="194">
        <v>333.8</v>
      </c>
      <c r="G700" s="194"/>
      <c r="H700" s="194"/>
      <c r="I700" s="193">
        <f t="shared" si="867"/>
        <v>333.8</v>
      </c>
      <c r="J700" s="193">
        <f t="shared" si="868"/>
        <v>2249.8120000000004</v>
      </c>
      <c r="K700" s="193"/>
      <c r="L700" s="193"/>
      <c r="M700" s="622">
        <f t="shared" si="869"/>
        <v>2249.8120000000004</v>
      </c>
      <c r="N700" s="194">
        <v>333.8</v>
      </c>
      <c r="O700" s="622">
        <f t="shared" si="870"/>
        <v>2249.81</v>
      </c>
      <c r="P700" s="194"/>
      <c r="Q700" s="622">
        <f t="shared" si="871"/>
        <v>0</v>
      </c>
      <c r="R700" s="194">
        <f t="shared" si="872"/>
        <v>333.8</v>
      </c>
      <c r="S700" s="630">
        <f t="shared" si="873"/>
        <v>2249.81</v>
      </c>
      <c r="T700" s="194">
        <f t="shared" si="875"/>
        <v>0</v>
      </c>
      <c r="U700" s="630">
        <f t="shared" si="874"/>
        <v>0</v>
      </c>
    </row>
    <row r="701" spans="1:21" ht="25.5">
      <c r="A701" s="190" t="s">
        <v>822</v>
      </c>
      <c r="B701" s="191">
        <v>151420</v>
      </c>
      <c r="C701" s="657" t="s">
        <v>354</v>
      </c>
      <c r="D701" s="192" t="s">
        <v>51</v>
      </c>
      <c r="E701" s="193">
        <v>10.63</v>
      </c>
      <c r="F701" s="194">
        <v>60</v>
      </c>
      <c r="G701" s="194"/>
      <c r="H701" s="194"/>
      <c r="I701" s="193">
        <f t="shared" si="867"/>
        <v>60</v>
      </c>
      <c r="J701" s="193">
        <f t="shared" si="868"/>
        <v>637.80000000000007</v>
      </c>
      <c r="K701" s="193"/>
      <c r="L701" s="193"/>
      <c r="M701" s="622">
        <f t="shared" si="869"/>
        <v>637.80000000000007</v>
      </c>
      <c r="N701" s="194">
        <v>60</v>
      </c>
      <c r="O701" s="622">
        <f t="shared" si="870"/>
        <v>637.79999999999995</v>
      </c>
      <c r="P701" s="194"/>
      <c r="Q701" s="622">
        <f t="shared" si="871"/>
        <v>0</v>
      </c>
      <c r="R701" s="194">
        <f t="shared" si="872"/>
        <v>60</v>
      </c>
      <c r="S701" s="630">
        <f t="shared" si="873"/>
        <v>637.79999999999995</v>
      </c>
      <c r="T701" s="194">
        <f t="shared" si="875"/>
        <v>0</v>
      </c>
      <c r="U701" s="630">
        <f t="shared" si="874"/>
        <v>0</v>
      </c>
    </row>
    <row r="702" spans="1:21" ht="38.25">
      <c r="A702" s="190" t="s">
        <v>823</v>
      </c>
      <c r="B702" s="191">
        <v>151809</v>
      </c>
      <c r="C702" s="657" t="s">
        <v>355</v>
      </c>
      <c r="D702" s="192" t="s">
        <v>59</v>
      </c>
      <c r="E702" s="193">
        <v>150.13</v>
      </c>
      <c r="F702" s="194">
        <v>1</v>
      </c>
      <c r="G702" s="194"/>
      <c r="H702" s="194"/>
      <c r="I702" s="193">
        <f t="shared" si="867"/>
        <v>1</v>
      </c>
      <c r="J702" s="193">
        <f t="shared" si="868"/>
        <v>150.13</v>
      </c>
      <c r="K702" s="193"/>
      <c r="L702" s="193"/>
      <c r="M702" s="622">
        <f t="shared" si="869"/>
        <v>150.13</v>
      </c>
      <c r="N702" s="194">
        <v>1</v>
      </c>
      <c r="O702" s="622">
        <f t="shared" si="870"/>
        <v>150.13</v>
      </c>
      <c r="P702" s="194"/>
      <c r="Q702" s="622">
        <f t="shared" si="871"/>
        <v>0</v>
      </c>
      <c r="R702" s="194">
        <f t="shared" si="872"/>
        <v>1</v>
      </c>
      <c r="S702" s="630">
        <f t="shared" si="873"/>
        <v>150.13</v>
      </c>
      <c r="T702" s="194">
        <f t="shared" si="875"/>
        <v>0</v>
      </c>
      <c r="U702" s="630">
        <f t="shared" si="874"/>
        <v>0</v>
      </c>
    </row>
    <row r="703" spans="1:21" ht="38.25">
      <c r="A703" s="190" t="s">
        <v>824</v>
      </c>
      <c r="B703" s="191">
        <v>151803</v>
      </c>
      <c r="C703" s="657" t="s">
        <v>356</v>
      </c>
      <c r="D703" s="192" t="s">
        <v>59</v>
      </c>
      <c r="E703" s="193">
        <v>170.86</v>
      </c>
      <c r="F703" s="194">
        <v>11</v>
      </c>
      <c r="G703" s="194"/>
      <c r="H703" s="194"/>
      <c r="I703" s="193">
        <f t="shared" si="867"/>
        <v>11</v>
      </c>
      <c r="J703" s="193">
        <f t="shared" si="868"/>
        <v>1879.46</v>
      </c>
      <c r="K703" s="193"/>
      <c r="L703" s="193"/>
      <c r="M703" s="622">
        <f t="shared" si="869"/>
        <v>1879.46</v>
      </c>
      <c r="N703" s="194">
        <v>11</v>
      </c>
      <c r="O703" s="622">
        <f t="shared" si="870"/>
        <v>1879.46</v>
      </c>
      <c r="P703" s="194"/>
      <c r="Q703" s="622">
        <f t="shared" si="871"/>
        <v>0</v>
      </c>
      <c r="R703" s="194">
        <f t="shared" si="872"/>
        <v>11</v>
      </c>
      <c r="S703" s="630">
        <f t="shared" si="873"/>
        <v>1879.46</v>
      </c>
      <c r="T703" s="194">
        <f t="shared" si="875"/>
        <v>0</v>
      </c>
      <c r="U703" s="630">
        <f t="shared" si="874"/>
        <v>0</v>
      </c>
    </row>
    <row r="704" spans="1:21" ht="25.5">
      <c r="A704" s="190" t="s">
        <v>825</v>
      </c>
      <c r="B704" s="191">
        <v>151338</v>
      </c>
      <c r="C704" s="657" t="s">
        <v>357</v>
      </c>
      <c r="D704" s="192" t="s">
        <v>59</v>
      </c>
      <c r="E704" s="193">
        <v>18.14</v>
      </c>
      <c r="F704" s="194">
        <v>1</v>
      </c>
      <c r="G704" s="194"/>
      <c r="H704" s="194"/>
      <c r="I704" s="193">
        <f t="shared" si="867"/>
        <v>1</v>
      </c>
      <c r="J704" s="193">
        <f t="shared" si="868"/>
        <v>18.14</v>
      </c>
      <c r="K704" s="193"/>
      <c r="L704" s="193"/>
      <c r="M704" s="622">
        <f t="shared" si="869"/>
        <v>18.14</v>
      </c>
      <c r="N704" s="194">
        <v>1</v>
      </c>
      <c r="O704" s="622">
        <f t="shared" si="870"/>
        <v>18.14</v>
      </c>
      <c r="P704" s="194"/>
      <c r="Q704" s="622">
        <f t="shared" si="871"/>
        <v>0</v>
      </c>
      <c r="R704" s="194">
        <f t="shared" si="872"/>
        <v>1</v>
      </c>
      <c r="S704" s="630">
        <f t="shared" si="873"/>
        <v>18.14</v>
      </c>
      <c r="T704" s="194">
        <f t="shared" si="875"/>
        <v>0</v>
      </c>
      <c r="U704" s="630">
        <f t="shared" si="874"/>
        <v>0</v>
      </c>
    </row>
    <row r="705" spans="1:21" ht="25.5">
      <c r="A705" s="190" t="s">
        <v>826</v>
      </c>
      <c r="B705" s="191">
        <v>151301</v>
      </c>
      <c r="C705" s="657" t="s">
        <v>358</v>
      </c>
      <c r="D705" s="192" t="s">
        <v>59</v>
      </c>
      <c r="E705" s="193">
        <v>18.14</v>
      </c>
      <c r="F705" s="194">
        <v>1</v>
      </c>
      <c r="G705" s="194"/>
      <c r="H705" s="194"/>
      <c r="I705" s="193">
        <f t="shared" si="867"/>
        <v>1</v>
      </c>
      <c r="J705" s="193">
        <f t="shared" si="868"/>
        <v>18.14</v>
      </c>
      <c r="K705" s="193"/>
      <c r="L705" s="193"/>
      <c r="M705" s="622">
        <f t="shared" si="869"/>
        <v>18.14</v>
      </c>
      <c r="N705" s="194">
        <v>1</v>
      </c>
      <c r="O705" s="622">
        <f t="shared" si="870"/>
        <v>18.14</v>
      </c>
      <c r="P705" s="194"/>
      <c r="Q705" s="622">
        <f t="shared" si="871"/>
        <v>0</v>
      </c>
      <c r="R705" s="194">
        <f t="shared" si="872"/>
        <v>1</v>
      </c>
      <c r="S705" s="630">
        <f t="shared" si="873"/>
        <v>18.14</v>
      </c>
      <c r="T705" s="194">
        <f t="shared" si="875"/>
        <v>0</v>
      </c>
      <c r="U705" s="630">
        <f t="shared" si="874"/>
        <v>0</v>
      </c>
    </row>
    <row r="706" spans="1:21" ht="25.5">
      <c r="A706" s="190" t="s">
        <v>827</v>
      </c>
      <c r="B706" s="191">
        <v>151303</v>
      </c>
      <c r="C706" s="657" t="s">
        <v>359</v>
      </c>
      <c r="D706" s="192" t="s">
        <v>59</v>
      </c>
      <c r="E706" s="193">
        <v>18.14</v>
      </c>
      <c r="F706" s="194">
        <v>1</v>
      </c>
      <c r="G706" s="194"/>
      <c r="H706" s="194"/>
      <c r="I706" s="193">
        <f t="shared" si="867"/>
        <v>1</v>
      </c>
      <c r="J706" s="193">
        <f t="shared" si="868"/>
        <v>18.14</v>
      </c>
      <c r="K706" s="193"/>
      <c r="L706" s="193"/>
      <c r="M706" s="622">
        <f t="shared" si="869"/>
        <v>18.14</v>
      </c>
      <c r="N706" s="194">
        <v>1</v>
      </c>
      <c r="O706" s="622">
        <f t="shared" si="870"/>
        <v>18.14</v>
      </c>
      <c r="P706" s="194"/>
      <c r="Q706" s="622">
        <f t="shared" si="871"/>
        <v>0</v>
      </c>
      <c r="R706" s="194">
        <f t="shared" si="872"/>
        <v>1</v>
      </c>
      <c r="S706" s="630">
        <f t="shared" si="873"/>
        <v>18.14</v>
      </c>
      <c r="T706" s="194">
        <f t="shared" si="875"/>
        <v>0</v>
      </c>
      <c r="U706" s="630">
        <f t="shared" si="874"/>
        <v>0</v>
      </c>
    </row>
    <row r="707" spans="1:21" ht="25.5">
      <c r="A707" s="190" t="s">
        <v>828</v>
      </c>
      <c r="B707" s="191">
        <v>151318</v>
      </c>
      <c r="C707" s="657" t="s">
        <v>547</v>
      </c>
      <c r="D707" s="192" t="s">
        <v>59</v>
      </c>
      <c r="E707" s="193">
        <v>22.63</v>
      </c>
      <c r="F707" s="194">
        <v>1</v>
      </c>
      <c r="G707" s="194"/>
      <c r="H707" s="194"/>
      <c r="I707" s="193">
        <f t="shared" si="867"/>
        <v>1</v>
      </c>
      <c r="J707" s="193">
        <f t="shared" si="868"/>
        <v>22.63</v>
      </c>
      <c r="K707" s="193"/>
      <c r="L707" s="193"/>
      <c r="M707" s="622">
        <f t="shared" si="869"/>
        <v>22.63</v>
      </c>
      <c r="N707" s="194">
        <v>1</v>
      </c>
      <c r="O707" s="622">
        <f t="shared" si="870"/>
        <v>22.63</v>
      </c>
      <c r="P707" s="194"/>
      <c r="Q707" s="622">
        <f t="shared" si="871"/>
        <v>0</v>
      </c>
      <c r="R707" s="194">
        <f t="shared" si="872"/>
        <v>1</v>
      </c>
      <c r="S707" s="630">
        <f t="shared" si="873"/>
        <v>22.63</v>
      </c>
      <c r="T707" s="194">
        <f t="shared" si="875"/>
        <v>0</v>
      </c>
      <c r="U707" s="630">
        <f t="shared" si="874"/>
        <v>0</v>
      </c>
    </row>
    <row r="708" spans="1:21">
      <c r="A708" s="190" t="s">
        <v>829</v>
      </c>
      <c r="B708" s="191">
        <v>151350</v>
      </c>
      <c r="C708" s="657" t="s">
        <v>360</v>
      </c>
      <c r="D708" s="192" t="s">
        <v>59</v>
      </c>
      <c r="E708" s="193">
        <v>133.04</v>
      </c>
      <c r="F708" s="194">
        <v>1</v>
      </c>
      <c r="G708" s="194"/>
      <c r="H708" s="194"/>
      <c r="I708" s="193">
        <f t="shared" si="867"/>
        <v>1</v>
      </c>
      <c r="J708" s="193">
        <f t="shared" si="868"/>
        <v>133.04</v>
      </c>
      <c r="K708" s="193"/>
      <c r="L708" s="193"/>
      <c r="M708" s="622">
        <f t="shared" si="869"/>
        <v>133.04</v>
      </c>
      <c r="N708" s="194">
        <v>1</v>
      </c>
      <c r="O708" s="622">
        <f t="shared" si="870"/>
        <v>133.04</v>
      </c>
      <c r="P708" s="194"/>
      <c r="Q708" s="622">
        <f t="shared" si="871"/>
        <v>0</v>
      </c>
      <c r="R708" s="194">
        <f t="shared" si="872"/>
        <v>1</v>
      </c>
      <c r="S708" s="630">
        <f t="shared" si="873"/>
        <v>133.04</v>
      </c>
      <c r="T708" s="194">
        <f t="shared" si="875"/>
        <v>0</v>
      </c>
      <c r="U708" s="630">
        <f t="shared" si="874"/>
        <v>0</v>
      </c>
    </row>
    <row r="709" spans="1:21">
      <c r="A709" s="190" t="s">
        <v>830</v>
      </c>
      <c r="B709" s="191">
        <v>151132</v>
      </c>
      <c r="C709" s="657" t="s">
        <v>361</v>
      </c>
      <c r="D709" s="192" t="s">
        <v>51</v>
      </c>
      <c r="E709" s="193">
        <v>7.5</v>
      </c>
      <c r="F709" s="194">
        <v>78.400000000000006</v>
      </c>
      <c r="G709" s="194"/>
      <c r="H709" s="194"/>
      <c r="I709" s="193">
        <f t="shared" si="867"/>
        <v>78.400000000000006</v>
      </c>
      <c r="J709" s="193">
        <f t="shared" si="868"/>
        <v>588</v>
      </c>
      <c r="K709" s="193"/>
      <c r="L709" s="193"/>
      <c r="M709" s="622">
        <f t="shared" si="869"/>
        <v>588</v>
      </c>
      <c r="N709" s="194">
        <v>78.400000000000006</v>
      </c>
      <c r="O709" s="622">
        <f t="shared" si="870"/>
        <v>588</v>
      </c>
      <c r="P709" s="194">
        <v>0</v>
      </c>
      <c r="Q709" s="622">
        <f t="shared" si="871"/>
        <v>0</v>
      </c>
      <c r="R709" s="194">
        <f t="shared" si="872"/>
        <v>78.400000000000006</v>
      </c>
      <c r="S709" s="630">
        <f t="shared" si="873"/>
        <v>588</v>
      </c>
      <c r="T709" s="194">
        <f>I709-R709</f>
        <v>0</v>
      </c>
      <c r="U709" s="630">
        <f t="shared" si="874"/>
        <v>0</v>
      </c>
    </row>
    <row r="710" spans="1:21" ht="25.5">
      <c r="A710" s="190" t="s">
        <v>831</v>
      </c>
      <c r="B710" s="191">
        <v>150801</v>
      </c>
      <c r="C710" s="657" t="s">
        <v>362</v>
      </c>
      <c r="D710" s="192" t="s">
        <v>51</v>
      </c>
      <c r="E710" s="193">
        <v>12.67</v>
      </c>
      <c r="F710" s="194">
        <v>70</v>
      </c>
      <c r="G710" s="194"/>
      <c r="H710" s="194"/>
      <c r="I710" s="193">
        <f t="shared" si="867"/>
        <v>70</v>
      </c>
      <c r="J710" s="193">
        <f t="shared" si="868"/>
        <v>886.9</v>
      </c>
      <c r="K710" s="193"/>
      <c r="L710" s="193"/>
      <c r="M710" s="622">
        <f t="shared" si="869"/>
        <v>886.9</v>
      </c>
      <c r="N710" s="194">
        <v>70</v>
      </c>
      <c r="O710" s="622">
        <f t="shared" si="870"/>
        <v>886.9</v>
      </c>
      <c r="P710" s="194"/>
      <c r="Q710" s="622">
        <f t="shared" si="871"/>
        <v>0</v>
      </c>
      <c r="R710" s="194">
        <f>P710+N710</f>
        <v>70</v>
      </c>
      <c r="S710" s="630">
        <f t="shared" si="873"/>
        <v>886.9</v>
      </c>
      <c r="T710" s="194">
        <f t="shared" si="875"/>
        <v>0</v>
      </c>
      <c r="U710" s="630">
        <f t="shared" si="874"/>
        <v>0</v>
      </c>
    </row>
    <row r="711" spans="1:21">
      <c r="A711" s="190" t="s">
        <v>832</v>
      </c>
      <c r="B711" s="191">
        <v>180110</v>
      </c>
      <c r="C711" s="657" t="s">
        <v>363</v>
      </c>
      <c r="D711" s="192" t="s">
        <v>59</v>
      </c>
      <c r="E711" s="193">
        <v>106.15</v>
      </c>
      <c r="F711" s="194">
        <v>5</v>
      </c>
      <c r="G711" s="194"/>
      <c r="H711" s="194"/>
      <c r="I711" s="193">
        <f t="shared" si="867"/>
        <v>5</v>
      </c>
      <c r="J711" s="193">
        <f t="shared" si="868"/>
        <v>530.75</v>
      </c>
      <c r="K711" s="193"/>
      <c r="L711" s="193"/>
      <c r="M711" s="622">
        <f t="shared" si="869"/>
        <v>530.75</v>
      </c>
      <c r="N711" s="194">
        <v>5</v>
      </c>
      <c r="O711" s="622">
        <f t="shared" si="870"/>
        <v>530.75</v>
      </c>
      <c r="P711" s="194"/>
      <c r="Q711" s="622">
        <f t="shared" si="871"/>
        <v>0</v>
      </c>
      <c r="R711" s="194">
        <f t="shared" si="872"/>
        <v>5</v>
      </c>
      <c r="S711" s="630">
        <f t="shared" si="873"/>
        <v>530.75</v>
      </c>
      <c r="T711" s="194">
        <f t="shared" si="875"/>
        <v>0</v>
      </c>
      <c r="U711" s="630">
        <f t="shared" si="874"/>
        <v>0</v>
      </c>
    </row>
    <row r="712" spans="1:21">
      <c r="A712" s="190" t="s">
        <v>833</v>
      </c>
      <c r="B712" s="191" t="s">
        <v>367</v>
      </c>
      <c r="C712" s="657" t="s">
        <v>364</v>
      </c>
      <c r="D712" s="192" t="s">
        <v>72</v>
      </c>
      <c r="E712" s="193">
        <v>362.44</v>
      </c>
      <c r="F712" s="194">
        <v>20</v>
      </c>
      <c r="G712" s="194"/>
      <c r="H712" s="194"/>
      <c r="I712" s="193">
        <f t="shared" si="867"/>
        <v>20</v>
      </c>
      <c r="J712" s="193">
        <f t="shared" si="868"/>
        <v>7248.8</v>
      </c>
      <c r="K712" s="193"/>
      <c r="L712" s="193"/>
      <c r="M712" s="622">
        <f t="shared" si="869"/>
        <v>7248.8</v>
      </c>
      <c r="N712" s="194">
        <v>20</v>
      </c>
      <c r="O712" s="622">
        <f t="shared" si="870"/>
        <v>7248.8</v>
      </c>
      <c r="P712" s="194"/>
      <c r="Q712" s="622">
        <f t="shared" si="871"/>
        <v>0</v>
      </c>
      <c r="R712" s="194">
        <f t="shared" si="872"/>
        <v>20</v>
      </c>
      <c r="S712" s="630">
        <f t="shared" si="873"/>
        <v>7248.8</v>
      </c>
      <c r="T712" s="194">
        <f t="shared" si="875"/>
        <v>0</v>
      </c>
      <c r="U712" s="630">
        <f t="shared" si="874"/>
        <v>0</v>
      </c>
    </row>
    <row r="713" spans="1:21" ht="25.5">
      <c r="A713" s="190" t="s">
        <v>834</v>
      </c>
      <c r="B713" s="191" t="s">
        <v>368</v>
      </c>
      <c r="C713" s="657" t="s">
        <v>365</v>
      </c>
      <c r="D713" s="192" t="s">
        <v>72</v>
      </c>
      <c r="E713" s="193">
        <v>4976.67</v>
      </c>
      <c r="F713" s="194">
        <v>2</v>
      </c>
      <c r="G713" s="194"/>
      <c r="H713" s="194"/>
      <c r="I713" s="193">
        <f t="shared" si="867"/>
        <v>2</v>
      </c>
      <c r="J713" s="193">
        <f t="shared" si="868"/>
        <v>9953.34</v>
      </c>
      <c r="K713" s="193"/>
      <c r="L713" s="193"/>
      <c r="M713" s="622">
        <f t="shared" si="869"/>
        <v>9953.34</v>
      </c>
      <c r="N713" s="194">
        <v>2</v>
      </c>
      <c r="O713" s="622">
        <f t="shared" si="870"/>
        <v>9953.34</v>
      </c>
      <c r="P713" s="194"/>
      <c r="Q713" s="622">
        <f t="shared" si="871"/>
        <v>0</v>
      </c>
      <c r="R713" s="194">
        <f t="shared" si="872"/>
        <v>2</v>
      </c>
      <c r="S713" s="630">
        <f t="shared" si="873"/>
        <v>9953.34</v>
      </c>
      <c r="T713" s="194">
        <f t="shared" si="875"/>
        <v>0</v>
      </c>
      <c r="U713" s="630">
        <f t="shared" si="874"/>
        <v>0</v>
      </c>
    </row>
    <row r="714" spans="1:21" ht="25.5">
      <c r="A714" s="190" t="s">
        <v>835</v>
      </c>
      <c r="B714" s="191" t="s">
        <v>369</v>
      </c>
      <c r="C714" s="657" t="s">
        <v>366</v>
      </c>
      <c r="D714" s="192" t="s">
        <v>10</v>
      </c>
      <c r="E714" s="193">
        <v>12903.37</v>
      </c>
      <c r="F714" s="194">
        <v>1</v>
      </c>
      <c r="G714" s="194"/>
      <c r="H714" s="194"/>
      <c r="I714" s="193">
        <f t="shared" si="867"/>
        <v>1</v>
      </c>
      <c r="J714" s="193">
        <f t="shared" si="868"/>
        <v>12903.37</v>
      </c>
      <c r="K714" s="193"/>
      <c r="L714" s="193"/>
      <c r="M714" s="622">
        <f t="shared" si="869"/>
        <v>12903.37</v>
      </c>
      <c r="N714" s="194">
        <v>1</v>
      </c>
      <c r="O714" s="622">
        <f t="shared" si="870"/>
        <v>12903.37</v>
      </c>
      <c r="P714" s="194"/>
      <c r="Q714" s="622">
        <f t="shared" si="871"/>
        <v>0</v>
      </c>
      <c r="R714" s="194">
        <f t="shared" si="872"/>
        <v>1</v>
      </c>
      <c r="S714" s="630">
        <f t="shared" si="873"/>
        <v>12903.37</v>
      </c>
      <c r="T714" s="194">
        <f t="shared" si="875"/>
        <v>0</v>
      </c>
      <c r="U714" s="630">
        <f t="shared" si="874"/>
        <v>0</v>
      </c>
    </row>
    <row r="715" spans="1:21">
      <c r="A715" s="138"/>
      <c r="B715" s="132"/>
      <c r="C715" s="123"/>
      <c r="D715" s="123"/>
      <c r="E715" s="123"/>
      <c r="F715" s="123"/>
      <c r="G715" s="123"/>
      <c r="H715" s="123"/>
      <c r="I715" s="123"/>
      <c r="J715" s="123"/>
      <c r="K715" s="123"/>
      <c r="L715" s="123"/>
      <c r="M715" s="623"/>
      <c r="N715" s="123"/>
      <c r="O715" s="623"/>
      <c r="P715" s="123"/>
      <c r="Q715" s="623"/>
      <c r="R715" s="123"/>
      <c r="S715" s="631"/>
      <c r="T715" s="123"/>
      <c r="U715" s="631"/>
    </row>
    <row r="716" spans="1:21" s="131" customFormat="1">
      <c r="A716" s="137" t="s">
        <v>836</v>
      </c>
      <c r="B716" s="133"/>
      <c r="C716" s="658" t="s">
        <v>371</v>
      </c>
      <c r="D716" s="126"/>
      <c r="E716" s="127"/>
      <c r="F716" s="128"/>
      <c r="G716" s="128"/>
      <c r="H716" s="128"/>
      <c r="I716" s="129"/>
      <c r="J716" s="129">
        <f>SUBTOTAL(9,J717:J720)</f>
        <v>3378.9830000000002</v>
      </c>
      <c r="K716" s="129"/>
      <c r="L716" s="129"/>
      <c r="M716" s="624"/>
      <c r="N716" s="130"/>
      <c r="O716" s="624">
        <f>SUBTOTAL(9,O717:O720)</f>
        <v>0</v>
      </c>
      <c r="P716" s="130"/>
      <c r="Q716" s="624">
        <f>SUBTOTAL(9,Q717:Q720)</f>
        <v>0</v>
      </c>
      <c r="R716" s="129"/>
      <c r="S716" s="624">
        <f>SUBTOTAL(9,S717:S720)</f>
        <v>3378.98</v>
      </c>
      <c r="T716" s="129">
        <f t="shared" si="875"/>
        <v>0</v>
      </c>
      <c r="U716" s="624">
        <f>SUBTOTAL(9,U717:U720)</f>
        <v>0</v>
      </c>
    </row>
    <row r="717" spans="1:21" ht="38.25">
      <c r="A717" s="190" t="s">
        <v>837</v>
      </c>
      <c r="B717" s="191">
        <v>150610</v>
      </c>
      <c r="C717" s="657" t="s">
        <v>376</v>
      </c>
      <c r="D717" s="192" t="s">
        <v>59</v>
      </c>
      <c r="E717" s="193">
        <v>188.46</v>
      </c>
      <c r="F717" s="194">
        <v>4</v>
      </c>
      <c r="G717" s="194"/>
      <c r="H717" s="194"/>
      <c r="I717" s="193">
        <f t="shared" ref="I717:I720" si="876">F717+G717-H717</f>
        <v>4</v>
      </c>
      <c r="J717" s="193">
        <f t="shared" ref="J717:J720" si="877">I717*E717</f>
        <v>753.84</v>
      </c>
      <c r="K717" s="193"/>
      <c r="L717" s="193"/>
      <c r="M717" s="622">
        <f t="shared" ref="M717:M720" si="878">I717*E717</f>
        <v>753.84</v>
      </c>
      <c r="N717" s="194">
        <v>0</v>
      </c>
      <c r="O717" s="622">
        <f t="shared" ref="O717" si="879">TRUNC(N717*E717,2)</f>
        <v>0</v>
      </c>
      <c r="P717" s="194"/>
      <c r="Q717" s="622">
        <f>P717*E717</f>
        <v>0</v>
      </c>
      <c r="R717" s="194">
        <v>4</v>
      </c>
      <c r="S717" s="630">
        <f t="shared" ref="S717" si="880">TRUNC(R717*E717,2)</f>
        <v>753.84</v>
      </c>
      <c r="T717" s="194">
        <f t="shared" si="875"/>
        <v>0</v>
      </c>
      <c r="U717" s="630">
        <f t="shared" ref="U717:U720" si="881">T717*E717</f>
        <v>0</v>
      </c>
    </row>
    <row r="718" spans="1:21" ht="38.25">
      <c r="A718" s="190" t="s">
        <v>838</v>
      </c>
      <c r="B718" s="191">
        <v>160324</v>
      </c>
      <c r="C718" s="657" t="s">
        <v>546</v>
      </c>
      <c r="D718" s="192" t="s">
        <v>59</v>
      </c>
      <c r="E718" s="193">
        <v>199.91</v>
      </c>
      <c r="F718" s="194">
        <v>1</v>
      </c>
      <c r="G718" s="194"/>
      <c r="H718" s="194"/>
      <c r="I718" s="193">
        <f t="shared" si="876"/>
        <v>1</v>
      </c>
      <c r="J718" s="193">
        <f t="shared" si="877"/>
        <v>199.91</v>
      </c>
      <c r="K718" s="193"/>
      <c r="L718" s="193"/>
      <c r="M718" s="622">
        <f t="shared" si="878"/>
        <v>199.91</v>
      </c>
      <c r="N718" s="194">
        <v>0</v>
      </c>
      <c r="O718" s="622">
        <f>TRUNC(N718*E718,2)</f>
        <v>0</v>
      </c>
      <c r="P718" s="194"/>
      <c r="Q718" s="622">
        <f t="shared" ref="Q718:Q720" si="882">P718*E718</f>
        <v>0</v>
      </c>
      <c r="R718" s="194">
        <v>1</v>
      </c>
      <c r="S718" s="630">
        <f>TRUNC(R718*E718,2)</f>
        <v>199.91</v>
      </c>
      <c r="T718" s="194">
        <f t="shared" si="875"/>
        <v>0</v>
      </c>
      <c r="U718" s="630">
        <f t="shared" si="881"/>
        <v>0</v>
      </c>
    </row>
    <row r="719" spans="1:21" ht="25.5">
      <c r="A719" s="190" t="s">
        <v>839</v>
      </c>
      <c r="B719" s="191">
        <v>160317</v>
      </c>
      <c r="C719" s="657" t="s">
        <v>377</v>
      </c>
      <c r="D719" s="192" t="s">
        <v>51</v>
      </c>
      <c r="E719" s="193">
        <v>33.369999999999997</v>
      </c>
      <c r="F719" s="194">
        <v>70.900000000000006</v>
      </c>
      <c r="G719" s="194"/>
      <c r="H719" s="194"/>
      <c r="I719" s="193">
        <f t="shared" si="876"/>
        <v>70.900000000000006</v>
      </c>
      <c r="J719" s="193">
        <f t="shared" si="877"/>
        <v>2365.933</v>
      </c>
      <c r="K719" s="193"/>
      <c r="L719" s="193"/>
      <c r="M719" s="622">
        <f t="shared" si="878"/>
        <v>2365.933</v>
      </c>
      <c r="N719" s="194">
        <v>0</v>
      </c>
      <c r="O719" s="622">
        <f t="shared" ref="O719:O720" si="883">TRUNC(N719*E719,2)</f>
        <v>0</v>
      </c>
      <c r="P719" s="194"/>
      <c r="Q719" s="622">
        <f t="shared" si="882"/>
        <v>0</v>
      </c>
      <c r="R719" s="194">
        <v>70.900000000000006</v>
      </c>
      <c r="S719" s="630">
        <f t="shared" ref="S719:S720" si="884">TRUNC(R719*E719,2)</f>
        <v>2365.9299999999998</v>
      </c>
      <c r="T719" s="194">
        <f t="shared" si="875"/>
        <v>0</v>
      </c>
      <c r="U719" s="630">
        <f t="shared" si="881"/>
        <v>0</v>
      </c>
    </row>
    <row r="720" spans="1:21" ht="25.5">
      <c r="A720" s="190" t="s">
        <v>840</v>
      </c>
      <c r="B720" s="191">
        <v>160334</v>
      </c>
      <c r="C720" s="657" t="s">
        <v>378</v>
      </c>
      <c r="D720" s="192" t="s">
        <v>59</v>
      </c>
      <c r="E720" s="193">
        <v>29.65</v>
      </c>
      <c r="F720" s="194">
        <v>2</v>
      </c>
      <c r="G720" s="194"/>
      <c r="H720" s="194"/>
      <c r="I720" s="193">
        <f t="shared" si="876"/>
        <v>2</v>
      </c>
      <c r="J720" s="193">
        <f t="shared" si="877"/>
        <v>59.3</v>
      </c>
      <c r="K720" s="193"/>
      <c r="L720" s="193"/>
      <c r="M720" s="622">
        <f t="shared" si="878"/>
        <v>59.3</v>
      </c>
      <c r="N720" s="194">
        <v>0</v>
      </c>
      <c r="O720" s="622">
        <f t="shared" si="883"/>
        <v>0</v>
      </c>
      <c r="P720" s="194"/>
      <c r="Q720" s="622">
        <f t="shared" si="882"/>
        <v>0</v>
      </c>
      <c r="R720" s="194">
        <v>2</v>
      </c>
      <c r="S720" s="630">
        <f t="shared" si="884"/>
        <v>59.3</v>
      </c>
      <c r="T720" s="194">
        <f t="shared" si="875"/>
        <v>0</v>
      </c>
      <c r="U720" s="630">
        <f t="shared" si="881"/>
        <v>0</v>
      </c>
    </row>
    <row r="721" spans="1:21">
      <c r="A721" s="138"/>
      <c r="B721" s="132"/>
      <c r="C721" s="123"/>
      <c r="D721" s="123"/>
      <c r="E721" s="123"/>
      <c r="F721" s="123"/>
      <c r="G721" s="123"/>
      <c r="H721" s="123"/>
      <c r="I721" s="123"/>
      <c r="J721" s="123"/>
      <c r="K721" s="123"/>
      <c r="L721" s="123"/>
      <c r="M721" s="623"/>
      <c r="N721" s="123"/>
      <c r="O721" s="623"/>
      <c r="P721" s="123"/>
      <c r="Q721" s="623"/>
      <c r="R721" s="123"/>
      <c r="S721" s="631"/>
      <c r="T721" s="123"/>
      <c r="U721" s="631"/>
    </row>
    <row r="722" spans="1:21" s="213" customFormat="1">
      <c r="A722" s="210" t="s">
        <v>841</v>
      </c>
      <c r="B722" s="211"/>
      <c r="C722" s="655" t="s">
        <v>380</v>
      </c>
      <c r="D722" s="197"/>
      <c r="E722" s="198"/>
      <c r="F722" s="199"/>
      <c r="G722" s="199"/>
      <c r="H722" s="199"/>
      <c r="I722" s="200"/>
      <c r="J722" s="200">
        <f>SUBTOTAL(9,J723:J728)</f>
        <v>2437.2840000000001</v>
      </c>
      <c r="K722" s="200"/>
      <c r="L722" s="200"/>
      <c r="M722" s="620"/>
      <c r="N722" s="201"/>
      <c r="O722" s="620">
        <f>SUBTOTAL(9,O723:O728)</f>
        <v>0</v>
      </c>
      <c r="P722" s="201"/>
      <c r="Q722" s="620">
        <f>SUBTOTAL(9,Q723:Q728)</f>
        <v>0</v>
      </c>
      <c r="R722" s="200"/>
      <c r="S722" s="620">
        <f>SUBTOTAL(9,S723:S728)</f>
        <v>2437.2800000000002</v>
      </c>
      <c r="T722" s="200">
        <f t="shared" si="875"/>
        <v>0</v>
      </c>
      <c r="U722" s="620">
        <f>SUBTOTAL(9,U723:U728)</f>
        <v>0</v>
      </c>
    </row>
    <row r="723" spans="1:21" s="131" customFormat="1">
      <c r="A723" s="137" t="s">
        <v>842</v>
      </c>
      <c r="B723" s="133"/>
      <c r="C723" s="658" t="s">
        <v>380</v>
      </c>
      <c r="D723" s="126"/>
      <c r="E723" s="127"/>
      <c r="F723" s="128"/>
      <c r="G723" s="128"/>
      <c r="H723" s="128"/>
      <c r="I723" s="129"/>
      <c r="J723" s="129">
        <f>SUBTOTAL(9,J724:J728)</f>
        <v>2437.2840000000001</v>
      </c>
      <c r="K723" s="129"/>
      <c r="L723" s="129"/>
      <c r="M723" s="624"/>
      <c r="N723" s="130"/>
      <c r="O723" s="624">
        <f>SUBTOTAL(9,O724:O728)</f>
        <v>0</v>
      </c>
      <c r="P723" s="130"/>
      <c r="Q723" s="624">
        <f>SUBTOTAL(9,Q724:Q728)</f>
        <v>0</v>
      </c>
      <c r="R723" s="129"/>
      <c r="S723" s="624">
        <f>SUBTOTAL(9,S724:S728)</f>
        <v>2437.2800000000002</v>
      </c>
      <c r="T723" s="129">
        <f t="shared" si="875"/>
        <v>0</v>
      </c>
      <c r="U723" s="624">
        <f>SUBTOTAL(9,U724:U728)</f>
        <v>0</v>
      </c>
    </row>
    <row r="724" spans="1:21" ht="25.5">
      <c r="A724" s="190" t="s">
        <v>843</v>
      </c>
      <c r="B724" s="191">
        <v>160612</v>
      </c>
      <c r="C724" s="657" t="s">
        <v>387</v>
      </c>
      <c r="D724" s="192" t="s">
        <v>59</v>
      </c>
      <c r="E724" s="193">
        <v>29.96</v>
      </c>
      <c r="F724" s="194">
        <v>2</v>
      </c>
      <c r="G724" s="194"/>
      <c r="H724" s="194"/>
      <c r="I724" s="193">
        <f t="shared" ref="I724:I728" si="885">F724+G724-H724</f>
        <v>2</v>
      </c>
      <c r="J724" s="193">
        <f t="shared" ref="J724:J728" si="886">I724*E724</f>
        <v>59.92</v>
      </c>
      <c r="K724" s="193"/>
      <c r="L724" s="193"/>
      <c r="M724" s="622">
        <f t="shared" ref="M724:M728" si="887">I724*E724</f>
        <v>59.92</v>
      </c>
      <c r="N724" s="194">
        <v>0</v>
      </c>
      <c r="O724" s="622">
        <f t="shared" ref="O724" si="888">TRUNC(N724*E724,2)</f>
        <v>0</v>
      </c>
      <c r="P724" s="194"/>
      <c r="Q724" s="622">
        <f>P724*E724</f>
        <v>0</v>
      </c>
      <c r="R724" s="194">
        <v>2</v>
      </c>
      <c r="S724" s="630">
        <f t="shared" ref="S724" si="889">TRUNC(R724*E724,2)</f>
        <v>59.92</v>
      </c>
      <c r="T724" s="194">
        <f t="shared" si="875"/>
        <v>0</v>
      </c>
      <c r="U724" s="630">
        <f t="shared" ref="U724:U728" si="890">T724*E724</f>
        <v>0</v>
      </c>
    </row>
    <row r="725" spans="1:21" ht="38.25">
      <c r="A725" s="190" t="s">
        <v>844</v>
      </c>
      <c r="B725" s="191">
        <v>160608</v>
      </c>
      <c r="C725" s="657" t="s">
        <v>545</v>
      </c>
      <c r="D725" s="192" t="s">
        <v>59</v>
      </c>
      <c r="E725" s="193">
        <v>320.60000000000002</v>
      </c>
      <c r="F725" s="194">
        <v>3</v>
      </c>
      <c r="G725" s="194"/>
      <c r="H725" s="194"/>
      <c r="I725" s="193">
        <f t="shared" si="885"/>
        <v>3</v>
      </c>
      <c r="J725" s="193">
        <f t="shared" si="886"/>
        <v>961.80000000000007</v>
      </c>
      <c r="K725" s="193"/>
      <c r="L725" s="193"/>
      <c r="M725" s="622">
        <f t="shared" si="887"/>
        <v>961.80000000000007</v>
      </c>
      <c r="N725" s="194">
        <v>0</v>
      </c>
      <c r="O725" s="622">
        <f>TRUNC(N725*E725,2)</f>
        <v>0</v>
      </c>
      <c r="P725" s="194"/>
      <c r="Q725" s="622">
        <f t="shared" ref="Q725:Q728" si="891">P725*E725</f>
        <v>0</v>
      </c>
      <c r="R725" s="194">
        <v>3</v>
      </c>
      <c r="S725" s="630">
        <f>TRUNC(R725*E725,2)</f>
        <v>961.8</v>
      </c>
      <c r="T725" s="194">
        <f t="shared" si="875"/>
        <v>0</v>
      </c>
      <c r="U725" s="630">
        <f t="shared" si="890"/>
        <v>0</v>
      </c>
    </row>
    <row r="726" spans="1:21" ht="25.5">
      <c r="A726" s="190" t="s">
        <v>845</v>
      </c>
      <c r="B726" s="191">
        <v>160613</v>
      </c>
      <c r="C726" s="657" t="s">
        <v>389</v>
      </c>
      <c r="D726" s="192" t="s">
        <v>59</v>
      </c>
      <c r="E726" s="193">
        <v>197.45</v>
      </c>
      <c r="F726" s="194">
        <v>4</v>
      </c>
      <c r="G726" s="194"/>
      <c r="H726" s="194"/>
      <c r="I726" s="193">
        <f t="shared" si="885"/>
        <v>4</v>
      </c>
      <c r="J726" s="193">
        <f t="shared" si="886"/>
        <v>789.8</v>
      </c>
      <c r="K726" s="193"/>
      <c r="L726" s="193"/>
      <c r="M726" s="622">
        <f t="shared" si="887"/>
        <v>789.8</v>
      </c>
      <c r="N726" s="194">
        <v>0</v>
      </c>
      <c r="O726" s="622">
        <f t="shared" ref="O726:O728" si="892">TRUNC(N726*E726,2)</f>
        <v>0</v>
      </c>
      <c r="P726" s="194"/>
      <c r="Q726" s="622">
        <f t="shared" si="891"/>
        <v>0</v>
      </c>
      <c r="R726" s="194">
        <v>4</v>
      </c>
      <c r="S726" s="630">
        <f t="shared" ref="S726:S728" si="893">TRUNC(R726*E726,2)</f>
        <v>789.8</v>
      </c>
      <c r="T726" s="194">
        <f t="shared" si="875"/>
        <v>0</v>
      </c>
      <c r="U726" s="630">
        <f t="shared" si="890"/>
        <v>0</v>
      </c>
    </row>
    <row r="727" spans="1:21" ht="38.25">
      <c r="A727" s="190" t="s">
        <v>846</v>
      </c>
      <c r="B727" s="191">
        <v>160607</v>
      </c>
      <c r="C727" s="657" t="s">
        <v>390</v>
      </c>
      <c r="D727" s="192" t="s">
        <v>59</v>
      </c>
      <c r="E727" s="193">
        <v>178.48</v>
      </c>
      <c r="F727" s="194">
        <v>3</v>
      </c>
      <c r="G727" s="194"/>
      <c r="H727" s="194"/>
      <c r="I727" s="193">
        <f t="shared" si="885"/>
        <v>3</v>
      </c>
      <c r="J727" s="193">
        <f t="shared" si="886"/>
        <v>535.43999999999994</v>
      </c>
      <c r="K727" s="193"/>
      <c r="L727" s="193"/>
      <c r="M727" s="622">
        <f t="shared" si="887"/>
        <v>535.43999999999994</v>
      </c>
      <c r="N727" s="194">
        <v>0</v>
      </c>
      <c r="O727" s="622">
        <f t="shared" si="892"/>
        <v>0</v>
      </c>
      <c r="P727" s="194"/>
      <c r="Q727" s="622">
        <f t="shared" si="891"/>
        <v>0</v>
      </c>
      <c r="R727" s="194">
        <v>3</v>
      </c>
      <c r="S727" s="630">
        <f t="shared" si="893"/>
        <v>535.44000000000005</v>
      </c>
      <c r="T727" s="194">
        <f t="shared" si="875"/>
        <v>0</v>
      </c>
      <c r="U727" s="630">
        <f t="shared" si="890"/>
        <v>0</v>
      </c>
    </row>
    <row r="728" spans="1:21" ht="38.25">
      <c r="A728" s="190" t="s">
        <v>847</v>
      </c>
      <c r="B728" s="191">
        <v>190605</v>
      </c>
      <c r="C728" s="657" t="s">
        <v>544</v>
      </c>
      <c r="D728" s="192" t="s">
        <v>57</v>
      </c>
      <c r="E728" s="193">
        <v>50.18</v>
      </c>
      <c r="F728" s="194">
        <v>1.8</v>
      </c>
      <c r="G728" s="194"/>
      <c r="H728" s="194"/>
      <c r="I728" s="193">
        <f t="shared" si="885"/>
        <v>1.8</v>
      </c>
      <c r="J728" s="193">
        <f t="shared" si="886"/>
        <v>90.323999999999998</v>
      </c>
      <c r="K728" s="193"/>
      <c r="L728" s="193"/>
      <c r="M728" s="622">
        <f t="shared" si="887"/>
        <v>90.323999999999998</v>
      </c>
      <c r="N728" s="194">
        <v>0</v>
      </c>
      <c r="O728" s="622">
        <f t="shared" si="892"/>
        <v>0</v>
      </c>
      <c r="P728" s="194"/>
      <c r="Q728" s="622">
        <f t="shared" si="891"/>
        <v>0</v>
      </c>
      <c r="R728" s="194">
        <v>1.8</v>
      </c>
      <c r="S728" s="630">
        <f t="shared" si="893"/>
        <v>90.32</v>
      </c>
      <c r="T728" s="194">
        <f t="shared" si="875"/>
        <v>0</v>
      </c>
      <c r="U728" s="630">
        <f t="shared" si="890"/>
        <v>0</v>
      </c>
    </row>
    <row r="729" spans="1:21">
      <c r="A729" s="138"/>
      <c r="B729" s="132"/>
      <c r="C729" s="123"/>
      <c r="D729" s="123"/>
      <c r="E729" s="123"/>
      <c r="F729" s="123"/>
      <c r="G729" s="123"/>
      <c r="H729" s="123"/>
      <c r="I729" s="123"/>
      <c r="J729" s="123"/>
      <c r="K729" s="123"/>
      <c r="L729" s="123"/>
      <c r="M729" s="623"/>
      <c r="N729" s="123"/>
      <c r="O729" s="623"/>
      <c r="P729" s="123"/>
      <c r="Q729" s="623"/>
      <c r="R729" s="123"/>
      <c r="S729" s="631"/>
      <c r="T729" s="123"/>
      <c r="U729" s="631"/>
    </row>
    <row r="730" spans="1:21" ht="27.75" customHeight="1">
      <c r="A730" s="139"/>
      <c r="B730" s="168"/>
      <c r="C730" s="661" t="s">
        <v>32</v>
      </c>
      <c r="D730" s="6"/>
      <c r="E730" s="7"/>
      <c r="F730" s="170"/>
      <c r="G730" s="170"/>
      <c r="H730" s="170"/>
      <c r="I730" s="8"/>
      <c r="J730" s="8">
        <v>5997821.9000000004</v>
      </c>
      <c r="K730" s="8">
        <f>SUBTOTAL(9,K15:K729)</f>
        <v>1393237.7009786726</v>
      </c>
      <c r="L730" s="8">
        <f>SUBTOTAL(9,L15:L729)</f>
        <v>512054.09500000003</v>
      </c>
      <c r="M730" s="627">
        <v>6879005.5099999998</v>
      </c>
      <c r="N730" s="46"/>
      <c r="O730" s="627">
        <f>SUBTOTAL(9,O15:O729)</f>
        <v>4964911.1219999986</v>
      </c>
      <c r="P730" s="46"/>
      <c r="Q730" s="627">
        <f>SUBTOTAL(9,Q15:Q729)</f>
        <v>225611.15399999998</v>
      </c>
      <c r="R730" s="9"/>
      <c r="S730" s="627">
        <f>O730+Q730</f>
        <v>5190522.2759999987</v>
      </c>
      <c r="T730" s="627"/>
      <c r="U730" s="627">
        <f>SUBTOTAL(9,U15:U729)</f>
        <v>969864.90976000018</v>
      </c>
    </row>
    <row r="731" spans="1:21">
      <c r="A731" s="662"/>
      <c r="B731" s="663"/>
      <c r="C731" s="664"/>
      <c r="D731" s="173"/>
      <c r="E731" s="665"/>
      <c r="F731" s="665"/>
      <c r="G731" s="665"/>
      <c r="H731" s="666"/>
      <c r="I731" s="665"/>
      <c r="J731" s="665"/>
      <c r="K731" s="665"/>
      <c r="L731" s="665"/>
      <c r="M731" s="667"/>
      <c r="N731" s="668"/>
      <c r="O731" s="667"/>
      <c r="P731" s="668"/>
      <c r="Q731" s="667"/>
      <c r="R731" s="665"/>
      <c r="S731" s="667"/>
      <c r="T731" s="665"/>
      <c r="U731" s="667"/>
    </row>
    <row r="733" spans="1:21">
      <c r="A733" s="942" t="s">
        <v>904</v>
      </c>
      <c r="B733" s="942"/>
      <c r="C733" s="942"/>
      <c r="D733" s="282" t="s">
        <v>1446</v>
      </c>
      <c r="E733" s="282" t="s">
        <v>980</v>
      </c>
    </row>
    <row r="734" spans="1:21">
      <c r="A734" s="939" t="s">
        <v>1369</v>
      </c>
      <c r="B734" s="939"/>
      <c r="C734" s="939" t="s">
        <v>1303</v>
      </c>
      <c r="D734" s="262">
        <f>Q15</f>
        <v>7197.6599999999962</v>
      </c>
      <c r="E734" s="285">
        <f>D734*24.29%</f>
        <v>1748.3116139999991</v>
      </c>
      <c r="I734" s="645"/>
      <c r="J734" s="645"/>
    </row>
    <row r="735" spans="1:21">
      <c r="A735" s="939" t="s">
        <v>1370</v>
      </c>
      <c r="B735" s="939"/>
      <c r="C735" s="939"/>
      <c r="D735" s="262">
        <f>Q557</f>
        <v>213031.16399999996</v>
      </c>
      <c r="E735" s="285">
        <f>D735*24.29%</f>
        <v>51745.269735599992</v>
      </c>
      <c r="I735" s="645"/>
      <c r="J735" s="645"/>
      <c r="T735" s="627">
        <f>M730-S730</f>
        <v>1688483.2340000011</v>
      </c>
    </row>
    <row r="736" spans="1:21">
      <c r="A736" s="939" t="s">
        <v>905</v>
      </c>
      <c r="B736" s="939"/>
      <c r="C736" s="939"/>
      <c r="D736" s="262">
        <f>Q215</f>
        <v>356.96</v>
      </c>
      <c r="E736" s="285">
        <f>D736*24.29%</f>
        <v>86.705584000000002</v>
      </c>
      <c r="I736" s="645"/>
      <c r="J736" s="645"/>
    </row>
    <row r="737" spans="1:20">
      <c r="A737" s="939" t="s">
        <v>906</v>
      </c>
      <c r="B737" s="939"/>
      <c r="C737" s="939"/>
      <c r="D737" s="262">
        <f>Q49+Q389</f>
        <v>5025.37</v>
      </c>
      <c r="E737" s="285">
        <f>D737*24.29%</f>
        <v>1220.6623729999999</v>
      </c>
      <c r="I737" s="645"/>
      <c r="J737" s="645"/>
      <c r="N737" s="673"/>
    </row>
    <row r="738" spans="1:20">
      <c r="A738" s="939" t="s">
        <v>908</v>
      </c>
      <c r="B738" s="939"/>
      <c r="C738" s="939"/>
      <c r="D738" s="262">
        <f>SUM(D734:D737)</f>
        <v>225611.15399999995</v>
      </c>
      <c r="E738" s="262">
        <f>SUM(E734:E737)</f>
        <v>54800.949306599992</v>
      </c>
      <c r="I738" s="645"/>
      <c r="J738" s="672"/>
      <c r="N738" s="673"/>
    </row>
    <row r="739" spans="1:20" ht="26.25" customHeight="1">
      <c r="A739" s="939" t="s">
        <v>981</v>
      </c>
      <c r="B739" s="939"/>
      <c r="C739" s="939"/>
      <c r="D739" s="940">
        <f>SUM(D738:E738)</f>
        <v>280412.10330659995</v>
      </c>
      <c r="E739" s="941"/>
      <c r="I739" s="674"/>
      <c r="J739" s="674"/>
      <c r="K739" s="674"/>
      <c r="L739" s="674"/>
      <c r="N739" s="673"/>
    </row>
    <row r="740" spans="1:20">
      <c r="A740" s="670"/>
      <c r="E740" s="645"/>
      <c r="F740" s="645"/>
      <c r="I740" s="726"/>
      <c r="J740" s="726"/>
      <c r="K740" s="672"/>
      <c r="L740" s="672"/>
    </row>
    <row r="741" spans="1:20">
      <c r="I741" s="672"/>
      <c r="J741" s="672"/>
      <c r="K741" s="672"/>
      <c r="L741" s="672"/>
      <c r="T741" s="672"/>
    </row>
    <row r="744" spans="1:20" ht="54" customHeight="1">
      <c r="A744" s="921" t="s">
        <v>1024</v>
      </c>
      <c r="B744" s="922"/>
      <c r="C744" s="923"/>
      <c r="D744" s="282" t="s">
        <v>1022</v>
      </c>
      <c r="E744" s="282" t="s">
        <v>1427</v>
      </c>
      <c r="F744" s="282" t="s">
        <v>1254</v>
      </c>
      <c r="G744" s="282" t="s">
        <v>1255</v>
      </c>
      <c r="H744" s="286" t="s">
        <v>1256</v>
      </c>
      <c r="I744" s="282" t="s">
        <v>1447</v>
      </c>
      <c r="J744" s="286" t="s">
        <v>36</v>
      </c>
      <c r="K744" s="287" t="s">
        <v>1023</v>
      </c>
      <c r="L744" s="590"/>
      <c r="M744" s="638"/>
    </row>
    <row r="745" spans="1:20">
      <c r="A745" s="936" t="s">
        <v>1369</v>
      </c>
      <c r="B745" s="937"/>
      <c r="C745" s="938"/>
      <c r="D745" s="283">
        <v>196427.87</v>
      </c>
      <c r="E745" s="283">
        <v>100052.95</v>
      </c>
      <c r="F745" s="283">
        <v>0</v>
      </c>
      <c r="G745" s="283">
        <f>D745+E745-F745</f>
        <v>296480.82</v>
      </c>
      <c r="H745" s="262">
        <f>O15</f>
        <v>233800.26</v>
      </c>
      <c r="I745" s="262">
        <f>Q15</f>
        <v>7197.6599999999962</v>
      </c>
      <c r="J745" s="675">
        <f>H745+I745</f>
        <v>240997.92</v>
      </c>
      <c r="K745" s="288">
        <f>J745/G745</f>
        <v>0.81286175611629785</v>
      </c>
      <c r="L745" s="674"/>
      <c r="M745" s="676"/>
    </row>
    <row r="746" spans="1:20">
      <c r="A746" s="936" t="s">
        <v>1370</v>
      </c>
      <c r="B746" s="937"/>
      <c r="C746" s="938"/>
      <c r="D746" s="283">
        <v>1520449.28</v>
      </c>
      <c r="E746" s="283">
        <v>871581.78</v>
      </c>
      <c r="F746" s="283">
        <v>0</v>
      </c>
      <c r="G746" s="283">
        <f>D746+E746-F746</f>
        <v>2392031.06</v>
      </c>
      <c r="H746" s="262">
        <f>O557</f>
        <v>1374812.3799999994</v>
      </c>
      <c r="I746" s="262">
        <f>D735</f>
        <v>213031.16399999996</v>
      </c>
      <c r="J746" s="675">
        <f>H746+I746</f>
        <v>1587843.5439999993</v>
      </c>
      <c r="K746" s="288">
        <f>J746/G746</f>
        <v>0.6638055711534111</v>
      </c>
      <c r="L746" s="674"/>
      <c r="M746" s="676"/>
    </row>
    <row r="747" spans="1:20">
      <c r="A747" s="936" t="s">
        <v>905</v>
      </c>
      <c r="B747" s="937"/>
      <c r="C747" s="938"/>
      <c r="D747" s="283">
        <v>1365196.33</v>
      </c>
      <c r="E747" s="283">
        <v>477771.71</v>
      </c>
      <c r="F747" s="283">
        <v>185794.28</v>
      </c>
      <c r="G747" s="283">
        <f t="shared" ref="G747:G748" si="894">D747+E747-F747</f>
        <v>1657173.76</v>
      </c>
      <c r="H747" s="285">
        <f>O215</f>
        <v>1642654.3620000002</v>
      </c>
      <c r="I747" s="675">
        <f>D736</f>
        <v>356.96</v>
      </c>
      <c r="J747" s="675">
        <f>H747+I747</f>
        <v>1643011.3220000002</v>
      </c>
      <c r="K747" s="288">
        <f>J747/G747</f>
        <v>0.99145386057766216</v>
      </c>
      <c r="L747" s="674"/>
      <c r="M747" s="676"/>
    </row>
    <row r="748" spans="1:20">
      <c r="A748" s="936" t="s">
        <v>906</v>
      </c>
      <c r="B748" s="937"/>
      <c r="C748" s="938"/>
      <c r="D748" s="283">
        <v>2915748.42</v>
      </c>
      <c r="E748" s="283">
        <v>43884.06</v>
      </c>
      <c r="F748" s="283">
        <v>326259.8</v>
      </c>
      <c r="G748" s="283">
        <f t="shared" si="894"/>
        <v>2633372.6800000002</v>
      </c>
      <c r="H748" s="285">
        <f>O49+O389</f>
        <v>1713644.1200000003</v>
      </c>
      <c r="I748" s="675">
        <f>D737</f>
        <v>5025.37</v>
      </c>
      <c r="J748" s="675">
        <f>H748+I748</f>
        <v>1718669.4900000005</v>
      </c>
      <c r="K748" s="288">
        <f>J748/G748</f>
        <v>0.652649548259155</v>
      </c>
      <c r="L748" s="674"/>
      <c r="M748" s="676"/>
    </row>
    <row r="749" spans="1:20">
      <c r="A749" s="936" t="s">
        <v>981</v>
      </c>
      <c r="B749" s="937"/>
      <c r="C749" s="938" t="s">
        <v>981</v>
      </c>
      <c r="D749" s="285">
        <f t="shared" ref="D749:J749" si="895">SUM(D745:D748)</f>
        <v>5997821.9000000004</v>
      </c>
      <c r="E749" s="285">
        <f t="shared" si="895"/>
        <v>1493290.5</v>
      </c>
      <c r="F749" s="285">
        <f t="shared" si="895"/>
        <v>512054.07999999996</v>
      </c>
      <c r="G749" s="285">
        <f t="shared" si="895"/>
        <v>6979058.3200000003</v>
      </c>
      <c r="H749" s="285">
        <f t="shared" si="895"/>
        <v>4964911.1219999995</v>
      </c>
      <c r="I749" s="285">
        <f t="shared" si="895"/>
        <v>225611.15399999995</v>
      </c>
      <c r="J749" s="285">
        <f t="shared" si="895"/>
        <v>5190522.2759999996</v>
      </c>
      <c r="K749" s="288">
        <f>J749/G749</f>
        <v>0.7437281704790224</v>
      </c>
      <c r="L749" s="591"/>
      <c r="M749" s="639"/>
    </row>
    <row r="750" spans="1:20">
      <c r="E750" s="672"/>
    </row>
    <row r="753" spans="4:19">
      <c r="D753" s="677"/>
      <c r="E753" s="678"/>
      <c r="F753" s="666"/>
      <c r="G753" s="665"/>
      <c r="H753" s="666"/>
      <c r="I753" s="678"/>
      <c r="J753" s="672"/>
      <c r="K753" s="672"/>
      <c r="L753" s="672"/>
      <c r="M753" s="676"/>
      <c r="P753" s="677"/>
      <c r="Q753" s="679"/>
      <c r="R753" s="666"/>
      <c r="S753" s="679"/>
    </row>
    <row r="754" spans="4:19">
      <c r="D754" s="935" t="s">
        <v>903</v>
      </c>
      <c r="E754" s="935"/>
      <c r="F754" s="935"/>
      <c r="G754" s="935"/>
      <c r="H754" s="935"/>
      <c r="I754" s="935"/>
      <c r="J754" s="680"/>
      <c r="K754" s="680"/>
      <c r="L754" s="680"/>
      <c r="M754" s="639"/>
      <c r="P754" s="935" t="s">
        <v>902</v>
      </c>
      <c r="Q754" s="935"/>
      <c r="R754" s="935"/>
      <c r="S754" s="935"/>
    </row>
  </sheetData>
  <autoFilter ref="A13:U729" xr:uid="{00000000-0009-0000-0000-000002000000}">
    <filterColumn colId="4" showButton="0"/>
    <filterColumn colId="5" showButton="0"/>
    <filterColumn colId="6" showButton="0"/>
    <filterColumn colId="7" showButton="0"/>
    <filterColumn colId="13" showButton="0"/>
    <filterColumn colId="15" showButton="0"/>
    <filterColumn colId="17" showButton="0"/>
    <filterColumn colId="19" showButton="0"/>
  </autoFilter>
  <mergeCells count="30">
    <mergeCell ref="A733:C733"/>
    <mergeCell ref="A734:C734"/>
    <mergeCell ref="A2:U5"/>
    <mergeCell ref="A6:C6"/>
    <mergeCell ref="Q8:R9"/>
    <mergeCell ref="A11:U11"/>
    <mergeCell ref="A13:A14"/>
    <mergeCell ref="B13:B14"/>
    <mergeCell ref="C13:C14"/>
    <mergeCell ref="D13:D14"/>
    <mergeCell ref="E13:I13"/>
    <mergeCell ref="J13:M13"/>
    <mergeCell ref="D739:E739"/>
    <mergeCell ref="N13:O13"/>
    <mergeCell ref="P13:Q13"/>
    <mergeCell ref="R13:S13"/>
    <mergeCell ref="T13:U13"/>
    <mergeCell ref="A735:C735"/>
    <mergeCell ref="A736:C736"/>
    <mergeCell ref="A737:C737"/>
    <mergeCell ref="A738:C738"/>
    <mergeCell ref="A739:C739"/>
    <mergeCell ref="D754:I754"/>
    <mergeCell ref="P754:S754"/>
    <mergeCell ref="A744:C744"/>
    <mergeCell ref="A745:C745"/>
    <mergeCell ref="A746:C746"/>
    <mergeCell ref="A747:C747"/>
    <mergeCell ref="A748:C748"/>
    <mergeCell ref="A749:C749"/>
  </mergeCells>
  <printOptions horizontalCentered="1"/>
  <pageMargins left="0.39370078740157483" right="0.39370078740157483" top="0.78740157480314965" bottom="0.78740157480314965" header="0" footer="0.19685039370078741"/>
  <pageSetup paperSize="9" scale="43" firstPageNumber="7" fitToHeight="0" orientation="landscape" r:id="rId1"/>
  <headerFooter>
    <oddFooter>Página &amp;P de &amp;N</oddFooter>
  </headerFooter>
  <rowBreaks count="2" manualBreakCount="2">
    <brk id="701" max="21" man="1"/>
    <brk id="751" max="21"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84">
    <tabColor rgb="FF339933"/>
    <pageSetUpPr fitToPage="1"/>
  </sheetPr>
  <dimension ref="A2:V754"/>
  <sheetViews>
    <sheetView showGridLines="0" view="pageBreakPreview" topLeftCell="C1" zoomScale="60" zoomScaleNormal="60" workbookViewId="0">
      <pane ySplit="14" topLeftCell="A727" activePane="bottomLeft" state="frozen"/>
      <selection activeCell="D739" sqref="D739:E739"/>
      <selection pane="bottomLeft" activeCell="D739" sqref="D739:E739"/>
    </sheetView>
  </sheetViews>
  <sheetFormatPr defaultColWidth="9.140625" defaultRowHeight="12.75"/>
  <cols>
    <col min="1" max="1" width="12.42578125" style="10" customWidth="1"/>
    <col min="2" max="2" width="40.5703125" style="669" hidden="1" customWidth="1"/>
    <col min="3" max="3" width="63.5703125" style="670" customWidth="1"/>
    <col min="4" max="4" width="20.7109375" style="10" customWidth="1"/>
    <col min="5" max="5" width="20.140625" style="640" customWidth="1"/>
    <col min="6" max="6" width="27.28515625" style="640" hidden="1" customWidth="1"/>
    <col min="7" max="7" width="23.42578125" style="640" hidden="1" customWidth="1"/>
    <col min="8" max="8" width="23.7109375" style="640" hidden="1" customWidth="1"/>
    <col min="9" max="9" width="22.5703125" style="640" bestFit="1" customWidth="1"/>
    <col min="10" max="10" width="20.42578125" style="640" hidden="1" customWidth="1"/>
    <col min="11" max="11" width="22" style="640" hidden="1" customWidth="1"/>
    <col min="12" max="12" width="23.28515625" style="640" hidden="1" customWidth="1"/>
    <col min="13" max="13" width="20.85546875" style="645" hidden="1" customWidth="1"/>
    <col min="14" max="14" width="18.140625" style="671" customWidth="1"/>
    <col min="15" max="15" width="22.28515625" style="645" bestFit="1" customWidth="1"/>
    <col min="16" max="16" width="14.85546875" style="671" bestFit="1" customWidth="1"/>
    <col min="17" max="17" width="22" style="645" bestFit="1" customWidth="1"/>
    <col min="18" max="18" width="12.5703125" style="640" bestFit="1" customWidth="1"/>
    <col min="19" max="19" width="21.85546875" style="645" bestFit="1" customWidth="1"/>
    <col min="20" max="20" width="18.28515625" style="640" bestFit="1" customWidth="1"/>
    <col min="21" max="21" width="22.5703125" style="645" bestFit="1" customWidth="1"/>
    <col min="22" max="22" width="29.85546875" style="640" customWidth="1"/>
    <col min="23" max="16384" width="9.140625" style="640"/>
  </cols>
  <sheetData>
    <row r="2" spans="1:22" ht="12.75" customHeight="1">
      <c r="A2" s="890" t="s">
        <v>64</v>
      </c>
      <c r="B2" s="891"/>
      <c r="C2" s="891"/>
      <c r="D2" s="891"/>
      <c r="E2" s="891"/>
      <c r="F2" s="891"/>
      <c r="G2" s="891"/>
      <c r="H2" s="891"/>
      <c r="I2" s="891"/>
      <c r="J2" s="891"/>
      <c r="K2" s="891"/>
      <c r="L2" s="891"/>
      <c r="M2" s="891"/>
      <c r="N2" s="891"/>
      <c r="O2" s="891"/>
      <c r="P2" s="891"/>
      <c r="Q2" s="891"/>
      <c r="R2" s="891"/>
      <c r="S2" s="891"/>
      <c r="T2" s="891"/>
      <c r="U2" s="891"/>
      <c r="V2" s="640" t="s">
        <v>909</v>
      </c>
    </row>
    <row r="3" spans="1:22">
      <c r="A3" s="890"/>
      <c r="B3" s="891"/>
      <c r="C3" s="891"/>
      <c r="D3" s="891"/>
      <c r="E3" s="891"/>
      <c r="F3" s="891"/>
      <c r="G3" s="891"/>
      <c r="H3" s="891"/>
      <c r="I3" s="891"/>
      <c r="J3" s="891"/>
      <c r="K3" s="891"/>
      <c r="L3" s="891"/>
      <c r="M3" s="891"/>
      <c r="N3" s="891"/>
      <c r="O3" s="891"/>
      <c r="P3" s="891"/>
      <c r="Q3" s="891"/>
      <c r="R3" s="891"/>
      <c r="S3" s="891"/>
      <c r="T3" s="891"/>
      <c r="U3" s="891"/>
      <c r="V3" s="640" t="s">
        <v>910</v>
      </c>
    </row>
    <row r="4" spans="1:22">
      <c r="A4" s="890"/>
      <c r="B4" s="891"/>
      <c r="C4" s="891"/>
      <c r="D4" s="891"/>
      <c r="E4" s="891"/>
      <c r="F4" s="891"/>
      <c r="G4" s="891"/>
      <c r="H4" s="891"/>
      <c r="I4" s="891"/>
      <c r="J4" s="891"/>
      <c r="K4" s="891"/>
      <c r="L4" s="891"/>
      <c r="M4" s="891"/>
      <c r="N4" s="891"/>
      <c r="O4" s="891"/>
      <c r="P4" s="891"/>
      <c r="Q4" s="891"/>
      <c r="R4" s="891"/>
      <c r="S4" s="891"/>
      <c r="T4" s="891"/>
      <c r="U4" s="891"/>
      <c r="V4" s="640" t="s">
        <v>911</v>
      </c>
    </row>
    <row r="5" spans="1:22">
      <c r="A5" s="890"/>
      <c r="B5" s="891"/>
      <c r="C5" s="891"/>
      <c r="D5" s="891"/>
      <c r="E5" s="891"/>
      <c r="F5" s="891"/>
      <c r="G5" s="891"/>
      <c r="H5" s="891"/>
      <c r="I5" s="891"/>
      <c r="J5" s="891"/>
      <c r="K5" s="891"/>
      <c r="L5" s="891"/>
      <c r="M5" s="891"/>
      <c r="N5" s="891"/>
      <c r="O5" s="891"/>
      <c r="P5" s="891"/>
      <c r="Q5" s="891"/>
      <c r="R5" s="891"/>
      <c r="S5" s="891"/>
      <c r="T5" s="891"/>
      <c r="U5" s="891"/>
      <c r="V5" s="640" t="s">
        <v>912</v>
      </c>
    </row>
    <row r="6" spans="1:22">
      <c r="A6" s="943" t="s">
        <v>5</v>
      </c>
      <c r="B6" s="944"/>
      <c r="C6" s="944"/>
      <c r="D6" s="279" t="s">
        <v>6</v>
      </c>
      <c r="E6" s="279"/>
      <c r="F6" s="280"/>
      <c r="G6" s="280"/>
      <c r="H6" s="280"/>
      <c r="I6" s="280"/>
      <c r="J6" s="280"/>
      <c r="K6" s="280"/>
      <c r="L6" s="280"/>
      <c r="M6" s="615"/>
      <c r="N6" s="280"/>
      <c r="O6" s="615"/>
      <c r="P6" s="280"/>
      <c r="Q6" s="615"/>
      <c r="R6" s="280"/>
      <c r="S6" s="615"/>
      <c r="T6" s="280"/>
      <c r="U6" s="633"/>
      <c r="V6" s="640" t="s">
        <v>913</v>
      </c>
    </row>
    <row r="7" spans="1:22">
      <c r="A7" s="641" t="s">
        <v>4</v>
      </c>
      <c r="B7" s="642"/>
      <c r="C7" s="268" t="s">
        <v>859</v>
      </c>
      <c r="D7" s="643" t="s">
        <v>44</v>
      </c>
      <c r="E7" s="148"/>
      <c r="F7" s="277" t="s">
        <v>48</v>
      </c>
      <c r="G7" s="277"/>
      <c r="H7" s="277"/>
      <c r="I7" s="148"/>
      <c r="J7" s="148"/>
      <c r="K7" s="148"/>
      <c r="L7" s="148"/>
      <c r="M7" s="617"/>
      <c r="N7" s="148"/>
      <c r="O7" s="628"/>
      <c r="P7" s="644"/>
      <c r="Q7" s="616"/>
      <c r="R7" s="278"/>
      <c r="S7" s="628"/>
    </row>
    <row r="8" spans="1:22">
      <c r="A8" s="646"/>
      <c r="B8" s="647"/>
      <c r="C8" s="269"/>
      <c r="D8" s="646" t="s">
        <v>45</v>
      </c>
      <c r="E8" s="148"/>
      <c r="F8" s="214" t="s">
        <v>852</v>
      </c>
      <c r="G8" s="214"/>
      <c r="H8" s="214"/>
      <c r="I8" s="148"/>
      <c r="J8" s="148"/>
      <c r="K8" s="148"/>
      <c r="L8" s="148"/>
      <c r="M8" s="617"/>
      <c r="N8" s="148"/>
      <c r="O8" s="628"/>
      <c r="P8" s="644"/>
      <c r="Q8" s="894"/>
      <c r="R8" s="894"/>
      <c r="S8" s="628"/>
    </row>
    <row r="9" spans="1:22">
      <c r="A9" s="646" t="s">
        <v>7</v>
      </c>
      <c r="B9" s="647"/>
      <c r="C9" s="270">
        <v>15</v>
      </c>
      <c r="D9" s="648" t="s">
        <v>46</v>
      </c>
      <c r="E9" s="149"/>
      <c r="F9" s="150">
        <v>44349</v>
      </c>
      <c r="G9" s="150"/>
      <c r="H9" s="150"/>
      <c r="I9" s="149"/>
      <c r="J9" s="149"/>
      <c r="K9" s="149"/>
      <c r="L9" s="149"/>
      <c r="M9" s="636"/>
      <c r="N9" s="148"/>
      <c r="O9" s="628"/>
      <c r="P9" s="644"/>
      <c r="Q9" s="894"/>
      <c r="R9" s="894"/>
      <c r="S9" s="628"/>
    </row>
    <row r="10" spans="1:22">
      <c r="A10" s="646" t="s">
        <v>8</v>
      </c>
      <c r="B10" s="647"/>
      <c r="C10" s="609" t="s">
        <v>1448</v>
      </c>
      <c r="D10" s="648" t="s">
        <v>47</v>
      </c>
      <c r="E10" s="149"/>
      <c r="F10" s="150">
        <v>44473</v>
      </c>
      <c r="G10" s="150"/>
      <c r="H10" s="150"/>
      <c r="I10" s="149"/>
      <c r="J10" s="149"/>
      <c r="K10" s="149"/>
      <c r="L10" s="149"/>
      <c r="M10" s="636"/>
      <c r="N10" s="148"/>
      <c r="O10" s="628"/>
      <c r="P10" s="644"/>
      <c r="Q10" s="617"/>
      <c r="R10" s="167"/>
      <c r="S10" s="628"/>
    </row>
    <row r="11" spans="1:22" ht="18">
      <c r="A11" s="945" t="s">
        <v>15</v>
      </c>
      <c r="B11" s="946"/>
      <c r="C11" s="946"/>
      <c r="D11" s="946"/>
      <c r="E11" s="946"/>
      <c r="F11" s="946"/>
      <c r="G11" s="946"/>
      <c r="H11" s="946"/>
      <c r="I11" s="946"/>
      <c r="J11" s="946"/>
      <c r="K11" s="946"/>
      <c r="L11" s="946"/>
      <c r="M11" s="946"/>
      <c r="N11" s="946"/>
      <c r="O11" s="946"/>
      <c r="P11" s="946"/>
      <c r="Q11" s="946"/>
      <c r="R11" s="946"/>
      <c r="S11" s="946"/>
      <c r="T11" s="946"/>
      <c r="U11" s="947"/>
    </row>
    <row r="12" spans="1:22">
      <c r="A12" s="649"/>
      <c r="B12" s="650"/>
      <c r="C12" s="650"/>
      <c r="D12" s="650"/>
      <c r="E12" s="650"/>
      <c r="F12" s="650"/>
      <c r="G12" s="650"/>
      <c r="H12" s="650"/>
      <c r="I12" s="650"/>
      <c r="J12" s="650"/>
      <c r="K12" s="650"/>
      <c r="L12" s="650"/>
      <c r="M12" s="651"/>
      <c r="N12" s="650"/>
      <c r="O12" s="651"/>
      <c r="P12" s="650"/>
      <c r="Q12" s="651"/>
      <c r="R12" s="650"/>
      <c r="S12" s="651"/>
      <c r="T12" s="650"/>
      <c r="U12" s="652"/>
    </row>
    <row r="13" spans="1:22" ht="31.5" customHeight="1">
      <c r="A13" s="897" t="s">
        <v>30</v>
      </c>
      <c r="B13" s="899" t="s">
        <v>2</v>
      </c>
      <c r="C13" s="948" t="s">
        <v>16</v>
      </c>
      <c r="D13" s="903" t="s">
        <v>10</v>
      </c>
      <c r="E13" s="905" t="s">
        <v>1250</v>
      </c>
      <c r="F13" s="906"/>
      <c r="G13" s="906"/>
      <c r="H13" s="906"/>
      <c r="I13" s="907"/>
      <c r="J13" s="951" t="s">
        <v>1043</v>
      </c>
      <c r="K13" s="952"/>
      <c r="L13" s="952"/>
      <c r="M13" s="953"/>
      <c r="N13" s="905" t="s">
        <v>31</v>
      </c>
      <c r="O13" s="907"/>
      <c r="P13" s="911">
        <v>15</v>
      </c>
      <c r="Q13" s="912"/>
      <c r="R13" s="905" t="s">
        <v>36</v>
      </c>
      <c r="S13" s="907"/>
      <c r="T13" s="915" t="s">
        <v>63</v>
      </c>
      <c r="U13" s="916"/>
    </row>
    <row r="14" spans="1:22" ht="33.75" customHeight="1">
      <c r="A14" s="898"/>
      <c r="B14" s="900"/>
      <c r="C14" s="949"/>
      <c r="D14" s="950"/>
      <c r="E14" s="3" t="s">
        <v>18</v>
      </c>
      <c r="F14" s="721" t="s">
        <v>1248</v>
      </c>
      <c r="G14" s="4" t="s">
        <v>1246</v>
      </c>
      <c r="H14" s="4" t="s">
        <v>1247</v>
      </c>
      <c r="I14" s="5" t="s">
        <v>1249</v>
      </c>
      <c r="J14" s="4" t="s">
        <v>1050</v>
      </c>
      <c r="K14" s="4" t="s">
        <v>1051</v>
      </c>
      <c r="L14" s="4" t="s">
        <v>1052</v>
      </c>
      <c r="M14" s="714" t="s">
        <v>1053</v>
      </c>
      <c r="N14" s="45" t="s">
        <v>9</v>
      </c>
      <c r="O14" s="629" t="s">
        <v>3</v>
      </c>
      <c r="P14" s="614" t="s">
        <v>9</v>
      </c>
      <c r="Q14" s="618" t="s">
        <v>3</v>
      </c>
      <c r="R14" s="3" t="s">
        <v>9</v>
      </c>
      <c r="S14" s="629" t="s">
        <v>3</v>
      </c>
      <c r="T14" s="227" t="s">
        <v>9</v>
      </c>
      <c r="U14" s="634" t="s">
        <v>3</v>
      </c>
    </row>
    <row r="15" spans="1:22" s="654" customFormat="1">
      <c r="A15" s="202">
        <v>1</v>
      </c>
      <c r="B15" s="653" t="s">
        <v>848</v>
      </c>
      <c r="D15" s="204"/>
      <c r="E15" s="205"/>
      <c r="F15" s="206"/>
      <c r="G15" s="206"/>
      <c r="H15" s="206"/>
      <c r="I15" s="207"/>
      <c r="J15" s="207">
        <f>SUBTOTAL(9,J16:J48)</f>
        <v>196427.87449999998</v>
      </c>
      <c r="K15" s="207"/>
      <c r="L15" s="207"/>
      <c r="M15" s="619"/>
      <c r="N15" s="208"/>
      <c r="O15" s="619">
        <f>SUBTOTAL(9,O16:O48)</f>
        <v>233800.26</v>
      </c>
      <c r="P15" s="208"/>
      <c r="Q15" s="619">
        <f>SUBTOTAL(9,Q16:Q48)</f>
        <v>2.0000000040454324E-3</v>
      </c>
      <c r="R15" s="207"/>
      <c r="S15" s="619">
        <f>SUBTOTAL(9,S16:S48)</f>
        <v>233800.26199999999</v>
      </c>
      <c r="T15" s="207">
        <f>F15-R15</f>
        <v>0</v>
      </c>
      <c r="U15" s="619">
        <f>SUBTOTAL(9,U16:U48)</f>
        <v>33500.957640000001</v>
      </c>
    </row>
    <row r="16" spans="1:22" s="213" customFormat="1">
      <c r="A16" s="210" t="s">
        <v>19</v>
      </c>
      <c r="B16" s="211"/>
      <c r="C16" s="655" t="s">
        <v>65</v>
      </c>
      <c r="D16" s="197"/>
      <c r="E16" s="198"/>
      <c r="F16" s="199"/>
      <c r="G16" s="199"/>
      <c r="H16" s="199"/>
      <c r="I16" s="200"/>
      <c r="J16" s="200">
        <f>SUBTOTAL(9,J17:J41)</f>
        <v>160167.63449999999</v>
      </c>
      <c r="K16" s="200"/>
      <c r="L16" s="200"/>
      <c r="M16" s="620"/>
      <c r="N16" s="201"/>
      <c r="O16" s="620">
        <f>SUBTOTAL(9,O17:O41)</f>
        <v>204737.68</v>
      </c>
      <c r="P16" s="201"/>
      <c r="Q16" s="620">
        <f>SUBTOTAL(9,Q17:Q41)</f>
        <v>2.0000000040454324E-3</v>
      </c>
      <c r="R16" s="200"/>
      <c r="S16" s="620">
        <f>SUBTOTAL(9,S17:S41)</f>
        <v>204737.682</v>
      </c>
      <c r="T16" s="200">
        <f t="shared" ref="T16" si="0">F16-R16</f>
        <v>0</v>
      </c>
      <c r="U16" s="620">
        <f>SUBTOTAL(9,U17:U41)</f>
        <v>0</v>
      </c>
    </row>
    <row r="17" spans="1:21" s="236" customFormat="1">
      <c r="A17" s="229" t="s">
        <v>40</v>
      </c>
      <c r="B17" s="230"/>
      <c r="C17" s="656" t="s">
        <v>61</v>
      </c>
      <c r="D17" s="231"/>
      <c r="E17" s="232"/>
      <c r="F17" s="233"/>
      <c r="G17" s="233"/>
      <c r="H17" s="233"/>
      <c r="I17" s="234"/>
      <c r="J17" s="234">
        <f>SUBTOTAL(9,J18:J19)</f>
        <v>27297.05</v>
      </c>
      <c r="K17" s="234"/>
      <c r="L17" s="234"/>
      <c r="M17" s="621"/>
      <c r="N17" s="235"/>
      <c r="O17" s="621">
        <f>SUBTOTAL(9,O18:O19)</f>
        <v>27297.05</v>
      </c>
      <c r="P17" s="235"/>
      <c r="Q17" s="621">
        <f>SUBTOTAL(9,Q18:Q19)</f>
        <v>0</v>
      </c>
      <c r="R17" s="234"/>
      <c r="S17" s="621">
        <f>SUBTOTAL(9,S18:S19)</f>
        <v>27297.05</v>
      </c>
      <c r="T17" s="234">
        <f t="shared" ref="T17" si="1">F17-R17</f>
        <v>0</v>
      </c>
      <c r="U17" s="621">
        <f>SUBTOTAL(9,U18:U19)</f>
        <v>0</v>
      </c>
    </row>
    <row r="18" spans="1:21" ht="25.5">
      <c r="A18" s="190" t="s">
        <v>66</v>
      </c>
      <c r="B18" s="191" t="s">
        <v>68</v>
      </c>
      <c r="C18" s="657" t="s">
        <v>70</v>
      </c>
      <c r="D18" s="192" t="s">
        <v>72</v>
      </c>
      <c r="E18" s="193">
        <v>20807.46</v>
      </c>
      <c r="F18" s="194">
        <v>1</v>
      </c>
      <c r="G18" s="194"/>
      <c r="H18" s="194"/>
      <c r="I18" s="193">
        <f>F18+G18-H18</f>
        <v>1</v>
      </c>
      <c r="J18" s="193">
        <f>F18*E18</f>
        <v>20807.46</v>
      </c>
      <c r="K18" s="193"/>
      <c r="L18" s="193"/>
      <c r="M18" s="622">
        <f>I18*E18</f>
        <v>20807.46</v>
      </c>
      <c r="N18" s="195">
        <v>1</v>
      </c>
      <c r="O18" s="622">
        <f>TRUNC(N18*E18,2)</f>
        <v>20807.46</v>
      </c>
      <c r="P18" s="194"/>
      <c r="Q18" s="622">
        <f t="shared" ref="Q18" si="2">S18-O18</f>
        <v>0</v>
      </c>
      <c r="R18" s="194">
        <f>P18+N18</f>
        <v>1</v>
      </c>
      <c r="S18" s="630">
        <f>TRUNC(R18*E18,2)</f>
        <v>20807.46</v>
      </c>
      <c r="T18" s="194">
        <f t="shared" ref="T18:T30" si="3">F18-R18</f>
        <v>0</v>
      </c>
      <c r="U18" s="630">
        <v>0</v>
      </c>
    </row>
    <row r="19" spans="1:21" ht="25.5">
      <c r="A19" s="190" t="s">
        <v>67</v>
      </c>
      <c r="B19" s="191" t="s">
        <v>69</v>
      </c>
      <c r="C19" s="657" t="s">
        <v>71</v>
      </c>
      <c r="D19" s="192" t="s">
        <v>72</v>
      </c>
      <c r="E19" s="193">
        <v>6489.59</v>
      </c>
      <c r="F19" s="194">
        <v>1</v>
      </c>
      <c r="G19" s="194"/>
      <c r="H19" s="194"/>
      <c r="I19" s="193">
        <f>F19+G19-H19</f>
        <v>1</v>
      </c>
      <c r="J19" s="193">
        <f>F19*E19</f>
        <v>6489.59</v>
      </c>
      <c r="K19" s="193"/>
      <c r="L19" s="193"/>
      <c r="M19" s="622">
        <f>I19*E19</f>
        <v>6489.59</v>
      </c>
      <c r="N19" s="194">
        <v>1</v>
      </c>
      <c r="O19" s="622">
        <f t="shared" ref="O19" si="4">TRUNC(N19*E19,2)</f>
        <v>6489.59</v>
      </c>
      <c r="P19" s="194">
        <v>0</v>
      </c>
      <c r="Q19" s="622">
        <f t="shared" ref="Q19" si="5">S19-O19</f>
        <v>0</v>
      </c>
      <c r="R19" s="194">
        <f>P19+N19</f>
        <v>1</v>
      </c>
      <c r="S19" s="630">
        <f t="shared" ref="S19" si="6">TRUNC(R19*E19,2)</f>
        <v>6489.59</v>
      </c>
      <c r="T19" s="194">
        <f>I19-R19</f>
        <v>0</v>
      </c>
      <c r="U19" s="630">
        <f t="shared" ref="U19" si="7">T19*E19</f>
        <v>0</v>
      </c>
    </row>
    <row r="20" spans="1:21">
      <c r="A20" s="138"/>
      <c r="B20" s="132"/>
      <c r="C20" s="123"/>
      <c r="D20" s="123"/>
      <c r="E20" s="123"/>
      <c r="F20" s="123"/>
      <c r="G20" s="123"/>
      <c r="H20" s="123"/>
      <c r="I20" s="123"/>
      <c r="J20" s="123"/>
      <c r="K20" s="123"/>
      <c r="L20" s="123"/>
      <c r="M20" s="623"/>
      <c r="N20" s="123"/>
      <c r="O20" s="623"/>
      <c r="P20" s="123"/>
      <c r="Q20" s="623"/>
      <c r="R20" s="123"/>
      <c r="S20" s="631"/>
      <c r="T20" s="123"/>
      <c r="U20" s="631"/>
    </row>
    <row r="21" spans="1:21" s="131" customFormat="1">
      <c r="A21" s="137" t="s">
        <v>41</v>
      </c>
      <c r="B21" s="133"/>
      <c r="C21" s="658" t="s">
        <v>73</v>
      </c>
      <c r="D21" s="126"/>
      <c r="E21" s="127"/>
      <c r="F21" s="128"/>
      <c r="G21" s="128"/>
      <c r="H21" s="128"/>
      <c r="I21" s="129"/>
      <c r="J21" s="129">
        <f>SUBTOTAL(9,J22:J33)</f>
        <v>61975.522000000004</v>
      </c>
      <c r="K21" s="129"/>
      <c r="L21" s="129"/>
      <c r="M21" s="624"/>
      <c r="N21" s="130"/>
      <c r="O21" s="624">
        <f>SUBTOTAL(9,O22:O30)</f>
        <v>61975.519999999997</v>
      </c>
      <c r="P21" s="130"/>
      <c r="Q21" s="624">
        <f>SUBTOTAL(9,Q22:Q33)</f>
        <v>2.0000000040454324E-3</v>
      </c>
      <c r="R21" s="129"/>
      <c r="S21" s="624">
        <f>SUBTOTAL(9,S22:S33)</f>
        <v>85214.301999999996</v>
      </c>
      <c r="T21" s="129">
        <f t="shared" si="3"/>
        <v>0</v>
      </c>
      <c r="U21" s="624">
        <f>SUBTOTAL(9,U22:U30)</f>
        <v>0</v>
      </c>
    </row>
    <row r="22" spans="1:21" ht="51">
      <c r="A22" s="190" t="s">
        <v>74</v>
      </c>
      <c r="B22" s="191">
        <v>20350</v>
      </c>
      <c r="C22" s="657" t="s">
        <v>866</v>
      </c>
      <c r="D22" s="192" t="s">
        <v>51</v>
      </c>
      <c r="E22" s="193">
        <v>138.65</v>
      </c>
      <c r="F22" s="194">
        <v>140.08000000000001</v>
      </c>
      <c r="G22" s="194"/>
      <c r="H22" s="194"/>
      <c r="I22" s="193">
        <f>F22+G22-H22</f>
        <v>140.08000000000001</v>
      </c>
      <c r="J22" s="193">
        <f>F22*E22</f>
        <v>19422.092000000004</v>
      </c>
      <c r="K22" s="193"/>
      <c r="L22" s="193"/>
      <c r="M22" s="622">
        <f>I22*E22</f>
        <v>19422.092000000004</v>
      </c>
      <c r="N22" s="194">
        <v>140.08000000000001</v>
      </c>
      <c r="O22" s="622">
        <f t="shared" ref="O22" si="8">TRUNC(N22*E22,2)</f>
        <v>19422.09</v>
      </c>
      <c r="P22" s="194">
        <v>0</v>
      </c>
      <c r="Q22" s="622">
        <f t="shared" ref="Q22" si="9">S22-O22</f>
        <v>2.0000000040454324E-3</v>
      </c>
      <c r="R22" s="194">
        <f>P22+N22</f>
        <v>140.08000000000001</v>
      </c>
      <c r="S22" s="630">
        <f>R22*E22</f>
        <v>19422.092000000004</v>
      </c>
      <c r="T22" s="194">
        <f t="shared" si="3"/>
        <v>0</v>
      </c>
      <c r="U22" s="630">
        <f t="shared" ref="U22:U27" si="10">T22*E22</f>
        <v>0</v>
      </c>
    </row>
    <row r="23" spans="1:21" ht="51">
      <c r="A23" s="190" t="s">
        <v>75</v>
      </c>
      <c r="B23" s="191">
        <v>20343</v>
      </c>
      <c r="C23" s="657" t="s">
        <v>84</v>
      </c>
      <c r="D23" s="192" t="s">
        <v>52</v>
      </c>
      <c r="E23" s="193">
        <v>783.92</v>
      </c>
      <c r="F23" s="194">
        <v>10</v>
      </c>
      <c r="G23" s="194"/>
      <c r="H23" s="194"/>
      <c r="I23" s="193">
        <f t="shared" ref="I23:I30" si="11">F23+G23-H23</f>
        <v>10</v>
      </c>
      <c r="J23" s="193">
        <f t="shared" ref="J23:J30" si="12">F23*E23</f>
        <v>7839.2</v>
      </c>
      <c r="K23" s="193"/>
      <c r="L23" s="193"/>
      <c r="M23" s="622">
        <f>I23*E23</f>
        <v>7839.2</v>
      </c>
      <c r="N23" s="194">
        <f>'1.1.2.2'!R29</f>
        <v>10</v>
      </c>
      <c r="O23" s="622">
        <f>TRUNC(N23*E23,2)</f>
        <v>7839.2</v>
      </c>
      <c r="P23" s="560">
        <f>'1.1.2.2'!R30</f>
        <v>0</v>
      </c>
      <c r="Q23" s="622">
        <f>S23-O23</f>
        <v>0</v>
      </c>
      <c r="R23" s="194">
        <f t="shared" ref="R23:R30" si="13">P23+N23</f>
        <v>10</v>
      </c>
      <c r="S23" s="630">
        <f t="shared" ref="S23:S30" si="14">R23*E23</f>
        <v>7839.2</v>
      </c>
      <c r="T23" s="194">
        <f t="shared" si="3"/>
        <v>0</v>
      </c>
      <c r="U23" s="630">
        <f>T23*E23</f>
        <v>0</v>
      </c>
    </row>
    <row r="24" spans="1:21" ht="63.75" customHeight="1">
      <c r="A24" s="190" t="s">
        <v>76</v>
      </c>
      <c r="B24" s="191">
        <v>20353</v>
      </c>
      <c r="C24" s="657" t="s">
        <v>97</v>
      </c>
      <c r="D24" s="192" t="s">
        <v>85</v>
      </c>
      <c r="E24" s="193">
        <v>823.11</v>
      </c>
      <c r="F24" s="194">
        <v>10</v>
      </c>
      <c r="G24" s="194"/>
      <c r="H24" s="194"/>
      <c r="I24" s="193">
        <f t="shared" si="11"/>
        <v>10</v>
      </c>
      <c r="J24" s="193">
        <f t="shared" si="12"/>
        <v>8231.1</v>
      </c>
      <c r="K24" s="193"/>
      <c r="L24" s="193"/>
      <c r="M24" s="622">
        <f t="shared" ref="M24:M30" si="15">I24*E24</f>
        <v>8231.1</v>
      </c>
      <c r="N24" s="194">
        <f>'1.1.2.3'!R28</f>
        <v>10</v>
      </c>
      <c r="O24" s="622">
        <f t="shared" ref="O24" si="16">TRUNC(N24*E24,2)</f>
        <v>8231.1</v>
      </c>
      <c r="P24" s="560">
        <f>'1.1.2.3'!R29</f>
        <v>0</v>
      </c>
      <c r="Q24" s="622">
        <f t="shared" ref="Q24" si="17">S24-O24</f>
        <v>0</v>
      </c>
      <c r="R24" s="194">
        <f t="shared" si="13"/>
        <v>10</v>
      </c>
      <c r="S24" s="630">
        <f t="shared" si="14"/>
        <v>8231.1</v>
      </c>
      <c r="T24" s="194">
        <f>F24-R24</f>
        <v>0</v>
      </c>
      <c r="U24" s="630">
        <f t="shared" si="10"/>
        <v>0</v>
      </c>
    </row>
    <row r="25" spans="1:21" ht="38.25">
      <c r="A25" s="190" t="s">
        <v>77</v>
      </c>
      <c r="B25" s="191">
        <v>20354</v>
      </c>
      <c r="C25" s="657" t="s">
        <v>86</v>
      </c>
      <c r="D25" s="192" t="s">
        <v>85</v>
      </c>
      <c r="E25" s="193">
        <v>479.75</v>
      </c>
      <c r="F25" s="194">
        <v>10</v>
      </c>
      <c r="G25" s="194"/>
      <c r="H25" s="194"/>
      <c r="I25" s="193">
        <f t="shared" si="11"/>
        <v>10</v>
      </c>
      <c r="J25" s="193">
        <f t="shared" si="12"/>
        <v>4797.5</v>
      </c>
      <c r="K25" s="193"/>
      <c r="L25" s="193"/>
      <c r="M25" s="622">
        <f t="shared" si="15"/>
        <v>4797.5</v>
      </c>
      <c r="N25" s="194">
        <f>'1.1.2.4'!R28</f>
        <v>10</v>
      </c>
      <c r="O25" s="622">
        <f t="shared" ref="O25" si="18">TRUNC(N25*E25,2)</f>
        <v>4797.5</v>
      </c>
      <c r="P25" s="560">
        <f>'1.1.2.4'!R29</f>
        <v>0</v>
      </c>
      <c r="Q25" s="622">
        <f t="shared" ref="Q25" si="19">S25-O25</f>
        <v>0</v>
      </c>
      <c r="R25" s="194">
        <f t="shared" si="13"/>
        <v>10</v>
      </c>
      <c r="S25" s="630">
        <f t="shared" si="14"/>
        <v>4797.5</v>
      </c>
      <c r="T25" s="194">
        <f>I25-R25</f>
        <v>0</v>
      </c>
      <c r="U25" s="630">
        <f t="shared" si="10"/>
        <v>0</v>
      </c>
    </row>
    <row r="26" spans="1:21" ht="51">
      <c r="A26" s="190" t="s">
        <v>78</v>
      </c>
      <c r="B26" s="191">
        <v>20355</v>
      </c>
      <c r="C26" s="657" t="s">
        <v>87</v>
      </c>
      <c r="D26" s="192" t="s">
        <v>85</v>
      </c>
      <c r="E26" s="193">
        <v>841.92</v>
      </c>
      <c r="F26" s="194">
        <v>10</v>
      </c>
      <c r="G26" s="194"/>
      <c r="H26" s="194"/>
      <c r="I26" s="193">
        <f t="shared" si="11"/>
        <v>10</v>
      </c>
      <c r="J26" s="193">
        <f t="shared" si="12"/>
        <v>8419.1999999999989</v>
      </c>
      <c r="K26" s="193"/>
      <c r="L26" s="193"/>
      <c r="M26" s="622">
        <f t="shared" si="15"/>
        <v>8419.1999999999989</v>
      </c>
      <c r="N26" s="194">
        <f>'1.1.2.5'!R29</f>
        <v>10</v>
      </c>
      <c r="O26" s="622">
        <f>TRUNC(N26*E26,2)</f>
        <v>8419.2000000000007</v>
      </c>
      <c r="P26" s="560">
        <f>'1.1.2.5'!R30</f>
        <v>0</v>
      </c>
      <c r="Q26" s="622">
        <f>S26-O26</f>
        <v>0</v>
      </c>
      <c r="R26" s="194">
        <f t="shared" si="13"/>
        <v>10</v>
      </c>
      <c r="S26" s="630">
        <f t="shared" si="14"/>
        <v>8419.1999999999989</v>
      </c>
      <c r="T26" s="194">
        <f>I26-R26</f>
        <v>0</v>
      </c>
      <c r="U26" s="630">
        <f t="shared" si="10"/>
        <v>0</v>
      </c>
    </row>
    <row r="27" spans="1:21" ht="38.25">
      <c r="A27" s="190" t="s">
        <v>79</v>
      </c>
      <c r="B27" s="191">
        <v>20356</v>
      </c>
      <c r="C27" s="657" t="s">
        <v>88</v>
      </c>
      <c r="D27" s="192" t="s">
        <v>85</v>
      </c>
      <c r="E27" s="193">
        <v>489.95</v>
      </c>
      <c r="F27" s="194">
        <v>10</v>
      </c>
      <c r="G27" s="194"/>
      <c r="H27" s="194"/>
      <c r="I27" s="193">
        <f t="shared" si="11"/>
        <v>10</v>
      </c>
      <c r="J27" s="193">
        <f t="shared" si="12"/>
        <v>4899.5</v>
      </c>
      <c r="K27" s="193"/>
      <c r="L27" s="193"/>
      <c r="M27" s="622">
        <f t="shared" si="15"/>
        <v>4899.5</v>
      </c>
      <c r="N27" s="194">
        <f>'1.1.2.6'!R29</f>
        <v>10</v>
      </c>
      <c r="O27" s="622">
        <f>TRUNC(N27*E27,2)</f>
        <v>4899.5</v>
      </c>
      <c r="P27" s="560">
        <f>'1.1.2.6'!R30</f>
        <v>0</v>
      </c>
      <c r="Q27" s="622">
        <f>S27-O27</f>
        <v>0</v>
      </c>
      <c r="R27" s="194">
        <f t="shared" si="13"/>
        <v>10</v>
      </c>
      <c r="S27" s="630">
        <f t="shared" si="14"/>
        <v>4899.5</v>
      </c>
      <c r="T27" s="194">
        <f>I27-R27</f>
        <v>0</v>
      </c>
      <c r="U27" s="630">
        <f t="shared" si="10"/>
        <v>0</v>
      </c>
    </row>
    <row r="28" spans="1:21" ht="35.25" customHeight="1">
      <c r="A28" s="190" t="s">
        <v>80</v>
      </c>
      <c r="B28" s="191">
        <v>20344</v>
      </c>
      <c r="C28" s="657" t="s">
        <v>89</v>
      </c>
      <c r="D28" s="192" t="s">
        <v>59</v>
      </c>
      <c r="E28" s="193">
        <v>1028.8900000000001</v>
      </c>
      <c r="F28" s="194">
        <v>5</v>
      </c>
      <c r="G28" s="194"/>
      <c r="H28" s="194"/>
      <c r="I28" s="193">
        <f t="shared" si="11"/>
        <v>5</v>
      </c>
      <c r="J28" s="193">
        <f t="shared" si="12"/>
        <v>5144.4500000000007</v>
      </c>
      <c r="K28" s="193"/>
      <c r="L28" s="193"/>
      <c r="M28" s="622">
        <f t="shared" si="15"/>
        <v>5144.4500000000007</v>
      </c>
      <c r="N28" s="194">
        <v>5</v>
      </c>
      <c r="O28" s="622">
        <f t="shared" ref="O28:O29" si="20">TRUNC(N28*E28,2)</f>
        <v>5144.45</v>
      </c>
      <c r="P28" s="194">
        <v>0</v>
      </c>
      <c r="Q28" s="622">
        <f>P28*E28</f>
        <v>0</v>
      </c>
      <c r="R28" s="194">
        <f>P28+N28</f>
        <v>5</v>
      </c>
      <c r="S28" s="630">
        <f t="shared" si="14"/>
        <v>5144.4500000000007</v>
      </c>
      <c r="T28" s="194">
        <f>F28-R28</f>
        <v>0</v>
      </c>
      <c r="U28" s="630">
        <f>T28*E28</f>
        <v>0</v>
      </c>
    </row>
    <row r="29" spans="1:21" ht="51">
      <c r="A29" s="190" t="s">
        <v>81</v>
      </c>
      <c r="B29" s="191">
        <v>20708</v>
      </c>
      <c r="C29" s="657" t="s">
        <v>861</v>
      </c>
      <c r="D29" s="192" t="s">
        <v>57</v>
      </c>
      <c r="E29" s="193">
        <v>160.19999999999999</v>
      </c>
      <c r="F29" s="194">
        <v>12</v>
      </c>
      <c r="G29" s="194"/>
      <c r="H29" s="194"/>
      <c r="I29" s="193">
        <f t="shared" si="11"/>
        <v>12</v>
      </c>
      <c r="J29" s="193">
        <f t="shared" si="12"/>
        <v>1922.3999999999999</v>
      </c>
      <c r="K29" s="193"/>
      <c r="L29" s="193"/>
      <c r="M29" s="622">
        <f t="shared" si="15"/>
        <v>1922.3999999999999</v>
      </c>
      <c r="N29" s="194">
        <v>12</v>
      </c>
      <c r="O29" s="622">
        <f t="shared" si="20"/>
        <v>1922.4</v>
      </c>
      <c r="P29" s="194">
        <v>0</v>
      </c>
      <c r="Q29" s="622">
        <f t="shared" ref="Q29" si="21">S29-O29</f>
        <v>0</v>
      </c>
      <c r="R29" s="194">
        <f t="shared" si="13"/>
        <v>12</v>
      </c>
      <c r="S29" s="630">
        <f t="shared" si="14"/>
        <v>1922.3999999999999</v>
      </c>
      <c r="T29" s="194">
        <f t="shared" si="3"/>
        <v>0</v>
      </c>
      <c r="U29" s="630">
        <f t="shared" ref="U29:U30" si="22">T29*E29</f>
        <v>0</v>
      </c>
    </row>
    <row r="30" spans="1:21" ht="51">
      <c r="A30" s="190" t="s">
        <v>82</v>
      </c>
      <c r="B30" s="191">
        <v>20709</v>
      </c>
      <c r="C30" s="657" t="s">
        <v>862</v>
      </c>
      <c r="D30" s="192" t="s">
        <v>57</v>
      </c>
      <c r="E30" s="193">
        <v>216.68</v>
      </c>
      <c r="F30" s="194">
        <v>6</v>
      </c>
      <c r="G30" s="194"/>
      <c r="H30" s="194"/>
      <c r="I30" s="193">
        <f t="shared" si="11"/>
        <v>6</v>
      </c>
      <c r="J30" s="193">
        <f t="shared" si="12"/>
        <v>1300.08</v>
      </c>
      <c r="K30" s="193"/>
      <c r="L30" s="193"/>
      <c r="M30" s="622">
        <f t="shared" si="15"/>
        <v>1300.08</v>
      </c>
      <c r="N30" s="194">
        <v>6</v>
      </c>
      <c r="O30" s="622">
        <f>TRUNC(N30*E30,2)</f>
        <v>1300.08</v>
      </c>
      <c r="P30" s="194">
        <v>0</v>
      </c>
      <c r="Q30" s="622">
        <f>S30-O30</f>
        <v>0</v>
      </c>
      <c r="R30" s="194">
        <f t="shared" si="13"/>
        <v>6</v>
      </c>
      <c r="S30" s="630">
        <f t="shared" si="14"/>
        <v>1300.08</v>
      </c>
      <c r="T30" s="194">
        <f t="shared" si="3"/>
        <v>0</v>
      </c>
      <c r="U30" s="630">
        <f t="shared" si="22"/>
        <v>0</v>
      </c>
    </row>
    <row r="31" spans="1:21" ht="25.5">
      <c r="A31" s="190" t="s">
        <v>1067</v>
      </c>
      <c r="B31" s="191">
        <v>40781</v>
      </c>
      <c r="C31" s="657" t="str">
        <f>REPLANILHAMENTO!D21</f>
        <v>Base solo brita, 50% em peso, inclusive fornecimento e transporte da brita</v>
      </c>
      <c r="D31" s="192" t="str">
        <f>REPLANILHAMENTO!E21</f>
        <v>m³</v>
      </c>
      <c r="E31" s="193">
        <f>REPLANILHAMENTO!F21</f>
        <v>56.22</v>
      </c>
      <c r="F31" s="194">
        <v>0</v>
      </c>
      <c r="G31" s="194">
        <f>REPLANILHAMENTO!H21</f>
        <v>180</v>
      </c>
      <c r="H31" s="194"/>
      <c r="I31" s="193">
        <f>F31+G31-H31</f>
        <v>180</v>
      </c>
      <c r="J31" s="193">
        <f>F31*E31</f>
        <v>0</v>
      </c>
      <c r="K31" s="193">
        <f>G31*E31</f>
        <v>10119.6</v>
      </c>
      <c r="L31" s="193"/>
      <c r="M31" s="622">
        <f>K31</f>
        <v>10119.6</v>
      </c>
      <c r="N31" s="194">
        <f>'1.1.2.10'!R21</f>
        <v>180</v>
      </c>
      <c r="O31" s="622">
        <f>TRUNC(N31*E31,2)</f>
        <v>10119.6</v>
      </c>
      <c r="P31" s="194">
        <f>'1.1.2.10'!R22</f>
        <v>0</v>
      </c>
      <c r="Q31" s="622">
        <f>P31*E31</f>
        <v>0</v>
      </c>
      <c r="R31" s="194">
        <f>N31+P31</f>
        <v>180</v>
      </c>
      <c r="S31" s="630">
        <f>R31*E31</f>
        <v>10119.6</v>
      </c>
      <c r="T31" s="194">
        <f>I31-R31</f>
        <v>0</v>
      </c>
      <c r="U31" s="630">
        <v>0</v>
      </c>
    </row>
    <row r="32" spans="1:21">
      <c r="A32" s="190" t="s">
        <v>1070</v>
      </c>
      <c r="B32" s="191">
        <v>200323</v>
      </c>
      <c r="C32" s="657" t="str">
        <f>REPLANILHAMENTO!D22</f>
        <v>Fornecimento e espalhamento de pó de pedra</v>
      </c>
      <c r="D32" s="192" t="str">
        <f>REPLANILHAMENTO!E22</f>
        <v>m³</v>
      </c>
      <c r="E32" s="193">
        <f>REPLANILHAMENTO!F22</f>
        <v>125.95</v>
      </c>
      <c r="F32" s="194">
        <v>0</v>
      </c>
      <c r="G32" s="194">
        <f>REPLANILHAMENTO!H22</f>
        <v>90</v>
      </c>
      <c r="H32" s="194"/>
      <c r="I32" s="193">
        <f t="shared" ref="I32:I33" si="23">F32+G32-H32</f>
        <v>90</v>
      </c>
      <c r="J32" s="193">
        <f t="shared" ref="J32:J33" si="24">F32*E32</f>
        <v>0</v>
      </c>
      <c r="K32" s="193">
        <f t="shared" ref="K32:K33" si="25">G32*E32</f>
        <v>11335.5</v>
      </c>
      <c r="L32" s="193"/>
      <c r="M32" s="622">
        <f t="shared" ref="M32:M33" si="26">K32</f>
        <v>11335.5</v>
      </c>
      <c r="N32" s="194">
        <f>'1.1.2.11'!R21</f>
        <v>90</v>
      </c>
      <c r="O32" s="622">
        <f>TRUNC(N32*E32,2)</f>
        <v>11335.5</v>
      </c>
      <c r="P32" s="194">
        <f>'1.1.2.11'!R22</f>
        <v>0</v>
      </c>
      <c r="Q32" s="622">
        <f t="shared" ref="Q32:Q33" si="27">P32*E32</f>
        <v>0</v>
      </c>
      <c r="R32" s="194">
        <f t="shared" ref="R32:R33" si="28">N32+P32</f>
        <v>90</v>
      </c>
      <c r="S32" s="630">
        <f t="shared" ref="S32:S33" si="29">R32*E32</f>
        <v>11335.5</v>
      </c>
      <c r="T32" s="194">
        <f t="shared" ref="T32:T33" si="30">I32-R32</f>
        <v>0</v>
      </c>
      <c r="U32" s="630">
        <v>0</v>
      </c>
    </row>
    <row r="33" spans="1:21">
      <c r="A33" s="190" t="s">
        <v>1071</v>
      </c>
      <c r="B33" s="191">
        <v>20305</v>
      </c>
      <c r="C33" s="657" t="str">
        <f>REPLANILHAMENTO!D23</f>
        <v>Placa de obra nas dimensões de 2.0 x 4.0 m, padrão IOPES</v>
      </c>
      <c r="D33" s="192" t="str">
        <f>REPLANILHAMENTO!E23</f>
        <v>m²</v>
      </c>
      <c r="E33" s="193">
        <f>REPLANILHAMENTO!F23</f>
        <v>222.96</v>
      </c>
      <c r="F33" s="194">
        <v>0</v>
      </c>
      <c r="G33" s="194">
        <f>REPLANILHAMENTO!H23</f>
        <v>8</v>
      </c>
      <c r="H33" s="194"/>
      <c r="I33" s="193">
        <f t="shared" si="23"/>
        <v>8</v>
      </c>
      <c r="J33" s="193">
        <f t="shared" si="24"/>
        <v>0</v>
      </c>
      <c r="K33" s="193">
        <f t="shared" si="25"/>
        <v>1783.68</v>
      </c>
      <c r="L33" s="193"/>
      <c r="M33" s="622">
        <f t="shared" si="26"/>
        <v>1783.68</v>
      </c>
      <c r="N33" s="194">
        <f>'1.1.2.12'!R21</f>
        <v>8</v>
      </c>
      <c r="O33" s="622">
        <f>TRUNC(N33*E33,2)</f>
        <v>1783.68</v>
      </c>
      <c r="P33" s="194">
        <f>'1.1.2.12'!R22</f>
        <v>0</v>
      </c>
      <c r="Q33" s="622">
        <f t="shared" si="27"/>
        <v>0</v>
      </c>
      <c r="R33" s="194">
        <f t="shared" si="28"/>
        <v>8</v>
      </c>
      <c r="S33" s="630">
        <f t="shared" si="29"/>
        <v>1783.68</v>
      </c>
      <c r="T33" s="194">
        <f t="shared" si="30"/>
        <v>0</v>
      </c>
      <c r="U33" s="630">
        <v>0</v>
      </c>
    </row>
    <row r="34" spans="1:21">
      <c r="A34" s="138"/>
      <c r="B34" s="132"/>
      <c r="C34" s="123"/>
      <c r="D34" s="123"/>
      <c r="E34" s="123"/>
      <c r="F34" s="123"/>
      <c r="G34" s="123"/>
      <c r="H34" s="123"/>
      <c r="I34" s="123"/>
      <c r="J34" s="123"/>
      <c r="K34" s="123"/>
      <c r="L34" s="123"/>
      <c r="M34" s="623"/>
      <c r="N34" s="123"/>
      <c r="O34" s="623"/>
      <c r="P34" s="123"/>
      <c r="Q34" s="623"/>
      <c r="R34" s="123"/>
      <c r="S34" s="631"/>
      <c r="T34" s="123"/>
      <c r="U34" s="631"/>
    </row>
    <row r="35" spans="1:21" s="131" customFormat="1">
      <c r="A35" s="137" t="s">
        <v>42</v>
      </c>
      <c r="B35" s="133"/>
      <c r="C35" s="658" t="s">
        <v>90</v>
      </c>
      <c r="D35" s="126"/>
      <c r="E35" s="127"/>
      <c r="F35" s="128"/>
      <c r="G35" s="128"/>
      <c r="H35" s="128"/>
      <c r="I35" s="129"/>
      <c r="J35" s="129">
        <f>SUBTOTAL(9,J36:J44)</f>
        <v>70895.0625</v>
      </c>
      <c r="K35" s="129"/>
      <c r="L35" s="129"/>
      <c r="M35" s="624"/>
      <c r="N35" s="130"/>
      <c r="O35" s="624">
        <f>SUBTOTAL(9,O36:O44)</f>
        <v>92226.329999999987</v>
      </c>
      <c r="P35" s="130"/>
      <c r="Q35" s="624">
        <f>SUBTOTAL(9,Q36:Q44)</f>
        <v>0</v>
      </c>
      <c r="R35" s="129"/>
      <c r="S35" s="624">
        <f>SUBTOTAL(9,S36:S44)</f>
        <v>92226.329999999987</v>
      </c>
      <c r="T35" s="129">
        <f t="shared" ref="T35:T47" si="31">F35-R35</f>
        <v>0</v>
      </c>
      <c r="U35" s="624">
        <f>SUBTOTAL(9,U36:U44)</f>
        <v>26303.3</v>
      </c>
    </row>
    <row r="36" spans="1:21" ht="51">
      <c r="A36" s="190" t="s">
        <v>91</v>
      </c>
      <c r="B36" s="191">
        <v>20350</v>
      </c>
      <c r="C36" s="657" t="s">
        <v>83</v>
      </c>
      <c r="D36" s="192" t="s">
        <v>51</v>
      </c>
      <c r="E36" s="193">
        <v>138.65</v>
      </c>
      <c r="F36" s="194">
        <v>251.25</v>
      </c>
      <c r="G36" s="194">
        <v>82</v>
      </c>
      <c r="H36" s="194"/>
      <c r="I36" s="193">
        <f>F36+G36-H36</f>
        <v>333.25</v>
      </c>
      <c r="J36" s="193">
        <f>F36*E36</f>
        <v>34835.8125</v>
      </c>
      <c r="K36" s="193">
        <f>G36*E36</f>
        <v>11369.300000000001</v>
      </c>
      <c r="L36" s="193"/>
      <c r="M36" s="622">
        <f>I36*E36</f>
        <v>46205.112500000003</v>
      </c>
      <c r="N36" s="194">
        <f>'1.1.3.1'!R28</f>
        <v>333.25</v>
      </c>
      <c r="O36" s="622">
        <f t="shared" ref="O36" si="32">TRUNC(N36*E36,2)</f>
        <v>46205.11</v>
      </c>
      <c r="P36" s="194">
        <f>'1.1.3.1'!R29</f>
        <v>0</v>
      </c>
      <c r="Q36" s="622">
        <f t="shared" ref="Q36" si="33">S36-O36</f>
        <v>0</v>
      </c>
      <c r="R36" s="194">
        <f>P36+N36</f>
        <v>333.25</v>
      </c>
      <c r="S36" s="630">
        <f>TRUNC(R36*E36,2)</f>
        <v>46205.11</v>
      </c>
      <c r="T36" s="194">
        <f>I36-R36</f>
        <v>0</v>
      </c>
      <c r="U36" s="630">
        <f t="shared" ref="U36:U41" si="34">T36*E36</f>
        <v>0</v>
      </c>
    </row>
    <row r="37" spans="1:21" ht="38.25">
      <c r="A37" s="190" t="s">
        <v>92</v>
      </c>
      <c r="B37" s="191">
        <v>20356</v>
      </c>
      <c r="C37" s="657" t="s">
        <v>88</v>
      </c>
      <c r="D37" s="192" t="s">
        <v>85</v>
      </c>
      <c r="E37" s="193">
        <v>489.95</v>
      </c>
      <c r="F37" s="194">
        <v>9</v>
      </c>
      <c r="G37" s="194">
        <v>3</v>
      </c>
      <c r="H37" s="194"/>
      <c r="I37" s="193">
        <f t="shared" ref="I37:I40" si="35">F37+G37-H37</f>
        <v>12</v>
      </c>
      <c r="J37" s="193">
        <f t="shared" ref="J37:J41" si="36">F37*E37</f>
        <v>4409.55</v>
      </c>
      <c r="K37" s="193">
        <f t="shared" ref="K37:K41" si="37">G37*E37</f>
        <v>1469.85</v>
      </c>
      <c r="L37" s="193"/>
      <c r="M37" s="622">
        <f t="shared" ref="M37:M41" si="38">I37*E37</f>
        <v>5879.4</v>
      </c>
      <c r="N37" s="194">
        <f>'1.1.3.2'!R29</f>
        <v>12</v>
      </c>
      <c r="O37" s="622">
        <f>TRUNC(N37*E37,2)</f>
        <v>5879.4</v>
      </c>
      <c r="P37" s="560">
        <f>'1.1.3.2'!R30</f>
        <v>0</v>
      </c>
      <c r="Q37" s="622">
        <f>S37-O37</f>
        <v>0</v>
      </c>
      <c r="R37" s="194">
        <f>P37+N37</f>
        <v>12</v>
      </c>
      <c r="S37" s="630">
        <f>TRUNC(R37*E37,2)</f>
        <v>5879.4</v>
      </c>
      <c r="T37" s="194">
        <f t="shared" ref="T37:T41" si="39">I37-R37</f>
        <v>0</v>
      </c>
      <c r="U37" s="630">
        <f t="shared" si="34"/>
        <v>0</v>
      </c>
    </row>
    <row r="38" spans="1:21" ht="51">
      <c r="A38" s="190" t="s">
        <v>93</v>
      </c>
      <c r="B38" s="191">
        <v>20353</v>
      </c>
      <c r="C38" s="657" t="s">
        <v>97</v>
      </c>
      <c r="D38" s="192" t="s">
        <v>85</v>
      </c>
      <c r="E38" s="193">
        <v>823.11</v>
      </c>
      <c r="F38" s="194">
        <v>9</v>
      </c>
      <c r="G38" s="194">
        <v>3</v>
      </c>
      <c r="H38" s="194"/>
      <c r="I38" s="193">
        <f t="shared" si="35"/>
        <v>12</v>
      </c>
      <c r="J38" s="193">
        <f t="shared" si="36"/>
        <v>7407.99</v>
      </c>
      <c r="K38" s="193">
        <f t="shared" si="37"/>
        <v>2469.33</v>
      </c>
      <c r="L38" s="193"/>
      <c r="M38" s="622">
        <f t="shared" si="38"/>
        <v>9877.32</v>
      </c>
      <c r="N38" s="194">
        <f>'1.1.3.3'!R28</f>
        <v>12</v>
      </c>
      <c r="O38" s="622">
        <f t="shared" ref="O38:O39" si="40">TRUNC(N38*E38,2)</f>
        <v>9877.32</v>
      </c>
      <c r="P38" s="560">
        <f>'1.1.3.3'!R29</f>
        <v>0</v>
      </c>
      <c r="Q38" s="622">
        <f t="shared" ref="Q38" si="41">S38-O38</f>
        <v>0</v>
      </c>
      <c r="R38" s="194">
        <f>P38+N38</f>
        <v>12</v>
      </c>
      <c r="S38" s="630">
        <f t="shared" ref="S38:S39" si="42">TRUNC(R38*E38,2)</f>
        <v>9877.32</v>
      </c>
      <c r="T38" s="194">
        <f>I38-R38</f>
        <v>0</v>
      </c>
      <c r="U38" s="630">
        <f t="shared" si="34"/>
        <v>0</v>
      </c>
    </row>
    <row r="39" spans="1:21" ht="35.25" customHeight="1">
      <c r="A39" s="190" t="s">
        <v>94</v>
      </c>
      <c r="B39" s="191">
        <v>20354</v>
      </c>
      <c r="C39" s="657" t="s">
        <v>86</v>
      </c>
      <c r="D39" s="192" t="s">
        <v>85</v>
      </c>
      <c r="E39" s="193">
        <v>479.75</v>
      </c>
      <c r="F39" s="194">
        <v>9</v>
      </c>
      <c r="G39" s="194">
        <v>3</v>
      </c>
      <c r="H39" s="194"/>
      <c r="I39" s="193">
        <f t="shared" si="35"/>
        <v>12</v>
      </c>
      <c r="J39" s="193">
        <f t="shared" si="36"/>
        <v>4317.75</v>
      </c>
      <c r="K39" s="193">
        <f t="shared" si="37"/>
        <v>1439.25</v>
      </c>
      <c r="L39" s="193"/>
      <c r="M39" s="622">
        <f t="shared" si="38"/>
        <v>5757</v>
      </c>
      <c r="N39" s="194">
        <f>'1.1.3.4'!R30</f>
        <v>12</v>
      </c>
      <c r="O39" s="622">
        <f t="shared" si="40"/>
        <v>5757</v>
      </c>
      <c r="P39" s="194">
        <v>0</v>
      </c>
      <c r="Q39" s="622">
        <f>P39*$E39</f>
        <v>0</v>
      </c>
      <c r="R39" s="194">
        <f>'1.1.3.4'!R29</f>
        <v>12</v>
      </c>
      <c r="S39" s="630">
        <f t="shared" si="42"/>
        <v>5757</v>
      </c>
      <c r="T39" s="194">
        <f>I39-R39</f>
        <v>0</v>
      </c>
      <c r="U39" s="630">
        <f t="shared" si="34"/>
        <v>0</v>
      </c>
    </row>
    <row r="40" spans="1:21" ht="51">
      <c r="A40" s="190" t="s">
        <v>95</v>
      </c>
      <c r="B40" s="191">
        <v>20355</v>
      </c>
      <c r="C40" s="657" t="s">
        <v>87</v>
      </c>
      <c r="D40" s="192" t="s">
        <v>85</v>
      </c>
      <c r="E40" s="193">
        <v>841.92</v>
      </c>
      <c r="F40" s="194">
        <v>9</v>
      </c>
      <c r="G40" s="194">
        <v>3</v>
      </c>
      <c r="H40" s="194"/>
      <c r="I40" s="193">
        <f t="shared" si="35"/>
        <v>12</v>
      </c>
      <c r="J40" s="193">
        <f t="shared" si="36"/>
        <v>7577.28</v>
      </c>
      <c r="K40" s="193">
        <f t="shared" si="37"/>
        <v>2525.7599999999998</v>
      </c>
      <c r="L40" s="193"/>
      <c r="M40" s="622">
        <f>I40*E40</f>
        <v>10103.039999999999</v>
      </c>
      <c r="N40" s="194">
        <f>'1.1.3.5'!R32</f>
        <v>12</v>
      </c>
      <c r="O40" s="622">
        <f>TRUNC(N40*E40,2)</f>
        <v>10103.040000000001</v>
      </c>
      <c r="P40" s="560">
        <f>'1.1.3.5'!R33</f>
        <v>0</v>
      </c>
      <c r="Q40" s="622">
        <f>S40-O40</f>
        <v>0</v>
      </c>
      <c r="R40" s="194">
        <f>P40+N40</f>
        <v>12</v>
      </c>
      <c r="S40" s="630">
        <f>TRUNC(R40*E40,2)</f>
        <v>10103.040000000001</v>
      </c>
      <c r="T40" s="194">
        <f>I40-R40</f>
        <v>0</v>
      </c>
      <c r="U40" s="630">
        <f t="shared" si="34"/>
        <v>0</v>
      </c>
    </row>
    <row r="41" spans="1:21" ht="35.25" customHeight="1">
      <c r="A41" s="190" t="s">
        <v>96</v>
      </c>
      <c r="B41" s="191">
        <v>20344</v>
      </c>
      <c r="C41" s="657" t="s">
        <v>89</v>
      </c>
      <c r="D41" s="192" t="s">
        <v>59</v>
      </c>
      <c r="E41" s="193">
        <v>1028.8900000000001</v>
      </c>
      <c r="F41" s="194">
        <v>12</v>
      </c>
      <c r="G41" s="194">
        <v>2</v>
      </c>
      <c r="H41" s="194"/>
      <c r="I41" s="193">
        <f>F41+G41-H41</f>
        <v>14</v>
      </c>
      <c r="J41" s="193">
        <f t="shared" si="36"/>
        <v>12346.68</v>
      </c>
      <c r="K41" s="193">
        <f t="shared" si="37"/>
        <v>2057.7800000000002</v>
      </c>
      <c r="L41" s="193"/>
      <c r="M41" s="622">
        <f t="shared" si="38"/>
        <v>14404.460000000001</v>
      </c>
      <c r="N41" s="194">
        <f>'1.1.3.6'!R30</f>
        <v>14</v>
      </c>
      <c r="O41" s="622">
        <f>TRUNC(N41*E41,2)</f>
        <v>14404.46</v>
      </c>
      <c r="P41" s="194">
        <f>'1.1.3.6'!R31</f>
        <v>0</v>
      </c>
      <c r="Q41" s="622">
        <f>S41-O41</f>
        <v>0</v>
      </c>
      <c r="R41" s="194">
        <f>P41+N41</f>
        <v>14</v>
      </c>
      <c r="S41" s="630">
        <f>TRUNC(R41*E41,2)</f>
        <v>14404.46</v>
      </c>
      <c r="T41" s="194">
        <f t="shared" si="39"/>
        <v>0</v>
      </c>
      <c r="U41" s="630">
        <f t="shared" si="34"/>
        <v>0</v>
      </c>
    </row>
    <row r="42" spans="1:21" ht="38.25">
      <c r="A42" s="190" t="s">
        <v>1075</v>
      </c>
      <c r="B42" s="191">
        <f>REPLANILHAMENTO!B31</f>
        <v>20712</v>
      </c>
      <c r="C42" s="657" t="str">
        <f>REPLANILHAMENTO!D31</f>
        <v>Rede de água com padrão de entrada d'água diâm. 3/4", conf. espec. CESAN, incl. tubos e conexões para alimentação, distribuição, extravasor e limpeza, cons. o padrão a 25m, conf. projeto (1 utilização)</v>
      </c>
      <c r="D42" s="192" t="str">
        <f>REPLANILHAMENTO!E31</f>
        <v>m</v>
      </c>
      <c r="E42" s="193">
        <f>REPLANILHAMENTO!F31</f>
        <v>37.909999999999997</v>
      </c>
      <c r="F42" s="194">
        <v>0</v>
      </c>
      <c r="G42" s="194">
        <f>REPLANILHAMENTO!H31</f>
        <v>70</v>
      </c>
      <c r="H42" s="194">
        <v>0</v>
      </c>
      <c r="I42" s="193">
        <f>F42+G42-H42</f>
        <v>70</v>
      </c>
      <c r="J42" s="193">
        <f t="shared" ref="J42" si="43">F42*E42</f>
        <v>0</v>
      </c>
      <c r="K42" s="193">
        <f t="shared" ref="K42" si="44">G42*E42</f>
        <v>2653.7</v>
      </c>
      <c r="L42" s="193"/>
      <c r="M42" s="622">
        <f t="shared" ref="M42" si="45">I42*E42</f>
        <v>2653.7</v>
      </c>
      <c r="N42" s="194">
        <v>0</v>
      </c>
      <c r="O42" s="622">
        <v>0</v>
      </c>
      <c r="P42" s="194">
        <f>'1.1.3.7'!R19</f>
        <v>0</v>
      </c>
      <c r="Q42" s="622">
        <f>P42*E42</f>
        <v>0</v>
      </c>
      <c r="R42" s="194">
        <f>P42+N42</f>
        <v>0</v>
      </c>
      <c r="S42" s="630">
        <f>Q42</f>
        <v>0</v>
      </c>
      <c r="T42" s="194">
        <f>I42-R42</f>
        <v>70</v>
      </c>
      <c r="U42" s="630">
        <f>T42*E42</f>
        <v>2653.7</v>
      </c>
    </row>
    <row r="43" spans="1:21" ht="38.25">
      <c r="A43" s="190" t="s">
        <v>1077</v>
      </c>
      <c r="B43" s="191">
        <f>REPLANILHAMENTO!B32</f>
        <v>20713</v>
      </c>
      <c r="C43" s="657" t="str">
        <f>REPLANILHAMENTO!D32</f>
        <v>Rede de luz, incl. padrão entr. energia trifás. cabo ligação até barracões, quadro distrib., disj. e chave de força, cons. 20m entre padrão entrada e QDG, conf. projeto (1 utilização)</v>
      </c>
      <c r="D43" s="192" t="str">
        <f>REPLANILHAMENTO!E32</f>
        <v>m</v>
      </c>
      <c r="E43" s="193">
        <f>REPLANILHAMENTO!F32</f>
        <v>433.87</v>
      </c>
      <c r="F43" s="194">
        <v>0</v>
      </c>
      <c r="G43" s="194">
        <f>REPLANILHAMENTO!H32</f>
        <v>100</v>
      </c>
      <c r="H43" s="194">
        <v>0</v>
      </c>
      <c r="I43" s="193">
        <f t="shared" ref="I43:I44" si="46">F43+G43-H43</f>
        <v>100</v>
      </c>
      <c r="J43" s="193">
        <f t="shared" ref="J43:J44" si="47">F43*E43</f>
        <v>0</v>
      </c>
      <c r="K43" s="193">
        <f t="shared" ref="K43:K44" si="48">G43*E43</f>
        <v>43387</v>
      </c>
      <c r="L43" s="193"/>
      <c r="M43" s="622">
        <f t="shared" ref="M43:M44" si="49">I43*E43</f>
        <v>43387</v>
      </c>
      <c r="N43" s="194">
        <f>'1.1.3.8'!R17</f>
        <v>60</v>
      </c>
      <c r="O43" s="622">
        <v>0</v>
      </c>
      <c r="P43" s="194">
        <f>'1.1.3.8'!R18</f>
        <v>0</v>
      </c>
      <c r="Q43" s="622">
        <f t="shared" ref="Q43:Q44" si="50">P43*E43</f>
        <v>0</v>
      </c>
      <c r="R43" s="194">
        <f t="shared" ref="R43:R44" si="51">P43+N43</f>
        <v>60</v>
      </c>
      <c r="S43" s="630">
        <f t="shared" ref="S43:S44" si="52">Q43</f>
        <v>0</v>
      </c>
      <c r="T43" s="194">
        <f t="shared" ref="T43:T44" si="53">I43-R43</f>
        <v>40</v>
      </c>
      <c r="U43" s="630">
        <f t="shared" ref="U43:U44" si="54">T43*E43</f>
        <v>17354.8</v>
      </c>
    </row>
    <row r="44" spans="1:21" ht="38.25">
      <c r="A44" s="190" t="s">
        <v>1079</v>
      </c>
      <c r="B44" s="191">
        <f>REPLANILHAMENTO!B33</f>
        <v>20714</v>
      </c>
      <c r="C44" s="657" t="str">
        <f>REPLANILHAMENTO!D33</f>
        <v>Rede de esgoto, contendo fossa e filtro, inclusive tubos e conexões de ligação entre caixas, considerando distância de 25m, conforme projeto (1 utilização)</v>
      </c>
      <c r="D44" s="192" t="str">
        <f>REPLANILHAMENTO!E33</f>
        <v>m</v>
      </c>
      <c r="E44" s="193">
        <f>REPLANILHAMENTO!F33</f>
        <v>314.74</v>
      </c>
      <c r="F44" s="194">
        <v>0</v>
      </c>
      <c r="G44" s="194">
        <f>REPLANILHAMENTO!H33</f>
        <v>30</v>
      </c>
      <c r="H44" s="194">
        <v>0</v>
      </c>
      <c r="I44" s="193">
        <f t="shared" si="46"/>
        <v>30</v>
      </c>
      <c r="J44" s="193">
        <f t="shared" si="47"/>
        <v>0</v>
      </c>
      <c r="K44" s="193">
        <f t="shared" si="48"/>
        <v>9442.2000000000007</v>
      </c>
      <c r="L44" s="193"/>
      <c r="M44" s="622">
        <f t="shared" si="49"/>
        <v>9442.2000000000007</v>
      </c>
      <c r="N44" s="194">
        <f>'1.1.3.9'!R18</f>
        <v>10</v>
      </c>
      <c r="O44" s="622">
        <v>0</v>
      </c>
      <c r="P44" s="194">
        <f>'1.1.3.9'!R19</f>
        <v>0</v>
      </c>
      <c r="Q44" s="622">
        <f t="shared" si="50"/>
        <v>0</v>
      </c>
      <c r="R44" s="194">
        <f t="shared" si="51"/>
        <v>10</v>
      </c>
      <c r="S44" s="630">
        <f t="shared" si="52"/>
        <v>0</v>
      </c>
      <c r="T44" s="194">
        <f t="shared" si="53"/>
        <v>20</v>
      </c>
      <c r="U44" s="630">
        <f t="shared" si="54"/>
        <v>6294.8</v>
      </c>
    </row>
    <row r="45" spans="1:21">
      <c r="A45" s="138"/>
      <c r="B45" s="132"/>
      <c r="C45" s="123"/>
      <c r="D45" s="123"/>
      <c r="E45" s="123"/>
      <c r="F45" s="123"/>
      <c r="G45" s="123"/>
      <c r="H45" s="123"/>
      <c r="I45" s="123"/>
      <c r="J45" s="123"/>
      <c r="K45" s="123"/>
      <c r="L45" s="123"/>
      <c r="M45" s="623"/>
      <c r="N45" s="123"/>
      <c r="O45" s="623"/>
      <c r="P45" s="123"/>
      <c r="Q45" s="623"/>
      <c r="R45" s="123"/>
      <c r="S45" s="631"/>
      <c r="T45" s="123"/>
      <c r="U45" s="631"/>
    </row>
    <row r="46" spans="1:21" s="213" customFormat="1">
      <c r="A46" s="210" t="s">
        <v>20</v>
      </c>
      <c r="B46" s="211"/>
      <c r="C46" s="655" t="s">
        <v>98</v>
      </c>
      <c r="D46" s="197"/>
      <c r="E46" s="198"/>
      <c r="F46" s="199"/>
      <c r="G46" s="199"/>
      <c r="H46" s="199"/>
      <c r="I46" s="200"/>
      <c r="J46" s="200">
        <f>SUBTOTAL(9,J47:J48)</f>
        <v>36260.239999999998</v>
      </c>
      <c r="K46" s="200"/>
      <c r="L46" s="200"/>
      <c r="M46" s="620"/>
      <c r="N46" s="201"/>
      <c r="O46" s="620">
        <f>SUBTOTAL(9,O47:O48)</f>
        <v>29062.58</v>
      </c>
      <c r="P46" s="201"/>
      <c r="Q46" s="620">
        <f>SUBTOTAL(9,Q47:Q48)</f>
        <v>0</v>
      </c>
      <c r="R46" s="200"/>
      <c r="S46" s="620">
        <f>SUBTOTAL(9,S47:S48)</f>
        <v>29062.58</v>
      </c>
      <c r="T46" s="200">
        <f t="shared" si="31"/>
        <v>0</v>
      </c>
      <c r="U46" s="620">
        <f>SUBTOTAL(9,U47:U48)</f>
        <v>7197.6576400000004</v>
      </c>
    </row>
    <row r="47" spans="1:21" s="131" customFormat="1" ht="14.25" customHeight="1">
      <c r="A47" s="137" t="s">
        <v>43</v>
      </c>
      <c r="B47" s="133"/>
      <c r="C47" s="658" t="s">
        <v>98</v>
      </c>
      <c r="D47" s="126"/>
      <c r="E47" s="127"/>
      <c r="F47" s="128"/>
      <c r="G47" s="128"/>
      <c r="H47" s="128"/>
      <c r="I47" s="129"/>
      <c r="J47" s="129">
        <f>SUBTOTAL(9,J48)</f>
        <v>36260.239999999998</v>
      </c>
      <c r="K47" s="129"/>
      <c r="L47" s="129"/>
      <c r="M47" s="624"/>
      <c r="N47" s="130"/>
      <c r="O47" s="624">
        <f>SUBTOTAL(9,O48)</f>
        <v>29062.58</v>
      </c>
      <c r="P47" s="130"/>
      <c r="Q47" s="624">
        <f>SUBTOTAL(9,Q48)</f>
        <v>0</v>
      </c>
      <c r="R47" s="129"/>
      <c r="S47" s="624">
        <f>SUBTOTAL(9,S48)</f>
        <v>29062.58</v>
      </c>
      <c r="T47" s="129">
        <f t="shared" si="31"/>
        <v>0</v>
      </c>
      <c r="U47" s="624">
        <f>SUBTOTAL(9,U48)</f>
        <v>7197.6576400000004</v>
      </c>
    </row>
    <row r="48" spans="1:21" ht="25.5">
      <c r="A48" s="190" t="s">
        <v>99</v>
      </c>
      <c r="B48" s="191">
        <v>10512</v>
      </c>
      <c r="C48" s="657" t="s">
        <v>860</v>
      </c>
      <c r="D48" s="192" t="s">
        <v>52</v>
      </c>
      <c r="E48" s="193">
        <v>18130.12</v>
      </c>
      <c r="F48" s="194">
        <v>2</v>
      </c>
      <c r="G48" s="194"/>
      <c r="H48" s="194"/>
      <c r="I48" s="193">
        <f>F48+G48-H48</f>
        <v>2</v>
      </c>
      <c r="J48" s="193">
        <f>I48*E48</f>
        <v>36260.239999999998</v>
      </c>
      <c r="K48" s="193"/>
      <c r="L48" s="193"/>
      <c r="M48" s="622">
        <f>I48*E48</f>
        <v>36260.239999999998</v>
      </c>
      <c r="N48" s="194">
        <v>1.603</v>
      </c>
      <c r="O48" s="622">
        <f t="shared" ref="O48" si="55">TRUNC(N48*E48,2)</f>
        <v>29062.58</v>
      </c>
      <c r="P48" s="560">
        <f>'1.2.1.1'!R267</f>
        <v>0</v>
      </c>
      <c r="Q48" s="622">
        <f t="shared" ref="Q48" si="56">S48-O48</f>
        <v>0</v>
      </c>
      <c r="R48" s="194">
        <f>P48+N48</f>
        <v>1.603</v>
      </c>
      <c r="S48" s="630">
        <f t="shared" ref="S48" si="57">TRUNC(R48*E48,2)</f>
        <v>29062.58</v>
      </c>
      <c r="T48" s="194">
        <f>I48-R48</f>
        <v>0.39700000000000002</v>
      </c>
      <c r="U48" s="630">
        <f t="shared" ref="U48" si="58">T48*E48</f>
        <v>7197.6576400000004</v>
      </c>
    </row>
    <row r="49" spans="1:21" s="654" customFormat="1">
      <c r="A49" s="202">
        <v>2</v>
      </c>
      <c r="B49" s="653" t="s">
        <v>391</v>
      </c>
      <c r="C49" s="654" t="s">
        <v>391</v>
      </c>
      <c r="D49" s="204"/>
      <c r="E49" s="205"/>
      <c r="F49" s="206"/>
      <c r="G49" s="206"/>
      <c r="H49" s="206"/>
      <c r="I49" s="207"/>
      <c r="J49" s="207">
        <f>SUBTOTAL(9,J50:J213)</f>
        <v>1448508.2899000002</v>
      </c>
      <c r="K49" s="207"/>
      <c r="L49" s="207"/>
      <c r="M49" s="619"/>
      <c r="N49" s="208"/>
      <c r="O49" s="619">
        <f>SUBTOTAL(9,O50:O213)</f>
        <v>1193968.3700000003</v>
      </c>
      <c r="P49" s="208"/>
      <c r="Q49" s="619">
        <f>SUBTOTAL(9,Q50:Q213)</f>
        <v>81506.459999999992</v>
      </c>
      <c r="R49" s="207"/>
      <c r="S49" s="619">
        <f>SUBTOTAL(9,S50:S213)</f>
        <v>1276351.7000000002</v>
      </c>
      <c r="T49" s="207">
        <f>F49-R49</f>
        <v>0</v>
      </c>
      <c r="U49" s="619">
        <f>SUBTOTAL(9,U50:U213)</f>
        <v>177472.65022000001</v>
      </c>
    </row>
    <row r="50" spans="1:21" s="213" customFormat="1">
      <c r="A50" s="210" t="s">
        <v>21</v>
      </c>
      <c r="B50" s="211"/>
      <c r="C50" s="655" t="s">
        <v>65</v>
      </c>
      <c r="D50" s="197"/>
      <c r="E50" s="198"/>
      <c r="F50" s="199"/>
      <c r="G50" s="199"/>
      <c r="H50" s="199"/>
      <c r="I50" s="200"/>
      <c r="J50" s="200">
        <f>SUBTOTAL(9,J51:J56)</f>
        <v>4236.4490000000005</v>
      </c>
      <c r="K50" s="200"/>
      <c r="L50" s="200"/>
      <c r="M50" s="620"/>
      <c r="N50" s="201"/>
      <c r="O50" s="620">
        <f>SUBTOTAL(9,O51:O56)</f>
        <v>4236.4400000000005</v>
      </c>
      <c r="P50" s="201"/>
      <c r="Q50" s="620">
        <f>SUBTOTAL(9,Q51:Q56)</f>
        <v>0</v>
      </c>
      <c r="R50" s="200"/>
      <c r="S50" s="620">
        <f>SUBTOTAL(9,S51:S56)</f>
        <v>4236.4400000000005</v>
      </c>
      <c r="T50" s="200">
        <f t="shared" ref="T50:T56" si="59">F50-R50</f>
        <v>0</v>
      </c>
      <c r="U50" s="620">
        <f>SUBTOTAL(9,U51:U56)</f>
        <v>-2452.7600000000002</v>
      </c>
    </row>
    <row r="51" spans="1:21" s="131" customFormat="1">
      <c r="A51" s="137" t="s">
        <v>100</v>
      </c>
      <c r="B51" s="133"/>
      <c r="C51" s="658" t="s">
        <v>101</v>
      </c>
      <c r="D51" s="126"/>
      <c r="E51" s="127"/>
      <c r="F51" s="128"/>
      <c r="G51" s="128"/>
      <c r="H51" s="128"/>
      <c r="I51" s="129"/>
      <c r="J51" s="129">
        <f>SUBTOTAL(9,J52:J52)</f>
        <v>1783.68</v>
      </c>
      <c r="K51" s="129"/>
      <c r="L51" s="129"/>
      <c r="M51" s="624"/>
      <c r="N51" s="130"/>
      <c r="O51" s="624">
        <f>SUBTOTAL(9,O52:O52)</f>
        <v>1783.68</v>
      </c>
      <c r="P51" s="130"/>
      <c r="Q51" s="624">
        <f>SUBTOTAL(9,Q52:Q52)</f>
        <v>0</v>
      </c>
      <c r="R51" s="129"/>
      <c r="S51" s="624">
        <f>SUBTOTAL(9,S52:S52)</f>
        <v>1783.68</v>
      </c>
      <c r="T51" s="129">
        <f t="shared" si="59"/>
        <v>0</v>
      </c>
      <c r="U51" s="624">
        <f>SUBTOTAL(9,U52:U52)</f>
        <v>0</v>
      </c>
    </row>
    <row r="52" spans="1:21">
      <c r="A52" s="190" t="s">
        <v>102</v>
      </c>
      <c r="B52" s="191">
        <v>20305</v>
      </c>
      <c r="C52" s="657" t="s">
        <v>103</v>
      </c>
      <c r="D52" s="192" t="s">
        <v>57</v>
      </c>
      <c r="E52" s="193">
        <v>222.96</v>
      </c>
      <c r="F52" s="194">
        <v>8</v>
      </c>
      <c r="G52" s="194"/>
      <c r="H52" s="194"/>
      <c r="I52" s="193">
        <f>F52+G52-H52</f>
        <v>8</v>
      </c>
      <c r="J52" s="193">
        <f>I52*E52</f>
        <v>1783.68</v>
      </c>
      <c r="K52" s="193"/>
      <c r="L52" s="193"/>
      <c r="M52" s="622">
        <f>I52*E52</f>
        <v>1783.68</v>
      </c>
      <c r="N52" s="194">
        <f>'2.1.1.1'!R24</f>
        <v>8</v>
      </c>
      <c r="O52" s="622">
        <f>TRUNC(N52*E52,2)</f>
        <v>1783.68</v>
      </c>
      <c r="P52" s="264">
        <f>'2.1.1.1'!R25</f>
        <v>0</v>
      </c>
      <c r="Q52" s="625">
        <f t="shared" ref="Q52" si="60">S52-O52</f>
        <v>0</v>
      </c>
      <c r="R52" s="194">
        <f>P52+N52</f>
        <v>8</v>
      </c>
      <c r="S52" s="630">
        <f>TRUNC(R52*E52,2)</f>
        <v>1783.68</v>
      </c>
      <c r="T52" s="194">
        <f t="shared" si="59"/>
        <v>0</v>
      </c>
      <c r="U52" s="630">
        <f t="shared" ref="U52" si="61">T52*E52</f>
        <v>0</v>
      </c>
    </row>
    <row r="53" spans="1:21">
      <c r="A53" s="138"/>
      <c r="B53" s="132"/>
      <c r="C53" s="123"/>
      <c r="D53" s="123"/>
      <c r="E53" s="123"/>
      <c r="F53" s="123"/>
      <c r="G53" s="123"/>
      <c r="H53" s="123"/>
      <c r="I53" s="123"/>
      <c r="J53" s="123"/>
      <c r="K53" s="123"/>
      <c r="L53" s="123"/>
      <c r="M53" s="623"/>
      <c r="N53" s="123"/>
      <c r="O53" s="623"/>
      <c r="P53" s="123"/>
      <c r="Q53" s="623"/>
      <c r="R53" s="123"/>
      <c r="S53" s="631"/>
      <c r="T53" s="123"/>
      <c r="U53" s="631"/>
    </row>
    <row r="54" spans="1:21" s="131" customFormat="1">
      <c r="A54" s="137" t="s">
        <v>104</v>
      </c>
      <c r="B54" s="133"/>
      <c r="C54" s="658" t="s">
        <v>105</v>
      </c>
      <c r="D54" s="126"/>
      <c r="E54" s="127"/>
      <c r="F54" s="128"/>
      <c r="G54" s="128"/>
      <c r="H54" s="128"/>
      <c r="I54" s="129"/>
      <c r="J54" s="129">
        <f>SUBTOTAL(9,J55:J56)</f>
        <v>2452.7690000000002</v>
      </c>
      <c r="K54" s="129"/>
      <c r="L54" s="129"/>
      <c r="M54" s="624"/>
      <c r="N54" s="130"/>
      <c r="O54" s="624">
        <f>SUBTOTAL(9,O55:O56)</f>
        <v>2452.7600000000002</v>
      </c>
      <c r="P54" s="130"/>
      <c r="Q54" s="624">
        <f>SUBTOTAL(9,Q55:Q56)</f>
        <v>0</v>
      </c>
      <c r="R54" s="129"/>
      <c r="S54" s="624">
        <f>SUBTOTAL(9,S55:S56)</f>
        <v>2452.7600000000002</v>
      </c>
      <c r="T54" s="129">
        <f t="shared" si="59"/>
        <v>0</v>
      </c>
      <c r="U54" s="624">
        <f t="shared" ref="U54" si="62">I54-S54</f>
        <v>-2452.7600000000002</v>
      </c>
    </row>
    <row r="55" spans="1:21">
      <c r="A55" s="190" t="s">
        <v>106</v>
      </c>
      <c r="B55" s="191">
        <v>10402</v>
      </c>
      <c r="C55" s="657" t="s">
        <v>108</v>
      </c>
      <c r="D55" s="192" t="s">
        <v>57</v>
      </c>
      <c r="E55" s="193">
        <v>3.74</v>
      </c>
      <c r="F55" s="194">
        <v>200.9</v>
      </c>
      <c r="G55" s="194"/>
      <c r="H55" s="194"/>
      <c r="I55" s="193">
        <f>F55+G55-H55</f>
        <v>200.9</v>
      </c>
      <c r="J55" s="193">
        <f>I55*E55</f>
        <v>751.3660000000001</v>
      </c>
      <c r="K55" s="193"/>
      <c r="L55" s="193"/>
      <c r="M55" s="622">
        <f>I55*E55</f>
        <v>751.3660000000001</v>
      </c>
      <c r="N55" s="194">
        <v>200.9</v>
      </c>
      <c r="O55" s="622">
        <f>TRUNC(N55*E55,2)</f>
        <v>751.36</v>
      </c>
      <c r="P55" s="560">
        <v>0</v>
      </c>
      <c r="Q55" s="622">
        <f t="shared" ref="Q55:Q56" si="63">S55-O55</f>
        <v>0</v>
      </c>
      <c r="R55" s="194">
        <f>P55+N55</f>
        <v>200.9</v>
      </c>
      <c r="S55" s="630">
        <f>TRUNC(R55*E55,2)</f>
        <v>751.36</v>
      </c>
      <c r="T55" s="194">
        <f t="shared" si="59"/>
        <v>0</v>
      </c>
      <c r="U55" s="630">
        <f t="shared" ref="U55:U56" si="64">T55*E55</f>
        <v>0</v>
      </c>
    </row>
    <row r="56" spans="1:21" ht="38.25">
      <c r="A56" s="190" t="s">
        <v>107</v>
      </c>
      <c r="B56" s="191">
        <v>30304</v>
      </c>
      <c r="C56" s="657" t="s">
        <v>109</v>
      </c>
      <c r="D56" s="192" t="s">
        <v>58</v>
      </c>
      <c r="E56" s="193">
        <v>56.45</v>
      </c>
      <c r="F56" s="194">
        <v>30.14</v>
      </c>
      <c r="G56" s="194"/>
      <c r="H56" s="194"/>
      <c r="I56" s="193">
        <f>F56+G56-H56</f>
        <v>30.14</v>
      </c>
      <c r="J56" s="193">
        <f>I56*E56</f>
        <v>1701.403</v>
      </c>
      <c r="K56" s="193"/>
      <c r="L56" s="193"/>
      <c r="M56" s="622">
        <f>I56*E56</f>
        <v>1701.403</v>
      </c>
      <c r="N56" s="194">
        <v>30.14</v>
      </c>
      <c r="O56" s="622">
        <f t="shared" ref="O56" si="65">TRUNC(N56*E56,2)</f>
        <v>1701.4</v>
      </c>
      <c r="P56" s="560">
        <v>0</v>
      </c>
      <c r="Q56" s="622">
        <f t="shared" si="63"/>
        <v>0</v>
      </c>
      <c r="R56" s="194">
        <f t="shared" ref="R56" si="66">P56+N56</f>
        <v>30.14</v>
      </c>
      <c r="S56" s="630">
        <f t="shared" ref="S56" si="67">TRUNC(R56*E56,2)</f>
        <v>1701.4</v>
      </c>
      <c r="T56" s="194">
        <f t="shared" si="59"/>
        <v>0</v>
      </c>
      <c r="U56" s="630">
        <f t="shared" si="64"/>
        <v>0</v>
      </c>
    </row>
    <row r="57" spans="1:21">
      <c r="A57" s="138"/>
      <c r="B57" s="132"/>
      <c r="C57" s="123"/>
      <c r="D57" s="123"/>
      <c r="E57" s="123"/>
      <c r="F57" s="123"/>
      <c r="G57" s="123"/>
      <c r="H57" s="123"/>
      <c r="I57" s="123"/>
      <c r="J57" s="123"/>
      <c r="K57" s="123"/>
      <c r="L57" s="123"/>
      <c r="M57" s="623"/>
      <c r="N57" s="123"/>
      <c r="O57" s="623"/>
      <c r="P57" s="123"/>
      <c r="Q57" s="623"/>
      <c r="R57" s="123"/>
      <c r="S57" s="631"/>
      <c r="T57" s="123"/>
      <c r="U57" s="631"/>
    </row>
    <row r="58" spans="1:21" s="213" customFormat="1">
      <c r="A58" s="210" t="s">
        <v>22</v>
      </c>
      <c r="B58" s="211"/>
      <c r="C58" s="655" t="s">
        <v>56</v>
      </c>
      <c r="D58" s="197"/>
      <c r="E58" s="198"/>
      <c r="F58" s="199"/>
      <c r="G58" s="199"/>
      <c r="H58" s="199"/>
      <c r="I58" s="200"/>
      <c r="J58" s="200">
        <f>SUBTOTAL(9,J59:J63)</f>
        <v>4949.4133999999995</v>
      </c>
      <c r="K58" s="200"/>
      <c r="L58" s="200"/>
      <c r="M58" s="620"/>
      <c r="N58" s="201"/>
      <c r="O58" s="620">
        <f>SUBTOTAL(9,O59:O63)</f>
        <v>4949.41</v>
      </c>
      <c r="P58" s="201"/>
      <c r="Q58" s="620">
        <f>SUBTOTAL(9,Q59:Q63)</f>
        <v>0</v>
      </c>
      <c r="R58" s="200"/>
      <c r="S58" s="620">
        <f>SUBTOTAL(9,S59:S63)</f>
        <v>4949.41</v>
      </c>
      <c r="T58" s="200">
        <f t="shared" ref="T58:T66" si="68">F58-R58</f>
        <v>0</v>
      </c>
      <c r="U58" s="620">
        <f>SUBTOTAL(9,U59:U63)</f>
        <v>0</v>
      </c>
    </row>
    <row r="59" spans="1:21" s="131" customFormat="1">
      <c r="A59" s="137" t="s">
        <v>110</v>
      </c>
      <c r="B59" s="133"/>
      <c r="C59" s="658" t="s">
        <v>111</v>
      </c>
      <c r="D59" s="126"/>
      <c r="E59" s="127"/>
      <c r="F59" s="128"/>
      <c r="G59" s="128"/>
      <c r="H59" s="128"/>
      <c r="I59" s="129"/>
      <c r="J59" s="129">
        <f>SUBTOTAL(9,J60:J63)</f>
        <v>4949.4133999999995</v>
      </c>
      <c r="K59" s="129"/>
      <c r="L59" s="129"/>
      <c r="M59" s="624"/>
      <c r="N59" s="130"/>
      <c r="O59" s="624">
        <f>SUBTOTAL(9,O60:O63)</f>
        <v>4949.41</v>
      </c>
      <c r="P59" s="130"/>
      <c r="Q59" s="624">
        <f>SUBTOTAL(9,Q60:Q63)</f>
        <v>0</v>
      </c>
      <c r="R59" s="129"/>
      <c r="S59" s="624">
        <f>SUBTOTAL(9,S60:S63)</f>
        <v>4949.41</v>
      </c>
      <c r="T59" s="129">
        <f t="shared" si="68"/>
        <v>0</v>
      </c>
      <c r="U59" s="624">
        <f>SUBTOTAL(9,U60:U63)</f>
        <v>0</v>
      </c>
    </row>
    <row r="60" spans="1:21">
      <c r="A60" s="190" t="s">
        <v>112</v>
      </c>
      <c r="B60" s="191">
        <v>30103</v>
      </c>
      <c r="C60" s="657" t="s">
        <v>116</v>
      </c>
      <c r="D60" s="192" t="s">
        <v>58</v>
      </c>
      <c r="E60" s="193">
        <v>9.81</v>
      </c>
      <c r="F60" s="194">
        <v>75.569999999999993</v>
      </c>
      <c r="G60" s="194"/>
      <c r="H60" s="194"/>
      <c r="I60" s="193">
        <f>F60+G60-H60</f>
        <v>75.569999999999993</v>
      </c>
      <c r="J60" s="193">
        <f>I60*E60</f>
        <v>741.34169999999995</v>
      </c>
      <c r="K60" s="193"/>
      <c r="L60" s="193"/>
      <c r="M60" s="622">
        <f>I60*E60</f>
        <v>741.34169999999995</v>
      </c>
      <c r="N60" s="194">
        <v>75.569999999999993</v>
      </c>
      <c r="O60" s="622">
        <f t="shared" ref="O60" si="69">TRUNC(N60*E60,2)</f>
        <v>741.34</v>
      </c>
      <c r="P60" s="560">
        <v>0</v>
      </c>
      <c r="Q60" s="622">
        <f t="shared" ref="Q60" si="70">S60-O60</f>
        <v>0</v>
      </c>
      <c r="R60" s="194">
        <f t="shared" ref="R60" si="71">P60+N60</f>
        <v>75.569999999999993</v>
      </c>
      <c r="S60" s="630">
        <f t="shared" ref="S60" si="72">TRUNC(R60*E60,2)</f>
        <v>741.34</v>
      </c>
      <c r="T60" s="194">
        <f t="shared" si="68"/>
        <v>0</v>
      </c>
      <c r="U60" s="630">
        <f t="shared" ref="U60:U63" si="73">T60*E60</f>
        <v>0</v>
      </c>
    </row>
    <row r="61" spans="1:21" ht="25.5">
      <c r="A61" s="190" t="s">
        <v>113</v>
      </c>
      <c r="B61" s="191">
        <v>30210</v>
      </c>
      <c r="C61" s="657" t="s">
        <v>117</v>
      </c>
      <c r="D61" s="192" t="s">
        <v>58</v>
      </c>
      <c r="E61" s="193">
        <v>25.99</v>
      </c>
      <c r="F61" s="194">
        <v>12.88</v>
      </c>
      <c r="G61" s="194"/>
      <c r="H61" s="194"/>
      <c r="I61" s="193">
        <f t="shared" ref="I61:I63" si="74">F61+G61-H61</f>
        <v>12.88</v>
      </c>
      <c r="J61" s="193">
        <f t="shared" ref="J61:J63" si="75">I61*E61</f>
        <v>334.75119999999998</v>
      </c>
      <c r="K61" s="193"/>
      <c r="L61" s="193"/>
      <c r="M61" s="622">
        <f t="shared" ref="M61:M63" si="76">I61*E61</f>
        <v>334.75119999999998</v>
      </c>
      <c r="N61" s="194">
        <v>12.88</v>
      </c>
      <c r="O61" s="622">
        <f>TRUNC(N61*E61,2)</f>
        <v>334.75</v>
      </c>
      <c r="P61" s="560">
        <v>0</v>
      </c>
      <c r="Q61" s="622">
        <f>S61-O61</f>
        <v>0</v>
      </c>
      <c r="R61" s="194">
        <f>P61+N61</f>
        <v>12.88</v>
      </c>
      <c r="S61" s="630">
        <f>TRUNC(R61*E61,2)</f>
        <v>334.75</v>
      </c>
      <c r="T61" s="194">
        <f t="shared" si="68"/>
        <v>0</v>
      </c>
      <c r="U61" s="630">
        <f t="shared" si="73"/>
        <v>0</v>
      </c>
    </row>
    <row r="62" spans="1:21">
      <c r="A62" s="190" t="s">
        <v>114</v>
      </c>
      <c r="B62" s="191">
        <v>10404</v>
      </c>
      <c r="C62" s="657" t="s">
        <v>118</v>
      </c>
      <c r="D62" s="192" t="s">
        <v>59</v>
      </c>
      <c r="E62" s="193">
        <v>111.49</v>
      </c>
      <c r="F62" s="194">
        <v>3</v>
      </c>
      <c r="G62" s="194"/>
      <c r="H62" s="194"/>
      <c r="I62" s="193">
        <f t="shared" si="74"/>
        <v>3</v>
      </c>
      <c r="J62" s="193">
        <f t="shared" si="75"/>
        <v>334.46999999999997</v>
      </c>
      <c r="K62" s="193"/>
      <c r="L62" s="193"/>
      <c r="M62" s="622">
        <f t="shared" si="76"/>
        <v>334.46999999999997</v>
      </c>
      <c r="N62" s="194">
        <v>3</v>
      </c>
      <c r="O62" s="622">
        <f t="shared" ref="O62:O63" si="77">TRUNC(N62*E62,2)</f>
        <v>334.47</v>
      </c>
      <c r="P62" s="560">
        <v>0</v>
      </c>
      <c r="Q62" s="622">
        <f t="shared" ref="Q62:Q63" si="78">S62-O62</f>
        <v>0</v>
      </c>
      <c r="R62" s="194">
        <f t="shared" ref="R62:R63" si="79">P62+N62</f>
        <v>3</v>
      </c>
      <c r="S62" s="630">
        <f t="shared" ref="S62:S63" si="80">TRUNC(R62*E62,2)</f>
        <v>334.47</v>
      </c>
      <c r="T62" s="194">
        <f t="shared" si="68"/>
        <v>0</v>
      </c>
      <c r="U62" s="630">
        <f t="shared" si="73"/>
        <v>0</v>
      </c>
    </row>
    <row r="63" spans="1:21" ht="38.25">
      <c r="A63" s="190" t="s">
        <v>115</v>
      </c>
      <c r="B63" s="191">
        <v>30304</v>
      </c>
      <c r="C63" s="657" t="s">
        <v>109</v>
      </c>
      <c r="D63" s="192" t="s">
        <v>58</v>
      </c>
      <c r="E63" s="193">
        <v>56.45</v>
      </c>
      <c r="F63" s="194">
        <v>62.69</v>
      </c>
      <c r="G63" s="194"/>
      <c r="H63" s="194"/>
      <c r="I63" s="193">
        <f t="shared" si="74"/>
        <v>62.69</v>
      </c>
      <c r="J63" s="193">
        <f t="shared" si="75"/>
        <v>3538.8505</v>
      </c>
      <c r="K63" s="193"/>
      <c r="L63" s="193"/>
      <c r="M63" s="622">
        <f t="shared" si="76"/>
        <v>3538.8505</v>
      </c>
      <c r="N63" s="194">
        <v>62.69</v>
      </c>
      <c r="O63" s="622">
        <f t="shared" si="77"/>
        <v>3538.85</v>
      </c>
      <c r="P63" s="560">
        <v>0</v>
      </c>
      <c r="Q63" s="622">
        <f t="shared" si="78"/>
        <v>0</v>
      </c>
      <c r="R63" s="194">
        <f t="shared" si="79"/>
        <v>62.69</v>
      </c>
      <c r="S63" s="630">
        <f t="shared" si="80"/>
        <v>3538.85</v>
      </c>
      <c r="T63" s="194">
        <f t="shared" si="68"/>
        <v>0</v>
      </c>
      <c r="U63" s="630">
        <f t="shared" si="73"/>
        <v>0</v>
      </c>
    </row>
    <row r="64" spans="1:21" s="213" customFormat="1">
      <c r="A64" s="210" t="s">
        <v>23</v>
      </c>
      <c r="B64" s="211"/>
      <c r="C64" s="655" t="s">
        <v>119</v>
      </c>
      <c r="D64" s="197"/>
      <c r="E64" s="198"/>
      <c r="F64" s="199"/>
      <c r="G64" s="199"/>
      <c r="H64" s="199"/>
      <c r="I64" s="200"/>
      <c r="J64" s="200">
        <f>SUBTOTAL(9,J65:J135)</f>
        <v>370258.19620000012</v>
      </c>
      <c r="K64" s="200"/>
      <c r="L64" s="200"/>
      <c r="M64" s="620"/>
      <c r="N64" s="201"/>
      <c r="O64" s="620">
        <f>SUBTOTAL(9,O65:O135)</f>
        <v>221597.22000000009</v>
      </c>
      <c r="P64" s="201"/>
      <c r="Q64" s="620">
        <f>SUBTOTAL(9,Q65:Q135)</f>
        <v>46688.159999999996</v>
      </c>
      <c r="R64" s="200"/>
      <c r="S64" s="620">
        <f>SUBTOTAL(9,S65:S135)</f>
        <v>269162.25000000012</v>
      </c>
      <c r="T64" s="200">
        <f t="shared" si="68"/>
        <v>0</v>
      </c>
      <c r="U64" s="620">
        <f>SUBTOTAL(9,U65:U135)</f>
        <v>101095.12041999999</v>
      </c>
    </row>
    <row r="65" spans="1:21" s="131" customFormat="1">
      <c r="A65" s="137" t="s">
        <v>121</v>
      </c>
      <c r="B65" s="133"/>
      <c r="C65" s="658" t="s">
        <v>98</v>
      </c>
      <c r="D65" s="126"/>
      <c r="E65" s="127"/>
      <c r="F65" s="128"/>
      <c r="G65" s="128"/>
      <c r="H65" s="128"/>
      <c r="I65" s="129"/>
      <c r="J65" s="129">
        <f>SUBTOTAL(9,J66:J67)</f>
        <v>2421.797</v>
      </c>
      <c r="K65" s="129"/>
      <c r="L65" s="129"/>
      <c r="M65" s="624"/>
      <c r="N65" s="130"/>
      <c r="O65" s="624">
        <f>SUBTOTAL(9,O66)</f>
        <v>1544.92</v>
      </c>
      <c r="P65" s="130"/>
      <c r="Q65" s="624">
        <f>SUBTOTAL(9,Q66)</f>
        <v>0</v>
      </c>
      <c r="R65" s="129"/>
      <c r="S65" s="624">
        <f>SUBTOTAL(9,S66)</f>
        <v>1544.92</v>
      </c>
      <c r="T65" s="129">
        <f t="shared" si="68"/>
        <v>0</v>
      </c>
      <c r="U65" s="624">
        <f>SUBTOTAL(9,U66)</f>
        <v>0</v>
      </c>
    </row>
    <row r="66" spans="1:21" ht="14.25" customHeight="1">
      <c r="A66" s="190" t="s">
        <v>120</v>
      </c>
      <c r="B66" s="191">
        <v>10501</v>
      </c>
      <c r="C66" s="657" t="s">
        <v>122</v>
      </c>
      <c r="D66" s="192" t="s">
        <v>57</v>
      </c>
      <c r="E66" s="193">
        <v>7.69</v>
      </c>
      <c r="F66" s="194">
        <v>200.9</v>
      </c>
      <c r="G66" s="194"/>
      <c r="H66" s="194"/>
      <c r="I66" s="193">
        <f t="shared" ref="I66" si="81">F66+G66-H66</f>
        <v>200.9</v>
      </c>
      <c r="J66" s="193">
        <f t="shared" ref="J66" si="82">I66*E66</f>
        <v>1544.921</v>
      </c>
      <c r="K66" s="193"/>
      <c r="L66" s="193"/>
      <c r="M66" s="622">
        <f t="shared" ref="M66" si="83">I66*E66</f>
        <v>1544.921</v>
      </c>
      <c r="N66" s="194">
        <f>'2.3.1.1'!R18</f>
        <v>200.9</v>
      </c>
      <c r="O66" s="622">
        <f t="shared" ref="O66" si="84">TRUNC(N66*E66,2)</f>
        <v>1544.92</v>
      </c>
      <c r="P66" s="194">
        <f>'2.3.1.1'!R19</f>
        <v>0</v>
      </c>
      <c r="Q66" s="622">
        <f t="shared" ref="Q66" si="85">S66-O66</f>
        <v>0</v>
      </c>
      <c r="R66" s="194">
        <f t="shared" ref="R66:R67" si="86">P66+N66</f>
        <v>200.9</v>
      </c>
      <c r="S66" s="630">
        <f t="shared" ref="S66:S67" si="87">TRUNC(R66*E66,2)</f>
        <v>1544.92</v>
      </c>
      <c r="T66" s="194">
        <f t="shared" si="68"/>
        <v>0</v>
      </c>
      <c r="U66" s="630">
        <f t="shared" ref="U66" si="88">T66*E66</f>
        <v>0</v>
      </c>
    </row>
    <row r="67" spans="1:21">
      <c r="A67" s="190" t="s">
        <v>1094</v>
      </c>
      <c r="B67" s="191" t="str">
        <f>REPLANILHAMENTO!B53</f>
        <v>020346</v>
      </c>
      <c r="C67" s="657" t="str">
        <f>REPLANILHAMENTO!D53</f>
        <v>Locação de andaime metálico para fachada - tipo torre (aluguel mensal)</v>
      </c>
      <c r="D67" s="192" t="str">
        <f>REPLANILHAMENTO!E53</f>
        <v>m</v>
      </c>
      <c r="E67" s="193">
        <f>REPLANILHAMENTO!F53</f>
        <v>8.0299999999999994</v>
      </c>
      <c r="F67" s="194">
        <v>0</v>
      </c>
      <c r="G67" s="194">
        <f>REPLANILHAMENTO!H53</f>
        <v>109.2</v>
      </c>
      <c r="H67" s="194"/>
      <c r="I67" s="194">
        <f>F67+G67-H67</f>
        <v>109.2</v>
      </c>
      <c r="J67" s="193">
        <f>I67*E67</f>
        <v>876.87599999999998</v>
      </c>
      <c r="K67" s="193">
        <f>G67*E67</f>
        <v>876.87599999999998</v>
      </c>
      <c r="L67" s="193"/>
      <c r="M67" s="622">
        <f>J67+K67-L67</f>
        <v>1753.752</v>
      </c>
      <c r="N67" s="560">
        <v>109.2</v>
      </c>
      <c r="O67" s="622">
        <v>0</v>
      </c>
      <c r="P67" s="560">
        <v>0</v>
      </c>
      <c r="Q67" s="622">
        <f>P67*E67</f>
        <v>0</v>
      </c>
      <c r="R67" s="622">
        <f t="shared" si="86"/>
        <v>109.2</v>
      </c>
      <c r="S67" s="622">
        <f t="shared" si="87"/>
        <v>876.87</v>
      </c>
      <c r="T67" s="194">
        <f>I67-R67</f>
        <v>0</v>
      </c>
      <c r="U67" s="630">
        <f t="shared" ref="U67" si="89">T67*E67</f>
        <v>0</v>
      </c>
    </row>
    <row r="68" spans="1:21">
      <c r="A68" s="138"/>
      <c r="B68" s="132"/>
      <c r="C68" s="123"/>
      <c r="D68" s="123"/>
      <c r="E68" s="123"/>
      <c r="F68" s="123"/>
      <c r="G68" s="123"/>
      <c r="H68" s="123"/>
      <c r="I68" s="123"/>
      <c r="J68" s="123"/>
      <c r="K68" s="123"/>
      <c r="L68" s="123"/>
      <c r="M68" s="623"/>
      <c r="N68" s="123"/>
      <c r="O68" s="623"/>
      <c r="P68" s="123"/>
      <c r="Q68" s="623"/>
      <c r="R68" s="123"/>
      <c r="S68" s="631"/>
      <c r="T68" s="123"/>
      <c r="U68" s="631"/>
    </row>
    <row r="69" spans="1:21" s="131" customFormat="1">
      <c r="A69" s="137" t="s">
        <v>123</v>
      </c>
      <c r="B69" s="133"/>
      <c r="C69" s="658" t="s">
        <v>124</v>
      </c>
      <c r="D69" s="126"/>
      <c r="E69" s="127"/>
      <c r="F69" s="128"/>
      <c r="G69" s="128"/>
      <c r="H69" s="128"/>
      <c r="I69" s="129">
        <v>121328.59</v>
      </c>
      <c r="J69" s="129">
        <f>SUBTOTAL(9,J70:J80)</f>
        <v>121328.59760000001</v>
      </c>
      <c r="K69" s="129"/>
      <c r="L69" s="129"/>
      <c r="M69" s="624"/>
      <c r="N69" s="130"/>
      <c r="O69" s="624">
        <f>SUBTOTAL(9,O70:O80)</f>
        <v>116536.23</v>
      </c>
      <c r="P69" s="130"/>
      <c r="Q69" s="624">
        <f>SUBTOTAL(9,Q70:Q80)</f>
        <v>0</v>
      </c>
      <c r="R69" s="129"/>
      <c r="S69" s="624">
        <f>SUBTOTAL(9,S70:S80)</f>
        <v>116536.23</v>
      </c>
      <c r="T69" s="129">
        <f t="shared" ref="T69:T83" si="90">F69-R69</f>
        <v>0</v>
      </c>
      <c r="U69" s="624">
        <f>SUBTOTAL(9,U70:U80)</f>
        <v>4791.6359999999968</v>
      </c>
    </row>
    <row r="70" spans="1:21" ht="25.5">
      <c r="A70" s="190" t="s">
        <v>125</v>
      </c>
      <c r="B70" s="191" t="s">
        <v>136</v>
      </c>
      <c r="C70" s="657" t="s">
        <v>141</v>
      </c>
      <c r="D70" s="192" t="s">
        <v>60</v>
      </c>
      <c r="E70" s="193">
        <v>462.96</v>
      </c>
      <c r="F70" s="194">
        <v>85</v>
      </c>
      <c r="G70" s="194"/>
      <c r="H70" s="194"/>
      <c r="I70" s="193">
        <f t="shared" ref="I70" si="91">F70+G70-H70</f>
        <v>85</v>
      </c>
      <c r="J70" s="193">
        <f t="shared" ref="J70" si="92">I70*E70</f>
        <v>39351.599999999999</v>
      </c>
      <c r="K70" s="193"/>
      <c r="L70" s="193"/>
      <c r="M70" s="622">
        <f t="shared" ref="M70" si="93">I70*E70</f>
        <v>39351.599999999999</v>
      </c>
      <c r="N70" s="194">
        <f>'2.3.2.1'!R26</f>
        <v>74.650000000000006</v>
      </c>
      <c r="O70" s="622">
        <f t="shared" ref="O70" si="94">TRUNC(N70*E70,2)</f>
        <v>34559.96</v>
      </c>
      <c r="P70" s="560">
        <f>'2.3.2.1'!R27</f>
        <v>0</v>
      </c>
      <c r="Q70" s="622">
        <f t="shared" ref="Q70" si="95">S70-O70</f>
        <v>0</v>
      </c>
      <c r="R70" s="194">
        <f>P70+N70</f>
        <v>74.650000000000006</v>
      </c>
      <c r="S70" s="630">
        <f t="shared" ref="S70" si="96">TRUNC(R70*E70,2)</f>
        <v>34559.96</v>
      </c>
      <c r="T70" s="194">
        <f t="shared" si="90"/>
        <v>10.349999999999994</v>
      </c>
      <c r="U70" s="630">
        <f t="shared" ref="U70:U80" si="97">T70*E70</f>
        <v>4791.6359999999968</v>
      </c>
    </row>
    <row r="71" spans="1:21">
      <c r="A71" s="190" t="s">
        <v>126</v>
      </c>
      <c r="B71" s="191" t="s">
        <v>137</v>
      </c>
      <c r="C71" s="657" t="s">
        <v>142</v>
      </c>
      <c r="D71" s="192" t="s">
        <v>49</v>
      </c>
      <c r="E71" s="193">
        <v>596.34</v>
      </c>
      <c r="F71" s="194">
        <v>35.71</v>
      </c>
      <c r="G71" s="194"/>
      <c r="H71" s="194"/>
      <c r="I71" s="194">
        <f t="shared" ref="I71:I80" si="98">F71+G71-H71</f>
        <v>35.71</v>
      </c>
      <c r="J71" s="193">
        <f t="shared" ref="J71:J80" si="99">I71*E71</f>
        <v>21295.3014</v>
      </c>
      <c r="K71" s="193"/>
      <c r="L71" s="193"/>
      <c r="M71" s="622">
        <f t="shared" ref="M71:M80" si="100">I71*E71</f>
        <v>21295.3014</v>
      </c>
      <c r="N71" s="194">
        <f>'2.3.2.2'!R18</f>
        <v>35.708800000000004</v>
      </c>
      <c r="O71" s="622">
        <f>TRUNC(N71*E71,2)</f>
        <v>21294.58</v>
      </c>
      <c r="P71" s="194">
        <v>0</v>
      </c>
      <c r="Q71" s="630">
        <f>S71-O71</f>
        <v>0</v>
      </c>
      <c r="R71" s="194">
        <f>P71+N71</f>
        <v>35.708800000000004</v>
      </c>
      <c r="S71" s="630">
        <f>TRUNC(R71*E71,2)</f>
        <v>21294.58</v>
      </c>
      <c r="T71" s="194">
        <v>0</v>
      </c>
      <c r="U71" s="630">
        <f t="shared" si="97"/>
        <v>0</v>
      </c>
    </row>
    <row r="72" spans="1:21" ht="27" customHeight="1">
      <c r="A72" s="190" t="s">
        <v>127</v>
      </c>
      <c r="B72" s="191" t="s">
        <v>138</v>
      </c>
      <c r="C72" s="657" t="s">
        <v>143</v>
      </c>
      <c r="D72" s="192" t="s">
        <v>29</v>
      </c>
      <c r="E72" s="193">
        <v>4.82</v>
      </c>
      <c r="F72" s="194">
        <v>512</v>
      </c>
      <c r="G72" s="194"/>
      <c r="H72" s="194"/>
      <c r="I72" s="193">
        <f t="shared" si="98"/>
        <v>512</v>
      </c>
      <c r="J72" s="193">
        <f t="shared" si="99"/>
        <v>2467.84</v>
      </c>
      <c r="K72" s="193"/>
      <c r="L72" s="193"/>
      <c r="M72" s="622">
        <f t="shared" si="100"/>
        <v>2467.84</v>
      </c>
      <c r="N72" s="194">
        <f>'2.3.2.3'!R18</f>
        <v>512</v>
      </c>
      <c r="O72" s="622">
        <f t="shared" ref="O72:O78" si="101">TRUNC(N72*E72,2)</f>
        <v>2467.84</v>
      </c>
      <c r="P72" s="194">
        <f>'2.3.2.3'!R19</f>
        <v>0</v>
      </c>
      <c r="Q72" s="622">
        <f t="shared" ref="Q72:Q78" si="102">S72-O72</f>
        <v>0</v>
      </c>
      <c r="R72" s="194">
        <f t="shared" ref="R72:R78" si="103">P72+N72</f>
        <v>512</v>
      </c>
      <c r="S72" s="630">
        <f t="shared" ref="S72:S78" si="104">TRUNC(R72*E72,2)</f>
        <v>2467.84</v>
      </c>
      <c r="T72" s="194">
        <f>I72-R72</f>
        <v>0</v>
      </c>
      <c r="U72" s="630">
        <f t="shared" si="97"/>
        <v>0</v>
      </c>
    </row>
    <row r="73" spans="1:21" ht="25.5">
      <c r="A73" s="190" t="s">
        <v>128</v>
      </c>
      <c r="B73" s="191" t="s">
        <v>139</v>
      </c>
      <c r="C73" s="657" t="s">
        <v>144</v>
      </c>
      <c r="D73" s="192" t="s">
        <v>29</v>
      </c>
      <c r="E73" s="193">
        <v>6.12</v>
      </c>
      <c r="F73" s="194">
        <v>4419.01</v>
      </c>
      <c r="G73" s="194"/>
      <c r="H73" s="194"/>
      <c r="I73" s="193">
        <f t="shared" si="98"/>
        <v>4419.01</v>
      </c>
      <c r="J73" s="193">
        <f t="shared" si="99"/>
        <v>27044.341200000003</v>
      </c>
      <c r="K73" s="193"/>
      <c r="L73" s="193"/>
      <c r="M73" s="622">
        <f t="shared" si="100"/>
        <v>27044.341200000003</v>
      </c>
      <c r="N73" s="194">
        <f>'2.3.2.4'!R18</f>
        <v>4419.01</v>
      </c>
      <c r="O73" s="622">
        <f t="shared" si="101"/>
        <v>27044.34</v>
      </c>
      <c r="P73" s="194">
        <f>'2.3.2.4'!R19</f>
        <v>0</v>
      </c>
      <c r="Q73" s="622">
        <f t="shared" si="102"/>
        <v>0</v>
      </c>
      <c r="R73" s="194">
        <f t="shared" si="103"/>
        <v>4419.01</v>
      </c>
      <c r="S73" s="630">
        <f t="shared" si="104"/>
        <v>27044.34</v>
      </c>
      <c r="T73" s="194">
        <f t="shared" ref="T73:T80" si="105">I73-R73</f>
        <v>0</v>
      </c>
      <c r="U73" s="630">
        <f t="shared" si="97"/>
        <v>0</v>
      </c>
    </row>
    <row r="74" spans="1:21" ht="25.5">
      <c r="A74" s="190" t="s">
        <v>129</v>
      </c>
      <c r="B74" s="191">
        <v>30101</v>
      </c>
      <c r="C74" s="657" t="s">
        <v>145</v>
      </c>
      <c r="D74" s="192" t="s">
        <v>58</v>
      </c>
      <c r="E74" s="193">
        <v>48.58</v>
      </c>
      <c r="F74" s="194">
        <v>6.3</v>
      </c>
      <c r="G74" s="194"/>
      <c r="H74" s="194"/>
      <c r="I74" s="193">
        <f t="shared" si="98"/>
        <v>6.3</v>
      </c>
      <c r="J74" s="193">
        <f t="shared" si="99"/>
        <v>306.05399999999997</v>
      </c>
      <c r="K74" s="193"/>
      <c r="L74" s="193"/>
      <c r="M74" s="622">
        <f t="shared" si="100"/>
        <v>306.05399999999997</v>
      </c>
      <c r="N74" s="194">
        <f>'2.3.2.5'!R18</f>
        <v>6.3</v>
      </c>
      <c r="O74" s="622">
        <f t="shared" si="101"/>
        <v>306.05</v>
      </c>
      <c r="P74" s="194">
        <f>'2.3.2.5'!R19</f>
        <v>0</v>
      </c>
      <c r="Q74" s="622">
        <f t="shared" si="102"/>
        <v>0</v>
      </c>
      <c r="R74" s="194">
        <f t="shared" si="103"/>
        <v>6.3</v>
      </c>
      <c r="S74" s="630">
        <f t="shared" si="104"/>
        <v>306.05</v>
      </c>
      <c r="T74" s="194">
        <f t="shared" si="105"/>
        <v>0</v>
      </c>
      <c r="U74" s="630">
        <f t="shared" si="97"/>
        <v>0</v>
      </c>
    </row>
    <row r="75" spans="1:21" ht="63" customHeight="1">
      <c r="A75" s="190" t="s">
        <v>130</v>
      </c>
      <c r="B75" s="191">
        <v>40339</v>
      </c>
      <c r="C75" s="657" t="s">
        <v>146</v>
      </c>
      <c r="D75" s="192" t="s">
        <v>57</v>
      </c>
      <c r="E75" s="193">
        <v>91.04</v>
      </c>
      <c r="F75" s="194">
        <v>108</v>
      </c>
      <c r="G75" s="194"/>
      <c r="H75" s="194"/>
      <c r="I75" s="193">
        <f t="shared" si="98"/>
        <v>108</v>
      </c>
      <c r="J75" s="193">
        <f t="shared" si="99"/>
        <v>9832.3200000000015</v>
      </c>
      <c r="K75" s="193"/>
      <c r="L75" s="193"/>
      <c r="M75" s="622">
        <f t="shared" si="100"/>
        <v>9832.3200000000015</v>
      </c>
      <c r="N75" s="194">
        <v>108</v>
      </c>
      <c r="O75" s="622">
        <f t="shared" si="101"/>
        <v>9832.32</v>
      </c>
      <c r="P75" s="194"/>
      <c r="Q75" s="622">
        <f t="shared" si="102"/>
        <v>0</v>
      </c>
      <c r="R75" s="194">
        <f t="shared" si="103"/>
        <v>108</v>
      </c>
      <c r="S75" s="630">
        <f t="shared" si="104"/>
        <v>9832.32</v>
      </c>
      <c r="T75" s="194">
        <f t="shared" si="105"/>
        <v>0</v>
      </c>
      <c r="U75" s="630">
        <f t="shared" si="97"/>
        <v>0</v>
      </c>
    </row>
    <row r="76" spans="1:21" ht="25.5">
      <c r="A76" s="190" t="s">
        <v>131</v>
      </c>
      <c r="B76" s="191">
        <v>40328</v>
      </c>
      <c r="C76" s="657" t="s">
        <v>147</v>
      </c>
      <c r="D76" s="192" t="s">
        <v>29</v>
      </c>
      <c r="E76" s="193">
        <v>7.98</v>
      </c>
      <c r="F76" s="194">
        <v>594</v>
      </c>
      <c r="G76" s="194"/>
      <c r="H76" s="194"/>
      <c r="I76" s="193">
        <f t="shared" si="98"/>
        <v>594</v>
      </c>
      <c r="J76" s="193">
        <f t="shared" si="99"/>
        <v>4740.12</v>
      </c>
      <c r="K76" s="193"/>
      <c r="L76" s="193"/>
      <c r="M76" s="622">
        <f t="shared" si="100"/>
        <v>4740.12</v>
      </c>
      <c r="N76" s="194">
        <v>594</v>
      </c>
      <c r="O76" s="622">
        <f t="shared" si="101"/>
        <v>4740.12</v>
      </c>
      <c r="P76" s="194"/>
      <c r="Q76" s="622">
        <f t="shared" si="102"/>
        <v>0</v>
      </c>
      <c r="R76" s="194">
        <f t="shared" si="103"/>
        <v>594</v>
      </c>
      <c r="S76" s="630">
        <f t="shared" si="104"/>
        <v>4740.12</v>
      </c>
      <c r="T76" s="194">
        <f t="shared" si="105"/>
        <v>0</v>
      </c>
      <c r="U76" s="630">
        <f t="shared" si="97"/>
        <v>0</v>
      </c>
    </row>
    <row r="77" spans="1:21" ht="25.5">
      <c r="A77" s="190" t="s">
        <v>132</v>
      </c>
      <c r="B77" s="191">
        <v>40245</v>
      </c>
      <c r="C77" s="657" t="s">
        <v>148</v>
      </c>
      <c r="D77" s="192" t="s">
        <v>29</v>
      </c>
      <c r="E77" s="193">
        <v>8.41</v>
      </c>
      <c r="F77" s="194">
        <v>40</v>
      </c>
      <c r="G77" s="194"/>
      <c r="H77" s="194"/>
      <c r="I77" s="193">
        <f t="shared" si="98"/>
        <v>40</v>
      </c>
      <c r="J77" s="193">
        <f t="shared" si="99"/>
        <v>336.4</v>
      </c>
      <c r="K77" s="193"/>
      <c r="L77" s="193"/>
      <c r="M77" s="622">
        <f t="shared" si="100"/>
        <v>336.4</v>
      </c>
      <c r="N77" s="194">
        <v>40</v>
      </c>
      <c r="O77" s="622">
        <f t="shared" si="101"/>
        <v>336.4</v>
      </c>
      <c r="P77" s="194"/>
      <c r="Q77" s="622">
        <f t="shared" si="102"/>
        <v>0</v>
      </c>
      <c r="R77" s="194">
        <f t="shared" si="103"/>
        <v>40</v>
      </c>
      <c r="S77" s="630">
        <f t="shared" si="104"/>
        <v>336.4</v>
      </c>
      <c r="T77" s="194">
        <f t="shared" si="105"/>
        <v>0</v>
      </c>
      <c r="U77" s="630">
        <f t="shared" si="97"/>
        <v>0</v>
      </c>
    </row>
    <row r="78" spans="1:21" ht="25.5">
      <c r="A78" s="190" t="s">
        <v>133</v>
      </c>
      <c r="B78" s="191">
        <v>40246</v>
      </c>
      <c r="C78" s="657" t="s">
        <v>149</v>
      </c>
      <c r="D78" s="192" t="s">
        <v>29</v>
      </c>
      <c r="E78" s="193">
        <v>8.08</v>
      </c>
      <c r="F78" s="194">
        <v>29</v>
      </c>
      <c r="G78" s="194"/>
      <c r="H78" s="194"/>
      <c r="I78" s="193">
        <f t="shared" si="98"/>
        <v>29</v>
      </c>
      <c r="J78" s="193">
        <f t="shared" si="99"/>
        <v>234.32</v>
      </c>
      <c r="K78" s="193"/>
      <c r="L78" s="193"/>
      <c r="M78" s="622">
        <f t="shared" si="100"/>
        <v>234.32</v>
      </c>
      <c r="N78" s="194">
        <v>29</v>
      </c>
      <c r="O78" s="622">
        <f t="shared" si="101"/>
        <v>234.32</v>
      </c>
      <c r="P78" s="194"/>
      <c r="Q78" s="622">
        <f t="shared" si="102"/>
        <v>0</v>
      </c>
      <c r="R78" s="194">
        <f t="shared" si="103"/>
        <v>29</v>
      </c>
      <c r="S78" s="630">
        <f t="shared" si="104"/>
        <v>234.32</v>
      </c>
      <c r="T78" s="194">
        <f t="shared" si="105"/>
        <v>0</v>
      </c>
      <c r="U78" s="630">
        <f t="shared" si="97"/>
        <v>0</v>
      </c>
    </row>
    <row r="79" spans="1:21" ht="42.75" customHeight="1">
      <c r="A79" s="190" t="s">
        <v>134</v>
      </c>
      <c r="B79" s="191" t="s">
        <v>140</v>
      </c>
      <c r="C79" s="657" t="s">
        <v>150</v>
      </c>
      <c r="D79" s="192" t="s">
        <v>58</v>
      </c>
      <c r="E79" s="193">
        <v>486.08</v>
      </c>
      <c r="F79" s="194">
        <v>14.5</v>
      </c>
      <c r="G79" s="194"/>
      <c r="H79" s="194"/>
      <c r="I79" s="193">
        <f t="shared" si="98"/>
        <v>14.5</v>
      </c>
      <c r="J79" s="193">
        <f t="shared" si="99"/>
        <v>7048.16</v>
      </c>
      <c r="K79" s="193"/>
      <c r="L79" s="193"/>
      <c r="M79" s="622">
        <f t="shared" si="100"/>
        <v>7048.16</v>
      </c>
      <c r="N79" s="194">
        <v>14.5</v>
      </c>
      <c r="O79" s="622">
        <f>TRUNC(N79*E79,2)</f>
        <v>7048.16</v>
      </c>
      <c r="P79" s="194"/>
      <c r="Q79" s="622">
        <f>S79-O79</f>
        <v>0</v>
      </c>
      <c r="R79" s="194">
        <f>P79+N79</f>
        <v>14.5</v>
      </c>
      <c r="S79" s="630">
        <f>TRUNC(R79*E79,2)</f>
        <v>7048.16</v>
      </c>
      <c r="T79" s="194">
        <f t="shared" si="105"/>
        <v>0</v>
      </c>
      <c r="U79" s="630">
        <f t="shared" si="97"/>
        <v>0</v>
      </c>
    </row>
    <row r="80" spans="1:21">
      <c r="A80" s="190" t="s">
        <v>135</v>
      </c>
      <c r="B80" s="191">
        <v>40813</v>
      </c>
      <c r="C80" s="657" t="s">
        <v>151</v>
      </c>
      <c r="D80" s="192" t="s">
        <v>57</v>
      </c>
      <c r="E80" s="193">
        <v>64.3</v>
      </c>
      <c r="F80" s="194">
        <v>134.87</v>
      </c>
      <c r="G80" s="194"/>
      <c r="H80" s="194"/>
      <c r="I80" s="193">
        <f t="shared" si="98"/>
        <v>134.87</v>
      </c>
      <c r="J80" s="193">
        <f t="shared" si="99"/>
        <v>8672.1409999999996</v>
      </c>
      <c r="K80" s="193"/>
      <c r="L80" s="193"/>
      <c r="M80" s="622">
        <f t="shared" si="100"/>
        <v>8672.1409999999996</v>
      </c>
      <c r="N80" s="194">
        <v>134.87</v>
      </c>
      <c r="O80" s="622">
        <f>TRUNC(N80*E80,2)</f>
        <v>8672.14</v>
      </c>
      <c r="P80" s="194"/>
      <c r="Q80" s="622">
        <f>S80-O80</f>
        <v>0</v>
      </c>
      <c r="R80" s="194">
        <f>P80+N80</f>
        <v>134.87</v>
      </c>
      <c r="S80" s="630">
        <f>TRUNC(R80*E80,2)</f>
        <v>8672.14</v>
      </c>
      <c r="T80" s="194">
        <f t="shared" si="105"/>
        <v>0</v>
      </c>
      <c r="U80" s="630">
        <f t="shared" si="97"/>
        <v>0</v>
      </c>
    </row>
    <row r="81" spans="1:21">
      <c r="A81" s="138"/>
      <c r="B81" s="132"/>
      <c r="C81" s="123"/>
      <c r="D81" s="123"/>
      <c r="E81" s="123"/>
      <c r="F81" s="123"/>
      <c r="G81" s="123"/>
      <c r="H81" s="123"/>
      <c r="I81" s="123"/>
      <c r="J81" s="123"/>
      <c r="K81" s="123"/>
      <c r="L81" s="123"/>
      <c r="M81" s="623"/>
      <c r="N81" s="123"/>
      <c r="O81" s="623"/>
      <c r="P81" s="123"/>
      <c r="Q81" s="623"/>
      <c r="R81" s="123"/>
      <c r="S81" s="631"/>
      <c r="T81" s="123"/>
      <c r="U81" s="631"/>
    </row>
    <row r="82" spans="1:21" s="131" customFormat="1">
      <c r="A82" s="137" t="s">
        <v>152</v>
      </c>
      <c r="B82" s="133"/>
      <c r="C82" s="658" t="s">
        <v>153</v>
      </c>
      <c r="D82" s="126"/>
      <c r="E82" s="127"/>
      <c r="F82" s="128"/>
      <c r="G82" s="128"/>
      <c r="H82" s="128"/>
      <c r="I82" s="129"/>
      <c r="J82" s="129">
        <f>SUBTOTAL(9,J83)</f>
        <v>15164.919</v>
      </c>
      <c r="K82" s="129"/>
      <c r="L82" s="129"/>
      <c r="M82" s="624"/>
      <c r="N82" s="130"/>
      <c r="O82" s="624">
        <f>SUBTOTAL(9,O83)</f>
        <v>15164.91</v>
      </c>
      <c r="P82" s="130"/>
      <c r="Q82" s="624">
        <f>SUBTOTAL(9,Q83)</f>
        <v>0</v>
      </c>
      <c r="R82" s="129"/>
      <c r="S82" s="624">
        <f>SUBTOTAL(9,S83)</f>
        <v>15164.91</v>
      </c>
      <c r="T82" s="129">
        <f t="shared" si="90"/>
        <v>0</v>
      </c>
      <c r="U82" s="624">
        <f>SUBTOTAL(9,U83)</f>
        <v>0</v>
      </c>
    </row>
    <row r="83" spans="1:21" ht="25.5">
      <c r="A83" s="190" t="s">
        <v>154</v>
      </c>
      <c r="B83" s="191" t="s">
        <v>155</v>
      </c>
      <c r="C83" s="657" t="s">
        <v>156</v>
      </c>
      <c r="D83" s="192" t="s">
        <v>50</v>
      </c>
      <c r="E83" s="193">
        <v>91.41</v>
      </c>
      <c r="F83" s="194">
        <v>165.9</v>
      </c>
      <c r="G83" s="194"/>
      <c r="H83" s="194"/>
      <c r="I83" s="193">
        <f>F83+G83-H83</f>
        <v>165.9</v>
      </c>
      <c r="J83" s="193">
        <f t="shared" ref="J83" si="106">I83*E83</f>
        <v>15164.919</v>
      </c>
      <c r="K83" s="193"/>
      <c r="L83" s="193"/>
      <c r="M83" s="622">
        <f t="shared" ref="M83" si="107">I83*E83</f>
        <v>15164.919</v>
      </c>
      <c r="N83" s="194">
        <v>165.9</v>
      </c>
      <c r="O83" s="622">
        <f t="shared" ref="O83" si="108">TRUNC(N83*E83,2)</f>
        <v>15164.91</v>
      </c>
      <c r="P83" s="560">
        <v>0</v>
      </c>
      <c r="Q83" s="622">
        <f t="shared" ref="Q83" si="109">S83-O83</f>
        <v>0</v>
      </c>
      <c r="R83" s="194">
        <f t="shared" ref="R83" si="110">P83+N83</f>
        <v>165.9</v>
      </c>
      <c r="S83" s="630">
        <f t="shared" ref="S83" si="111">TRUNC(R83*E83,2)</f>
        <v>15164.91</v>
      </c>
      <c r="T83" s="194">
        <f t="shared" si="90"/>
        <v>0</v>
      </c>
      <c r="U83" s="630">
        <f t="shared" ref="U83" si="112">T83*E83</f>
        <v>0</v>
      </c>
    </row>
    <row r="84" spans="1:21">
      <c r="A84" s="138"/>
      <c r="B84" s="132"/>
      <c r="C84" s="123"/>
      <c r="D84" s="123"/>
      <c r="E84" s="123"/>
      <c r="F84" s="123"/>
      <c r="G84" s="123"/>
      <c r="H84" s="123"/>
      <c r="I84" s="123"/>
      <c r="J84" s="123"/>
      <c r="K84" s="123"/>
      <c r="L84" s="123"/>
      <c r="M84" s="623"/>
      <c r="N84" s="123"/>
      <c r="O84" s="623"/>
      <c r="P84" s="123"/>
      <c r="Q84" s="623"/>
      <c r="R84" s="123"/>
      <c r="S84" s="631"/>
      <c r="T84" s="123"/>
      <c r="U84" s="631"/>
    </row>
    <row r="85" spans="1:21" s="131" customFormat="1">
      <c r="A85" s="137" t="s">
        <v>157</v>
      </c>
      <c r="B85" s="133"/>
      <c r="C85" s="658" t="s">
        <v>158</v>
      </c>
      <c r="D85" s="126"/>
      <c r="E85" s="127"/>
      <c r="F85" s="128"/>
      <c r="G85" s="128"/>
      <c r="H85" s="128"/>
      <c r="I85" s="129"/>
      <c r="J85" s="129">
        <f>SUBTOTAL(9,J86:J88)</f>
        <v>3771.0080999999996</v>
      </c>
      <c r="K85" s="129"/>
      <c r="L85" s="129"/>
      <c r="M85" s="624"/>
      <c r="N85" s="130"/>
      <c r="O85" s="624">
        <f>SUBTOTAL(9,O86:O88)</f>
        <v>0</v>
      </c>
      <c r="P85" s="130"/>
      <c r="Q85" s="624">
        <f>SUBTOTAL(9,Q86:Q88)</f>
        <v>0</v>
      </c>
      <c r="R85" s="129"/>
      <c r="S85" s="624">
        <f>SUBTOTAL(9,S86:S88)</f>
        <v>0</v>
      </c>
      <c r="T85" s="129">
        <f t="shared" ref="T85:T88" si="113">F85-R85</f>
        <v>0</v>
      </c>
      <c r="U85" s="624">
        <f>SUBTOTAL(9,U86:U88)</f>
        <v>3771.0080999999996</v>
      </c>
    </row>
    <row r="86" spans="1:21" ht="25.5">
      <c r="A86" s="190" t="s">
        <v>159</v>
      </c>
      <c r="B86" s="191" t="s">
        <v>155</v>
      </c>
      <c r="C86" s="657" t="s">
        <v>156</v>
      </c>
      <c r="D86" s="192" t="s">
        <v>50</v>
      </c>
      <c r="E86" s="193">
        <v>91.41</v>
      </c>
      <c r="F86" s="194">
        <v>29.33</v>
      </c>
      <c r="G86" s="194"/>
      <c r="H86" s="194"/>
      <c r="I86" s="193">
        <f>F86+G86-H86</f>
        <v>29.33</v>
      </c>
      <c r="J86" s="193">
        <f t="shared" ref="J86" si="114">I86*E86</f>
        <v>2681.0552999999995</v>
      </c>
      <c r="K86" s="193"/>
      <c r="L86" s="193"/>
      <c r="M86" s="622">
        <f t="shared" ref="M86" si="115">I86*E86</f>
        <v>2681.0552999999995</v>
      </c>
      <c r="N86" s="194">
        <v>0</v>
      </c>
      <c r="O86" s="622">
        <f t="shared" ref="O86" si="116">TRUNC(N86*E86,2)</f>
        <v>0</v>
      </c>
      <c r="P86" s="194">
        <v>0</v>
      </c>
      <c r="Q86" s="622">
        <f t="shared" ref="Q86" si="117">S86-O86</f>
        <v>0</v>
      </c>
      <c r="R86" s="194">
        <f t="shared" ref="R86" si="118">P86+N86</f>
        <v>0</v>
      </c>
      <c r="S86" s="630">
        <f t="shared" ref="S86" si="119">TRUNC(R86*E86,2)</f>
        <v>0</v>
      </c>
      <c r="T86" s="194">
        <f t="shared" si="113"/>
        <v>29.33</v>
      </c>
      <c r="U86" s="630">
        <f t="shared" ref="U86:U88" si="120">T86*E86</f>
        <v>2681.0552999999995</v>
      </c>
    </row>
    <row r="87" spans="1:21">
      <c r="A87" s="190" t="s">
        <v>160</v>
      </c>
      <c r="B87" s="191">
        <v>200323</v>
      </c>
      <c r="C87" s="657" t="s">
        <v>162</v>
      </c>
      <c r="D87" s="192" t="s">
        <v>58</v>
      </c>
      <c r="E87" s="193">
        <v>125.94</v>
      </c>
      <c r="F87" s="194">
        <v>6.62</v>
      </c>
      <c r="G87" s="194"/>
      <c r="H87" s="194"/>
      <c r="I87" s="193">
        <f t="shared" ref="I87:I88" si="121">F87+G87-H87</f>
        <v>6.62</v>
      </c>
      <c r="J87" s="193">
        <f t="shared" ref="J87:J88" si="122">I87*E87</f>
        <v>833.72280000000001</v>
      </c>
      <c r="K87" s="193"/>
      <c r="L87" s="193"/>
      <c r="M87" s="622">
        <f t="shared" ref="M87:M88" si="123">I87*E87</f>
        <v>833.72280000000001</v>
      </c>
      <c r="N87" s="194">
        <v>0</v>
      </c>
      <c r="O87" s="622">
        <f>TRUNC(N87*E87,2)</f>
        <v>0</v>
      </c>
      <c r="P87" s="194">
        <v>0</v>
      </c>
      <c r="Q87" s="622">
        <f>S87-O87</f>
        <v>0</v>
      </c>
      <c r="R87" s="194">
        <f>P87+N87</f>
        <v>0</v>
      </c>
      <c r="S87" s="630">
        <f>TRUNC(R87*E87,2)</f>
        <v>0</v>
      </c>
      <c r="T87" s="194">
        <f t="shared" si="113"/>
        <v>6.62</v>
      </c>
      <c r="U87" s="630">
        <f t="shared" si="120"/>
        <v>833.72280000000001</v>
      </c>
    </row>
    <row r="88" spans="1:21" ht="38.25">
      <c r="A88" s="190" t="s">
        <v>161</v>
      </c>
      <c r="B88" s="191">
        <v>50501</v>
      </c>
      <c r="C88" s="657" t="s">
        <v>916</v>
      </c>
      <c r="D88" s="192" t="s">
        <v>57</v>
      </c>
      <c r="E88" s="193">
        <v>94.9</v>
      </c>
      <c r="F88" s="194">
        <v>2.7</v>
      </c>
      <c r="G88" s="194"/>
      <c r="H88" s="194"/>
      <c r="I88" s="193">
        <f t="shared" si="121"/>
        <v>2.7</v>
      </c>
      <c r="J88" s="193">
        <f t="shared" si="122"/>
        <v>256.23</v>
      </c>
      <c r="K88" s="193"/>
      <c r="L88" s="193"/>
      <c r="M88" s="622">
        <f t="shared" si="123"/>
        <v>256.23</v>
      </c>
      <c r="N88" s="194">
        <v>0</v>
      </c>
      <c r="O88" s="622">
        <f t="shared" ref="O88" si="124">TRUNC(N88*E88,2)</f>
        <v>0</v>
      </c>
      <c r="P88" s="194">
        <v>0</v>
      </c>
      <c r="Q88" s="622">
        <f t="shared" ref="Q88" si="125">S88-O88</f>
        <v>0</v>
      </c>
      <c r="R88" s="194">
        <f t="shared" ref="R88" si="126">P88+N88</f>
        <v>0</v>
      </c>
      <c r="S88" s="630">
        <f t="shared" ref="S88" si="127">TRUNC(R88*E88,2)</f>
        <v>0</v>
      </c>
      <c r="T88" s="194">
        <f t="shared" si="113"/>
        <v>2.7</v>
      </c>
      <c r="U88" s="630">
        <f t="shared" si="120"/>
        <v>256.23</v>
      </c>
    </row>
    <row r="89" spans="1:21">
      <c r="A89" s="138"/>
      <c r="B89" s="132"/>
      <c r="C89" s="123"/>
      <c r="D89" s="123"/>
      <c r="E89" s="123"/>
      <c r="F89" s="123"/>
      <c r="G89" s="123"/>
      <c r="H89" s="123"/>
      <c r="I89" s="123"/>
      <c r="J89" s="123"/>
      <c r="K89" s="123"/>
      <c r="L89" s="123"/>
      <c r="M89" s="623"/>
      <c r="N89" s="123"/>
      <c r="O89" s="623"/>
      <c r="P89" s="123"/>
      <c r="Q89" s="623"/>
      <c r="R89" s="123"/>
      <c r="S89" s="631"/>
      <c r="T89" s="123"/>
      <c r="U89" s="631"/>
    </row>
    <row r="90" spans="1:21" s="131" customFormat="1">
      <c r="A90" s="137" t="s">
        <v>163</v>
      </c>
      <c r="B90" s="133"/>
      <c r="C90" s="658" t="s">
        <v>164</v>
      </c>
      <c r="D90" s="126"/>
      <c r="E90" s="127"/>
      <c r="F90" s="128"/>
      <c r="G90" s="128"/>
      <c r="H90" s="128"/>
      <c r="I90" s="129"/>
      <c r="J90" s="129">
        <f>SUBTOTAL(9,J91:J95)</f>
        <v>9601.4940000000006</v>
      </c>
      <c r="K90" s="129"/>
      <c r="L90" s="129"/>
      <c r="M90" s="624"/>
      <c r="N90" s="130"/>
      <c r="O90" s="624">
        <f>SUBTOTAL(9,O91:O95)</f>
        <v>9601.49</v>
      </c>
      <c r="P90" s="130"/>
      <c r="Q90" s="624">
        <f>SUBTOTAL(9,Q91:Q95)</f>
        <v>0</v>
      </c>
      <c r="R90" s="129"/>
      <c r="S90" s="624">
        <f>SUBTOTAL(9,S91:S95)</f>
        <v>9601.49</v>
      </c>
      <c r="T90" s="129">
        <f t="shared" ref="T90:T95" si="128">F90-R90</f>
        <v>0</v>
      </c>
      <c r="U90" s="624">
        <f>SUBTOTAL(9,U91:U95)</f>
        <v>0</v>
      </c>
    </row>
    <row r="91" spans="1:21" ht="51">
      <c r="A91" s="190" t="s">
        <v>165</v>
      </c>
      <c r="B91" s="191">
        <v>40339</v>
      </c>
      <c r="C91" s="657" t="s">
        <v>184</v>
      </c>
      <c r="D91" s="192" t="s">
        <v>57</v>
      </c>
      <c r="E91" s="193">
        <v>91.04</v>
      </c>
      <c r="F91" s="194">
        <v>51</v>
      </c>
      <c r="G91" s="194"/>
      <c r="H91" s="194"/>
      <c r="I91" s="193">
        <f t="shared" ref="I91" si="129">F91+G91-H91</f>
        <v>51</v>
      </c>
      <c r="J91" s="193">
        <f t="shared" ref="J91" si="130">I91*E91</f>
        <v>4643.04</v>
      </c>
      <c r="K91" s="193"/>
      <c r="L91" s="193"/>
      <c r="M91" s="622">
        <f t="shared" ref="M91" si="131">I91*E91</f>
        <v>4643.04</v>
      </c>
      <c r="N91" s="194">
        <v>51</v>
      </c>
      <c r="O91" s="622">
        <f t="shared" ref="O91" si="132">TRUNC(N91*E91,2)</f>
        <v>4643.04</v>
      </c>
      <c r="P91" s="194">
        <v>0</v>
      </c>
      <c r="Q91" s="622">
        <f t="shared" ref="Q91" si="133">S91-O91</f>
        <v>0</v>
      </c>
      <c r="R91" s="194">
        <f t="shared" ref="R91" si="134">P91+N91</f>
        <v>51</v>
      </c>
      <c r="S91" s="630">
        <f t="shared" ref="S91" si="135">TRUNC(R91*E91,2)</f>
        <v>4643.04</v>
      </c>
      <c r="T91" s="194">
        <f t="shared" si="128"/>
        <v>0</v>
      </c>
      <c r="U91" s="630">
        <f t="shared" ref="U91:U95" si="136">T91*E91</f>
        <v>0</v>
      </c>
    </row>
    <row r="92" spans="1:21" ht="25.5">
      <c r="A92" s="190" t="s">
        <v>166</v>
      </c>
      <c r="B92" s="191">
        <v>40328</v>
      </c>
      <c r="C92" s="657" t="s">
        <v>147</v>
      </c>
      <c r="D92" s="192" t="s">
        <v>29</v>
      </c>
      <c r="E92" s="193">
        <v>7.98</v>
      </c>
      <c r="F92" s="194">
        <v>160</v>
      </c>
      <c r="G92" s="194"/>
      <c r="H92" s="194"/>
      <c r="I92" s="193">
        <f t="shared" ref="I92:I95" si="137">F92+G92-H92</f>
        <v>160</v>
      </c>
      <c r="J92" s="193">
        <f t="shared" ref="J92:J95" si="138">I92*E92</f>
        <v>1276.8000000000002</v>
      </c>
      <c r="K92" s="193"/>
      <c r="L92" s="193"/>
      <c r="M92" s="622">
        <f t="shared" ref="M92:M95" si="139">I92*E92</f>
        <v>1276.8000000000002</v>
      </c>
      <c r="N92" s="194">
        <v>160</v>
      </c>
      <c r="O92" s="622">
        <f>TRUNC(N92*E92,2)</f>
        <v>1276.8</v>
      </c>
      <c r="P92" s="194">
        <v>0</v>
      </c>
      <c r="Q92" s="622">
        <f>S92-O92</f>
        <v>0</v>
      </c>
      <c r="R92" s="194">
        <f>P92+N92</f>
        <v>160</v>
      </c>
      <c r="S92" s="630">
        <f>TRUNC(R92*E92,2)</f>
        <v>1276.8</v>
      </c>
      <c r="T92" s="194">
        <f t="shared" si="128"/>
        <v>0</v>
      </c>
      <c r="U92" s="630">
        <f t="shared" si="136"/>
        <v>0</v>
      </c>
    </row>
    <row r="93" spans="1:21" ht="25.5">
      <c r="A93" s="190" t="s">
        <v>167</v>
      </c>
      <c r="B93" s="191">
        <v>40245</v>
      </c>
      <c r="C93" s="657" t="s">
        <v>148</v>
      </c>
      <c r="D93" s="192" t="s">
        <v>29</v>
      </c>
      <c r="E93" s="193">
        <v>8.41</v>
      </c>
      <c r="F93" s="194">
        <v>199</v>
      </c>
      <c r="G93" s="194"/>
      <c r="H93" s="194"/>
      <c r="I93" s="193">
        <f t="shared" si="137"/>
        <v>199</v>
      </c>
      <c r="J93" s="193">
        <f t="shared" si="138"/>
        <v>1673.59</v>
      </c>
      <c r="K93" s="193"/>
      <c r="L93" s="193"/>
      <c r="M93" s="622">
        <f t="shared" si="139"/>
        <v>1673.59</v>
      </c>
      <c r="N93" s="194">
        <v>199</v>
      </c>
      <c r="O93" s="622">
        <f t="shared" ref="O93:O94" si="140">TRUNC(N93*E93,2)</f>
        <v>1673.59</v>
      </c>
      <c r="P93" s="194">
        <v>0</v>
      </c>
      <c r="Q93" s="622">
        <f t="shared" ref="Q93:Q94" si="141">S93-O93</f>
        <v>0</v>
      </c>
      <c r="R93" s="194">
        <f t="shared" ref="R93:R94" si="142">P93+N93</f>
        <v>199</v>
      </c>
      <c r="S93" s="630">
        <f t="shared" ref="S93:S94" si="143">TRUNC(R93*E93,2)</f>
        <v>1673.59</v>
      </c>
      <c r="T93" s="194">
        <f t="shared" ref="T93:T94" si="144">F93-R93</f>
        <v>0</v>
      </c>
      <c r="U93" s="630">
        <f t="shared" si="136"/>
        <v>0</v>
      </c>
    </row>
    <row r="94" spans="1:21" ht="25.5">
      <c r="A94" s="190" t="s">
        <v>168</v>
      </c>
      <c r="B94" s="191">
        <v>40246</v>
      </c>
      <c r="C94" s="657" t="s">
        <v>149</v>
      </c>
      <c r="D94" s="192" t="s">
        <v>29</v>
      </c>
      <c r="E94" s="193">
        <v>8.08</v>
      </c>
      <c r="F94" s="194">
        <v>50</v>
      </c>
      <c r="G94" s="194"/>
      <c r="H94" s="194"/>
      <c r="I94" s="193">
        <f t="shared" si="137"/>
        <v>50</v>
      </c>
      <c r="J94" s="193">
        <f t="shared" si="138"/>
        <v>404</v>
      </c>
      <c r="K94" s="193"/>
      <c r="L94" s="193"/>
      <c r="M94" s="622">
        <f t="shared" si="139"/>
        <v>404</v>
      </c>
      <c r="N94" s="194">
        <v>50</v>
      </c>
      <c r="O94" s="622">
        <f t="shared" si="140"/>
        <v>404</v>
      </c>
      <c r="P94" s="194">
        <v>0</v>
      </c>
      <c r="Q94" s="622">
        <f t="shared" si="141"/>
        <v>0</v>
      </c>
      <c r="R94" s="194">
        <f t="shared" si="142"/>
        <v>50</v>
      </c>
      <c r="S94" s="630">
        <f t="shared" si="143"/>
        <v>404</v>
      </c>
      <c r="T94" s="194">
        <f t="shared" si="144"/>
        <v>0</v>
      </c>
      <c r="U94" s="630">
        <f t="shared" si="136"/>
        <v>0</v>
      </c>
    </row>
    <row r="95" spans="1:21" ht="38.25">
      <c r="A95" s="190" t="s">
        <v>169</v>
      </c>
      <c r="B95" s="191" t="s">
        <v>140</v>
      </c>
      <c r="C95" s="657" t="s">
        <v>150</v>
      </c>
      <c r="D95" s="192" t="s">
        <v>58</v>
      </c>
      <c r="E95" s="193">
        <v>486.08</v>
      </c>
      <c r="F95" s="194">
        <v>3.3</v>
      </c>
      <c r="G95" s="194"/>
      <c r="H95" s="194"/>
      <c r="I95" s="193">
        <f t="shared" si="137"/>
        <v>3.3</v>
      </c>
      <c r="J95" s="193">
        <f t="shared" si="138"/>
        <v>1604.0639999999999</v>
      </c>
      <c r="K95" s="193"/>
      <c r="L95" s="193"/>
      <c r="M95" s="622">
        <f t="shared" si="139"/>
        <v>1604.0639999999999</v>
      </c>
      <c r="N95" s="194">
        <v>3.3</v>
      </c>
      <c r="O95" s="622">
        <f t="shared" ref="O95" si="145">TRUNC(N95*E95,2)</f>
        <v>1604.06</v>
      </c>
      <c r="P95" s="194">
        <v>0</v>
      </c>
      <c r="Q95" s="622">
        <f t="shared" ref="Q95" si="146">S95-O95</f>
        <v>0</v>
      </c>
      <c r="R95" s="194">
        <f t="shared" ref="R95" si="147">P95+N95</f>
        <v>3.3</v>
      </c>
      <c r="S95" s="630">
        <f t="shared" ref="S95" si="148">TRUNC(R95*E95,2)</f>
        <v>1604.06</v>
      </c>
      <c r="T95" s="194">
        <f t="shared" si="128"/>
        <v>0</v>
      </c>
      <c r="U95" s="630">
        <f t="shared" si="136"/>
        <v>0</v>
      </c>
    </row>
    <row r="96" spans="1:21">
      <c r="A96" s="138"/>
      <c r="B96" s="132"/>
      <c r="C96" s="123"/>
      <c r="D96" s="123"/>
      <c r="E96" s="123"/>
      <c r="F96" s="123"/>
      <c r="G96" s="123"/>
      <c r="H96" s="123"/>
      <c r="I96" s="123"/>
      <c r="J96" s="123"/>
      <c r="K96" s="123"/>
      <c r="L96" s="123"/>
      <c r="M96" s="623"/>
      <c r="N96" s="123"/>
      <c r="O96" s="623"/>
      <c r="P96" s="123"/>
      <c r="Q96" s="623"/>
      <c r="R96" s="123"/>
      <c r="S96" s="631"/>
      <c r="T96" s="123"/>
      <c r="U96" s="631"/>
    </row>
    <row r="97" spans="1:21" s="131" customFormat="1">
      <c r="A97" s="137" t="s">
        <v>170</v>
      </c>
      <c r="B97" s="133"/>
      <c r="C97" s="658" t="s">
        <v>171</v>
      </c>
      <c r="D97" s="126"/>
      <c r="E97" s="127"/>
      <c r="F97" s="128"/>
      <c r="G97" s="128"/>
      <c r="H97" s="128"/>
      <c r="I97" s="129"/>
      <c r="J97" s="129">
        <f>SUBTOTAL(9,J98:J102)</f>
        <v>20580.705999999998</v>
      </c>
      <c r="K97" s="129"/>
      <c r="L97" s="129"/>
      <c r="M97" s="624"/>
      <c r="N97" s="130"/>
      <c r="O97" s="624">
        <f>SUBTOTAL(9,O98:O102)</f>
        <v>20580.7</v>
      </c>
      <c r="P97" s="130"/>
      <c r="Q97" s="624">
        <f>SUBTOTAL(9,Q98:Q102)</f>
        <v>0</v>
      </c>
      <c r="R97" s="129"/>
      <c r="S97" s="624">
        <f>SUBTOTAL(9,S98:S102)</f>
        <v>20580.7</v>
      </c>
      <c r="T97" s="129">
        <f t="shared" ref="T97:T102" si="149">F97-R97</f>
        <v>0</v>
      </c>
      <c r="U97" s="624">
        <f>SUBTOTAL(9,U98:U102)</f>
        <v>0</v>
      </c>
    </row>
    <row r="98" spans="1:21" ht="51">
      <c r="A98" s="190" t="s">
        <v>172</v>
      </c>
      <c r="B98" s="191">
        <v>40339</v>
      </c>
      <c r="C98" s="657" t="s">
        <v>146</v>
      </c>
      <c r="D98" s="192" t="s">
        <v>57</v>
      </c>
      <c r="E98" s="193">
        <v>91.04</v>
      </c>
      <c r="F98" s="194">
        <v>100</v>
      </c>
      <c r="G98" s="194"/>
      <c r="H98" s="194"/>
      <c r="I98" s="193">
        <f t="shared" ref="I98" si="150">F98+G98-H98</f>
        <v>100</v>
      </c>
      <c r="J98" s="193">
        <f t="shared" ref="J98" si="151">I98*E98</f>
        <v>9104</v>
      </c>
      <c r="K98" s="193"/>
      <c r="L98" s="193"/>
      <c r="M98" s="622">
        <f t="shared" ref="M98" si="152">I98*E98</f>
        <v>9104</v>
      </c>
      <c r="N98" s="194">
        <v>100</v>
      </c>
      <c r="O98" s="622">
        <f t="shared" ref="O98" si="153">TRUNC(N98*E98,2)</f>
        <v>9104</v>
      </c>
      <c r="P98" s="194"/>
      <c r="Q98" s="622">
        <f t="shared" ref="Q98" si="154">S98-O98</f>
        <v>0</v>
      </c>
      <c r="R98" s="194">
        <f t="shared" ref="R98" si="155">P98+N98</f>
        <v>100</v>
      </c>
      <c r="S98" s="630">
        <f t="shared" ref="S98" si="156">TRUNC(R98*E98,2)</f>
        <v>9104</v>
      </c>
      <c r="T98" s="194">
        <f t="shared" si="149"/>
        <v>0</v>
      </c>
      <c r="U98" s="630">
        <f t="shared" ref="U98:U102" si="157">T98*E98</f>
        <v>0</v>
      </c>
    </row>
    <row r="99" spans="1:21" ht="25.5">
      <c r="A99" s="190" t="s">
        <v>173</v>
      </c>
      <c r="B99" s="191">
        <v>40328</v>
      </c>
      <c r="C99" s="657" t="s">
        <v>147</v>
      </c>
      <c r="D99" s="192" t="s">
        <v>29</v>
      </c>
      <c r="E99" s="193">
        <v>7.98</v>
      </c>
      <c r="F99" s="194">
        <v>481</v>
      </c>
      <c r="G99" s="194"/>
      <c r="H99" s="194"/>
      <c r="I99" s="193">
        <f t="shared" ref="I99:I102" si="158">F99+G99-H99</f>
        <v>481</v>
      </c>
      <c r="J99" s="193">
        <f t="shared" ref="J99:J102" si="159">I99*E99</f>
        <v>3838.38</v>
      </c>
      <c r="K99" s="193"/>
      <c r="L99" s="193"/>
      <c r="M99" s="622">
        <f t="shared" ref="M99:M102" si="160">I99*E99</f>
        <v>3838.38</v>
      </c>
      <c r="N99" s="194">
        <v>481</v>
      </c>
      <c r="O99" s="622">
        <f>TRUNC(N99*E99,2)</f>
        <v>3838.38</v>
      </c>
      <c r="P99" s="194"/>
      <c r="Q99" s="622">
        <f>S99-O99</f>
        <v>0</v>
      </c>
      <c r="R99" s="194">
        <f>P99+N99</f>
        <v>481</v>
      </c>
      <c r="S99" s="630">
        <f>TRUNC(R99*E99,2)</f>
        <v>3838.38</v>
      </c>
      <c r="T99" s="194">
        <f t="shared" si="149"/>
        <v>0</v>
      </c>
      <c r="U99" s="630">
        <f t="shared" si="157"/>
        <v>0</v>
      </c>
    </row>
    <row r="100" spans="1:21" ht="25.5">
      <c r="A100" s="190" t="s">
        <v>174</v>
      </c>
      <c r="B100" s="191">
        <v>40245</v>
      </c>
      <c r="C100" s="657" t="s">
        <v>148</v>
      </c>
      <c r="D100" s="192" t="s">
        <v>29</v>
      </c>
      <c r="E100" s="193">
        <v>8.41</v>
      </c>
      <c r="F100" s="194">
        <v>287</v>
      </c>
      <c r="G100" s="194"/>
      <c r="H100" s="194"/>
      <c r="I100" s="193">
        <f t="shared" si="158"/>
        <v>287</v>
      </c>
      <c r="J100" s="193">
        <f t="shared" si="159"/>
        <v>2413.67</v>
      </c>
      <c r="K100" s="193"/>
      <c r="L100" s="193"/>
      <c r="M100" s="622">
        <f t="shared" si="160"/>
        <v>2413.67</v>
      </c>
      <c r="N100" s="194">
        <v>287</v>
      </c>
      <c r="O100" s="622">
        <f t="shared" ref="O100:O102" si="161">TRUNC(N100*E100,2)</f>
        <v>2413.67</v>
      </c>
      <c r="P100" s="194"/>
      <c r="Q100" s="622">
        <f t="shared" ref="Q100:Q102" si="162">S100-O100</f>
        <v>0</v>
      </c>
      <c r="R100" s="194">
        <f t="shared" ref="R100:R102" si="163">P100+N100</f>
        <v>287</v>
      </c>
      <c r="S100" s="630">
        <f t="shared" ref="S100:S102" si="164">TRUNC(R100*E100,2)</f>
        <v>2413.67</v>
      </c>
      <c r="T100" s="194">
        <f t="shared" si="149"/>
        <v>0</v>
      </c>
      <c r="U100" s="630">
        <f t="shared" si="157"/>
        <v>0</v>
      </c>
    </row>
    <row r="101" spans="1:21" ht="25.5">
      <c r="A101" s="190" t="s">
        <v>175</v>
      </c>
      <c r="B101" s="191">
        <v>40246</v>
      </c>
      <c r="C101" s="657" t="s">
        <v>149</v>
      </c>
      <c r="D101" s="192" t="s">
        <v>29</v>
      </c>
      <c r="E101" s="193">
        <v>8.08</v>
      </c>
      <c r="F101" s="194">
        <v>33</v>
      </c>
      <c r="G101" s="194"/>
      <c r="H101" s="194"/>
      <c r="I101" s="193">
        <f t="shared" si="158"/>
        <v>33</v>
      </c>
      <c r="J101" s="193">
        <f t="shared" si="159"/>
        <v>266.64</v>
      </c>
      <c r="K101" s="193"/>
      <c r="L101" s="193"/>
      <c r="M101" s="622">
        <f t="shared" si="160"/>
        <v>266.64</v>
      </c>
      <c r="N101" s="194">
        <v>33</v>
      </c>
      <c r="O101" s="622">
        <f t="shared" si="161"/>
        <v>266.64</v>
      </c>
      <c r="P101" s="194"/>
      <c r="Q101" s="622">
        <f t="shared" si="162"/>
        <v>0</v>
      </c>
      <c r="R101" s="194">
        <f t="shared" si="163"/>
        <v>33</v>
      </c>
      <c r="S101" s="630">
        <f t="shared" si="164"/>
        <v>266.64</v>
      </c>
      <c r="T101" s="194">
        <f t="shared" si="149"/>
        <v>0</v>
      </c>
      <c r="U101" s="630">
        <f t="shared" si="157"/>
        <v>0</v>
      </c>
    </row>
    <row r="102" spans="1:21" ht="51">
      <c r="A102" s="190" t="s">
        <v>176</v>
      </c>
      <c r="B102" s="191" t="s">
        <v>140</v>
      </c>
      <c r="C102" s="657" t="s">
        <v>177</v>
      </c>
      <c r="D102" s="192" t="s">
        <v>58</v>
      </c>
      <c r="E102" s="193">
        <v>486.08</v>
      </c>
      <c r="F102" s="194">
        <v>10.199999999999999</v>
      </c>
      <c r="G102" s="194"/>
      <c r="H102" s="194"/>
      <c r="I102" s="193">
        <f t="shared" si="158"/>
        <v>10.199999999999999</v>
      </c>
      <c r="J102" s="193">
        <f t="shared" si="159"/>
        <v>4958.0159999999996</v>
      </c>
      <c r="K102" s="193"/>
      <c r="L102" s="193"/>
      <c r="M102" s="622">
        <f t="shared" si="160"/>
        <v>4958.0159999999996</v>
      </c>
      <c r="N102" s="194">
        <v>10.199999999999999</v>
      </c>
      <c r="O102" s="622">
        <f t="shared" si="161"/>
        <v>4958.01</v>
      </c>
      <c r="P102" s="194"/>
      <c r="Q102" s="622">
        <f t="shared" si="162"/>
        <v>0</v>
      </c>
      <c r="R102" s="194">
        <f t="shared" si="163"/>
        <v>10.199999999999999</v>
      </c>
      <c r="S102" s="630">
        <f t="shared" si="164"/>
        <v>4958.01</v>
      </c>
      <c r="T102" s="194">
        <f t="shared" si="149"/>
        <v>0</v>
      </c>
      <c r="U102" s="630">
        <f t="shared" si="157"/>
        <v>0</v>
      </c>
    </row>
    <row r="103" spans="1:21">
      <c r="A103" s="138"/>
      <c r="B103" s="132"/>
      <c r="C103" s="123"/>
      <c r="D103" s="123"/>
      <c r="E103" s="123"/>
      <c r="F103" s="123"/>
      <c r="G103" s="123"/>
      <c r="H103" s="123"/>
      <c r="I103" s="123"/>
      <c r="J103" s="123"/>
      <c r="K103" s="123"/>
      <c r="L103" s="123"/>
      <c r="M103" s="623"/>
      <c r="N103" s="123"/>
      <c r="O103" s="623"/>
      <c r="P103" s="123"/>
      <c r="Q103" s="623"/>
      <c r="R103" s="123"/>
      <c r="S103" s="631"/>
      <c r="T103" s="123"/>
      <c r="U103" s="631"/>
    </row>
    <row r="104" spans="1:21" s="131" customFormat="1">
      <c r="A104" s="137" t="s">
        <v>178</v>
      </c>
      <c r="B104" s="133"/>
      <c r="C104" s="658" t="s">
        <v>179</v>
      </c>
      <c r="D104" s="126"/>
      <c r="E104" s="127"/>
      <c r="F104" s="128"/>
      <c r="G104" s="128"/>
      <c r="H104" s="128"/>
      <c r="I104" s="129"/>
      <c r="J104" s="129">
        <f>SUBTOTAL(9,J105:J108)</f>
        <v>23928.707199999997</v>
      </c>
      <c r="K104" s="129"/>
      <c r="L104" s="129"/>
      <c r="M104" s="624"/>
      <c r="N104" s="130"/>
      <c r="O104" s="624">
        <f>SUBTOTAL(9,O105:O108)</f>
        <v>23928.7</v>
      </c>
      <c r="P104" s="130"/>
      <c r="Q104" s="624">
        <f>SUBTOTAL(9,Q105:Q108)</f>
        <v>0</v>
      </c>
      <c r="R104" s="129"/>
      <c r="S104" s="624">
        <f>SUBTOTAL(9,S105:S108)</f>
        <v>23928.7</v>
      </c>
      <c r="T104" s="129">
        <f t="shared" ref="T104:T180" si="165">F104-R104</f>
        <v>0</v>
      </c>
      <c r="U104" s="624">
        <f>SUBTOTAL(9,U105:U108)</f>
        <v>0</v>
      </c>
    </row>
    <row r="105" spans="1:21" ht="51">
      <c r="A105" s="190" t="s">
        <v>180</v>
      </c>
      <c r="B105" s="191">
        <v>40339</v>
      </c>
      <c r="C105" s="657" t="s">
        <v>184</v>
      </c>
      <c r="D105" s="192" t="s">
        <v>57</v>
      </c>
      <c r="E105" s="193">
        <v>91.04</v>
      </c>
      <c r="F105" s="194">
        <v>33</v>
      </c>
      <c r="G105" s="194"/>
      <c r="H105" s="194"/>
      <c r="I105" s="193">
        <f t="shared" ref="I105" si="166">F105+G105-H105</f>
        <v>33</v>
      </c>
      <c r="J105" s="193">
        <f t="shared" ref="J105" si="167">I105*E105</f>
        <v>3004.32</v>
      </c>
      <c r="K105" s="193"/>
      <c r="L105" s="193"/>
      <c r="M105" s="622">
        <f t="shared" ref="M105" si="168">I105*E105</f>
        <v>3004.32</v>
      </c>
      <c r="N105" s="194">
        <v>33</v>
      </c>
      <c r="O105" s="622">
        <f t="shared" ref="O105" si="169">TRUNC(N105*E105,2)</f>
        <v>3004.32</v>
      </c>
      <c r="P105" s="194"/>
      <c r="Q105" s="622">
        <f t="shared" ref="Q105" si="170">S105-O105</f>
        <v>0</v>
      </c>
      <c r="R105" s="194">
        <f t="shared" ref="R105" si="171">P105+N105</f>
        <v>33</v>
      </c>
      <c r="S105" s="630">
        <f t="shared" ref="S105" si="172">TRUNC(R105*E105,2)</f>
        <v>3004.32</v>
      </c>
      <c r="T105" s="194">
        <f t="shared" si="165"/>
        <v>0</v>
      </c>
      <c r="U105" s="630">
        <f t="shared" ref="U105:U108" si="173">T105*E105</f>
        <v>0</v>
      </c>
    </row>
    <row r="106" spans="1:21" ht="25.5">
      <c r="A106" s="190" t="s">
        <v>181</v>
      </c>
      <c r="B106" s="191">
        <v>40328</v>
      </c>
      <c r="C106" s="657" t="s">
        <v>147</v>
      </c>
      <c r="D106" s="192" t="s">
        <v>29</v>
      </c>
      <c r="E106" s="193">
        <v>7.98</v>
      </c>
      <c r="F106" s="194">
        <v>344</v>
      </c>
      <c r="G106" s="194"/>
      <c r="H106" s="194"/>
      <c r="I106" s="193">
        <f t="shared" ref="I106:I108" si="174">F106+G106-H106</f>
        <v>344</v>
      </c>
      <c r="J106" s="193">
        <f t="shared" ref="J106:J108" si="175">I106*E106</f>
        <v>2745.1200000000003</v>
      </c>
      <c r="K106" s="193"/>
      <c r="L106" s="193"/>
      <c r="M106" s="622">
        <f t="shared" ref="M106:M108" si="176">I106*E106</f>
        <v>2745.1200000000003</v>
      </c>
      <c r="N106" s="194">
        <v>344</v>
      </c>
      <c r="O106" s="622">
        <f>TRUNC(N106*E106,2)</f>
        <v>2745.12</v>
      </c>
      <c r="P106" s="194"/>
      <c r="Q106" s="622">
        <f>S106-O106</f>
        <v>0</v>
      </c>
      <c r="R106" s="194">
        <f>P106+N106</f>
        <v>344</v>
      </c>
      <c r="S106" s="630">
        <f>TRUNC(R106*E106,2)</f>
        <v>2745.12</v>
      </c>
      <c r="T106" s="194">
        <f t="shared" si="165"/>
        <v>0</v>
      </c>
      <c r="U106" s="630">
        <f t="shared" si="173"/>
        <v>0</v>
      </c>
    </row>
    <row r="107" spans="1:21" ht="51">
      <c r="A107" s="190" t="s">
        <v>182</v>
      </c>
      <c r="B107" s="191" t="s">
        <v>140</v>
      </c>
      <c r="C107" s="657" t="s">
        <v>177</v>
      </c>
      <c r="D107" s="192" t="s">
        <v>58</v>
      </c>
      <c r="E107" s="193">
        <v>486.08</v>
      </c>
      <c r="F107" s="194">
        <v>7.34</v>
      </c>
      <c r="G107" s="194"/>
      <c r="H107" s="194"/>
      <c r="I107" s="193">
        <f t="shared" si="174"/>
        <v>7.34</v>
      </c>
      <c r="J107" s="193">
        <f t="shared" si="175"/>
        <v>3567.8271999999997</v>
      </c>
      <c r="K107" s="193"/>
      <c r="L107" s="193"/>
      <c r="M107" s="622">
        <f t="shared" si="176"/>
        <v>3567.8271999999997</v>
      </c>
      <c r="N107" s="194">
        <v>7.34</v>
      </c>
      <c r="O107" s="622">
        <f t="shared" ref="O107:O108" si="177">TRUNC(N107*E107,2)</f>
        <v>3567.82</v>
      </c>
      <c r="P107" s="194"/>
      <c r="Q107" s="622">
        <f t="shared" ref="Q107:Q108" si="178">S107-O107</f>
        <v>0</v>
      </c>
      <c r="R107" s="194">
        <f t="shared" ref="R107:R108" si="179">P107+N107</f>
        <v>7.34</v>
      </c>
      <c r="S107" s="630">
        <f t="shared" ref="S107:S108" si="180">TRUNC(R107*E107,2)</f>
        <v>3567.82</v>
      </c>
      <c r="T107" s="194">
        <f t="shared" si="165"/>
        <v>0</v>
      </c>
      <c r="U107" s="630">
        <f t="shared" si="173"/>
        <v>0</v>
      </c>
    </row>
    <row r="108" spans="1:21" ht="25.5">
      <c r="A108" s="190" t="s">
        <v>183</v>
      </c>
      <c r="B108" s="191">
        <v>40602</v>
      </c>
      <c r="C108" s="657" t="s">
        <v>185</v>
      </c>
      <c r="D108" s="192" t="s">
        <v>57</v>
      </c>
      <c r="E108" s="193">
        <v>79.41</v>
      </c>
      <c r="F108" s="194">
        <v>184</v>
      </c>
      <c r="G108" s="194"/>
      <c r="H108" s="194"/>
      <c r="I108" s="193">
        <f t="shared" si="174"/>
        <v>184</v>
      </c>
      <c r="J108" s="193">
        <f t="shared" si="175"/>
        <v>14611.439999999999</v>
      </c>
      <c r="K108" s="193"/>
      <c r="L108" s="193"/>
      <c r="M108" s="622">
        <f t="shared" si="176"/>
        <v>14611.439999999999</v>
      </c>
      <c r="N108" s="194">
        <v>184</v>
      </c>
      <c r="O108" s="622">
        <f t="shared" si="177"/>
        <v>14611.44</v>
      </c>
      <c r="P108" s="194"/>
      <c r="Q108" s="622">
        <f t="shared" si="178"/>
        <v>0</v>
      </c>
      <c r="R108" s="194">
        <f t="shared" si="179"/>
        <v>184</v>
      </c>
      <c r="S108" s="630">
        <f t="shared" si="180"/>
        <v>14611.44</v>
      </c>
      <c r="T108" s="194">
        <f t="shared" si="165"/>
        <v>0</v>
      </c>
      <c r="U108" s="630">
        <f t="shared" si="173"/>
        <v>0</v>
      </c>
    </row>
    <row r="109" spans="1:21">
      <c r="A109" s="138"/>
      <c r="B109" s="132"/>
      <c r="C109" s="123"/>
      <c r="D109" s="123"/>
      <c r="E109" s="123"/>
      <c r="F109" s="123"/>
      <c r="G109" s="123"/>
      <c r="H109" s="123"/>
      <c r="I109" s="123"/>
      <c r="J109" s="123"/>
      <c r="K109" s="123"/>
      <c r="L109" s="123"/>
      <c r="M109" s="623"/>
      <c r="N109" s="123"/>
      <c r="O109" s="623"/>
      <c r="P109" s="123"/>
      <c r="Q109" s="623"/>
      <c r="R109" s="123"/>
      <c r="S109" s="631"/>
      <c r="T109" s="123"/>
      <c r="U109" s="631"/>
    </row>
    <row r="110" spans="1:21" s="131" customFormat="1">
      <c r="A110" s="137" t="s">
        <v>186</v>
      </c>
      <c r="B110" s="133"/>
      <c r="C110" s="658" t="s">
        <v>187</v>
      </c>
      <c r="D110" s="126"/>
      <c r="E110" s="127"/>
      <c r="F110" s="128"/>
      <c r="G110" s="128"/>
      <c r="H110" s="128"/>
      <c r="I110" s="129"/>
      <c r="J110" s="129">
        <f>SUBTOTAL(9,J111:J116)</f>
        <v>52096.830300000009</v>
      </c>
      <c r="K110" s="129"/>
      <c r="L110" s="129"/>
      <c r="M110" s="624"/>
      <c r="N110" s="130"/>
      <c r="O110" s="624">
        <f>SUBTOTAL(9,O111:O116)</f>
        <v>15131.98</v>
      </c>
      <c r="P110" s="130"/>
      <c r="Q110" s="624">
        <f>SUBTOTAL(9,Q111:Q116)</f>
        <v>18720.61</v>
      </c>
      <c r="R110" s="129"/>
      <c r="S110" s="624">
        <f>SUBTOTAL(9,S111:S116)</f>
        <v>33852.589999999997</v>
      </c>
      <c r="T110" s="129">
        <f t="shared" si="165"/>
        <v>0</v>
      </c>
      <c r="U110" s="624">
        <f>SUBTOTAL(9,U111:U116)</f>
        <v>18244.218019999997</v>
      </c>
    </row>
    <row r="111" spans="1:21" s="725" customFormat="1" ht="51">
      <c r="A111" s="577" t="s">
        <v>188</v>
      </c>
      <c r="B111" s="578">
        <v>90102</v>
      </c>
      <c r="C111" s="722" t="s">
        <v>194</v>
      </c>
      <c r="D111" s="580" t="s">
        <v>57</v>
      </c>
      <c r="E111" s="581">
        <v>89.99</v>
      </c>
      <c r="F111" s="582">
        <v>208.03</v>
      </c>
      <c r="G111" s="582"/>
      <c r="H111" s="582"/>
      <c r="I111" s="581">
        <f t="shared" ref="I111" si="181">F111+G111-H111</f>
        <v>208.03</v>
      </c>
      <c r="J111" s="581">
        <f t="shared" ref="J111" si="182">I111*E111</f>
        <v>18720.619699999999</v>
      </c>
      <c r="K111" s="581"/>
      <c r="L111" s="581"/>
      <c r="M111" s="723">
        <f t="shared" ref="M111" si="183">I111*E111</f>
        <v>18720.619699999999</v>
      </c>
      <c r="N111" s="582">
        <v>0</v>
      </c>
      <c r="O111" s="723">
        <f t="shared" ref="O111" si="184">TRUNC(N111*E111,2)</f>
        <v>0</v>
      </c>
      <c r="P111" s="582">
        <v>208.03</v>
      </c>
      <c r="Q111" s="723">
        <f t="shared" ref="Q111" si="185">S111-O111</f>
        <v>18720.61</v>
      </c>
      <c r="R111" s="582">
        <f t="shared" ref="R111" si="186">P111+N111</f>
        <v>208.03</v>
      </c>
      <c r="S111" s="724">
        <f t="shared" ref="S111" si="187">TRUNC(R111*E111,2)</f>
        <v>18720.61</v>
      </c>
      <c r="T111" s="582">
        <f t="shared" si="165"/>
        <v>0</v>
      </c>
      <c r="U111" s="724">
        <f t="shared" ref="U111:U116" si="188">T111*E111</f>
        <v>0</v>
      </c>
    </row>
    <row r="112" spans="1:21" s="725" customFormat="1" ht="51">
      <c r="A112" s="577" t="s">
        <v>189</v>
      </c>
      <c r="B112" s="578">
        <v>90223</v>
      </c>
      <c r="C112" s="722" t="s">
        <v>195</v>
      </c>
      <c r="D112" s="580" t="s">
        <v>57</v>
      </c>
      <c r="E112" s="581">
        <v>124.46</v>
      </c>
      <c r="F112" s="582">
        <v>209.41</v>
      </c>
      <c r="G112" s="582"/>
      <c r="H112" s="582"/>
      <c r="I112" s="581">
        <f t="shared" ref="I112:I116" si="189">F112+G112-H112</f>
        <v>209.41</v>
      </c>
      <c r="J112" s="581">
        <f t="shared" ref="J112:J116" si="190">I112*E112</f>
        <v>26063.168599999997</v>
      </c>
      <c r="K112" s="581"/>
      <c r="L112" s="581"/>
      <c r="M112" s="723">
        <f t="shared" ref="M112:M116" si="191">I112*E112</f>
        <v>26063.168599999997</v>
      </c>
      <c r="N112" s="582">
        <v>62.822999999999993</v>
      </c>
      <c r="O112" s="723">
        <f>TRUNC(N112*E112,2)</f>
        <v>7818.95</v>
      </c>
      <c r="P112" s="582">
        <v>0</v>
      </c>
      <c r="Q112" s="723">
        <f>S112-O112</f>
        <v>0</v>
      </c>
      <c r="R112" s="582">
        <f>P112+N112</f>
        <v>62.822999999999993</v>
      </c>
      <c r="S112" s="724">
        <f>TRUNC(R112*E112,2)</f>
        <v>7818.95</v>
      </c>
      <c r="T112" s="582">
        <f t="shared" si="165"/>
        <v>146.58699999999999</v>
      </c>
      <c r="U112" s="724">
        <f t="shared" si="188"/>
        <v>18244.218019999997</v>
      </c>
    </row>
    <row r="113" spans="1:21" ht="51">
      <c r="A113" s="190" t="s">
        <v>190</v>
      </c>
      <c r="B113" s="191">
        <v>40339</v>
      </c>
      <c r="C113" s="657" t="s">
        <v>196</v>
      </c>
      <c r="D113" s="192" t="s">
        <v>57</v>
      </c>
      <c r="E113" s="193">
        <v>91.04</v>
      </c>
      <c r="F113" s="194">
        <v>23.5</v>
      </c>
      <c r="G113" s="194"/>
      <c r="H113" s="194"/>
      <c r="I113" s="193">
        <f t="shared" si="189"/>
        <v>23.5</v>
      </c>
      <c r="J113" s="193">
        <f t="shared" si="190"/>
        <v>2139.44</v>
      </c>
      <c r="K113" s="193"/>
      <c r="L113" s="193"/>
      <c r="M113" s="622">
        <f t="shared" si="191"/>
        <v>2139.44</v>
      </c>
      <c r="N113" s="194">
        <v>23.5</v>
      </c>
      <c r="O113" s="622">
        <f t="shared" ref="O113:O115" si="192">TRUNC(N113*E113,2)</f>
        <v>2139.44</v>
      </c>
      <c r="P113" s="194"/>
      <c r="Q113" s="622">
        <f t="shared" ref="Q113:Q115" si="193">S113-O113</f>
        <v>0</v>
      </c>
      <c r="R113" s="194">
        <f t="shared" ref="R113:R115" si="194">P113+N113</f>
        <v>23.5</v>
      </c>
      <c r="S113" s="630">
        <f t="shared" ref="S113:S115" si="195">TRUNC(R113*E113,2)</f>
        <v>2139.44</v>
      </c>
      <c r="T113" s="194">
        <f t="shared" ref="T113:T115" si="196">F113-R113</f>
        <v>0</v>
      </c>
      <c r="U113" s="630">
        <f t="shared" si="188"/>
        <v>0</v>
      </c>
    </row>
    <row r="114" spans="1:21" ht="25.5">
      <c r="A114" s="190" t="s">
        <v>191</v>
      </c>
      <c r="B114" s="191">
        <v>40328</v>
      </c>
      <c r="C114" s="657" t="s">
        <v>197</v>
      </c>
      <c r="D114" s="192" t="s">
        <v>29</v>
      </c>
      <c r="E114" s="193">
        <v>7.98</v>
      </c>
      <c r="F114" s="194">
        <v>112</v>
      </c>
      <c r="G114" s="194"/>
      <c r="H114" s="194"/>
      <c r="I114" s="193">
        <f t="shared" si="189"/>
        <v>112</v>
      </c>
      <c r="J114" s="193">
        <f t="shared" si="190"/>
        <v>893.76</v>
      </c>
      <c r="K114" s="193"/>
      <c r="L114" s="193"/>
      <c r="M114" s="622">
        <f t="shared" si="191"/>
        <v>893.76</v>
      </c>
      <c r="N114" s="194">
        <v>112</v>
      </c>
      <c r="O114" s="622">
        <f t="shared" si="192"/>
        <v>893.76</v>
      </c>
      <c r="P114" s="194"/>
      <c r="Q114" s="622">
        <f t="shared" si="193"/>
        <v>0</v>
      </c>
      <c r="R114" s="194">
        <f t="shared" si="194"/>
        <v>112</v>
      </c>
      <c r="S114" s="630">
        <f t="shared" si="195"/>
        <v>893.76</v>
      </c>
      <c r="T114" s="194">
        <f t="shared" si="196"/>
        <v>0</v>
      </c>
      <c r="U114" s="630">
        <f t="shared" si="188"/>
        <v>0</v>
      </c>
    </row>
    <row r="115" spans="1:21" ht="51">
      <c r="A115" s="190" t="s">
        <v>192</v>
      </c>
      <c r="B115" s="191" t="s">
        <v>140</v>
      </c>
      <c r="C115" s="657" t="s">
        <v>198</v>
      </c>
      <c r="D115" s="192" t="s">
        <v>58</v>
      </c>
      <c r="E115" s="193">
        <v>486.08</v>
      </c>
      <c r="F115" s="194">
        <v>1.2</v>
      </c>
      <c r="G115" s="194"/>
      <c r="H115" s="194"/>
      <c r="I115" s="193">
        <f t="shared" si="189"/>
        <v>1.2</v>
      </c>
      <c r="J115" s="193">
        <f t="shared" si="190"/>
        <v>583.29599999999994</v>
      </c>
      <c r="K115" s="193"/>
      <c r="L115" s="193"/>
      <c r="M115" s="622">
        <f t="shared" si="191"/>
        <v>583.29599999999994</v>
      </c>
      <c r="N115" s="194">
        <v>1.2</v>
      </c>
      <c r="O115" s="622">
        <f t="shared" si="192"/>
        <v>583.29</v>
      </c>
      <c r="P115" s="194"/>
      <c r="Q115" s="622">
        <f t="shared" si="193"/>
        <v>0</v>
      </c>
      <c r="R115" s="194">
        <f t="shared" si="194"/>
        <v>1.2</v>
      </c>
      <c r="S115" s="630">
        <f t="shared" si="195"/>
        <v>583.29</v>
      </c>
      <c r="T115" s="194">
        <f t="shared" si="196"/>
        <v>0</v>
      </c>
      <c r="U115" s="630">
        <f t="shared" si="188"/>
        <v>0</v>
      </c>
    </row>
    <row r="116" spans="1:21" ht="51">
      <c r="A116" s="190" t="s">
        <v>193</v>
      </c>
      <c r="B116" s="191">
        <v>50602</v>
      </c>
      <c r="C116" s="657" t="s">
        <v>199</v>
      </c>
      <c r="D116" s="192" t="s">
        <v>57</v>
      </c>
      <c r="E116" s="193">
        <v>62.2</v>
      </c>
      <c r="F116" s="194">
        <v>59.43</v>
      </c>
      <c r="G116" s="194"/>
      <c r="H116" s="194"/>
      <c r="I116" s="193">
        <f t="shared" si="189"/>
        <v>59.43</v>
      </c>
      <c r="J116" s="193">
        <f t="shared" si="190"/>
        <v>3696.5460000000003</v>
      </c>
      <c r="K116" s="193"/>
      <c r="L116" s="193"/>
      <c r="M116" s="622">
        <f t="shared" si="191"/>
        <v>3696.5460000000003</v>
      </c>
      <c r="N116" s="194">
        <v>59.43</v>
      </c>
      <c r="O116" s="622">
        <f t="shared" ref="O116" si="197">TRUNC(N116*E116,2)</f>
        <v>3696.54</v>
      </c>
      <c r="P116" s="194">
        <v>0</v>
      </c>
      <c r="Q116" s="622">
        <f t="shared" ref="Q116" si="198">S116-O116</f>
        <v>0</v>
      </c>
      <c r="R116" s="194">
        <f t="shared" ref="R116" si="199">P116+N116</f>
        <v>59.43</v>
      </c>
      <c r="S116" s="630">
        <f t="shared" ref="S116" si="200">TRUNC(R116*E116,2)</f>
        <v>3696.54</v>
      </c>
      <c r="T116" s="194">
        <f t="shared" si="165"/>
        <v>0</v>
      </c>
      <c r="U116" s="630">
        <f t="shared" si="188"/>
        <v>0</v>
      </c>
    </row>
    <row r="117" spans="1:21">
      <c r="A117" s="138"/>
      <c r="B117" s="132"/>
      <c r="C117" s="123"/>
      <c r="D117" s="123"/>
      <c r="E117" s="123"/>
      <c r="F117" s="123"/>
      <c r="G117" s="123"/>
      <c r="H117" s="123"/>
      <c r="I117" s="123"/>
      <c r="J117" s="123"/>
      <c r="K117" s="123"/>
      <c r="L117" s="123"/>
      <c r="M117" s="623"/>
      <c r="N117" s="123"/>
      <c r="O117" s="623"/>
      <c r="P117" s="123"/>
      <c r="Q117" s="623"/>
      <c r="R117" s="123"/>
      <c r="S117" s="631"/>
      <c r="T117" s="123"/>
      <c r="U117" s="631"/>
    </row>
    <row r="118" spans="1:21" s="131" customFormat="1">
      <c r="A118" s="137" t="s">
        <v>200</v>
      </c>
      <c r="B118" s="133"/>
      <c r="C118" s="658" t="s">
        <v>201</v>
      </c>
      <c r="D118" s="126"/>
      <c r="E118" s="127"/>
      <c r="F118" s="128"/>
      <c r="G118" s="128"/>
      <c r="H118" s="128"/>
      <c r="I118" s="129"/>
      <c r="J118" s="129">
        <f>SUBTOTAL(9,J119:J122)</f>
        <v>6351.6699999999992</v>
      </c>
      <c r="K118" s="129"/>
      <c r="L118" s="129"/>
      <c r="M118" s="624"/>
      <c r="N118" s="130"/>
      <c r="O118" s="624">
        <f>SUBTOTAL(9,O119:O122)</f>
        <v>0</v>
      </c>
      <c r="P118" s="130"/>
      <c r="Q118" s="624">
        <f>SUBTOTAL(9,Q119:Q122)</f>
        <v>6351.66</v>
      </c>
      <c r="R118" s="129"/>
      <c r="S118" s="624">
        <f>SUBTOTAL(9,S119:S122)</f>
        <v>6351.66</v>
      </c>
      <c r="T118" s="129">
        <f t="shared" si="165"/>
        <v>0</v>
      </c>
      <c r="U118" s="624">
        <f>SUBTOTAL(9,U119:U122)</f>
        <v>0</v>
      </c>
    </row>
    <row r="119" spans="1:21" s="725" customFormat="1" ht="25.5">
      <c r="A119" s="577" t="s">
        <v>202</v>
      </c>
      <c r="B119" s="578" t="s">
        <v>206</v>
      </c>
      <c r="C119" s="722" t="s">
        <v>207</v>
      </c>
      <c r="D119" s="580" t="s">
        <v>60</v>
      </c>
      <c r="E119" s="581">
        <v>72.83</v>
      </c>
      <c r="F119" s="582">
        <v>39.799999999999997</v>
      </c>
      <c r="G119" s="582"/>
      <c r="H119" s="582"/>
      <c r="I119" s="581">
        <f t="shared" ref="I119" si="201">F119+G119-H119</f>
        <v>39.799999999999997</v>
      </c>
      <c r="J119" s="581">
        <f t="shared" ref="J119" si="202">I119*E119</f>
        <v>2898.6339999999996</v>
      </c>
      <c r="K119" s="581"/>
      <c r="L119" s="581"/>
      <c r="M119" s="723">
        <f t="shared" ref="M119" si="203">I119*E119</f>
        <v>2898.6339999999996</v>
      </c>
      <c r="N119" s="582">
        <v>0</v>
      </c>
      <c r="O119" s="723">
        <f t="shared" ref="O119" si="204">TRUNC(N119*E119,2)</f>
        <v>0</v>
      </c>
      <c r="P119" s="582">
        <v>39.799999999999997</v>
      </c>
      <c r="Q119" s="723">
        <f t="shared" ref="Q119" si="205">S119-O119</f>
        <v>2898.63</v>
      </c>
      <c r="R119" s="582">
        <f t="shared" ref="R119" si="206">P119+N119</f>
        <v>39.799999999999997</v>
      </c>
      <c r="S119" s="724">
        <f t="shared" ref="S119" si="207">TRUNC(R119*E119,2)</f>
        <v>2898.63</v>
      </c>
      <c r="T119" s="582">
        <f t="shared" si="165"/>
        <v>0</v>
      </c>
      <c r="U119" s="724">
        <f t="shared" ref="U119:U122" si="208">T119*E119</f>
        <v>0</v>
      </c>
    </row>
    <row r="120" spans="1:21" s="725" customFormat="1">
      <c r="A120" s="577" t="s">
        <v>203</v>
      </c>
      <c r="B120" s="578">
        <v>90302</v>
      </c>
      <c r="C120" s="722" t="s">
        <v>208</v>
      </c>
      <c r="D120" s="580" t="s">
        <v>51</v>
      </c>
      <c r="E120" s="581">
        <v>31.38</v>
      </c>
      <c r="F120" s="582">
        <v>62.2</v>
      </c>
      <c r="G120" s="582"/>
      <c r="H120" s="582"/>
      <c r="I120" s="581">
        <f t="shared" ref="I120:I122" si="209">F120+G120-H120</f>
        <v>62.2</v>
      </c>
      <c r="J120" s="581">
        <f t="shared" ref="J120:J122" si="210">I120*E120</f>
        <v>1951.836</v>
      </c>
      <c r="K120" s="581"/>
      <c r="L120" s="581"/>
      <c r="M120" s="723">
        <f t="shared" ref="M120:M122" si="211">I120*E120</f>
        <v>1951.836</v>
      </c>
      <c r="N120" s="582">
        <v>0</v>
      </c>
      <c r="O120" s="723">
        <f>TRUNC(N120*E120,2)</f>
        <v>0</v>
      </c>
      <c r="P120" s="582">
        <v>62.2</v>
      </c>
      <c r="Q120" s="723">
        <f>S120-O120</f>
        <v>1951.83</v>
      </c>
      <c r="R120" s="582">
        <f>P120+N120</f>
        <v>62.2</v>
      </c>
      <c r="S120" s="724">
        <f>TRUNC(R120*E120,2)</f>
        <v>1951.83</v>
      </c>
      <c r="T120" s="582">
        <f t="shared" si="165"/>
        <v>0</v>
      </c>
      <c r="U120" s="724">
        <f t="shared" si="208"/>
        <v>0</v>
      </c>
    </row>
    <row r="121" spans="1:21" s="725" customFormat="1" ht="25.5">
      <c r="A121" s="577" t="s">
        <v>204</v>
      </c>
      <c r="B121" s="578">
        <v>141909</v>
      </c>
      <c r="C121" s="722" t="s">
        <v>209</v>
      </c>
      <c r="D121" s="580" t="s">
        <v>51</v>
      </c>
      <c r="E121" s="581">
        <v>61.57</v>
      </c>
      <c r="F121" s="582">
        <v>10</v>
      </c>
      <c r="G121" s="582"/>
      <c r="H121" s="582"/>
      <c r="I121" s="581">
        <f t="shared" si="209"/>
        <v>10</v>
      </c>
      <c r="J121" s="581">
        <f t="shared" si="210"/>
        <v>615.70000000000005</v>
      </c>
      <c r="K121" s="581"/>
      <c r="L121" s="581"/>
      <c r="M121" s="723">
        <f t="shared" si="211"/>
        <v>615.70000000000005</v>
      </c>
      <c r="N121" s="582">
        <v>0</v>
      </c>
      <c r="O121" s="723">
        <f t="shared" ref="O121:O122" si="212">TRUNC(N121*E121,2)</f>
        <v>0</v>
      </c>
      <c r="P121" s="582">
        <v>10</v>
      </c>
      <c r="Q121" s="723">
        <f t="shared" ref="Q121:Q122" si="213">S121-O121</f>
        <v>615.70000000000005</v>
      </c>
      <c r="R121" s="582">
        <f t="shared" ref="R121:R122" si="214">P121+N121</f>
        <v>10</v>
      </c>
      <c r="S121" s="724">
        <f t="shared" ref="S121:S122" si="215">TRUNC(R121*E121,2)</f>
        <v>615.70000000000005</v>
      </c>
      <c r="T121" s="582">
        <f t="shared" si="165"/>
        <v>0</v>
      </c>
      <c r="U121" s="724">
        <f t="shared" si="208"/>
        <v>0</v>
      </c>
    </row>
    <row r="122" spans="1:21" s="725" customFormat="1" ht="25.5">
      <c r="A122" s="577" t="s">
        <v>205</v>
      </c>
      <c r="B122" s="578">
        <v>140904</v>
      </c>
      <c r="C122" s="722" t="s">
        <v>210</v>
      </c>
      <c r="D122" s="580" t="s">
        <v>51</v>
      </c>
      <c r="E122" s="581">
        <v>80.5</v>
      </c>
      <c r="F122" s="582">
        <v>11</v>
      </c>
      <c r="G122" s="582"/>
      <c r="H122" s="582"/>
      <c r="I122" s="581">
        <f t="shared" si="209"/>
        <v>11</v>
      </c>
      <c r="J122" s="581">
        <f t="shared" si="210"/>
        <v>885.5</v>
      </c>
      <c r="K122" s="581"/>
      <c r="L122" s="581"/>
      <c r="M122" s="723">
        <f t="shared" si="211"/>
        <v>885.5</v>
      </c>
      <c r="N122" s="582">
        <v>0</v>
      </c>
      <c r="O122" s="723">
        <f t="shared" si="212"/>
        <v>0</v>
      </c>
      <c r="P122" s="582">
        <v>11</v>
      </c>
      <c r="Q122" s="723">
        <f t="shared" si="213"/>
        <v>885.5</v>
      </c>
      <c r="R122" s="582">
        <f t="shared" si="214"/>
        <v>11</v>
      </c>
      <c r="S122" s="724">
        <f t="shared" si="215"/>
        <v>885.5</v>
      </c>
      <c r="T122" s="582">
        <f t="shared" si="165"/>
        <v>0</v>
      </c>
      <c r="U122" s="724">
        <f t="shared" si="208"/>
        <v>0</v>
      </c>
    </row>
    <row r="123" spans="1:21">
      <c r="A123" s="138"/>
      <c r="B123" s="132"/>
      <c r="C123" s="123"/>
      <c r="D123" s="123"/>
      <c r="E123" s="123"/>
      <c r="F123" s="123"/>
      <c r="G123" s="123"/>
      <c r="H123" s="123"/>
      <c r="I123" s="123"/>
      <c r="J123" s="123"/>
      <c r="K123" s="123"/>
      <c r="L123" s="123"/>
      <c r="M123" s="623"/>
      <c r="N123" s="123"/>
      <c r="O123" s="623"/>
      <c r="P123" s="123"/>
      <c r="Q123" s="623"/>
      <c r="R123" s="123"/>
      <c r="S123" s="631"/>
      <c r="T123" s="123"/>
      <c r="U123" s="631"/>
    </row>
    <row r="124" spans="1:21" s="131" customFormat="1">
      <c r="A124" s="137" t="s">
        <v>211</v>
      </c>
      <c r="B124" s="133"/>
      <c r="C124" s="658" t="s">
        <v>212</v>
      </c>
      <c r="D124" s="126"/>
      <c r="E124" s="127"/>
      <c r="F124" s="128"/>
      <c r="G124" s="128"/>
      <c r="H124" s="128"/>
      <c r="I124" s="129"/>
      <c r="J124" s="129">
        <f>SUBTOTAL(9,J125:J135)</f>
        <v>115012.46699999998</v>
      </c>
      <c r="K124" s="129"/>
      <c r="L124" s="129"/>
      <c r="M124" s="624"/>
      <c r="N124" s="130"/>
      <c r="O124" s="624">
        <f>SUBTOTAL(9,O125:O135)</f>
        <v>19108.29</v>
      </c>
      <c r="P124" s="130"/>
      <c r="Q124" s="624">
        <f>SUBTOTAL(9,Q125:Q135)</f>
        <v>21615.890000000003</v>
      </c>
      <c r="R124" s="129"/>
      <c r="S124" s="624">
        <f>SUBTOTAL(9,S125:S135)</f>
        <v>40724.18</v>
      </c>
      <c r="T124" s="129">
        <f t="shared" si="165"/>
        <v>0</v>
      </c>
      <c r="U124" s="624">
        <f>SUBTOTAL(9,U125:U135)</f>
        <v>74288.258299999987</v>
      </c>
    </row>
    <row r="125" spans="1:21">
      <c r="A125" s="190" t="s">
        <v>213</v>
      </c>
      <c r="B125" s="191" t="s">
        <v>224</v>
      </c>
      <c r="C125" s="657" t="s">
        <v>229</v>
      </c>
      <c r="D125" s="192" t="s">
        <v>50</v>
      </c>
      <c r="E125" s="193">
        <v>280.31</v>
      </c>
      <c r="F125" s="194">
        <v>118.46</v>
      </c>
      <c r="G125" s="194"/>
      <c r="H125" s="194"/>
      <c r="I125" s="193">
        <f t="shared" ref="I125" si="216">F125+G125-H125</f>
        <v>118.46</v>
      </c>
      <c r="J125" s="193">
        <f t="shared" ref="J125" si="217">I125*E125</f>
        <v>33205.522599999997</v>
      </c>
      <c r="K125" s="193"/>
      <c r="L125" s="193"/>
      <c r="M125" s="622">
        <f t="shared" ref="M125" si="218">I125*E125</f>
        <v>33205.522599999997</v>
      </c>
      <c r="N125" s="194">
        <v>0</v>
      </c>
      <c r="O125" s="622">
        <f t="shared" ref="O125" si="219">TRUNC(N125*E125,2)</f>
        <v>0</v>
      </c>
      <c r="P125" s="194">
        <f>IFERROR(VLOOKUP(A125,'1.1.1.1'!A:U,18,FALSE),)</f>
        <v>0</v>
      </c>
      <c r="Q125" s="622">
        <f t="shared" ref="Q125" si="220">S125-O125</f>
        <v>0</v>
      </c>
      <c r="R125" s="194">
        <f t="shared" ref="R125" si="221">P125+N125</f>
        <v>0</v>
      </c>
      <c r="S125" s="630">
        <f t="shared" ref="S125" si="222">TRUNC(R125*E125,2)</f>
        <v>0</v>
      </c>
      <c r="T125" s="194">
        <f t="shared" si="165"/>
        <v>118.46</v>
      </c>
      <c r="U125" s="630">
        <f t="shared" ref="U125:U135" si="223">T125*E125</f>
        <v>33205.522599999997</v>
      </c>
    </row>
    <row r="126" spans="1:21">
      <c r="A126" s="190" t="s">
        <v>214</v>
      </c>
      <c r="B126" s="191" t="s">
        <v>225</v>
      </c>
      <c r="C126" s="657" t="s">
        <v>230</v>
      </c>
      <c r="D126" s="192" t="s">
        <v>50</v>
      </c>
      <c r="E126" s="193">
        <v>645.84</v>
      </c>
      <c r="F126" s="194">
        <v>11.14</v>
      </c>
      <c r="G126" s="194"/>
      <c r="H126" s="194"/>
      <c r="I126" s="193">
        <f t="shared" ref="I126:I135" si="224">F126+G126-H126</f>
        <v>11.14</v>
      </c>
      <c r="J126" s="193">
        <f t="shared" ref="J126:J135" si="225">I126*E126</f>
        <v>7194.6576000000005</v>
      </c>
      <c r="K126" s="193"/>
      <c r="L126" s="193"/>
      <c r="M126" s="622">
        <f t="shared" ref="M126:M135" si="226">I126*E126</f>
        <v>7194.6576000000005</v>
      </c>
      <c r="N126" s="194">
        <v>0</v>
      </c>
      <c r="O126" s="622">
        <f>TRUNC(N126*E126,2)</f>
        <v>0</v>
      </c>
      <c r="P126" s="194">
        <f>IFERROR(VLOOKUP(A126,'1.1.1.1'!A:U,18,FALSE),)</f>
        <v>0</v>
      </c>
      <c r="Q126" s="622">
        <f>S126-O126</f>
        <v>0</v>
      </c>
      <c r="R126" s="194">
        <f>P126+N126</f>
        <v>0</v>
      </c>
      <c r="S126" s="630">
        <f>TRUNC(R126*E126,2)</f>
        <v>0</v>
      </c>
      <c r="T126" s="194">
        <f t="shared" si="165"/>
        <v>11.14</v>
      </c>
      <c r="U126" s="630">
        <f t="shared" si="223"/>
        <v>7194.6576000000005</v>
      </c>
    </row>
    <row r="127" spans="1:21" ht="25.5">
      <c r="A127" s="190" t="s">
        <v>215</v>
      </c>
      <c r="B127" s="191" t="s">
        <v>226</v>
      </c>
      <c r="C127" s="657" t="s">
        <v>231</v>
      </c>
      <c r="D127" s="192" t="s">
        <v>50</v>
      </c>
      <c r="E127" s="193">
        <v>651.87</v>
      </c>
      <c r="F127" s="194">
        <v>11.25</v>
      </c>
      <c r="G127" s="194"/>
      <c r="H127" s="194"/>
      <c r="I127" s="193">
        <f t="shared" si="224"/>
        <v>11.25</v>
      </c>
      <c r="J127" s="193">
        <f t="shared" si="225"/>
        <v>7333.5375000000004</v>
      </c>
      <c r="K127" s="193"/>
      <c r="L127" s="193"/>
      <c r="M127" s="622">
        <f t="shared" si="226"/>
        <v>7333.5375000000004</v>
      </c>
      <c r="N127" s="194">
        <v>0</v>
      </c>
      <c r="O127" s="622">
        <f t="shared" ref="O127:O135" si="227">TRUNC(N127*E127,2)</f>
        <v>0</v>
      </c>
      <c r="P127" s="194">
        <f>IFERROR(VLOOKUP(A127,'1.1.1.1'!A:U,18,FALSE),)</f>
        <v>0</v>
      </c>
      <c r="Q127" s="622">
        <f t="shared" ref="Q127:Q135" si="228">S127-O127</f>
        <v>0</v>
      </c>
      <c r="R127" s="194">
        <f t="shared" ref="R127:R135" si="229">P127+N127</f>
        <v>0</v>
      </c>
      <c r="S127" s="630">
        <f t="shared" ref="S127:S135" si="230">TRUNC(R127*E127,2)</f>
        <v>0</v>
      </c>
      <c r="T127" s="194">
        <f t="shared" si="165"/>
        <v>11.25</v>
      </c>
      <c r="U127" s="630">
        <f t="shared" si="223"/>
        <v>7333.5375000000004</v>
      </c>
    </row>
    <row r="128" spans="1:21" s="725" customFormat="1" ht="25.5">
      <c r="A128" s="577" t="s">
        <v>216</v>
      </c>
      <c r="B128" s="578">
        <v>210322</v>
      </c>
      <c r="C128" s="722" t="s">
        <v>232</v>
      </c>
      <c r="D128" s="580" t="s">
        <v>51</v>
      </c>
      <c r="E128" s="581">
        <v>91.5</v>
      </c>
      <c r="F128" s="582">
        <v>17.55</v>
      </c>
      <c r="G128" s="582"/>
      <c r="H128" s="582"/>
      <c r="I128" s="581">
        <f t="shared" si="224"/>
        <v>17.55</v>
      </c>
      <c r="J128" s="581">
        <f t="shared" si="225"/>
        <v>1605.825</v>
      </c>
      <c r="K128" s="581"/>
      <c r="L128" s="581"/>
      <c r="M128" s="723">
        <f t="shared" si="226"/>
        <v>1605.825</v>
      </c>
      <c r="N128" s="582">
        <v>0</v>
      </c>
      <c r="O128" s="723">
        <f t="shared" ref="O128:O134" si="231">TRUNC(N128*E128,2)</f>
        <v>0</v>
      </c>
      <c r="P128" s="582">
        <v>17.55</v>
      </c>
      <c r="Q128" s="723">
        <f t="shared" ref="Q128:Q134" si="232">S128-O128</f>
        <v>1605.82</v>
      </c>
      <c r="R128" s="582">
        <f t="shared" ref="R128:R134" si="233">P128+N128</f>
        <v>17.55</v>
      </c>
      <c r="S128" s="724">
        <f t="shared" ref="S128:S134" si="234">TRUNC(R128*E128,2)</f>
        <v>1605.82</v>
      </c>
      <c r="T128" s="582">
        <f t="shared" ref="T128:T134" si="235">F128-R128</f>
        <v>0</v>
      </c>
      <c r="U128" s="724">
        <f t="shared" si="223"/>
        <v>0</v>
      </c>
    </row>
    <row r="129" spans="1:21" s="725" customFormat="1" ht="25.5">
      <c r="A129" s="577" t="s">
        <v>217</v>
      </c>
      <c r="B129" s="578" t="s">
        <v>227</v>
      </c>
      <c r="C129" s="722" t="s">
        <v>233</v>
      </c>
      <c r="D129" s="580" t="s">
        <v>51</v>
      </c>
      <c r="E129" s="581">
        <v>366.23</v>
      </c>
      <c r="F129" s="582">
        <v>4.1500000000000004</v>
      </c>
      <c r="G129" s="582"/>
      <c r="H129" s="582"/>
      <c r="I129" s="581">
        <f t="shared" si="224"/>
        <v>4.1500000000000004</v>
      </c>
      <c r="J129" s="581">
        <f t="shared" si="225"/>
        <v>1519.8545000000001</v>
      </c>
      <c r="K129" s="581"/>
      <c r="L129" s="581"/>
      <c r="M129" s="723">
        <f t="shared" si="226"/>
        <v>1519.8545000000001</v>
      </c>
      <c r="N129" s="582">
        <v>0</v>
      </c>
      <c r="O129" s="723">
        <f t="shared" si="231"/>
        <v>0</v>
      </c>
      <c r="P129" s="582">
        <v>4.1500000000000004</v>
      </c>
      <c r="Q129" s="723">
        <f t="shared" si="232"/>
        <v>1519.85</v>
      </c>
      <c r="R129" s="582">
        <f t="shared" si="233"/>
        <v>4.1500000000000004</v>
      </c>
      <c r="S129" s="724">
        <f t="shared" si="234"/>
        <v>1519.85</v>
      </c>
      <c r="T129" s="582">
        <f t="shared" si="235"/>
        <v>0</v>
      </c>
      <c r="U129" s="724">
        <f t="shared" si="223"/>
        <v>0</v>
      </c>
    </row>
    <row r="130" spans="1:21" ht="51">
      <c r="A130" s="190" t="s">
        <v>218</v>
      </c>
      <c r="B130" s="191">
        <v>50608</v>
      </c>
      <c r="C130" s="657" t="s">
        <v>234</v>
      </c>
      <c r="D130" s="192" t="s">
        <v>57</v>
      </c>
      <c r="E130" s="193">
        <v>88.68</v>
      </c>
      <c r="F130" s="194">
        <v>6.97</v>
      </c>
      <c r="G130" s="194"/>
      <c r="H130" s="194"/>
      <c r="I130" s="193">
        <f t="shared" si="224"/>
        <v>6.97</v>
      </c>
      <c r="J130" s="193">
        <f t="shared" si="225"/>
        <v>618.09960000000001</v>
      </c>
      <c r="K130" s="193"/>
      <c r="L130" s="193"/>
      <c r="M130" s="622">
        <f t="shared" si="226"/>
        <v>618.09960000000001</v>
      </c>
      <c r="N130" s="194">
        <v>6.97</v>
      </c>
      <c r="O130" s="622">
        <f t="shared" si="231"/>
        <v>618.09</v>
      </c>
      <c r="P130" s="194">
        <v>0</v>
      </c>
      <c r="Q130" s="622">
        <f t="shared" si="232"/>
        <v>0</v>
      </c>
      <c r="R130" s="194">
        <f t="shared" si="233"/>
        <v>6.97</v>
      </c>
      <c r="S130" s="630">
        <f t="shared" si="234"/>
        <v>618.09</v>
      </c>
      <c r="T130" s="194">
        <f t="shared" si="235"/>
        <v>0</v>
      </c>
      <c r="U130" s="630">
        <f t="shared" si="223"/>
        <v>0</v>
      </c>
    </row>
    <row r="131" spans="1:21" s="725" customFormat="1" ht="25.5">
      <c r="A131" s="577" t="s">
        <v>219</v>
      </c>
      <c r="B131" s="578">
        <v>120101</v>
      </c>
      <c r="C131" s="722" t="s">
        <v>235</v>
      </c>
      <c r="D131" s="580" t="s">
        <v>57</v>
      </c>
      <c r="E131" s="581">
        <v>5.64</v>
      </c>
      <c r="F131" s="582">
        <v>540.16999999999996</v>
      </c>
      <c r="G131" s="582"/>
      <c r="H131" s="582"/>
      <c r="I131" s="581">
        <f t="shared" si="224"/>
        <v>540.16999999999996</v>
      </c>
      <c r="J131" s="581">
        <f t="shared" si="225"/>
        <v>3046.5587999999998</v>
      </c>
      <c r="K131" s="581"/>
      <c r="L131" s="581"/>
      <c r="M131" s="723">
        <f t="shared" si="226"/>
        <v>3046.5587999999998</v>
      </c>
      <c r="N131" s="582">
        <v>270.08499999999998</v>
      </c>
      <c r="O131" s="723">
        <f t="shared" si="231"/>
        <v>1523.27</v>
      </c>
      <c r="P131" s="582">
        <f>I131-N131</f>
        <v>270.08499999999998</v>
      </c>
      <c r="Q131" s="723">
        <f t="shared" si="232"/>
        <v>1523.2800000000002</v>
      </c>
      <c r="R131" s="582">
        <f t="shared" si="233"/>
        <v>540.16999999999996</v>
      </c>
      <c r="S131" s="724">
        <f t="shared" si="234"/>
        <v>3046.55</v>
      </c>
      <c r="T131" s="582">
        <f t="shared" si="235"/>
        <v>0</v>
      </c>
      <c r="U131" s="724">
        <f t="shared" si="223"/>
        <v>0</v>
      </c>
    </row>
    <row r="132" spans="1:21" s="725" customFormat="1" ht="25.5">
      <c r="A132" s="577" t="s">
        <v>220</v>
      </c>
      <c r="B132" s="578">
        <v>120303</v>
      </c>
      <c r="C132" s="722" t="s">
        <v>236</v>
      </c>
      <c r="D132" s="580" t="s">
        <v>57</v>
      </c>
      <c r="E132" s="581">
        <v>49.24</v>
      </c>
      <c r="F132" s="582">
        <v>540.16999999999996</v>
      </c>
      <c r="G132" s="582"/>
      <c r="H132" s="582"/>
      <c r="I132" s="581">
        <f t="shared" si="224"/>
        <v>540.16999999999996</v>
      </c>
      <c r="J132" s="581">
        <f t="shared" si="225"/>
        <v>26597.970799999999</v>
      </c>
      <c r="K132" s="581"/>
      <c r="L132" s="581"/>
      <c r="M132" s="723">
        <f t="shared" si="226"/>
        <v>26597.970799999999</v>
      </c>
      <c r="N132" s="582">
        <v>270.08499999999998</v>
      </c>
      <c r="O132" s="723">
        <f t="shared" si="231"/>
        <v>13298.98</v>
      </c>
      <c r="P132" s="582">
        <f>I132-N132</f>
        <v>270.08499999999998</v>
      </c>
      <c r="Q132" s="723">
        <f t="shared" si="232"/>
        <v>13298.990000000002</v>
      </c>
      <c r="R132" s="582">
        <f t="shared" si="233"/>
        <v>540.16999999999996</v>
      </c>
      <c r="S132" s="724">
        <f t="shared" si="234"/>
        <v>26597.97</v>
      </c>
      <c r="T132" s="582">
        <f t="shared" si="235"/>
        <v>0</v>
      </c>
      <c r="U132" s="724">
        <f t="shared" si="223"/>
        <v>0</v>
      </c>
    </row>
    <row r="133" spans="1:21" ht="25.5">
      <c r="A133" s="190" t="s">
        <v>221</v>
      </c>
      <c r="B133" s="191">
        <v>190117</v>
      </c>
      <c r="C133" s="657" t="s">
        <v>237</v>
      </c>
      <c r="D133" s="192" t="s">
        <v>57</v>
      </c>
      <c r="E133" s="193">
        <v>18.27</v>
      </c>
      <c r="F133" s="194">
        <v>540.16999999999996</v>
      </c>
      <c r="G133" s="194"/>
      <c r="H133" s="194"/>
      <c r="I133" s="193">
        <f t="shared" si="224"/>
        <v>540.16999999999996</v>
      </c>
      <c r="J133" s="193">
        <f t="shared" si="225"/>
        <v>9868.9058999999997</v>
      </c>
      <c r="K133" s="193"/>
      <c r="L133" s="193"/>
      <c r="M133" s="622">
        <f t="shared" si="226"/>
        <v>9868.9058999999997</v>
      </c>
      <c r="N133" s="194">
        <v>0</v>
      </c>
      <c r="O133" s="622">
        <f t="shared" si="231"/>
        <v>0</v>
      </c>
      <c r="P133" s="194">
        <f>IFERROR(VLOOKUP(A133,'1.1.1.1'!A:U,18,FALSE),)</f>
        <v>0</v>
      </c>
      <c r="Q133" s="622">
        <f t="shared" si="232"/>
        <v>0</v>
      </c>
      <c r="R133" s="194">
        <f t="shared" si="233"/>
        <v>0</v>
      </c>
      <c r="S133" s="630">
        <f t="shared" si="234"/>
        <v>0</v>
      </c>
      <c r="T133" s="194">
        <f t="shared" si="235"/>
        <v>540.16999999999996</v>
      </c>
      <c r="U133" s="630">
        <f t="shared" si="223"/>
        <v>9868.9058999999997</v>
      </c>
    </row>
    <row r="134" spans="1:21" ht="51">
      <c r="A134" s="190" t="s">
        <v>222</v>
      </c>
      <c r="B134" s="191">
        <v>130230</v>
      </c>
      <c r="C134" s="657" t="s">
        <v>238</v>
      </c>
      <c r="D134" s="192" t="s">
        <v>57</v>
      </c>
      <c r="E134" s="193">
        <v>106.19</v>
      </c>
      <c r="F134" s="194">
        <v>157.13</v>
      </c>
      <c r="G134" s="194"/>
      <c r="H134" s="194"/>
      <c r="I134" s="193">
        <f t="shared" si="224"/>
        <v>157.13</v>
      </c>
      <c r="J134" s="193">
        <f t="shared" si="225"/>
        <v>16685.634699999999</v>
      </c>
      <c r="K134" s="193"/>
      <c r="L134" s="193"/>
      <c r="M134" s="622">
        <f t="shared" si="226"/>
        <v>16685.634699999999</v>
      </c>
      <c r="N134" s="194">
        <v>0</v>
      </c>
      <c r="O134" s="622">
        <f t="shared" si="231"/>
        <v>0</v>
      </c>
      <c r="P134" s="194"/>
      <c r="Q134" s="622">
        <f t="shared" si="232"/>
        <v>0</v>
      </c>
      <c r="R134" s="194">
        <f t="shared" si="233"/>
        <v>0</v>
      </c>
      <c r="S134" s="630">
        <f t="shared" si="234"/>
        <v>0</v>
      </c>
      <c r="T134" s="194">
        <f t="shared" si="235"/>
        <v>157.13</v>
      </c>
      <c r="U134" s="630">
        <f t="shared" si="223"/>
        <v>16685.634699999999</v>
      </c>
    </row>
    <row r="135" spans="1:21" s="725" customFormat="1" ht="25.5">
      <c r="A135" s="577" t="s">
        <v>223</v>
      </c>
      <c r="B135" s="578" t="s">
        <v>228</v>
      </c>
      <c r="C135" s="722" t="s">
        <v>239</v>
      </c>
      <c r="D135" s="580" t="s">
        <v>72</v>
      </c>
      <c r="E135" s="581">
        <v>333.45</v>
      </c>
      <c r="F135" s="582">
        <v>22</v>
      </c>
      <c r="G135" s="582"/>
      <c r="H135" s="582"/>
      <c r="I135" s="581">
        <f t="shared" si="224"/>
        <v>22</v>
      </c>
      <c r="J135" s="581">
        <f t="shared" si="225"/>
        <v>7335.9</v>
      </c>
      <c r="K135" s="581"/>
      <c r="L135" s="581"/>
      <c r="M135" s="723">
        <f t="shared" si="226"/>
        <v>7335.9</v>
      </c>
      <c r="N135" s="582">
        <v>11</v>
      </c>
      <c r="O135" s="723">
        <f t="shared" si="227"/>
        <v>3667.95</v>
      </c>
      <c r="P135" s="582">
        <v>11</v>
      </c>
      <c r="Q135" s="723">
        <f t="shared" si="228"/>
        <v>3667.95</v>
      </c>
      <c r="R135" s="582">
        <f t="shared" si="229"/>
        <v>22</v>
      </c>
      <c r="S135" s="724">
        <f t="shared" si="230"/>
        <v>7335.9</v>
      </c>
      <c r="T135" s="582">
        <f t="shared" si="165"/>
        <v>0</v>
      </c>
      <c r="U135" s="724">
        <f t="shared" si="223"/>
        <v>0</v>
      </c>
    </row>
    <row r="136" spans="1:21">
      <c r="A136" s="138"/>
      <c r="B136" s="132"/>
      <c r="C136" s="123"/>
      <c r="D136" s="123"/>
      <c r="E136" s="123"/>
      <c r="F136" s="123"/>
      <c r="G136" s="123"/>
      <c r="H136" s="123"/>
      <c r="I136" s="123"/>
      <c r="J136" s="123"/>
      <c r="K136" s="123"/>
      <c r="L136" s="123"/>
      <c r="M136" s="623"/>
      <c r="N136" s="123"/>
      <c r="O136" s="623"/>
      <c r="P136" s="123"/>
      <c r="Q136" s="623"/>
      <c r="R136" s="123"/>
      <c r="S136" s="631"/>
      <c r="T136" s="123"/>
      <c r="U136" s="631"/>
    </row>
    <row r="137" spans="1:21" s="213" customFormat="1">
      <c r="A137" s="210" t="s">
        <v>24</v>
      </c>
      <c r="B137" s="211"/>
      <c r="C137" s="655" t="s">
        <v>240</v>
      </c>
      <c r="D137" s="197"/>
      <c r="E137" s="198"/>
      <c r="F137" s="199"/>
      <c r="G137" s="199"/>
      <c r="H137" s="199"/>
      <c r="I137" s="200"/>
      <c r="J137" s="200">
        <f>SUBTOTAL(9,J138:J171)</f>
        <v>597315.99990000005</v>
      </c>
      <c r="K137" s="200"/>
      <c r="L137" s="200"/>
      <c r="M137" s="620"/>
      <c r="N137" s="201"/>
      <c r="O137" s="620">
        <f>SUBTOTAL(9,O138:O171)</f>
        <v>580698.49999999988</v>
      </c>
      <c r="P137" s="201"/>
      <c r="Q137" s="620">
        <f>SUBTOTAL(9,Q138:Q171)</f>
        <v>14345.61</v>
      </c>
      <c r="R137" s="200"/>
      <c r="S137" s="620">
        <f>SUBTOTAL(9,S138:S171)</f>
        <v>595044.11</v>
      </c>
      <c r="T137" s="200">
        <f t="shared" si="165"/>
        <v>0</v>
      </c>
      <c r="U137" s="620">
        <f>SUBTOTAL(9,U138:U171)</f>
        <v>10041.561300000001</v>
      </c>
    </row>
    <row r="138" spans="1:21" s="131" customFormat="1">
      <c r="A138" s="137" t="s">
        <v>241</v>
      </c>
      <c r="B138" s="133"/>
      <c r="C138" s="658" t="s">
        <v>242</v>
      </c>
      <c r="D138" s="126"/>
      <c r="E138" s="127"/>
      <c r="F138" s="128"/>
      <c r="G138" s="128"/>
      <c r="H138" s="128"/>
      <c r="I138" s="129"/>
      <c r="J138" s="129">
        <f>SUBTOTAL(9,J139:J150)</f>
        <v>296584.22210000007</v>
      </c>
      <c r="K138" s="129"/>
      <c r="L138" s="129"/>
      <c r="M138" s="624"/>
      <c r="N138" s="130"/>
      <c r="O138" s="624">
        <f>SUBTOTAL(9,O139:O150)</f>
        <v>289918.25</v>
      </c>
      <c r="P138" s="130"/>
      <c r="Q138" s="624">
        <f>SUBTOTAL(9,Q139:Q150)</f>
        <v>14345.61</v>
      </c>
      <c r="R138" s="129"/>
      <c r="S138" s="624">
        <f>SUBTOTAL(9,S139:S150)</f>
        <v>304263.86000000004</v>
      </c>
      <c r="T138" s="129">
        <f t="shared" si="165"/>
        <v>0</v>
      </c>
      <c r="U138" s="624">
        <f>SUBTOTAL(9,U139:U150)</f>
        <v>90.047999999999988</v>
      </c>
    </row>
    <row r="139" spans="1:21" ht="25.5">
      <c r="A139" s="190" t="s">
        <v>243</v>
      </c>
      <c r="B139" s="191">
        <v>40405</v>
      </c>
      <c r="C139" s="657" t="s">
        <v>264</v>
      </c>
      <c r="D139" s="192" t="s">
        <v>57</v>
      </c>
      <c r="E139" s="193">
        <v>86.33</v>
      </c>
      <c r="F139" s="194">
        <v>341</v>
      </c>
      <c r="G139" s="194">
        <f>REPLANILHAMENTO!H115</f>
        <v>90</v>
      </c>
      <c r="H139" s="194">
        <v>0</v>
      </c>
      <c r="I139" s="193">
        <f>F139+G139-H139</f>
        <v>431</v>
      </c>
      <c r="J139" s="193">
        <f>F139*E139</f>
        <v>29438.53</v>
      </c>
      <c r="K139" s="193">
        <f>G139*E139</f>
        <v>7769.7</v>
      </c>
      <c r="L139" s="193"/>
      <c r="M139" s="622">
        <f>I139*E139</f>
        <v>37208.229999999996</v>
      </c>
      <c r="N139" s="194">
        <f>'2.4.1.1'!R24</f>
        <v>431</v>
      </c>
      <c r="O139" s="622">
        <f t="shared" ref="O139:O149" si="236">TRUNC(N139*E139,2)</f>
        <v>37208.230000000003</v>
      </c>
      <c r="P139" s="560">
        <f>'2.4.1.1'!R25</f>
        <v>0</v>
      </c>
      <c r="Q139" s="622">
        <f t="shared" ref="Q139:Q149" si="237">S139-O139</f>
        <v>0</v>
      </c>
      <c r="R139" s="194">
        <f>P139+N139</f>
        <v>431</v>
      </c>
      <c r="S139" s="630">
        <f>TRUNC(R139*E139,2)</f>
        <v>37208.230000000003</v>
      </c>
      <c r="T139" s="194">
        <v>0</v>
      </c>
      <c r="U139" s="630">
        <v>0</v>
      </c>
    </row>
    <row r="140" spans="1:21" ht="25.5">
      <c r="A140" s="190" t="s">
        <v>244</v>
      </c>
      <c r="B140" s="191" t="s">
        <v>255</v>
      </c>
      <c r="C140" s="657" t="s">
        <v>265</v>
      </c>
      <c r="D140" s="192" t="s">
        <v>29</v>
      </c>
      <c r="E140" s="193">
        <v>7.33</v>
      </c>
      <c r="F140" s="194">
        <v>3966.02</v>
      </c>
      <c r="G140" s="194"/>
      <c r="H140" s="194"/>
      <c r="I140" s="193">
        <f t="shared" ref="I140" si="238">F140+G140-H140</f>
        <v>3966.02</v>
      </c>
      <c r="J140" s="193">
        <f t="shared" ref="J140" si="239">I140*E140</f>
        <v>29070.926599999999</v>
      </c>
      <c r="K140" s="193"/>
      <c r="L140" s="193"/>
      <c r="M140" s="622">
        <f t="shared" ref="M140" si="240">I140*E140</f>
        <v>29070.926599999999</v>
      </c>
      <c r="N140" s="194">
        <f>'2.4.1.2 '!R25</f>
        <v>3966.02</v>
      </c>
      <c r="O140" s="622">
        <f t="shared" si="236"/>
        <v>29070.92</v>
      </c>
      <c r="P140" s="560">
        <f>'2.4.1.2 '!R26</f>
        <v>0</v>
      </c>
      <c r="Q140" s="622">
        <f t="shared" si="237"/>
        <v>0</v>
      </c>
      <c r="R140" s="194">
        <f>P140+N140</f>
        <v>3966.02</v>
      </c>
      <c r="S140" s="630">
        <f t="shared" ref="S140:S149" si="241">TRUNC(R140*E140,2)</f>
        <v>29070.92</v>
      </c>
      <c r="T140" s="194">
        <f t="shared" ref="T140:T148" si="242">F140-R140</f>
        <v>0</v>
      </c>
      <c r="U140" s="630">
        <f t="shared" ref="U140:U150" si="243">T140*E140</f>
        <v>0</v>
      </c>
    </row>
    <row r="141" spans="1:21" ht="25.5">
      <c r="A141" s="190" t="s">
        <v>245</v>
      </c>
      <c r="B141" s="191">
        <v>40328</v>
      </c>
      <c r="C141" s="657" t="s">
        <v>147</v>
      </c>
      <c r="D141" s="192" t="s">
        <v>29</v>
      </c>
      <c r="E141" s="193">
        <v>7.98</v>
      </c>
      <c r="F141" s="194">
        <v>1880</v>
      </c>
      <c r="G141" s="194"/>
      <c r="H141" s="194"/>
      <c r="I141" s="193">
        <f t="shared" ref="I141:I168" si="244">F141+G141-H141</f>
        <v>1880</v>
      </c>
      <c r="J141" s="193">
        <f t="shared" ref="J141:J168" si="245">I141*E141</f>
        <v>15002.400000000001</v>
      </c>
      <c r="K141" s="193"/>
      <c r="L141" s="193"/>
      <c r="M141" s="622">
        <f t="shared" ref="M141:M168" si="246">I141*E141</f>
        <v>15002.400000000001</v>
      </c>
      <c r="N141" s="194">
        <f>'2.4.1.3 '!R25</f>
        <v>1880</v>
      </c>
      <c r="O141" s="622">
        <f t="shared" si="236"/>
        <v>15002.4</v>
      </c>
      <c r="P141" s="560">
        <f>'2.4.1.3 '!R26</f>
        <v>0</v>
      </c>
      <c r="Q141" s="622">
        <f t="shared" si="237"/>
        <v>0</v>
      </c>
      <c r="R141" s="194">
        <f t="shared" ref="R141:R149" si="247">P141+N141</f>
        <v>1880</v>
      </c>
      <c r="S141" s="630">
        <f t="shared" si="241"/>
        <v>15002.4</v>
      </c>
      <c r="T141" s="194">
        <f t="shared" si="242"/>
        <v>0</v>
      </c>
      <c r="U141" s="630">
        <f t="shared" si="243"/>
        <v>0</v>
      </c>
    </row>
    <row r="142" spans="1:21">
      <c r="A142" s="190" t="s">
        <v>246</v>
      </c>
      <c r="B142" s="191" t="s">
        <v>256</v>
      </c>
      <c r="C142" s="657" t="s">
        <v>266</v>
      </c>
      <c r="D142" s="192" t="s">
        <v>29</v>
      </c>
      <c r="E142" s="193">
        <v>11.02</v>
      </c>
      <c r="F142" s="194">
        <v>73</v>
      </c>
      <c r="G142" s="194"/>
      <c r="H142" s="194"/>
      <c r="I142" s="193">
        <f t="shared" si="244"/>
        <v>73</v>
      </c>
      <c r="J142" s="193">
        <f t="shared" si="245"/>
        <v>804.45999999999992</v>
      </c>
      <c r="K142" s="193"/>
      <c r="L142" s="193"/>
      <c r="M142" s="622">
        <f t="shared" si="246"/>
        <v>804.45999999999992</v>
      </c>
      <c r="N142" s="194">
        <f>'2.4.1.4'!R25</f>
        <v>73</v>
      </c>
      <c r="O142" s="622">
        <f t="shared" si="236"/>
        <v>804.46</v>
      </c>
      <c r="P142" s="560">
        <f>'2.4.1.4'!R26</f>
        <v>0</v>
      </c>
      <c r="Q142" s="622">
        <f t="shared" si="237"/>
        <v>0</v>
      </c>
      <c r="R142" s="194">
        <f t="shared" si="247"/>
        <v>73</v>
      </c>
      <c r="S142" s="630">
        <f t="shared" si="241"/>
        <v>804.46</v>
      </c>
      <c r="T142" s="194">
        <f t="shared" si="242"/>
        <v>0</v>
      </c>
      <c r="U142" s="630">
        <f t="shared" si="243"/>
        <v>0</v>
      </c>
    </row>
    <row r="143" spans="1:21" ht="51">
      <c r="A143" s="190" t="s">
        <v>247</v>
      </c>
      <c r="B143" s="191" t="s">
        <v>257</v>
      </c>
      <c r="C143" s="657" t="s">
        <v>267</v>
      </c>
      <c r="D143" s="192" t="s">
        <v>58</v>
      </c>
      <c r="E143" s="193">
        <v>777.83</v>
      </c>
      <c r="F143" s="194">
        <v>28.05</v>
      </c>
      <c r="G143" s="194"/>
      <c r="H143" s="194"/>
      <c r="I143" s="193">
        <f t="shared" si="244"/>
        <v>28.05</v>
      </c>
      <c r="J143" s="193">
        <f t="shared" si="245"/>
        <v>21818.131500000003</v>
      </c>
      <c r="K143" s="193"/>
      <c r="L143" s="193"/>
      <c r="M143" s="622">
        <f t="shared" si="246"/>
        <v>21818.131500000003</v>
      </c>
      <c r="N143" s="194">
        <f>'2.4.1.5'!R25</f>
        <v>28.05</v>
      </c>
      <c r="O143" s="622">
        <f t="shared" si="236"/>
        <v>21818.13</v>
      </c>
      <c r="P143" s="560">
        <f>'2.4.1.5'!R26</f>
        <v>0</v>
      </c>
      <c r="Q143" s="622">
        <f t="shared" si="237"/>
        <v>0</v>
      </c>
      <c r="R143" s="194">
        <f t="shared" si="247"/>
        <v>28.05</v>
      </c>
      <c r="S143" s="630">
        <f t="shared" si="241"/>
        <v>21818.13</v>
      </c>
      <c r="T143" s="194">
        <f t="shared" si="242"/>
        <v>0</v>
      </c>
      <c r="U143" s="630">
        <f t="shared" si="243"/>
        <v>0</v>
      </c>
    </row>
    <row r="144" spans="1:21" ht="25.5">
      <c r="A144" s="190" t="s">
        <v>248</v>
      </c>
      <c r="B144" s="191" t="s">
        <v>258</v>
      </c>
      <c r="C144" s="657" t="s">
        <v>268</v>
      </c>
      <c r="D144" s="192" t="s">
        <v>49</v>
      </c>
      <c r="E144" s="193">
        <v>641.15</v>
      </c>
      <c r="F144" s="194">
        <v>113.84</v>
      </c>
      <c r="G144" s="194"/>
      <c r="H144" s="194"/>
      <c r="I144" s="193">
        <f t="shared" si="244"/>
        <v>113.84</v>
      </c>
      <c r="J144" s="193">
        <f t="shared" si="245"/>
        <v>72988.516000000003</v>
      </c>
      <c r="K144" s="193"/>
      <c r="L144" s="193"/>
      <c r="M144" s="622">
        <f t="shared" si="246"/>
        <v>72988.516000000003</v>
      </c>
      <c r="N144" s="194">
        <f>'2.4.1.6'!R25</f>
        <v>113.84</v>
      </c>
      <c r="O144" s="622">
        <f t="shared" si="236"/>
        <v>72988.509999999995</v>
      </c>
      <c r="P144" s="560">
        <f>'2.4.1.6'!R26</f>
        <v>0</v>
      </c>
      <c r="Q144" s="622">
        <f t="shared" si="237"/>
        <v>0</v>
      </c>
      <c r="R144" s="194">
        <f t="shared" si="247"/>
        <v>113.84</v>
      </c>
      <c r="S144" s="630">
        <f t="shared" si="241"/>
        <v>72988.509999999995</v>
      </c>
      <c r="T144" s="194">
        <f t="shared" si="242"/>
        <v>0</v>
      </c>
      <c r="U144" s="630">
        <f t="shared" si="243"/>
        <v>0</v>
      </c>
    </row>
    <row r="145" spans="1:21" s="725" customFormat="1" ht="25.5">
      <c r="A145" s="577" t="s">
        <v>249</v>
      </c>
      <c r="B145" s="578" t="s">
        <v>259</v>
      </c>
      <c r="C145" s="722" t="s">
        <v>269</v>
      </c>
      <c r="D145" s="580" t="s">
        <v>72</v>
      </c>
      <c r="E145" s="581">
        <v>14345.61</v>
      </c>
      <c r="F145" s="582">
        <v>4</v>
      </c>
      <c r="G145" s="582"/>
      <c r="H145" s="582"/>
      <c r="I145" s="581">
        <f t="shared" si="244"/>
        <v>4</v>
      </c>
      <c r="J145" s="581">
        <f t="shared" si="245"/>
        <v>57382.44</v>
      </c>
      <c r="K145" s="581"/>
      <c r="L145" s="581"/>
      <c r="M145" s="723">
        <f t="shared" si="246"/>
        <v>57382.44</v>
      </c>
      <c r="N145" s="582">
        <v>3</v>
      </c>
      <c r="O145" s="723">
        <f t="shared" si="236"/>
        <v>43036.83</v>
      </c>
      <c r="P145" s="582">
        <v>1</v>
      </c>
      <c r="Q145" s="723">
        <f t="shared" si="237"/>
        <v>14345.61</v>
      </c>
      <c r="R145" s="582">
        <f t="shared" si="247"/>
        <v>4</v>
      </c>
      <c r="S145" s="724">
        <f t="shared" si="241"/>
        <v>57382.44</v>
      </c>
      <c r="T145" s="582">
        <f t="shared" si="242"/>
        <v>0</v>
      </c>
      <c r="U145" s="724">
        <f t="shared" si="243"/>
        <v>0</v>
      </c>
    </row>
    <row r="146" spans="1:21" ht="25.5">
      <c r="A146" s="190" t="s">
        <v>250</v>
      </c>
      <c r="B146" s="191" t="s">
        <v>260</v>
      </c>
      <c r="C146" s="657" t="s">
        <v>270</v>
      </c>
      <c r="D146" s="192" t="s">
        <v>72</v>
      </c>
      <c r="E146" s="193">
        <v>5478.19</v>
      </c>
      <c r="F146" s="194">
        <v>2</v>
      </c>
      <c r="G146" s="194"/>
      <c r="H146" s="194"/>
      <c r="I146" s="193">
        <f t="shared" si="244"/>
        <v>2</v>
      </c>
      <c r="J146" s="193">
        <f t="shared" si="245"/>
        <v>10956.38</v>
      </c>
      <c r="K146" s="193"/>
      <c r="L146" s="193"/>
      <c r="M146" s="622">
        <f t="shared" si="246"/>
        <v>10956.38</v>
      </c>
      <c r="N146" s="194">
        <v>2</v>
      </c>
      <c r="O146" s="622">
        <f t="shared" si="236"/>
        <v>10956.38</v>
      </c>
      <c r="P146" s="264">
        <v>0</v>
      </c>
      <c r="Q146" s="622">
        <f t="shared" si="237"/>
        <v>0</v>
      </c>
      <c r="R146" s="194">
        <f t="shared" si="247"/>
        <v>2</v>
      </c>
      <c r="S146" s="630">
        <f t="shared" si="241"/>
        <v>10956.38</v>
      </c>
      <c r="T146" s="194">
        <f t="shared" si="242"/>
        <v>0</v>
      </c>
      <c r="U146" s="630">
        <f t="shared" si="243"/>
        <v>0</v>
      </c>
    </row>
    <row r="147" spans="1:21" ht="38.25">
      <c r="A147" s="190" t="s">
        <v>251</v>
      </c>
      <c r="B147" s="191">
        <v>40817</v>
      </c>
      <c r="C147" s="657" t="s">
        <v>271</v>
      </c>
      <c r="D147" s="192" t="s">
        <v>58</v>
      </c>
      <c r="E147" s="193">
        <v>3001.6</v>
      </c>
      <c r="F147" s="194">
        <v>0.03</v>
      </c>
      <c r="G147" s="194"/>
      <c r="H147" s="194"/>
      <c r="I147" s="193">
        <f t="shared" si="244"/>
        <v>0.03</v>
      </c>
      <c r="J147" s="193">
        <f t="shared" si="245"/>
        <v>90.047999999999988</v>
      </c>
      <c r="K147" s="193"/>
      <c r="L147" s="193"/>
      <c r="M147" s="622">
        <f t="shared" si="246"/>
        <v>90.047999999999988</v>
      </c>
      <c r="N147" s="194">
        <v>0</v>
      </c>
      <c r="O147" s="622">
        <f t="shared" si="236"/>
        <v>0</v>
      </c>
      <c r="P147" s="194">
        <v>0</v>
      </c>
      <c r="Q147" s="622">
        <f t="shared" si="237"/>
        <v>0</v>
      </c>
      <c r="R147" s="194">
        <f t="shared" si="247"/>
        <v>0</v>
      </c>
      <c r="S147" s="630">
        <f t="shared" si="241"/>
        <v>0</v>
      </c>
      <c r="T147" s="194">
        <f t="shared" si="242"/>
        <v>0.03</v>
      </c>
      <c r="U147" s="630">
        <f t="shared" si="243"/>
        <v>90.047999999999988</v>
      </c>
    </row>
    <row r="148" spans="1:21">
      <c r="A148" s="190" t="s">
        <v>252</v>
      </c>
      <c r="B148" s="191" t="s">
        <v>261</v>
      </c>
      <c r="C148" s="657" t="s">
        <v>272</v>
      </c>
      <c r="D148" s="192" t="s">
        <v>72</v>
      </c>
      <c r="E148" s="193">
        <v>2011.04</v>
      </c>
      <c r="F148" s="194">
        <v>15</v>
      </c>
      <c r="G148" s="194"/>
      <c r="H148" s="194"/>
      <c r="I148" s="193">
        <f t="shared" si="244"/>
        <v>15</v>
      </c>
      <c r="J148" s="193">
        <f t="shared" si="245"/>
        <v>30165.599999999999</v>
      </c>
      <c r="K148" s="193"/>
      <c r="L148" s="193"/>
      <c r="M148" s="622">
        <f t="shared" si="246"/>
        <v>30165.599999999999</v>
      </c>
      <c r="N148" s="194">
        <v>15</v>
      </c>
      <c r="O148" s="622">
        <f t="shared" si="236"/>
        <v>30165.599999999999</v>
      </c>
      <c r="P148" s="194">
        <v>0</v>
      </c>
      <c r="Q148" s="622">
        <f t="shared" si="237"/>
        <v>0</v>
      </c>
      <c r="R148" s="194">
        <f>P148+N148</f>
        <v>15</v>
      </c>
      <c r="S148" s="630">
        <f t="shared" si="241"/>
        <v>30165.599999999999</v>
      </c>
      <c r="T148" s="194">
        <f t="shared" si="242"/>
        <v>0</v>
      </c>
      <c r="U148" s="630">
        <f t="shared" si="243"/>
        <v>0</v>
      </c>
    </row>
    <row r="149" spans="1:21" ht="25.5">
      <c r="A149" s="190" t="s">
        <v>253</v>
      </c>
      <c r="B149" s="191" t="s">
        <v>262</v>
      </c>
      <c r="C149" s="657" t="s">
        <v>273</v>
      </c>
      <c r="D149" s="192" t="s">
        <v>72</v>
      </c>
      <c r="E149" s="193">
        <v>28185.33</v>
      </c>
      <c r="F149" s="194">
        <v>1</v>
      </c>
      <c r="G149" s="194"/>
      <c r="H149" s="194"/>
      <c r="I149" s="193">
        <f t="shared" si="244"/>
        <v>1</v>
      </c>
      <c r="J149" s="193">
        <f t="shared" si="245"/>
        <v>28185.33</v>
      </c>
      <c r="K149" s="193"/>
      <c r="L149" s="193"/>
      <c r="M149" s="622">
        <f t="shared" si="246"/>
        <v>28185.33</v>
      </c>
      <c r="N149" s="194">
        <v>1</v>
      </c>
      <c r="O149" s="622">
        <f t="shared" si="236"/>
        <v>28185.33</v>
      </c>
      <c r="P149" s="194">
        <v>0</v>
      </c>
      <c r="Q149" s="622">
        <f t="shared" si="237"/>
        <v>0</v>
      </c>
      <c r="R149" s="194">
        <f t="shared" si="247"/>
        <v>1</v>
      </c>
      <c r="S149" s="630">
        <f t="shared" si="241"/>
        <v>28185.33</v>
      </c>
      <c r="T149" s="194">
        <f>F149-R149</f>
        <v>0</v>
      </c>
      <c r="U149" s="630">
        <f t="shared" si="243"/>
        <v>0</v>
      </c>
    </row>
    <row r="150" spans="1:21">
      <c r="A150" s="190" t="s">
        <v>254</v>
      </c>
      <c r="B150" s="191" t="s">
        <v>263</v>
      </c>
      <c r="C150" s="657" t="s">
        <v>274</v>
      </c>
      <c r="D150" s="192" t="s">
        <v>72</v>
      </c>
      <c r="E150" s="193">
        <v>340.73</v>
      </c>
      <c r="F150" s="194">
        <v>2</v>
      </c>
      <c r="G150" s="194"/>
      <c r="H150" s="194"/>
      <c r="I150" s="193">
        <f t="shared" si="244"/>
        <v>2</v>
      </c>
      <c r="J150" s="193">
        <f t="shared" si="245"/>
        <v>681.46</v>
      </c>
      <c r="K150" s="193"/>
      <c r="L150" s="193"/>
      <c r="M150" s="622">
        <f t="shared" si="246"/>
        <v>681.46</v>
      </c>
      <c r="N150" s="194">
        <v>2</v>
      </c>
      <c r="O150" s="622">
        <f t="shared" ref="O150" si="248">TRUNC(N150*E150,2)</f>
        <v>681.46</v>
      </c>
      <c r="P150" s="194">
        <v>0</v>
      </c>
      <c r="Q150" s="622">
        <f t="shared" ref="Q150" si="249">S150-O150</f>
        <v>0</v>
      </c>
      <c r="R150" s="194">
        <f t="shared" ref="R150" si="250">P150+N150</f>
        <v>2</v>
      </c>
      <c r="S150" s="630">
        <f t="shared" ref="S150" si="251">TRUNC(R150*E150,2)</f>
        <v>681.46</v>
      </c>
      <c r="T150" s="194">
        <f t="shared" si="165"/>
        <v>0</v>
      </c>
      <c r="U150" s="630">
        <f t="shared" si="243"/>
        <v>0</v>
      </c>
    </row>
    <row r="151" spans="1:21" ht="29.25" customHeight="1">
      <c r="A151" s="190" t="s">
        <v>1124</v>
      </c>
      <c r="B151" s="191" t="s">
        <v>1118</v>
      </c>
      <c r="C151" s="657" t="str">
        <f>REPLANILHAMENTO!D116</f>
        <v>Pranchões e Roletes para apoio da plataforma flutuante</v>
      </c>
      <c r="D151" s="192" t="str">
        <f>REPLANILHAMENTO!E116</f>
        <v>UND</v>
      </c>
      <c r="E151" s="193">
        <f>REPLANILHAMENTO!F116</f>
        <v>13295.45</v>
      </c>
      <c r="F151" s="194">
        <v>0</v>
      </c>
      <c r="G151" s="194">
        <f>REPLANILHAMENTO!H116</f>
        <v>1</v>
      </c>
      <c r="H151" s="194">
        <v>0</v>
      </c>
      <c r="I151" s="193">
        <f>F151+G151-H151</f>
        <v>1</v>
      </c>
      <c r="J151" s="193">
        <v>0</v>
      </c>
      <c r="K151" s="193">
        <f>G151*E151</f>
        <v>13295.45</v>
      </c>
      <c r="L151" s="193"/>
      <c r="M151" s="622">
        <f>I151*E151</f>
        <v>13295.45</v>
      </c>
      <c r="N151" s="194">
        <v>0</v>
      </c>
      <c r="O151" s="622">
        <v>0</v>
      </c>
      <c r="P151" s="194">
        <f>'2.4.1.13'!R25</f>
        <v>0</v>
      </c>
      <c r="Q151" s="622">
        <f>P151*E151</f>
        <v>0</v>
      </c>
      <c r="R151" s="194">
        <f>'2.4.1.13'!R25</f>
        <v>0</v>
      </c>
      <c r="S151" s="630">
        <f>Q151</f>
        <v>0</v>
      </c>
      <c r="T151" s="194">
        <v>0</v>
      </c>
      <c r="U151" s="630">
        <v>0</v>
      </c>
    </row>
    <row r="152" spans="1:21">
      <c r="A152" s="138"/>
      <c r="B152" s="132"/>
      <c r="C152" s="123"/>
      <c r="D152" s="123"/>
      <c r="E152" s="123"/>
      <c r="F152" s="123"/>
      <c r="G152" s="123"/>
      <c r="H152" s="123"/>
      <c r="I152" s="193">
        <f t="shared" si="244"/>
        <v>0</v>
      </c>
      <c r="J152" s="193">
        <f t="shared" si="245"/>
        <v>0</v>
      </c>
      <c r="K152" s="193"/>
      <c r="L152" s="193"/>
      <c r="M152" s="622">
        <f t="shared" si="246"/>
        <v>0</v>
      </c>
      <c r="N152" s="123"/>
      <c r="O152" s="623"/>
      <c r="P152" s="123"/>
      <c r="Q152" s="623"/>
      <c r="R152" s="123"/>
      <c r="S152" s="631"/>
      <c r="T152" s="123"/>
      <c r="U152" s="631"/>
    </row>
    <row r="153" spans="1:21" s="131" customFormat="1">
      <c r="A153" s="137" t="s">
        <v>275</v>
      </c>
      <c r="B153" s="133"/>
      <c r="C153" s="658" t="s">
        <v>276</v>
      </c>
      <c r="D153" s="126"/>
      <c r="E153" s="127"/>
      <c r="F153" s="128"/>
      <c r="G153" s="128"/>
      <c r="H153" s="128"/>
      <c r="I153" s="128"/>
      <c r="J153" s="129">
        <f>SUBTOTAL(9,J154:J154)</f>
        <v>1246.9100000000001</v>
      </c>
      <c r="K153" s="128"/>
      <c r="L153" s="128"/>
      <c r="M153" s="637"/>
      <c r="N153" s="130"/>
      <c r="O153" s="624">
        <f>SUBTOTAL(9,O154:O154)</f>
        <v>1246.9100000000001</v>
      </c>
      <c r="P153" s="130"/>
      <c r="Q153" s="624">
        <f>SUBTOTAL(9,Q154:Q154)</f>
        <v>0</v>
      </c>
      <c r="R153" s="129"/>
      <c r="S153" s="624">
        <f>SUBTOTAL(9,S154:S154)</f>
        <v>1246.9100000000001</v>
      </c>
      <c r="T153" s="129">
        <f t="shared" si="165"/>
        <v>0</v>
      </c>
      <c r="U153" s="624">
        <f>SUBTOTAL(9,U154:U154)</f>
        <v>0</v>
      </c>
    </row>
    <row r="154" spans="1:21" ht="25.5">
      <c r="A154" s="190" t="s">
        <v>277</v>
      </c>
      <c r="B154" s="191" t="s">
        <v>278</v>
      </c>
      <c r="C154" s="657" t="s">
        <v>279</v>
      </c>
      <c r="D154" s="192" t="s">
        <v>72</v>
      </c>
      <c r="E154" s="193">
        <v>1246.9100000000001</v>
      </c>
      <c r="F154" s="194">
        <v>1</v>
      </c>
      <c r="G154" s="194"/>
      <c r="H154" s="194"/>
      <c r="I154" s="193">
        <f t="shared" si="244"/>
        <v>1</v>
      </c>
      <c r="J154" s="193">
        <f t="shared" si="245"/>
        <v>1246.9100000000001</v>
      </c>
      <c r="K154" s="193"/>
      <c r="L154" s="193"/>
      <c r="M154" s="622">
        <f t="shared" si="246"/>
        <v>1246.9100000000001</v>
      </c>
      <c r="N154" s="194">
        <v>1</v>
      </c>
      <c r="O154" s="622">
        <f t="shared" ref="O154" si="252">TRUNC(N154*E154,2)</f>
        <v>1246.9100000000001</v>
      </c>
      <c r="P154" s="194">
        <v>0</v>
      </c>
      <c r="Q154" s="622">
        <f t="shared" ref="Q154" si="253">S154-O154</f>
        <v>0</v>
      </c>
      <c r="R154" s="194">
        <f t="shared" ref="R154" si="254">P154+N154</f>
        <v>1</v>
      </c>
      <c r="S154" s="630">
        <f t="shared" ref="S154" si="255">TRUNC(R154*E154,2)</f>
        <v>1246.9100000000001</v>
      </c>
      <c r="T154" s="194">
        <f t="shared" si="165"/>
        <v>0</v>
      </c>
      <c r="U154" s="630">
        <f t="shared" ref="U154" si="256">T154*E154</f>
        <v>0</v>
      </c>
    </row>
    <row r="155" spans="1:21">
      <c r="A155" s="138"/>
      <c r="B155" s="132"/>
      <c r="C155" s="123"/>
      <c r="D155" s="123"/>
      <c r="E155" s="123"/>
      <c r="F155" s="123"/>
      <c r="G155" s="123"/>
      <c r="H155" s="123"/>
      <c r="I155" s="193">
        <f t="shared" si="244"/>
        <v>0</v>
      </c>
      <c r="J155" s="193">
        <f t="shared" si="245"/>
        <v>0</v>
      </c>
      <c r="K155" s="193"/>
      <c r="L155" s="193"/>
      <c r="M155" s="622">
        <f t="shared" si="246"/>
        <v>0</v>
      </c>
      <c r="N155" s="123"/>
      <c r="O155" s="623"/>
      <c r="P155" s="123"/>
      <c r="Q155" s="623"/>
      <c r="R155" s="123"/>
      <c r="S155" s="631"/>
      <c r="T155" s="123"/>
      <c r="U155" s="631"/>
    </row>
    <row r="156" spans="1:21" s="131" customFormat="1">
      <c r="A156" s="137" t="s">
        <v>280</v>
      </c>
      <c r="B156" s="133"/>
      <c r="C156" s="658" t="s">
        <v>281</v>
      </c>
      <c r="D156" s="126"/>
      <c r="E156" s="127"/>
      <c r="F156" s="128"/>
      <c r="G156" s="128"/>
      <c r="H156" s="128"/>
      <c r="I156" s="128"/>
      <c r="J156" s="129">
        <f>SUBTOTAL(9,J157:J168)</f>
        <v>290746.61999999994</v>
      </c>
      <c r="K156" s="128"/>
      <c r="L156" s="128"/>
      <c r="M156" s="637"/>
      <c r="N156" s="130"/>
      <c r="O156" s="624">
        <f>SUBTOTAL(9,O157:O168)</f>
        <v>289533.34000000003</v>
      </c>
      <c r="P156" s="130"/>
      <c r="Q156" s="624">
        <f>SUBTOTAL(9,Q157:Q168)</f>
        <v>0</v>
      </c>
      <c r="R156" s="129"/>
      <c r="S156" s="624">
        <f>SUBTOTAL(9,S157:S168)</f>
        <v>289533.34000000003</v>
      </c>
      <c r="T156" s="624"/>
      <c r="U156" s="624">
        <f>SUBTOTAL(9,U157:U168)</f>
        <v>1213.2655</v>
      </c>
    </row>
    <row r="157" spans="1:21" ht="25.5">
      <c r="A157" s="190" t="s">
        <v>282</v>
      </c>
      <c r="B157" s="191" t="s">
        <v>294</v>
      </c>
      <c r="C157" s="657" t="s">
        <v>895</v>
      </c>
      <c r="D157" s="192" t="s">
        <v>315</v>
      </c>
      <c r="E157" s="193">
        <v>18178.13</v>
      </c>
      <c r="F157" s="194">
        <v>2</v>
      </c>
      <c r="G157" s="194"/>
      <c r="H157" s="194"/>
      <c r="I157" s="193">
        <f t="shared" si="244"/>
        <v>2</v>
      </c>
      <c r="J157" s="193">
        <f t="shared" si="245"/>
        <v>36356.26</v>
      </c>
      <c r="K157" s="193"/>
      <c r="L157" s="193"/>
      <c r="M157" s="622">
        <f t="shared" si="246"/>
        <v>36356.26</v>
      </c>
      <c r="N157" s="194">
        <f>'2.4.3.1 '!R20</f>
        <v>2</v>
      </c>
      <c r="O157" s="622">
        <f t="shared" ref="O157:O167" si="257">TRUNC(N157*E157,2)</f>
        <v>36356.26</v>
      </c>
      <c r="P157" s="264">
        <f>'2.4.3.1 '!R21</f>
        <v>0</v>
      </c>
      <c r="Q157" s="622">
        <f t="shared" ref="Q157:Q167" si="258">S157-O157</f>
        <v>0</v>
      </c>
      <c r="R157" s="194">
        <f t="shared" ref="R157:R167" si="259">P157+N157</f>
        <v>2</v>
      </c>
      <c r="S157" s="630">
        <f t="shared" ref="S157:S167" si="260">TRUNC(R157*E157,2)</f>
        <v>36356.26</v>
      </c>
      <c r="T157" s="194">
        <f>F157-R157</f>
        <v>0</v>
      </c>
      <c r="U157" s="630">
        <f t="shared" ref="U157:U168" si="261">T157*E157</f>
        <v>0</v>
      </c>
    </row>
    <row r="158" spans="1:21" ht="25.5">
      <c r="A158" s="190" t="s">
        <v>283</v>
      </c>
      <c r="B158" s="191" t="s">
        <v>295</v>
      </c>
      <c r="C158" s="657" t="s">
        <v>305</v>
      </c>
      <c r="D158" s="192" t="s">
        <v>51</v>
      </c>
      <c r="E158" s="193">
        <v>1268.83</v>
      </c>
      <c r="F158" s="194">
        <v>86.8</v>
      </c>
      <c r="G158" s="194"/>
      <c r="H158" s="194"/>
      <c r="I158" s="193">
        <f t="shared" si="244"/>
        <v>86.8</v>
      </c>
      <c r="J158" s="193">
        <f t="shared" si="245"/>
        <v>110134.44399999999</v>
      </c>
      <c r="K158" s="193"/>
      <c r="L158" s="193"/>
      <c r="M158" s="622">
        <f t="shared" si="246"/>
        <v>110134.44399999999</v>
      </c>
      <c r="N158" s="194">
        <v>86.8</v>
      </c>
      <c r="O158" s="622">
        <f t="shared" si="257"/>
        <v>110134.44</v>
      </c>
      <c r="P158" s="735">
        <v>0</v>
      </c>
      <c r="Q158" s="622">
        <f t="shared" si="258"/>
        <v>0</v>
      </c>
      <c r="R158" s="194">
        <f>P158+N158</f>
        <v>86.8</v>
      </c>
      <c r="S158" s="630">
        <f t="shared" si="260"/>
        <v>110134.44</v>
      </c>
      <c r="T158" s="194">
        <f>I158-R158</f>
        <v>0</v>
      </c>
      <c r="U158" s="630">
        <f t="shared" si="261"/>
        <v>0</v>
      </c>
    </row>
    <row r="159" spans="1:21" ht="25.5">
      <c r="A159" s="190" t="s">
        <v>284</v>
      </c>
      <c r="B159" s="191" t="s">
        <v>296</v>
      </c>
      <c r="C159" s="657" t="s">
        <v>306</v>
      </c>
      <c r="D159" s="192" t="s">
        <v>51</v>
      </c>
      <c r="E159" s="193">
        <v>294.97000000000003</v>
      </c>
      <c r="F159" s="194">
        <v>86.8</v>
      </c>
      <c r="G159" s="194"/>
      <c r="H159" s="194"/>
      <c r="I159" s="193">
        <f t="shared" si="244"/>
        <v>86.8</v>
      </c>
      <c r="J159" s="193">
        <f t="shared" si="245"/>
        <v>25603.396000000001</v>
      </c>
      <c r="K159" s="193"/>
      <c r="L159" s="193"/>
      <c r="M159" s="622">
        <f t="shared" si="246"/>
        <v>25603.396000000001</v>
      </c>
      <c r="N159" s="194">
        <v>86.8</v>
      </c>
      <c r="O159" s="622">
        <f t="shared" si="257"/>
        <v>25603.39</v>
      </c>
      <c r="P159" s="735">
        <v>0</v>
      </c>
      <c r="Q159" s="622">
        <f t="shared" si="258"/>
        <v>0</v>
      </c>
      <c r="R159" s="194">
        <f>P159+N159</f>
        <v>86.8</v>
      </c>
      <c r="S159" s="630">
        <f t="shared" si="260"/>
        <v>25603.39</v>
      </c>
      <c r="T159" s="194">
        <f t="shared" ref="T159:T167" si="262">I159-R159</f>
        <v>0</v>
      </c>
      <c r="U159" s="630">
        <f t="shared" si="261"/>
        <v>0</v>
      </c>
    </row>
    <row r="160" spans="1:21">
      <c r="A160" s="190" t="s">
        <v>285</v>
      </c>
      <c r="B160" s="191" t="s">
        <v>297</v>
      </c>
      <c r="C160" s="657" t="s">
        <v>307</v>
      </c>
      <c r="D160" s="192" t="s">
        <v>51</v>
      </c>
      <c r="E160" s="193">
        <v>309.62</v>
      </c>
      <c r="F160" s="194">
        <v>64</v>
      </c>
      <c r="G160" s="194"/>
      <c r="H160" s="194"/>
      <c r="I160" s="193">
        <f t="shared" si="244"/>
        <v>64</v>
      </c>
      <c r="J160" s="193">
        <f t="shared" si="245"/>
        <v>19815.68</v>
      </c>
      <c r="K160" s="193"/>
      <c r="L160" s="193"/>
      <c r="M160" s="622">
        <f t="shared" si="246"/>
        <v>19815.68</v>
      </c>
      <c r="N160" s="194">
        <v>64</v>
      </c>
      <c r="O160" s="622">
        <f t="shared" si="257"/>
        <v>19815.68</v>
      </c>
      <c r="P160" s="735">
        <v>0</v>
      </c>
      <c r="Q160" s="622">
        <f t="shared" si="258"/>
        <v>0</v>
      </c>
      <c r="R160" s="194">
        <f t="shared" si="259"/>
        <v>64</v>
      </c>
      <c r="S160" s="630">
        <f t="shared" si="260"/>
        <v>19815.68</v>
      </c>
      <c r="T160" s="194">
        <f t="shared" si="262"/>
        <v>0</v>
      </c>
      <c r="U160" s="630">
        <f t="shared" si="261"/>
        <v>0</v>
      </c>
    </row>
    <row r="161" spans="1:21" ht="25.5">
      <c r="A161" s="190" t="s">
        <v>286</v>
      </c>
      <c r="B161" s="191" t="s">
        <v>298</v>
      </c>
      <c r="C161" s="657" t="s">
        <v>308</v>
      </c>
      <c r="D161" s="192" t="s">
        <v>51</v>
      </c>
      <c r="E161" s="193">
        <v>358.26</v>
      </c>
      <c r="F161" s="194">
        <v>64</v>
      </c>
      <c r="G161" s="194"/>
      <c r="H161" s="194"/>
      <c r="I161" s="193">
        <f t="shared" si="244"/>
        <v>64</v>
      </c>
      <c r="J161" s="193">
        <f t="shared" si="245"/>
        <v>22928.639999999999</v>
      </c>
      <c r="K161" s="193"/>
      <c r="L161" s="193"/>
      <c r="M161" s="622">
        <f t="shared" si="246"/>
        <v>22928.639999999999</v>
      </c>
      <c r="N161" s="194">
        <v>64</v>
      </c>
      <c r="O161" s="622">
        <f t="shared" si="257"/>
        <v>22928.639999999999</v>
      </c>
      <c r="P161" s="735">
        <v>0</v>
      </c>
      <c r="Q161" s="622">
        <f t="shared" si="258"/>
        <v>0</v>
      </c>
      <c r="R161" s="194">
        <f t="shared" si="259"/>
        <v>64</v>
      </c>
      <c r="S161" s="630">
        <f t="shared" si="260"/>
        <v>22928.639999999999</v>
      </c>
      <c r="T161" s="194">
        <f t="shared" si="262"/>
        <v>0</v>
      </c>
      <c r="U161" s="630">
        <f t="shared" si="261"/>
        <v>0</v>
      </c>
    </row>
    <row r="162" spans="1:21" ht="25.5">
      <c r="A162" s="190" t="s">
        <v>287</v>
      </c>
      <c r="B162" s="191" t="s">
        <v>299</v>
      </c>
      <c r="C162" s="657" t="s">
        <v>309</v>
      </c>
      <c r="D162" s="192" t="s">
        <v>29</v>
      </c>
      <c r="E162" s="193">
        <v>8.1199999999999992</v>
      </c>
      <c r="F162" s="194">
        <v>5048</v>
      </c>
      <c r="G162" s="194"/>
      <c r="H162" s="194"/>
      <c r="I162" s="193">
        <f t="shared" si="244"/>
        <v>5048</v>
      </c>
      <c r="J162" s="193">
        <f t="shared" si="245"/>
        <v>40989.759999999995</v>
      </c>
      <c r="K162" s="193"/>
      <c r="L162" s="193"/>
      <c r="M162" s="622">
        <f t="shared" si="246"/>
        <v>40989.759999999995</v>
      </c>
      <c r="N162" s="194">
        <v>5048</v>
      </c>
      <c r="O162" s="622">
        <f t="shared" si="257"/>
        <v>40989.760000000002</v>
      </c>
      <c r="P162" s="735">
        <v>0</v>
      </c>
      <c r="Q162" s="622">
        <f t="shared" si="258"/>
        <v>0</v>
      </c>
      <c r="R162" s="194">
        <f t="shared" si="259"/>
        <v>5048</v>
      </c>
      <c r="S162" s="630">
        <f t="shared" si="260"/>
        <v>40989.760000000002</v>
      </c>
      <c r="T162" s="194">
        <f t="shared" si="262"/>
        <v>0</v>
      </c>
      <c r="U162" s="630">
        <f t="shared" si="261"/>
        <v>0</v>
      </c>
    </row>
    <row r="163" spans="1:21">
      <c r="A163" s="190" t="s">
        <v>288</v>
      </c>
      <c r="B163" s="191" t="s">
        <v>300</v>
      </c>
      <c r="C163" s="657" t="s">
        <v>310</v>
      </c>
      <c r="D163" s="192" t="s">
        <v>29</v>
      </c>
      <c r="E163" s="193">
        <v>0.64</v>
      </c>
      <c r="F163" s="194">
        <v>5048</v>
      </c>
      <c r="G163" s="194"/>
      <c r="H163" s="194"/>
      <c r="I163" s="193">
        <f t="shared" si="244"/>
        <v>5048</v>
      </c>
      <c r="J163" s="193">
        <f t="shared" si="245"/>
        <v>3230.7200000000003</v>
      </c>
      <c r="K163" s="193"/>
      <c r="L163" s="193"/>
      <c r="M163" s="622">
        <f t="shared" si="246"/>
        <v>3230.7200000000003</v>
      </c>
      <c r="N163" s="194">
        <v>5048</v>
      </c>
      <c r="O163" s="622">
        <f t="shared" si="257"/>
        <v>3230.72</v>
      </c>
      <c r="P163" s="735">
        <v>0</v>
      </c>
      <c r="Q163" s="622">
        <f t="shared" si="258"/>
        <v>0</v>
      </c>
      <c r="R163" s="194">
        <f t="shared" si="259"/>
        <v>5048</v>
      </c>
      <c r="S163" s="630">
        <f t="shared" si="260"/>
        <v>3230.72</v>
      </c>
      <c r="T163" s="194">
        <f t="shared" si="262"/>
        <v>0</v>
      </c>
      <c r="U163" s="630">
        <f t="shared" si="261"/>
        <v>0</v>
      </c>
    </row>
    <row r="164" spans="1:21" ht="51">
      <c r="A164" s="190" t="s">
        <v>289</v>
      </c>
      <c r="B164" s="191" t="s">
        <v>140</v>
      </c>
      <c r="C164" s="657" t="s">
        <v>177</v>
      </c>
      <c r="D164" s="192" t="s">
        <v>58</v>
      </c>
      <c r="E164" s="193">
        <v>486.08</v>
      </c>
      <c r="F164" s="194">
        <v>31.89</v>
      </c>
      <c r="G164" s="194"/>
      <c r="H164" s="194"/>
      <c r="I164" s="193">
        <f t="shared" si="244"/>
        <v>31.89</v>
      </c>
      <c r="J164" s="193">
        <f t="shared" si="245"/>
        <v>15501.091199999999</v>
      </c>
      <c r="K164" s="193"/>
      <c r="L164" s="193"/>
      <c r="M164" s="622">
        <f t="shared" si="246"/>
        <v>15501.091199999999</v>
      </c>
      <c r="N164" s="194">
        <v>31.89</v>
      </c>
      <c r="O164" s="622">
        <f t="shared" si="257"/>
        <v>15501.09</v>
      </c>
      <c r="P164" s="735">
        <v>0</v>
      </c>
      <c r="Q164" s="622">
        <f t="shared" si="258"/>
        <v>0</v>
      </c>
      <c r="R164" s="194">
        <f t="shared" si="259"/>
        <v>31.89</v>
      </c>
      <c r="S164" s="630">
        <f t="shared" si="260"/>
        <v>15501.09</v>
      </c>
      <c r="T164" s="194">
        <f t="shared" si="262"/>
        <v>0</v>
      </c>
      <c r="U164" s="630">
        <f t="shared" si="261"/>
        <v>0</v>
      </c>
    </row>
    <row r="165" spans="1:21">
      <c r="A165" s="190" t="s">
        <v>290</v>
      </c>
      <c r="B165" s="191" t="s">
        <v>301</v>
      </c>
      <c r="C165" s="657" t="s">
        <v>311</v>
      </c>
      <c r="D165" s="192" t="s">
        <v>49</v>
      </c>
      <c r="E165" s="193">
        <v>105.97</v>
      </c>
      <c r="F165" s="194">
        <v>31.89</v>
      </c>
      <c r="G165" s="194"/>
      <c r="H165" s="194"/>
      <c r="I165" s="193">
        <f t="shared" si="244"/>
        <v>31.89</v>
      </c>
      <c r="J165" s="193">
        <f t="shared" si="245"/>
        <v>3379.3833</v>
      </c>
      <c r="K165" s="193"/>
      <c r="L165" s="193"/>
      <c r="M165" s="622">
        <f t="shared" si="246"/>
        <v>3379.3833</v>
      </c>
      <c r="N165" s="194">
        <v>31.89</v>
      </c>
      <c r="O165" s="622">
        <f t="shared" si="257"/>
        <v>3379.38</v>
      </c>
      <c r="P165" s="735">
        <v>0</v>
      </c>
      <c r="Q165" s="622">
        <f t="shared" si="258"/>
        <v>0</v>
      </c>
      <c r="R165" s="194">
        <f t="shared" si="259"/>
        <v>31.89</v>
      </c>
      <c r="S165" s="630">
        <f t="shared" si="260"/>
        <v>3379.38</v>
      </c>
      <c r="T165" s="194">
        <f t="shared" si="262"/>
        <v>0</v>
      </c>
      <c r="U165" s="630">
        <f t="shared" si="261"/>
        <v>0</v>
      </c>
    </row>
    <row r="166" spans="1:21">
      <c r="A166" s="190" t="s">
        <v>291</v>
      </c>
      <c r="B166" s="191" t="s">
        <v>302</v>
      </c>
      <c r="C166" s="657" t="s">
        <v>312</v>
      </c>
      <c r="D166" s="192" t="s">
        <v>72</v>
      </c>
      <c r="E166" s="193">
        <v>1.62</v>
      </c>
      <c r="F166" s="194">
        <v>4</v>
      </c>
      <c r="G166" s="194"/>
      <c r="H166" s="194"/>
      <c r="I166" s="193">
        <f t="shared" si="244"/>
        <v>4</v>
      </c>
      <c r="J166" s="193">
        <f t="shared" si="245"/>
        <v>6.48</v>
      </c>
      <c r="K166" s="193"/>
      <c r="L166" s="193"/>
      <c r="M166" s="622">
        <f t="shared" si="246"/>
        <v>6.48</v>
      </c>
      <c r="N166" s="194">
        <v>4</v>
      </c>
      <c r="O166" s="622">
        <f t="shared" si="257"/>
        <v>6.48</v>
      </c>
      <c r="P166" s="194">
        <v>0</v>
      </c>
      <c r="Q166" s="622">
        <f t="shared" si="258"/>
        <v>0</v>
      </c>
      <c r="R166" s="194">
        <f t="shared" si="259"/>
        <v>4</v>
      </c>
      <c r="S166" s="630">
        <f t="shared" si="260"/>
        <v>6.48</v>
      </c>
      <c r="T166" s="194">
        <f t="shared" si="262"/>
        <v>0</v>
      </c>
      <c r="U166" s="630">
        <f t="shared" si="261"/>
        <v>0</v>
      </c>
    </row>
    <row r="167" spans="1:21" ht="25.5">
      <c r="A167" s="190" t="s">
        <v>292</v>
      </c>
      <c r="B167" s="191" t="s">
        <v>303</v>
      </c>
      <c r="C167" s="657" t="s">
        <v>313</v>
      </c>
      <c r="D167" s="192" t="s">
        <v>72</v>
      </c>
      <c r="E167" s="193">
        <v>5793.75</v>
      </c>
      <c r="F167" s="194">
        <v>2</v>
      </c>
      <c r="G167" s="194"/>
      <c r="H167" s="194"/>
      <c r="I167" s="193">
        <f t="shared" si="244"/>
        <v>2</v>
      </c>
      <c r="J167" s="193">
        <f t="shared" si="245"/>
        <v>11587.5</v>
      </c>
      <c r="K167" s="193"/>
      <c r="L167" s="193"/>
      <c r="M167" s="622">
        <f t="shared" si="246"/>
        <v>11587.5</v>
      </c>
      <c r="N167" s="194">
        <v>2</v>
      </c>
      <c r="O167" s="622">
        <f t="shared" si="257"/>
        <v>11587.5</v>
      </c>
      <c r="P167" s="735">
        <v>0</v>
      </c>
      <c r="Q167" s="622">
        <f t="shared" si="258"/>
        <v>0</v>
      </c>
      <c r="R167" s="194">
        <f t="shared" si="259"/>
        <v>2</v>
      </c>
      <c r="S167" s="630">
        <f t="shared" si="260"/>
        <v>11587.5</v>
      </c>
      <c r="T167" s="194">
        <f t="shared" si="262"/>
        <v>0</v>
      </c>
      <c r="U167" s="630">
        <f t="shared" si="261"/>
        <v>0</v>
      </c>
    </row>
    <row r="168" spans="1:21" ht="25.5">
      <c r="A168" s="190" t="s">
        <v>293</v>
      </c>
      <c r="B168" s="191">
        <v>190418</v>
      </c>
      <c r="C168" s="657" t="s">
        <v>314</v>
      </c>
      <c r="D168" s="192" t="s">
        <v>57</v>
      </c>
      <c r="E168" s="193">
        <v>33.049999999999997</v>
      </c>
      <c r="F168" s="194">
        <v>36.71</v>
      </c>
      <c r="G168" s="194"/>
      <c r="H168" s="194"/>
      <c r="I168" s="193">
        <f t="shared" si="244"/>
        <v>36.71</v>
      </c>
      <c r="J168" s="193">
        <f t="shared" si="245"/>
        <v>1213.2655</v>
      </c>
      <c r="K168" s="193"/>
      <c r="L168" s="193"/>
      <c r="M168" s="622">
        <f t="shared" si="246"/>
        <v>1213.2655</v>
      </c>
      <c r="N168" s="194">
        <v>0</v>
      </c>
      <c r="O168" s="622">
        <f t="shared" ref="O168" si="263">TRUNC(N168*E168,2)</f>
        <v>0</v>
      </c>
      <c r="P168" s="194">
        <f>IFERROR(VLOOKUP(A168,#REF!,18,FALSE),)</f>
        <v>0</v>
      </c>
      <c r="Q168" s="622">
        <f t="shared" ref="Q168" si="264">S168-O168</f>
        <v>0</v>
      </c>
      <c r="R168" s="194">
        <f t="shared" ref="R168" si="265">P168+N168</f>
        <v>0</v>
      </c>
      <c r="S168" s="630">
        <f t="shared" ref="S168" si="266">TRUNC(R168*E168,2)</f>
        <v>0</v>
      </c>
      <c r="T168" s="194">
        <f t="shared" si="165"/>
        <v>36.71</v>
      </c>
      <c r="U168" s="630">
        <f t="shared" si="261"/>
        <v>1213.2655</v>
      </c>
    </row>
    <row r="169" spans="1:21">
      <c r="A169" s="138"/>
      <c r="B169" s="132"/>
      <c r="C169" s="123"/>
      <c r="D169" s="123"/>
      <c r="E169" s="123"/>
      <c r="F169" s="123"/>
      <c r="G169" s="123"/>
      <c r="H169" s="123"/>
      <c r="I169" s="123"/>
      <c r="J169" s="123"/>
      <c r="K169" s="123"/>
      <c r="L169" s="123"/>
      <c r="M169" s="623"/>
      <c r="N169" s="123"/>
      <c r="O169" s="623"/>
      <c r="P169" s="123"/>
      <c r="Q169" s="623"/>
      <c r="R169" s="123"/>
      <c r="S169" s="631"/>
      <c r="T169" s="123"/>
      <c r="U169" s="631"/>
    </row>
    <row r="170" spans="1:21" s="131" customFormat="1">
      <c r="A170" s="137" t="s">
        <v>316</v>
      </c>
      <c r="B170" s="133"/>
      <c r="C170" s="658" t="s">
        <v>212</v>
      </c>
      <c r="D170" s="126"/>
      <c r="E170" s="127"/>
      <c r="F170" s="128"/>
      <c r="G170" s="128"/>
      <c r="H170" s="128"/>
      <c r="I170" s="129"/>
      <c r="J170" s="129">
        <f>SUBTOTAL(9,J171:J171)</f>
        <v>8738.247800000001</v>
      </c>
      <c r="K170" s="129"/>
      <c r="L170" s="129"/>
      <c r="M170" s="624"/>
      <c r="N170" s="130"/>
      <c r="O170" s="624">
        <f>SUBTOTAL(9,O171:O171)</f>
        <v>0</v>
      </c>
      <c r="P170" s="130"/>
      <c r="Q170" s="624">
        <f>SUBTOTAL(9,Q171:Q171)</f>
        <v>0</v>
      </c>
      <c r="R170" s="129"/>
      <c r="S170" s="624">
        <f>SUBTOTAL(9,S171:S171)</f>
        <v>0</v>
      </c>
      <c r="T170" s="129">
        <f t="shared" si="165"/>
        <v>0</v>
      </c>
      <c r="U170" s="624">
        <f>SUBTOTAL(9,U171:U171)</f>
        <v>8738.247800000001</v>
      </c>
    </row>
    <row r="171" spans="1:21" s="725" customFormat="1" ht="25.5">
      <c r="A171" s="577" t="s">
        <v>317</v>
      </c>
      <c r="B171" s="578" t="s">
        <v>227</v>
      </c>
      <c r="C171" s="722" t="s">
        <v>233</v>
      </c>
      <c r="D171" s="580" t="s">
        <v>51</v>
      </c>
      <c r="E171" s="581">
        <v>366.23</v>
      </c>
      <c r="F171" s="582">
        <v>23.86</v>
      </c>
      <c r="G171" s="582"/>
      <c r="H171" s="582"/>
      <c r="I171" s="581">
        <f t="shared" ref="I171" si="267">F171+G171-H171</f>
        <v>23.86</v>
      </c>
      <c r="J171" s="581">
        <f t="shared" ref="J171" si="268">I171*E171</f>
        <v>8738.247800000001</v>
      </c>
      <c r="K171" s="581"/>
      <c r="L171" s="581"/>
      <c r="M171" s="723">
        <f t="shared" ref="M171" si="269">I171*E171</f>
        <v>8738.247800000001</v>
      </c>
      <c r="N171" s="582">
        <v>0</v>
      </c>
      <c r="O171" s="723">
        <f t="shared" ref="O171" si="270">TRUNC(N171*E171,2)</f>
        <v>0</v>
      </c>
      <c r="P171" s="582">
        <v>0</v>
      </c>
      <c r="Q171" s="723">
        <f t="shared" ref="Q171" si="271">S171-O171</f>
        <v>0</v>
      </c>
      <c r="R171" s="582">
        <f t="shared" ref="R171" si="272">P171+N171</f>
        <v>0</v>
      </c>
      <c r="S171" s="724">
        <f t="shared" ref="S171" si="273">TRUNC(R171*E171,2)</f>
        <v>0</v>
      </c>
      <c r="T171" s="582">
        <f t="shared" si="165"/>
        <v>23.86</v>
      </c>
      <c r="U171" s="724">
        <f t="shared" ref="U171" si="274">T171*E171</f>
        <v>8738.247800000001</v>
      </c>
    </row>
    <row r="172" spans="1:21">
      <c r="A172" s="138"/>
      <c r="B172" s="132"/>
      <c r="C172" s="123"/>
      <c r="D172" s="123"/>
      <c r="E172" s="123"/>
      <c r="F172" s="123"/>
      <c r="G172" s="123"/>
      <c r="H172" s="123"/>
      <c r="I172" s="123"/>
      <c r="J172" s="123"/>
      <c r="K172" s="123"/>
      <c r="L172" s="123"/>
      <c r="M172" s="623"/>
      <c r="N172" s="123"/>
      <c r="O172" s="623"/>
      <c r="P172" s="123"/>
      <c r="Q172" s="623"/>
      <c r="R172" s="123"/>
      <c r="S172" s="631"/>
      <c r="T172" s="123">
        <f t="shared" si="165"/>
        <v>0</v>
      </c>
      <c r="U172" s="631">
        <f t="shared" ref="U172" si="275">I172-S172</f>
        <v>0</v>
      </c>
    </row>
    <row r="173" spans="1:21" s="213" customFormat="1">
      <c r="A173" s="210" t="s">
        <v>25</v>
      </c>
      <c r="B173" s="211"/>
      <c r="C173" s="655" t="s">
        <v>318</v>
      </c>
      <c r="D173" s="197"/>
      <c r="E173" s="198"/>
      <c r="F173" s="199"/>
      <c r="G173" s="199"/>
      <c r="H173" s="199"/>
      <c r="I173" s="200"/>
      <c r="J173" s="200">
        <f>SUBTOTAL(9,J174:J177)</f>
        <v>427244.30440000002</v>
      </c>
      <c r="K173" s="200"/>
      <c r="L173" s="200"/>
      <c r="M173" s="620"/>
      <c r="N173" s="201"/>
      <c r="O173" s="620">
        <f>SUBTOTAL(9,O174:O177)</f>
        <v>382486.8</v>
      </c>
      <c r="P173" s="201"/>
      <c r="Q173" s="620">
        <f>SUBTOTAL(9,Q174:Q177)</f>
        <v>20472.690000000002</v>
      </c>
      <c r="R173" s="200"/>
      <c r="S173" s="620">
        <f>SUBTOTAL(9,S174:S177)</f>
        <v>402959.49</v>
      </c>
      <c r="T173" s="200">
        <f t="shared" ref="T173" si="276">F173-R173</f>
        <v>0</v>
      </c>
      <c r="U173" s="620">
        <f>SUBTOTAL(9,U174:U177)</f>
        <v>24284.80150000002</v>
      </c>
    </row>
    <row r="174" spans="1:21" s="131" customFormat="1">
      <c r="A174" s="137" t="s">
        <v>319</v>
      </c>
      <c r="B174" s="133"/>
      <c r="C174" s="658" t="s">
        <v>318</v>
      </c>
      <c r="D174" s="126"/>
      <c r="E174" s="127"/>
      <c r="F174" s="128"/>
      <c r="G174" s="128"/>
      <c r="H174" s="128"/>
      <c r="I174" s="129"/>
      <c r="J174" s="129">
        <f>SUBTOTAL(9,J175:J177)</f>
        <v>427244.30440000002</v>
      </c>
      <c r="K174" s="129"/>
      <c r="L174" s="129"/>
      <c r="M174" s="624"/>
      <c r="N174" s="130"/>
      <c r="O174" s="624">
        <f>SUBTOTAL(9,O175:O177)</f>
        <v>382486.8</v>
      </c>
      <c r="P174" s="130"/>
      <c r="Q174" s="624">
        <f>SUBTOTAL(9,Q175:Q177)</f>
        <v>20472.690000000002</v>
      </c>
      <c r="R174" s="129"/>
      <c r="S174" s="624">
        <f>SUBTOTAL(9,S175:S177)</f>
        <v>402959.49</v>
      </c>
      <c r="T174" s="129">
        <f t="shared" si="165"/>
        <v>0</v>
      </c>
      <c r="U174" s="624">
        <f>SUBTOTAL(9,U175:U177)</f>
        <v>24284.80150000002</v>
      </c>
    </row>
    <row r="175" spans="1:21" s="725" customFormat="1" ht="25.5">
      <c r="A175" s="577" t="s">
        <v>320</v>
      </c>
      <c r="B175" s="578" t="s">
        <v>323</v>
      </c>
      <c r="C175" s="722" t="s">
        <v>326</v>
      </c>
      <c r="D175" s="580" t="s">
        <v>59</v>
      </c>
      <c r="E175" s="581">
        <v>409453.83</v>
      </c>
      <c r="F175" s="582">
        <v>1</v>
      </c>
      <c r="G175" s="582"/>
      <c r="H175" s="582"/>
      <c r="I175" s="581">
        <f t="shared" ref="I175" si="277">F175+G175-H175</f>
        <v>1</v>
      </c>
      <c r="J175" s="581">
        <f t="shared" ref="J175" si="278">I175*E175</f>
        <v>409453.83</v>
      </c>
      <c r="K175" s="581"/>
      <c r="L175" s="581"/>
      <c r="M175" s="723">
        <f t="shared" ref="M175" si="279">I175*E175</f>
        <v>409453.83</v>
      </c>
      <c r="N175" s="582">
        <f>'2.5.1.1'!R18</f>
        <v>0.89999999999999991</v>
      </c>
      <c r="O175" s="723">
        <f t="shared" ref="O175" si="280">TRUNC(N175*E175,2)</f>
        <v>368508.44</v>
      </c>
      <c r="P175" s="582">
        <v>0.05</v>
      </c>
      <c r="Q175" s="723">
        <f t="shared" ref="Q175" si="281">S175-O175</f>
        <v>20472.690000000002</v>
      </c>
      <c r="R175" s="582">
        <f>P175+N175</f>
        <v>0.95</v>
      </c>
      <c r="S175" s="724">
        <f t="shared" ref="S175" si="282">TRUNC(R175*E175,2)</f>
        <v>388981.13</v>
      </c>
      <c r="T175" s="582">
        <f>I175-R175</f>
        <v>5.0000000000000044E-2</v>
      </c>
      <c r="U175" s="724">
        <f t="shared" ref="U175:U177" si="283">T175*E175</f>
        <v>20472.691500000019</v>
      </c>
    </row>
    <row r="176" spans="1:21">
      <c r="A176" s="190" t="s">
        <v>321</v>
      </c>
      <c r="B176" s="191" t="s">
        <v>324</v>
      </c>
      <c r="C176" s="657" t="s">
        <v>327</v>
      </c>
      <c r="D176" s="192" t="s">
        <v>59</v>
      </c>
      <c r="E176" s="193">
        <v>3812.11</v>
      </c>
      <c r="F176" s="194">
        <v>1</v>
      </c>
      <c r="G176" s="194"/>
      <c r="H176" s="194"/>
      <c r="I176" s="193">
        <f t="shared" ref="I176:I177" si="284">F176+G176-H176</f>
        <v>1</v>
      </c>
      <c r="J176" s="193">
        <f t="shared" ref="J176:J177" si="285">I176*E176</f>
        <v>3812.11</v>
      </c>
      <c r="K176" s="193"/>
      <c r="L176" s="193"/>
      <c r="M176" s="622">
        <f t="shared" ref="M176:M177" si="286">I176*E176</f>
        <v>3812.11</v>
      </c>
      <c r="N176" s="194">
        <v>0</v>
      </c>
      <c r="O176" s="622">
        <f>TRUNC(N176*E176,2)</f>
        <v>0</v>
      </c>
      <c r="P176" s="194">
        <f>IFERROR(VLOOKUP(A176,#REF!,18,FALSE),)</f>
        <v>0</v>
      </c>
      <c r="Q176" s="622">
        <f>S176-O176</f>
        <v>0</v>
      </c>
      <c r="R176" s="194">
        <f>P176+N176</f>
        <v>0</v>
      </c>
      <c r="S176" s="630">
        <f>TRUNC(R176*E176,2)</f>
        <v>0</v>
      </c>
      <c r="T176" s="194">
        <f t="shared" si="165"/>
        <v>1</v>
      </c>
      <c r="U176" s="630">
        <f t="shared" si="283"/>
        <v>3812.11</v>
      </c>
    </row>
    <row r="177" spans="1:21" ht="25.5">
      <c r="A177" s="190" t="s">
        <v>322</v>
      </c>
      <c r="B177" s="191" t="s">
        <v>325</v>
      </c>
      <c r="C177" s="657" t="s">
        <v>328</v>
      </c>
      <c r="D177" s="192" t="s">
        <v>50</v>
      </c>
      <c r="E177" s="193">
        <v>115.83</v>
      </c>
      <c r="F177" s="194">
        <v>120.68</v>
      </c>
      <c r="G177" s="194"/>
      <c r="H177" s="194"/>
      <c r="I177" s="193">
        <f t="shared" si="284"/>
        <v>120.68</v>
      </c>
      <c r="J177" s="193">
        <f t="shared" si="285"/>
        <v>13978.3644</v>
      </c>
      <c r="K177" s="193"/>
      <c r="L177" s="193"/>
      <c r="M177" s="622">
        <f t="shared" si="286"/>
        <v>13978.3644</v>
      </c>
      <c r="N177" s="194">
        <v>120.68</v>
      </c>
      <c r="O177" s="622">
        <f t="shared" ref="O177" si="287">TRUNC(N177*E177,2)</f>
        <v>13978.36</v>
      </c>
      <c r="P177" s="194">
        <v>0</v>
      </c>
      <c r="Q177" s="622">
        <f t="shared" ref="Q177" si="288">S177-O177</f>
        <v>0</v>
      </c>
      <c r="R177" s="194">
        <f>P177+N177</f>
        <v>120.68</v>
      </c>
      <c r="S177" s="630">
        <f t="shared" ref="S177" si="289">TRUNC(R177*E177,2)</f>
        <v>13978.36</v>
      </c>
      <c r="T177" s="194">
        <f t="shared" si="165"/>
        <v>0</v>
      </c>
      <c r="U177" s="630">
        <f t="shared" si="283"/>
        <v>0</v>
      </c>
    </row>
    <row r="178" spans="1:21">
      <c r="A178" s="138"/>
      <c r="B178" s="132"/>
      <c r="C178" s="123"/>
      <c r="D178" s="123"/>
      <c r="E178" s="123"/>
      <c r="F178" s="123"/>
      <c r="G178" s="123"/>
      <c r="H178" s="123"/>
      <c r="I178" s="123"/>
      <c r="J178" s="123"/>
      <c r="K178" s="123"/>
      <c r="L178" s="123"/>
      <c r="M178" s="623"/>
      <c r="N178" s="123"/>
      <c r="O178" s="623"/>
      <c r="P178" s="123"/>
      <c r="Q178" s="623"/>
      <c r="R178" s="123"/>
      <c r="S178" s="631"/>
      <c r="T178" s="123"/>
      <c r="U178" s="631"/>
    </row>
    <row r="179" spans="1:21" s="213" customFormat="1">
      <c r="A179" s="210" t="s">
        <v>26</v>
      </c>
      <c r="B179" s="211"/>
      <c r="C179" s="655" t="s">
        <v>329</v>
      </c>
      <c r="D179" s="197"/>
      <c r="E179" s="198"/>
      <c r="F179" s="199"/>
      <c r="G179" s="199"/>
      <c r="H179" s="199"/>
      <c r="I179" s="200"/>
      <c r="J179" s="200">
        <f>SUBTOTAL(9,J180:J205)</f>
        <v>42442.573000000004</v>
      </c>
      <c r="K179" s="200"/>
      <c r="L179" s="200"/>
      <c r="M179" s="620"/>
      <c r="N179" s="201"/>
      <c r="O179" s="620">
        <f>SUBTOTAL(9,O180:O205)</f>
        <v>0</v>
      </c>
      <c r="P179" s="201"/>
      <c r="Q179" s="620">
        <f>SUBTOTAL(9,Q180:Q205)</f>
        <v>0</v>
      </c>
      <c r="R179" s="200"/>
      <c r="S179" s="620">
        <f>SUBTOTAL(9,S180:S205)</f>
        <v>0</v>
      </c>
      <c r="T179" s="200">
        <f t="shared" si="165"/>
        <v>0</v>
      </c>
      <c r="U179" s="620">
        <f>SUBTOTAL(9,U180:U205)</f>
        <v>42442.573000000004</v>
      </c>
    </row>
    <row r="180" spans="1:21" s="131" customFormat="1">
      <c r="A180" s="137" t="s">
        <v>330</v>
      </c>
      <c r="B180" s="133"/>
      <c r="C180" s="658" t="s">
        <v>329</v>
      </c>
      <c r="D180" s="126"/>
      <c r="E180" s="127"/>
      <c r="F180" s="128"/>
      <c r="G180" s="128"/>
      <c r="H180" s="128"/>
      <c r="I180" s="129"/>
      <c r="J180" s="129">
        <f>SUBTOTAL(9,J181:J199)</f>
        <v>39130.33</v>
      </c>
      <c r="K180" s="129"/>
      <c r="L180" s="129"/>
      <c r="M180" s="624"/>
      <c r="N180" s="130"/>
      <c r="O180" s="624">
        <f>SUBTOTAL(9,O181:O199)</f>
        <v>0</v>
      </c>
      <c r="P180" s="130"/>
      <c r="Q180" s="624">
        <f>SUBTOTAL(9,Q181:Q199)</f>
        <v>0</v>
      </c>
      <c r="R180" s="129"/>
      <c r="S180" s="624">
        <f>SUBTOTAL(9,S181:S199)</f>
        <v>0</v>
      </c>
      <c r="T180" s="129">
        <f t="shared" si="165"/>
        <v>0</v>
      </c>
      <c r="U180" s="624">
        <f>SUBTOTAL(9,U181:U199)</f>
        <v>39130.33</v>
      </c>
    </row>
    <row r="181" spans="1:21" ht="25.5">
      <c r="A181" s="190" t="s">
        <v>331</v>
      </c>
      <c r="B181" s="191">
        <v>151701</v>
      </c>
      <c r="C181" s="657" t="s">
        <v>685</v>
      </c>
      <c r="D181" s="192" t="s">
        <v>59</v>
      </c>
      <c r="E181" s="193">
        <v>1510.64</v>
      </c>
      <c r="F181" s="194">
        <v>1</v>
      </c>
      <c r="G181" s="194"/>
      <c r="H181" s="194"/>
      <c r="I181" s="193">
        <f t="shared" ref="I181" si="290">F181+G181-H181</f>
        <v>1</v>
      </c>
      <c r="J181" s="193">
        <f t="shared" ref="J181" si="291">I181*E181</f>
        <v>1510.64</v>
      </c>
      <c r="K181" s="193"/>
      <c r="L181" s="193"/>
      <c r="M181" s="622">
        <f t="shared" ref="M181" si="292">I181*E181</f>
        <v>1510.64</v>
      </c>
      <c r="N181" s="194">
        <v>0</v>
      </c>
      <c r="O181" s="622">
        <f t="shared" ref="O181:O197" si="293">TRUNC(N181*E181,2)</f>
        <v>0</v>
      </c>
      <c r="P181" s="194">
        <f>IFERROR(VLOOKUP(A181,#REF!,18,FALSE),)</f>
        <v>0</v>
      </c>
      <c r="Q181" s="622">
        <f t="shared" ref="Q181:Q197" si="294">S181-O181</f>
        <v>0</v>
      </c>
      <c r="R181" s="194">
        <f t="shared" ref="R181:R197" si="295">P181+N181</f>
        <v>0</v>
      </c>
      <c r="S181" s="630">
        <f t="shared" ref="S181:S197" si="296">TRUNC(R181*E181,2)</f>
        <v>0</v>
      </c>
      <c r="T181" s="194">
        <f t="shared" ref="T181:T214" si="297">F181-R181</f>
        <v>1</v>
      </c>
      <c r="U181" s="630">
        <f t="shared" ref="U181:U199" si="298">T181*E181</f>
        <v>1510.64</v>
      </c>
    </row>
    <row r="182" spans="1:21" ht="25.5">
      <c r="A182" s="190" t="s">
        <v>332</v>
      </c>
      <c r="B182" s="191">
        <v>150312</v>
      </c>
      <c r="C182" s="657" t="s">
        <v>350</v>
      </c>
      <c r="D182" s="192" t="s">
        <v>59</v>
      </c>
      <c r="E182" s="193">
        <v>103.79</v>
      </c>
      <c r="F182" s="194">
        <v>1</v>
      </c>
      <c r="G182" s="194"/>
      <c r="H182" s="194"/>
      <c r="I182" s="193">
        <f t="shared" ref="I182:I199" si="299">F182+G182-H182</f>
        <v>1</v>
      </c>
      <c r="J182" s="193">
        <f t="shared" ref="J182:J199" si="300">I182*E182</f>
        <v>103.79</v>
      </c>
      <c r="K182" s="193"/>
      <c r="L182" s="193"/>
      <c r="M182" s="622">
        <f t="shared" ref="M182:M199" si="301">I182*E182</f>
        <v>103.79</v>
      </c>
      <c r="N182" s="194">
        <v>0</v>
      </c>
      <c r="O182" s="622">
        <f t="shared" si="293"/>
        <v>0</v>
      </c>
      <c r="P182" s="194">
        <f>IFERROR(VLOOKUP(A182,#REF!,18,FALSE),)</f>
        <v>0</v>
      </c>
      <c r="Q182" s="622">
        <f t="shared" si="294"/>
        <v>0</v>
      </c>
      <c r="R182" s="194">
        <f t="shared" si="295"/>
        <v>0</v>
      </c>
      <c r="S182" s="630">
        <f t="shared" si="296"/>
        <v>0</v>
      </c>
      <c r="T182" s="194">
        <f t="shared" ref="T182:T197" si="302">F182-R182</f>
        <v>1</v>
      </c>
      <c r="U182" s="630">
        <f t="shared" si="298"/>
        <v>103.79</v>
      </c>
    </row>
    <row r="183" spans="1:21">
      <c r="A183" s="190" t="s">
        <v>333</v>
      </c>
      <c r="B183" s="191">
        <v>150628</v>
      </c>
      <c r="C183" s="657" t="s">
        <v>351</v>
      </c>
      <c r="D183" s="192" t="s">
        <v>59</v>
      </c>
      <c r="E183" s="193">
        <v>7.47</v>
      </c>
      <c r="F183" s="194">
        <v>19</v>
      </c>
      <c r="G183" s="194"/>
      <c r="H183" s="194"/>
      <c r="I183" s="193">
        <f t="shared" si="299"/>
        <v>19</v>
      </c>
      <c r="J183" s="193">
        <f t="shared" si="300"/>
        <v>141.93</v>
      </c>
      <c r="K183" s="193"/>
      <c r="L183" s="193"/>
      <c r="M183" s="622">
        <f t="shared" si="301"/>
        <v>141.93</v>
      </c>
      <c r="N183" s="194">
        <v>0</v>
      </c>
      <c r="O183" s="622">
        <f t="shared" si="293"/>
        <v>0</v>
      </c>
      <c r="P183" s="194">
        <f>IFERROR(VLOOKUP(A183,#REF!,18,FALSE),)</f>
        <v>0</v>
      </c>
      <c r="Q183" s="622">
        <f t="shared" si="294"/>
        <v>0</v>
      </c>
      <c r="R183" s="194">
        <f t="shared" si="295"/>
        <v>0</v>
      </c>
      <c r="S183" s="630">
        <f t="shared" si="296"/>
        <v>0</v>
      </c>
      <c r="T183" s="194">
        <f t="shared" si="302"/>
        <v>19</v>
      </c>
      <c r="U183" s="630">
        <f t="shared" si="298"/>
        <v>141.93</v>
      </c>
    </row>
    <row r="184" spans="1:21" ht="25.5">
      <c r="A184" s="190" t="s">
        <v>334</v>
      </c>
      <c r="B184" s="191">
        <v>151417</v>
      </c>
      <c r="C184" s="657" t="s">
        <v>352</v>
      </c>
      <c r="D184" s="192" t="s">
        <v>51</v>
      </c>
      <c r="E184" s="193">
        <v>5.86</v>
      </c>
      <c r="F184" s="194">
        <v>147.4</v>
      </c>
      <c r="G184" s="194"/>
      <c r="H184" s="194"/>
      <c r="I184" s="193">
        <f t="shared" si="299"/>
        <v>147.4</v>
      </c>
      <c r="J184" s="193">
        <f t="shared" si="300"/>
        <v>863.76400000000012</v>
      </c>
      <c r="K184" s="193"/>
      <c r="L184" s="193"/>
      <c r="M184" s="622">
        <f t="shared" si="301"/>
        <v>863.76400000000012</v>
      </c>
      <c r="N184" s="194">
        <v>0</v>
      </c>
      <c r="O184" s="622">
        <f t="shared" si="293"/>
        <v>0</v>
      </c>
      <c r="P184" s="194">
        <f>IFERROR(VLOOKUP(A184,#REF!,18,FALSE),)</f>
        <v>0</v>
      </c>
      <c r="Q184" s="622">
        <f t="shared" si="294"/>
        <v>0</v>
      </c>
      <c r="R184" s="194">
        <f t="shared" si="295"/>
        <v>0</v>
      </c>
      <c r="S184" s="630">
        <f t="shared" si="296"/>
        <v>0</v>
      </c>
      <c r="T184" s="194">
        <f t="shared" si="302"/>
        <v>147.4</v>
      </c>
      <c r="U184" s="630">
        <f t="shared" si="298"/>
        <v>863.76400000000012</v>
      </c>
    </row>
    <row r="185" spans="1:21" ht="25.5">
      <c r="A185" s="190" t="s">
        <v>335</v>
      </c>
      <c r="B185" s="191">
        <v>151418</v>
      </c>
      <c r="C185" s="657" t="s">
        <v>353</v>
      </c>
      <c r="D185" s="192" t="s">
        <v>51</v>
      </c>
      <c r="E185" s="193">
        <v>6.74</v>
      </c>
      <c r="F185" s="194">
        <v>315.39999999999998</v>
      </c>
      <c r="G185" s="194"/>
      <c r="H185" s="194"/>
      <c r="I185" s="193">
        <f t="shared" si="299"/>
        <v>315.39999999999998</v>
      </c>
      <c r="J185" s="193">
        <f t="shared" si="300"/>
        <v>2125.7959999999998</v>
      </c>
      <c r="K185" s="193"/>
      <c r="L185" s="193"/>
      <c r="M185" s="622">
        <f t="shared" si="301"/>
        <v>2125.7959999999998</v>
      </c>
      <c r="N185" s="194">
        <v>0</v>
      </c>
      <c r="O185" s="622">
        <f t="shared" si="293"/>
        <v>0</v>
      </c>
      <c r="P185" s="194">
        <f>IFERROR(VLOOKUP(A185,#REF!,18,FALSE),)</f>
        <v>0</v>
      </c>
      <c r="Q185" s="622">
        <f t="shared" si="294"/>
        <v>0</v>
      </c>
      <c r="R185" s="194">
        <f t="shared" si="295"/>
        <v>0</v>
      </c>
      <c r="S185" s="630">
        <f t="shared" si="296"/>
        <v>0</v>
      </c>
      <c r="T185" s="194">
        <f t="shared" si="302"/>
        <v>315.39999999999998</v>
      </c>
      <c r="U185" s="630">
        <f t="shared" si="298"/>
        <v>2125.7959999999998</v>
      </c>
    </row>
    <row r="186" spans="1:21" ht="25.5">
      <c r="A186" s="190" t="s">
        <v>336</v>
      </c>
      <c r="B186" s="191">
        <v>151420</v>
      </c>
      <c r="C186" s="657" t="s">
        <v>354</v>
      </c>
      <c r="D186" s="192" t="s">
        <v>51</v>
      </c>
      <c r="E186" s="193">
        <v>10.63</v>
      </c>
      <c r="F186" s="194">
        <v>60</v>
      </c>
      <c r="G186" s="194"/>
      <c r="H186" s="194"/>
      <c r="I186" s="193">
        <f t="shared" si="299"/>
        <v>60</v>
      </c>
      <c r="J186" s="193">
        <f t="shared" si="300"/>
        <v>637.80000000000007</v>
      </c>
      <c r="K186" s="193"/>
      <c r="L186" s="193"/>
      <c r="M186" s="622">
        <f t="shared" si="301"/>
        <v>637.80000000000007</v>
      </c>
      <c r="N186" s="194">
        <v>0</v>
      </c>
      <c r="O186" s="622">
        <f t="shared" si="293"/>
        <v>0</v>
      </c>
      <c r="P186" s="194">
        <f>IFERROR(VLOOKUP(A186,#REF!,18,FALSE),)</f>
        <v>0</v>
      </c>
      <c r="Q186" s="622">
        <f t="shared" si="294"/>
        <v>0</v>
      </c>
      <c r="R186" s="194">
        <f t="shared" si="295"/>
        <v>0</v>
      </c>
      <c r="S186" s="630">
        <f t="shared" si="296"/>
        <v>0</v>
      </c>
      <c r="T186" s="194">
        <f t="shared" si="302"/>
        <v>60</v>
      </c>
      <c r="U186" s="630">
        <f t="shared" si="298"/>
        <v>637.80000000000007</v>
      </c>
    </row>
    <row r="187" spans="1:21" ht="38.25">
      <c r="A187" s="190" t="s">
        <v>337</v>
      </c>
      <c r="B187" s="191">
        <v>151809</v>
      </c>
      <c r="C187" s="657" t="s">
        <v>355</v>
      </c>
      <c r="D187" s="192" t="s">
        <v>59</v>
      </c>
      <c r="E187" s="193">
        <v>150.13</v>
      </c>
      <c r="F187" s="194">
        <v>1</v>
      </c>
      <c r="G187" s="194"/>
      <c r="H187" s="194"/>
      <c r="I187" s="193">
        <f t="shared" si="299"/>
        <v>1</v>
      </c>
      <c r="J187" s="193">
        <f t="shared" si="300"/>
        <v>150.13</v>
      </c>
      <c r="K187" s="193"/>
      <c r="L187" s="193"/>
      <c r="M187" s="622">
        <f t="shared" si="301"/>
        <v>150.13</v>
      </c>
      <c r="N187" s="194">
        <v>0</v>
      </c>
      <c r="O187" s="622">
        <f t="shared" si="293"/>
        <v>0</v>
      </c>
      <c r="P187" s="194">
        <f>IFERROR(VLOOKUP(A187,#REF!,18,FALSE),)</f>
        <v>0</v>
      </c>
      <c r="Q187" s="622">
        <f t="shared" si="294"/>
        <v>0</v>
      </c>
      <c r="R187" s="194">
        <f t="shared" si="295"/>
        <v>0</v>
      </c>
      <c r="S187" s="630">
        <f t="shared" si="296"/>
        <v>0</v>
      </c>
      <c r="T187" s="194">
        <f t="shared" si="302"/>
        <v>1</v>
      </c>
      <c r="U187" s="630">
        <f t="shared" si="298"/>
        <v>150.13</v>
      </c>
    </row>
    <row r="188" spans="1:21" ht="38.25">
      <c r="A188" s="190" t="s">
        <v>338</v>
      </c>
      <c r="B188" s="191">
        <v>151803</v>
      </c>
      <c r="C188" s="657" t="s">
        <v>356</v>
      </c>
      <c r="D188" s="192" t="s">
        <v>59</v>
      </c>
      <c r="E188" s="193">
        <v>170.86</v>
      </c>
      <c r="F188" s="194">
        <v>10</v>
      </c>
      <c r="G188" s="194"/>
      <c r="H188" s="194"/>
      <c r="I188" s="193">
        <f t="shared" si="299"/>
        <v>10</v>
      </c>
      <c r="J188" s="193">
        <f t="shared" si="300"/>
        <v>1708.6000000000001</v>
      </c>
      <c r="K188" s="193"/>
      <c r="L188" s="193"/>
      <c r="M188" s="622">
        <f t="shared" si="301"/>
        <v>1708.6000000000001</v>
      </c>
      <c r="N188" s="194">
        <v>0</v>
      </c>
      <c r="O188" s="622">
        <f t="shared" si="293"/>
        <v>0</v>
      </c>
      <c r="P188" s="194">
        <f>IFERROR(VLOOKUP(A188,#REF!,18,FALSE),)</f>
        <v>0</v>
      </c>
      <c r="Q188" s="622">
        <f t="shared" si="294"/>
        <v>0</v>
      </c>
      <c r="R188" s="194">
        <f t="shared" si="295"/>
        <v>0</v>
      </c>
      <c r="S188" s="630">
        <f t="shared" si="296"/>
        <v>0</v>
      </c>
      <c r="T188" s="194">
        <f t="shared" si="302"/>
        <v>10</v>
      </c>
      <c r="U188" s="630">
        <f t="shared" si="298"/>
        <v>1708.6000000000001</v>
      </c>
    </row>
    <row r="189" spans="1:21" ht="25.5">
      <c r="A189" s="190" t="s">
        <v>339</v>
      </c>
      <c r="B189" s="191">
        <v>151338</v>
      </c>
      <c r="C189" s="657" t="s">
        <v>357</v>
      </c>
      <c r="D189" s="192" t="s">
        <v>59</v>
      </c>
      <c r="E189" s="193">
        <v>18.14</v>
      </c>
      <c r="F189" s="194">
        <v>1</v>
      </c>
      <c r="G189" s="194"/>
      <c r="H189" s="194"/>
      <c r="I189" s="193">
        <f t="shared" si="299"/>
        <v>1</v>
      </c>
      <c r="J189" s="193">
        <f t="shared" si="300"/>
        <v>18.14</v>
      </c>
      <c r="K189" s="193"/>
      <c r="L189" s="193"/>
      <c r="M189" s="622">
        <f t="shared" si="301"/>
        <v>18.14</v>
      </c>
      <c r="N189" s="194">
        <v>0</v>
      </c>
      <c r="O189" s="622">
        <f t="shared" si="293"/>
        <v>0</v>
      </c>
      <c r="P189" s="194">
        <f>IFERROR(VLOOKUP(A189,#REF!,18,FALSE),)</f>
        <v>0</v>
      </c>
      <c r="Q189" s="622">
        <f t="shared" si="294"/>
        <v>0</v>
      </c>
      <c r="R189" s="194">
        <f t="shared" si="295"/>
        <v>0</v>
      </c>
      <c r="S189" s="630">
        <f t="shared" si="296"/>
        <v>0</v>
      </c>
      <c r="T189" s="194">
        <f t="shared" si="302"/>
        <v>1</v>
      </c>
      <c r="U189" s="630">
        <f t="shared" si="298"/>
        <v>18.14</v>
      </c>
    </row>
    <row r="190" spans="1:21" ht="25.5">
      <c r="A190" s="190" t="s">
        <v>340</v>
      </c>
      <c r="B190" s="191">
        <v>151301</v>
      </c>
      <c r="C190" s="657" t="s">
        <v>358</v>
      </c>
      <c r="D190" s="192" t="s">
        <v>59</v>
      </c>
      <c r="E190" s="193">
        <v>18.14</v>
      </c>
      <c r="F190" s="194">
        <v>1</v>
      </c>
      <c r="G190" s="194"/>
      <c r="H190" s="194"/>
      <c r="I190" s="193">
        <f t="shared" si="299"/>
        <v>1</v>
      </c>
      <c r="J190" s="193">
        <f t="shared" si="300"/>
        <v>18.14</v>
      </c>
      <c r="K190" s="193"/>
      <c r="L190" s="193"/>
      <c r="M190" s="622">
        <f t="shared" si="301"/>
        <v>18.14</v>
      </c>
      <c r="N190" s="194">
        <v>0</v>
      </c>
      <c r="O190" s="622">
        <f t="shared" si="293"/>
        <v>0</v>
      </c>
      <c r="P190" s="194">
        <f>IFERROR(VLOOKUP(A190,#REF!,18,FALSE),)</f>
        <v>0</v>
      </c>
      <c r="Q190" s="622">
        <f t="shared" si="294"/>
        <v>0</v>
      </c>
      <c r="R190" s="194">
        <f t="shared" si="295"/>
        <v>0</v>
      </c>
      <c r="S190" s="630">
        <f t="shared" si="296"/>
        <v>0</v>
      </c>
      <c r="T190" s="194">
        <f t="shared" si="302"/>
        <v>1</v>
      </c>
      <c r="U190" s="630">
        <f t="shared" si="298"/>
        <v>18.14</v>
      </c>
    </row>
    <row r="191" spans="1:21" ht="25.5">
      <c r="A191" s="190" t="s">
        <v>341</v>
      </c>
      <c r="B191" s="191">
        <v>151303</v>
      </c>
      <c r="C191" s="657" t="s">
        <v>359</v>
      </c>
      <c r="D191" s="192" t="s">
        <v>59</v>
      </c>
      <c r="E191" s="193">
        <v>18.14</v>
      </c>
      <c r="F191" s="194">
        <v>1</v>
      </c>
      <c r="G191" s="194"/>
      <c r="H191" s="194"/>
      <c r="I191" s="193">
        <f t="shared" si="299"/>
        <v>1</v>
      </c>
      <c r="J191" s="193">
        <f t="shared" si="300"/>
        <v>18.14</v>
      </c>
      <c r="K191" s="193"/>
      <c r="L191" s="193"/>
      <c r="M191" s="622">
        <f t="shared" si="301"/>
        <v>18.14</v>
      </c>
      <c r="N191" s="194">
        <v>0</v>
      </c>
      <c r="O191" s="622">
        <f t="shared" si="293"/>
        <v>0</v>
      </c>
      <c r="P191" s="194">
        <f>IFERROR(VLOOKUP(A191,#REF!,18,FALSE),)</f>
        <v>0</v>
      </c>
      <c r="Q191" s="622">
        <f t="shared" si="294"/>
        <v>0</v>
      </c>
      <c r="R191" s="194">
        <f t="shared" si="295"/>
        <v>0</v>
      </c>
      <c r="S191" s="630">
        <f t="shared" si="296"/>
        <v>0</v>
      </c>
      <c r="T191" s="194">
        <f t="shared" si="302"/>
        <v>1</v>
      </c>
      <c r="U191" s="630">
        <f t="shared" si="298"/>
        <v>18.14</v>
      </c>
    </row>
    <row r="192" spans="1:21" ht="25.5">
      <c r="A192" s="190" t="s">
        <v>342</v>
      </c>
      <c r="B192" s="191">
        <v>151318</v>
      </c>
      <c r="C192" s="657" t="s">
        <v>547</v>
      </c>
      <c r="D192" s="192" t="s">
        <v>59</v>
      </c>
      <c r="E192" s="193">
        <v>22.63</v>
      </c>
      <c r="F192" s="194">
        <v>1</v>
      </c>
      <c r="G192" s="194"/>
      <c r="H192" s="194"/>
      <c r="I192" s="193">
        <f t="shared" si="299"/>
        <v>1</v>
      </c>
      <c r="J192" s="193">
        <f t="shared" si="300"/>
        <v>22.63</v>
      </c>
      <c r="K192" s="193"/>
      <c r="L192" s="193"/>
      <c r="M192" s="622">
        <f t="shared" si="301"/>
        <v>22.63</v>
      </c>
      <c r="N192" s="194">
        <v>0</v>
      </c>
      <c r="O192" s="622">
        <f t="shared" si="293"/>
        <v>0</v>
      </c>
      <c r="P192" s="194">
        <f>IFERROR(VLOOKUP(A192,#REF!,18,FALSE),)</f>
        <v>0</v>
      </c>
      <c r="Q192" s="622">
        <f t="shared" si="294"/>
        <v>0</v>
      </c>
      <c r="R192" s="194">
        <f t="shared" si="295"/>
        <v>0</v>
      </c>
      <c r="S192" s="630">
        <f t="shared" si="296"/>
        <v>0</v>
      </c>
      <c r="T192" s="194">
        <f t="shared" si="302"/>
        <v>1</v>
      </c>
      <c r="U192" s="630">
        <f t="shared" si="298"/>
        <v>22.63</v>
      </c>
    </row>
    <row r="193" spans="1:21">
      <c r="A193" s="190" t="s">
        <v>343</v>
      </c>
      <c r="B193" s="191">
        <v>151350</v>
      </c>
      <c r="C193" s="657" t="s">
        <v>360</v>
      </c>
      <c r="D193" s="192" t="s">
        <v>59</v>
      </c>
      <c r="E193" s="193">
        <v>133.04</v>
      </c>
      <c r="F193" s="194">
        <v>1</v>
      </c>
      <c r="G193" s="194"/>
      <c r="H193" s="194"/>
      <c r="I193" s="193">
        <f t="shared" si="299"/>
        <v>1</v>
      </c>
      <c r="J193" s="193">
        <f t="shared" si="300"/>
        <v>133.04</v>
      </c>
      <c r="K193" s="193"/>
      <c r="L193" s="193"/>
      <c r="M193" s="622">
        <f t="shared" si="301"/>
        <v>133.04</v>
      </c>
      <c r="N193" s="194">
        <v>0</v>
      </c>
      <c r="O193" s="622">
        <f t="shared" si="293"/>
        <v>0</v>
      </c>
      <c r="P193" s="194">
        <f>IFERROR(VLOOKUP(A193,#REF!,18,FALSE),)</f>
        <v>0</v>
      </c>
      <c r="Q193" s="622">
        <f t="shared" si="294"/>
        <v>0</v>
      </c>
      <c r="R193" s="194">
        <f t="shared" si="295"/>
        <v>0</v>
      </c>
      <c r="S193" s="630">
        <f t="shared" si="296"/>
        <v>0</v>
      </c>
      <c r="T193" s="194">
        <f t="shared" si="302"/>
        <v>1</v>
      </c>
      <c r="U193" s="630">
        <f t="shared" si="298"/>
        <v>133.04</v>
      </c>
    </row>
    <row r="194" spans="1:21">
      <c r="A194" s="190" t="s">
        <v>344</v>
      </c>
      <c r="B194" s="191">
        <v>151132</v>
      </c>
      <c r="C194" s="657" t="s">
        <v>361</v>
      </c>
      <c r="D194" s="192" t="s">
        <v>51</v>
      </c>
      <c r="E194" s="193">
        <v>7.5</v>
      </c>
      <c r="F194" s="194">
        <v>75.7</v>
      </c>
      <c r="G194" s="194"/>
      <c r="H194" s="194"/>
      <c r="I194" s="193">
        <f t="shared" si="299"/>
        <v>75.7</v>
      </c>
      <c r="J194" s="193">
        <f t="shared" si="300"/>
        <v>567.75</v>
      </c>
      <c r="K194" s="193"/>
      <c r="L194" s="193"/>
      <c r="M194" s="622">
        <f t="shared" si="301"/>
        <v>567.75</v>
      </c>
      <c r="N194" s="194">
        <v>0</v>
      </c>
      <c r="O194" s="622">
        <f t="shared" si="293"/>
        <v>0</v>
      </c>
      <c r="P194" s="194">
        <f>IFERROR(VLOOKUP(A194,#REF!,18,FALSE),)</f>
        <v>0</v>
      </c>
      <c r="Q194" s="622">
        <f t="shared" si="294"/>
        <v>0</v>
      </c>
      <c r="R194" s="194">
        <f t="shared" si="295"/>
        <v>0</v>
      </c>
      <c r="S194" s="630">
        <f t="shared" si="296"/>
        <v>0</v>
      </c>
      <c r="T194" s="194">
        <f t="shared" si="302"/>
        <v>75.7</v>
      </c>
      <c r="U194" s="630">
        <f t="shared" si="298"/>
        <v>567.75</v>
      </c>
    </row>
    <row r="195" spans="1:21" ht="25.5">
      <c r="A195" s="190" t="s">
        <v>345</v>
      </c>
      <c r="B195" s="191">
        <v>150801</v>
      </c>
      <c r="C195" s="657" t="s">
        <v>362</v>
      </c>
      <c r="D195" s="192" t="s">
        <v>51</v>
      </c>
      <c r="E195" s="193">
        <v>12.67</v>
      </c>
      <c r="F195" s="194">
        <v>66</v>
      </c>
      <c r="G195" s="194"/>
      <c r="H195" s="194"/>
      <c r="I195" s="193">
        <f t="shared" si="299"/>
        <v>66</v>
      </c>
      <c r="J195" s="193">
        <f t="shared" si="300"/>
        <v>836.22</v>
      </c>
      <c r="K195" s="193"/>
      <c r="L195" s="193"/>
      <c r="M195" s="622">
        <f t="shared" si="301"/>
        <v>836.22</v>
      </c>
      <c r="N195" s="194">
        <v>0</v>
      </c>
      <c r="O195" s="622">
        <f t="shared" si="293"/>
        <v>0</v>
      </c>
      <c r="P195" s="194">
        <f>IFERROR(VLOOKUP(A195,#REF!,18,FALSE),)</f>
        <v>0</v>
      </c>
      <c r="Q195" s="622">
        <f t="shared" si="294"/>
        <v>0</v>
      </c>
      <c r="R195" s="194">
        <f t="shared" si="295"/>
        <v>0</v>
      </c>
      <c r="S195" s="630">
        <f t="shared" si="296"/>
        <v>0</v>
      </c>
      <c r="T195" s="194">
        <f t="shared" si="302"/>
        <v>66</v>
      </c>
      <c r="U195" s="630">
        <f t="shared" si="298"/>
        <v>836.22</v>
      </c>
    </row>
    <row r="196" spans="1:21">
      <c r="A196" s="190" t="s">
        <v>346</v>
      </c>
      <c r="B196" s="191">
        <v>180110</v>
      </c>
      <c r="C196" s="657" t="s">
        <v>363</v>
      </c>
      <c r="D196" s="192" t="s">
        <v>59</v>
      </c>
      <c r="E196" s="193">
        <v>106.15</v>
      </c>
      <c r="F196" s="194">
        <v>5</v>
      </c>
      <c r="G196" s="194"/>
      <c r="H196" s="194"/>
      <c r="I196" s="193">
        <f t="shared" si="299"/>
        <v>5</v>
      </c>
      <c r="J196" s="193">
        <f t="shared" si="300"/>
        <v>530.75</v>
      </c>
      <c r="K196" s="193"/>
      <c r="L196" s="193"/>
      <c r="M196" s="622">
        <f t="shared" si="301"/>
        <v>530.75</v>
      </c>
      <c r="N196" s="194">
        <v>0</v>
      </c>
      <c r="O196" s="622">
        <f t="shared" si="293"/>
        <v>0</v>
      </c>
      <c r="P196" s="194">
        <f>IFERROR(VLOOKUP(A196,#REF!,18,FALSE),)</f>
        <v>0</v>
      </c>
      <c r="Q196" s="622">
        <f t="shared" si="294"/>
        <v>0</v>
      </c>
      <c r="R196" s="194">
        <f t="shared" si="295"/>
        <v>0</v>
      </c>
      <c r="S196" s="630">
        <f t="shared" si="296"/>
        <v>0</v>
      </c>
      <c r="T196" s="194">
        <f t="shared" si="302"/>
        <v>5</v>
      </c>
      <c r="U196" s="630">
        <f t="shared" si="298"/>
        <v>530.75</v>
      </c>
    </row>
    <row r="197" spans="1:21">
      <c r="A197" s="190" t="s">
        <v>347</v>
      </c>
      <c r="B197" s="191" t="s">
        <v>367</v>
      </c>
      <c r="C197" s="657" t="s">
        <v>364</v>
      </c>
      <c r="D197" s="192" t="s">
        <v>72</v>
      </c>
      <c r="E197" s="193">
        <v>362.44</v>
      </c>
      <c r="F197" s="194">
        <v>19</v>
      </c>
      <c r="G197" s="194"/>
      <c r="H197" s="194"/>
      <c r="I197" s="193">
        <f t="shared" si="299"/>
        <v>19</v>
      </c>
      <c r="J197" s="193">
        <f t="shared" si="300"/>
        <v>6886.36</v>
      </c>
      <c r="K197" s="193"/>
      <c r="L197" s="193"/>
      <c r="M197" s="622">
        <f t="shared" si="301"/>
        <v>6886.36</v>
      </c>
      <c r="N197" s="194">
        <v>0</v>
      </c>
      <c r="O197" s="622">
        <f t="shared" si="293"/>
        <v>0</v>
      </c>
      <c r="P197" s="194">
        <f>IFERROR(VLOOKUP(A197,#REF!,18,FALSE),)</f>
        <v>0</v>
      </c>
      <c r="Q197" s="622">
        <f t="shared" si="294"/>
        <v>0</v>
      </c>
      <c r="R197" s="194">
        <f t="shared" si="295"/>
        <v>0</v>
      </c>
      <c r="S197" s="630">
        <f t="shared" si="296"/>
        <v>0</v>
      </c>
      <c r="T197" s="194">
        <f t="shared" si="302"/>
        <v>19</v>
      </c>
      <c r="U197" s="630">
        <f t="shared" si="298"/>
        <v>6886.36</v>
      </c>
    </row>
    <row r="198" spans="1:21" ht="25.5">
      <c r="A198" s="190" t="s">
        <v>348</v>
      </c>
      <c r="B198" s="191" t="s">
        <v>368</v>
      </c>
      <c r="C198" s="657" t="s">
        <v>365</v>
      </c>
      <c r="D198" s="192" t="s">
        <v>72</v>
      </c>
      <c r="E198" s="193">
        <v>4976.67</v>
      </c>
      <c r="F198" s="194">
        <v>2</v>
      </c>
      <c r="G198" s="194"/>
      <c r="H198" s="194"/>
      <c r="I198" s="193">
        <f t="shared" si="299"/>
        <v>2</v>
      </c>
      <c r="J198" s="193">
        <f t="shared" si="300"/>
        <v>9953.34</v>
      </c>
      <c r="K198" s="193"/>
      <c r="L198" s="193"/>
      <c r="M198" s="622">
        <f t="shared" si="301"/>
        <v>9953.34</v>
      </c>
      <c r="N198" s="194">
        <v>0</v>
      </c>
      <c r="O198" s="622">
        <f t="shared" ref="O198:O199" si="303">TRUNC(N198*E198,2)</f>
        <v>0</v>
      </c>
      <c r="P198" s="194">
        <f>IFERROR(VLOOKUP(A198,#REF!,18,FALSE),)</f>
        <v>0</v>
      </c>
      <c r="Q198" s="622">
        <f t="shared" ref="Q198:Q199" si="304">S198-O198</f>
        <v>0</v>
      </c>
      <c r="R198" s="194">
        <f t="shared" ref="R198:R199" si="305">P198+N198</f>
        <v>0</v>
      </c>
      <c r="S198" s="630">
        <f t="shared" ref="S198:S199" si="306">TRUNC(R198*E198,2)</f>
        <v>0</v>
      </c>
      <c r="T198" s="194">
        <f t="shared" si="297"/>
        <v>2</v>
      </c>
      <c r="U198" s="630">
        <f t="shared" si="298"/>
        <v>9953.34</v>
      </c>
    </row>
    <row r="199" spans="1:21" ht="35.25" customHeight="1">
      <c r="A199" s="190" t="s">
        <v>349</v>
      </c>
      <c r="B199" s="191" t="s">
        <v>369</v>
      </c>
      <c r="C199" s="657" t="s">
        <v>366</v>
      </c>
      <c r="D199" s="192" t="s">
        <v>10</v>
      </c>
      <c r="E199" s="193">
        <v>12903.37</v>
      </c>
      <c r="F199" s="194">
        <v>1</v>
      </c>
      <c r="G199" s="194"/>
      <c r="H199" s="194"/>
      <c r="I199" s="193">
        <f t="shared" si="299"/>
        <v>1</v>
      </c>
      <c r="J199" s="193">
        <f t="shared" si="300"/>
        <v>12903.37</v>
      </c>
      <c r="K199" s="193"/>
      <c r="L199" s="193"/>
      <c r="M199" s="622">
        <f t="shared" si="301"/>
        <v>12903.37</v>
      </c>
      <c r="N199" s="194"/>
      <c r="O199" s="622">
        <f t="shared" si="303"/>
        <v>0</v>
      </c>
      <c r="P199" s="194">
        <f>IFERROR(VLOOKUP(A199,#REF!,18,FALSE),)</f>
        <v>0</v>
      </c>
      <c r="Q199" s="622">
        <f t="shared" si="304"/>
        <v>0</v>
      </c>
      <c r="R199" s="194">
        <f t="shared" si="305"/>
        <v>0</v>
      </c>
      <c r="S199" s="630">
        <f t="shared" si="306"/>
        <v>0</v>
      </c>
      <c r="T199" s="194">
        <f t="shared" si="297"/>
        <v>1</v>
      </c>
      <c r="U199" s="630">
        <f t="shared" si="298"/>
        <v>12903.37</v>
      </c>
    </row>
    <row r="200" spans="1:21">
      <c r="A200" s="138"/>
      <c r="B200" s="132"/>
      <c r="C200" s="123"/>
      <c r="D200" s="123"/>
      <c r="E200" s="123"/>
      <c r="F200" s="123"/>
      <c r="G200" s="123"/>
      <c r="H200" s="123"/>
      <c r="I200" s="123"/>
      <c r="J200" s="123"/>
      <c r="K200" s="123"/>
      <c r="L200" s="123"/>
      <c r="M200" s="623"/>
      <c r="N200" s="123"/>
      <c r="O200" s="623"/>
      <c r="P200" s="123"/>
      <c r="Q200" s="623"/>
      <c r="R200" s="123"/>
      <c r="S200" s="631"/>
      <c r="T200" s="123"/>
      <c r="U200" s="631"/>
    </row>
    <row r="201" spans="1:21" s="131" customFormat="1">
      <c r="A201" s="137" t="s">
        <v>370</v>
      </c>
      <c r="B201" s="133"/>
      <c r="C201" s="658" t="s">
        <v>371</v>
      </c>
      <c r="D201" s="126"/>
      <c r="E201" s="127"/>
      <c r="F201" s="128"/>
      <c r="G201" s="128"/>
      <c r="H201" s="128"/>
      <c r="I201" s="129"/>
      <c r="J201" s="129">
        <f>SUBTOTAL(9,J202:J205)</f>
        <v>3312.2430000000004</v>
      </c>
      <c r="K201" s="129"/>
      <c r="L201" s="129"/>
      <c r="M201" s="624"/>
      <c r="N201" s="130"/>
      <c r="O201" s="624">
        <f>SUBTOTAL(9,O202:O205)</f>
        <v>0</v>
      </c>
      <c r="P201" s="130"/>
      <c r="Q201" s="624">
        <f>SUBTOTAL(9,Q202:Q205)</f>
        <v>0</v>
      </c>
      <c r="R201" s="129"/>
      <c r="S201" s="624">
        <f>SUBTOTAL(9,S202:S205)</f>
        <v>0</v>
      </c>
      <c r="T201" s="129">
        <f t="shared" si="297"/>
        <v>0</v>
      </c>
      <c r="U201" s="624">
        <f>SUBTOTAL(9,U202:U205)</f>
        <v>3312.2430000000004</v>
      </c>
    </row>
    <row r="202" spans="1:21" ht="38.25">
      <c r="A202" s="190" t="s">
        <v>372</v>
      </c>
      <c r="B202" s="191">
        <v>150610</v>
      </c>
      <c r="C202" s="657" t="s">
        <v>376</v>
      </c>
      <c r="D202" s="192" t="s">
        <v>59</v>
      </c>
      <c r="E202" s="193">
        <v>188.46</v>
      </c>
      <c r="F202" s="194">
        <v>4</v>
      </c>
      <c r="G202" s="194"/>
      <c r="H202" s="194"/>
      <c r="I202" s="193">
        <f t="shared" ref="I202" si="307">F202+G202-H202</f>
        <v>4</v>
      </c>
      <c r="J202" s="193">
        <f t="shared" ref="J202" si="308">I202*E202</f>
        <v>753.84</v>
      </c>
      <c r="K202" s="193"/>
      <c r="L202" s="193"/>
      <c r="M202" s="622">
        <f t="shared" ref="M202" si="309">I202*E202</f>
        <v>753.84</v>
      </c>
      <c r="N202" s="194">
        <v>0</v>
      </c>
      <c r="O202" s="622">
        <f t="shared" ref="O202" si="310">TRUNC(N202*E202,2)</f>
        <v>0</v>
      </c>
      <c r="P202" s="194">
        <f>IFERROR(VLOOKUP(A202,#REF!,18,FALSE),)</f>
        <v>0</v>
      </c>
      <c r="Q202" s="622">
        <f t="shared" ref="Q202" si="311">S202-O202</f>
        <v>0</v>
      </c>
      <c r="R202" s="194">
        <f t="shared" ref="R202" si="312">P202+N202</f>
        <v>0</v>
      </c>
      <c r="S202" s="630">
        <f t="shared" ref="S202" si="313">TRUNC(R202*E202,2)</f>
        <v>0</v>
      </c>
      <c r="T202" s="194">
        <f t="shared" si="297"/>
        <v>4</v>
      </c>
      <c r="U202" s="630">
        <f t="shared" ref="U202:U205" si="314">T202*E202</f>
        <v>753.84</v>
      </c>
    </row>
    <row r="203" spans="1:21" ht="38.25">
      <c r="A203" s="190" t="s">
        <v>373</v>
      </c>
      <c r="B203" s="191">
        <v>160324</v>
      </c>
      <c r="C203" s="657" t="s">
        <v>546</v>
      </c>
      <c r="D203" s="192" t="s">
        <v>59</v>
      </c>
      <c r="E203" s="193">
        <v>199.91</v>
      </c>
      <c r="F203" s="194">
        <v>1</v>
      </c>
      <c r="G203" s="194"/>
      <c r="H203" s="194"/>
      <c r="I203" s="193">
        <f t="shared" ref="I203:I205" si="315">F203+G203-H203</f>
        <v>1</v>
      </c>
      <c r="J203" s="193">
        <f t="shared" ref="J203:J205" si="316">I203*E203</f>
        <v>199.91</v>
      </c>
      <c r="K203" s="193"/>
      <c r="L203" s="193"/>
      <c r="M203" s="622">
        <f t="shared" ref="M203:M205" si="317">I203*E203</f>
        <v>199.91</v>
      </c>
      <c r="N203" s="194">
        <v>0</v>
      </c>
      <c r="O203" s="622">
        <f>TRUNC(N203*E203,2)</f>
        <v>0</v>
      </c>
      <c r="P203" s="194">
        <f>IFERROR(VLOOKUP(A203,#REF!,18,FALSE),)</f>
        <v>0</v>
      </c>
      <c r="Q203" s="622">
        <f>S203-O203</f>
        <v>0</v>
      </c>
      <c r="R203" s="194">
        <f>P203+N203</f>
        <v>0</v>
      </c>
      <c r="S203" s="630">
        <f>TRUNC(R203*E203,2)</f>
        <v>0</v>
      </c>
      <c r="T203" s="194">
        <f t="shared" si="297"/>
        <v>1</v>
      </c>
      <c r="U203" s="630">
        <f t="shared" si="314"/>
        <v>199.91</v>
      </c>
    </row>
    <row r="204" spans="1:21" ht="25.5">
      <c r="A204" s="190" t="s">
        <v>374</v>
      </c>
      <c r="B204" s="191">
        <v>160317</v>
      </c>
      <c r="C204" s="657" t="s">
        <v>377</v>
      </c>
      <c r="D204" s="192" t="s">
        <v>51</v>
      </c>
      <c r="E204" s="193">
        <v>33.369999999999997</v>
      </c>
      <c r="F204" s="194">
        <v>68.900000000000006</v>
      </c>
      <c r="G204" s="194"/>
      <c r="H204" s="194"/>
      <c r="I204" s="193">
        <f t="shared" si="315"/>
        <v>68.900000000000006</v>
      </c>
      <c r="J204" s="193">
        <f t="shared" si="316"/>
        <v>2299.1930000000002</v>
      </c>
      <c r="K204" s="193"/>
      <c r="L204" s="193"/>
      <c r="M204" s="622">
        <f t="shared" si="317"/>
        <v>2299.1930000000002</v>
      </c>
      <c r="N204" s="194">
        <v>0</v>
      </c>
      <c r="O204" s="622">
        <f t="shared" ref="O204:O205" si="318">TRUNC(N204*E204,2)</f>
        <v>0</v>
      </c>
      <c r="P204" s="194">
        <f>IFERROR(VLOOKUP(A204,#REF!,18,FALSE),)</f>
        <v>0</v>
      </c>
      <c r="Q204" s="622">
        <f t="shared" ref="Q204:Q205" si="319">S204-O204</f>
        <v>0</v>
      </c>
      <c r="R204" s="194">
        <f t="shared" ref="R204:R205" si="320">P204+N204</f>
        <v>0</v>
      </c>
      <c r="S204" s="630">
        <f t="shared" ref="S204:S205" si="321">TRUNC(R204*E204,2)</f>
        <v>0</v>
      </c>
      <c r="T204" s="194">
        <f t="shared" si="297"/>
        <v>68.900000000000006</v>
      </c>
      <c r="U204" s="630">
        <f t="shared" si="314"/>
        <v>2299.1930000000002</v>
      </c>
    </row>
    <row r="205" spans="1:21" ht="25.5">
      <c r="A205" s="190" t="s">
        <v>375</v>
      </c>
      <c r="B205" s="191">
        <v>160334</v>
      </c>
      <c r="C205" s="657" t="s">
        <v>378</v>
      </c>
      <c r="D205" s="192" t="s">
        <v>59</v>
      </c>
      <c r="E205" s="193">
        <v>29.65</v>
      </c>
      <c r="F205" s="194">
        <v>2</v>
      </c>
      <c r="G205" s="194"/>
      <c r="H205" s="194"/>
      <c r="I205" s="193">
        <f t="shared" si="315"/>
        <v>2</v>
      </c>
      <c r="J205" s="193">
        <f t="shared" si="316"/>
        <v>59.3</v>
      </c>
      <c r="K205" s="193"/>
      <c r="L205" s="193"/>
      <c r="M205" s="622">
        <f t="shared" si="317"/>
        <v>59.3</v>
      </c>
      <c r="N205" s="194">
        <v>0</v>
      </c>
      <c r="O205" s="622">
        <f t="shared" si="318"/>
        <v>0</v>
      </c>
      <c r="P205" s="194">
        <f>IFERROR(VLOOKUP(A205,#REF!,18,FALSE),)</f>
        <v>0</v>
      </c>
      <c r="Q205" s="622">
        <f t="shared" si="319"/>
        <v>0</v>
      </c>
      <c r="R205" s="194">
        <f t="shared" si="320"/>
        <v>0</v>
      </c>
      <c r="S205" s="630">
        <f t="shared" si="321"/>
        <v>0</v>
      </c>
      <c r="T205" s="194">
        <f t="shared" si="297"/>
        <v>2</v>
      </c>
      <c r="U205" s="630">
        <f t="shared" si="314"/>
        <v>59.3</v>
      </c>
    </row>
    <row r="206" spans="1:21">
      <c r="A206" s="138"/>
      <c r="B206" s="132"/>
      <c r="C206" s="123"/>
      <c r="D206" s="123"/>
      <c r="E206" s="123"/>
      <c r="F206" s="123"/>
      <c r="G206" s="123"/>
      <c r="H206" s="123"/>
      <c r="I206" s="123"/>
      <c r="J206" s="123"/>
      <c r="K206" s="123"/>
      <c r="L206" s="123"/>
      <c r="M206" s="623"/>
      <c r="N206" s="123"/>
      <c r="O206" s="623"/>
      <c r="P206" s="123"/>
      <c r="Q206" s="623"/>
      <c r="R206" s="123"/>
      <c r="S206" s="631"/>
      <c r="T206" s="123"/>
      <c r="U206" s="631"/>
    </row>
    <row r="207" spans="1:21" s="213" customFormat="1">
      <c r="A207" s="210" t="s">
        <v>379</v>
      </c>
      <c r="B207" s="211"/>
      <c r="C207" s="655" t="s">
        <v>380</v>
      </c>
      <c r="D207" s="197"/>
      <c r="E207" s="198"/>
      <c r="F207" s="199"/>
      <c r="G207" s="199"/>
      <c r="H207" s="199"/>
      <c r="I207" s="200"/>
      <c r="J207" s="200">
        <f>SUBTOTAL(9,J208:J213)</f>
        <v>2061.3539999999998</v>
      </c>
      <c r="K207" s="200"/>
      <c r="L207" s="200"/>
      <c r="M207" s="620"/>
      <c r="N207" s="201"/>
      <c r="O207" s="620">
        <f>SUBTOTAL(9,O208:O213)</f>
        <v>0</v>
      </c>
      <c r="P207" s="201"/>
      <c r="Q207" s="620">
        <f>SUBTOTAL(9,Q208:Q213)</f>
        <v>0</v>
      </c>
      <c r="R207" s="200"/>
      <c r="S207" s="620">
        <f>SUBTOTAL(9,S208:S213)</f>
        <v>0</v>
      </c>
      <c r="T207" s="200">
        <f t="shared" si="297"/>
        <v>0</v>
      </c>
      <c r="U207" s="620">
        <f>SUBTOTAL(9,U208:U213)</f>
        <v>2061.3539999999998</v>
      </c>
    </row>
    <row r="208" spans="1:21" s="131" customFormat="1">
      <c r="A208" s="137" t="s">
        <v>381</v>
      </c>
      <c r="B208" s="133"/>
      <c r="C208" s="658" t="s">
        <v>380</v>
      </c>
      <c r="D208" s="126"/>
      <c r="E208" s="127"/>
      <c r="F208" s="128"/>
      <c r="G208" s="128"/>
      <c r="H208" s="128"/>
      <c r="I208" s="129"/>
      <c r="J208" s="129">
        <f>SUBTOTAL(9,J209:J213)</f>
        <v>2061.3539999999998</v>
      </c>
      <c r="K208" s="129"/>
      <c r="L208" s="129"/>
      <c r="M208" s="624"/>
      <c r="N208" s="130"/>
      <c r="O208" s="624">
        <f>SUBTOTAL(9,O209:O213)</f>
        <v>0</v>
      </c>
      <c r="P208" s="130"/>
      <c r="Q208" s="624">
        <f>SUBTOTAL(9,Q209:Q213)</f>
        <v>0</v>
      </c>
      <c r="R208" s="129"/>
      <c r="S208" s="624">
        <f>SUBTOTAL(9,S209:S213)</f>
        <v>0</v>
      </c>
      <c r="T208" s="129">
        <f t="shared" si="297"/>
        <v>0</v>
      </c>
      <c r="U208" s="624">
        <f>SUBTOTAL(9,U209:U213)</f>
        <v>2061.3539999999998</v>
      </c>
    </row>
    <row r="209" spans="1:21" ht="25.5">
      <c r="A209" s="190" t="s">
        <v>382</v>
      </c>
      <c r="B209" s="191">
        <v>160612</v>
      </c>
      <c r="C209" s="657" t="s">
        <v>387</v>
      </c>
      <c r="D209" s="192" t="s">
        <v>59</v>
      </c>
      <c r="E209" s="193">
        <v>29.96</v>
      </c>
      <c r="F209" s="194">
        <v>2</v>
      </c>
      <c r="G209" s="194"/>
      <c r="H209" s="194"/>
      <c r="I209" s="193">
        <f t="shared" ref="I209" si="322">F209+G209-H209</f>
        <v>2</v>
      </c>
      <c r="J209" s="193">
        <f t="shared" ref="J209" si="323">I209*E209</f>
        <v>59.92</v>
      </c>
      <c r="K209" s="193"/>
      <c r="L209" s="193"/>
      <c r="M209" s="622">
        <f t="shared" ref="M209" si="324">I209*E209</f>
        <v>59.92</v>
      </c>
      <c r="N209" s="194">
        <v>0</v>
      </c>
      <c r="O209" s="622">
        <f t="shared" ref="O209" si="325">TRUNC(N209*E209,2)</f>
        <v>0</v>
      </c>
      <c r="P209" s="194">
        <f>IFERROR(VLOOKUP(A209,#REF!,18,FALSE),)</f>
        <v>0</v>
      </c>
      <c r="Q209" s="622">
        <f t="shared" ref="Q209" si="326">S209-O209</f>
        <v>0</v>
      </c>
      <c r="R209" s="194">
        <f t="shared" ref="R209" si="327">P209+N209</f>
        <v>0</v>
      </c>
      <c r="S209" s="630">
        <f t="shared" ref="S209" si="328">TRUNC(R209*E209,2)</f>
        <v>0</v>
      </c>
      <c r="T209" s="194">
        <f t="shared" si="297"/>
        <v>2</v>
      </c>
      <c r="U209" s="630">
        <f t="shared" ref="U209:U213" si="329">T209*E209</f>
        <v>59.92</v>
      </c>
    </row>
    <row r="210" spans="1:21" ht="51">
      <c r="A210" s="190" t="s">
        <v>383</v>
      </c>
      <c r="B210" s="191">
        <v>160608</v>
      </c>
      <c r="C210" s="657" t="s">
        <v>388</v>
      </c>
      <c r="D210" s="192" t="s">
        <v>59</v>
      </c>
      <c r="E210" s="193">
        <v>320.60000000000002</v>
      </c>
      <c r="F210" s="194">
        <v>3</v>
      </c>
      <c r="G210" s="194"/>
      <c r="H210" s="194"/>
      <c r="I210" s="193">
        <f t="shared" ref="I210:I213" si="330">F210+G210-H210</f>
        <v>3</v>
      </c>
      <c r="J210" s="193">
        <f t="shared" ref="J210:J213" si="331">I210*E210</f>
        <v>961.80000000000007</v>
      </c>
      <c r="K210" s="193"/>
      <c r="L210" s="193"/>
      <c r="M210" s="622">
        <f t="shared" ref="M210:M213" si="332">I210*E210</f>
        <v>961.80000000000007</v>
      </c>
      <c r="N210" s="194">
        <v>0</v>
      </c>
      <c r="O210" s="622">
        <f>TRUNC(N210*E210,2)</f>
        <v>0</v>
      </c>
      <c r="P210" s="194">
        <f>IFERROR(VLOOKUP(A210,#REF!,18,FALSE),)</f>
        <v>0</v>
      </c>
      <c r="Q210" s="622">
        <f>S210-O210</f>
        <v>0</v>
      </c>
      <c r="R210" s="194">
        <f>P210+N210</f>
        <v>0</v>
      </c>
      <c r="S210" s="630">
        <f>TRUNC(R210*E210,2)</f>
        <v>0</v>
      </c>
      <c r="T210" s="194">
        <f t="shared" si="297"/>
        <v>3</v>
      </c>
      <c r="U210" s="630">
        <f t="shared" si="329"/>
        <v>961.80000000000007</v>
      </c>
    </row>
    <row r="211" spans="1:21" ht="25.5">
      <c r="A211" s="190" t="s">
        <v>384</v>
      </c>
      <c r="B211" s="191">
        <v>160613</v>
      </c>
      <c r="C211" s="657" t="s">
        <v>389</v>
      </c>
      <c r="D211" s="192" t="s">
        <v>59</v>
      </c>
      <c r="E211" s="193">
        <v>197.45</v>
      </c>
      <c r="F211" s="194">
        <v>3</v>
      </c>
      <c r="G211" s="194"/>
      <c r="H211" s="194"/>
      <c r="I211" s="193">
        <f t="shared" si="330"/>
        <v>3</v>
      </c>
      <c r="J211" s="193">
        <f t="shared" si="331"/>
        <v>592.34999999999991</v>
      </c>
      <c r="K211" s="193"/>
      <c r="L211" s="193"/>
      <c r="M211" s="622">
        <f t="shared" si="332"/>
        <v>592.34999999999991</v>
      </c>
      <c r="N211" s="194">
        <v>0</v>
      </c>
      <c r="O211" s="622">
        <f t="shared" ref="O211:O213" si="333">TRUNC(N211*E211,2)</f>
        <v>0</v>
      </c>
      <c r="P211" s="194">
        <f>IFERROR(VLOOKUP(A211,#REF!,18,FALSE),)</f>
        <v>0</v>
      </c>
      <c r="Q211" s="622">
        <f t="shared" ref="Q211:Q213" si="334">S211-O211</f>
        <v>0</v>
      </c>
      <c r="R211" s="194">
        <f t="shared" ref="R211:R213" si="335">P211+N211</f>
        <v>0</v>
      </c>
      <c r="S211" s="630">
        <f t="shared" ref="S211:S213" si="336">TRUNC(R211*E211,2)</f>
        <v>0</v>
      </c>
      <c r="T211" s="194">
        <f t="shared" si="297"/>
        <v>3</v>
      </c>
      <c r="U211" s="630">
        <f t="shared" si="329"/>
        <v>592.34999999999991</v>
      </c>
    </row>
    <row r="212" spans="1:21" ht="38.25">
      <c r="A212" s="190" t="s">
        <v>385</v>
      </c>
      <c r="B212" s="191">
        <v>160607</v>
      </c>
      <c r="C212" s="657" t="s">
        <v>390</v>
      </c>
      <c r="D212" s="192" t="s">
        <v>59</v>
      </c>
      <c r="E212" s="193">
        <v>178.48</v>
      </c>
      <c r="F212" s="194">
        <v>2</v>
      </c>
      <c r="G212" s="194"/>
      <c r="H212" s="194"/>
      <c r="I212" s="193">
        <f t="shared" si="330"/>
        <v>2</v>
      </c>
      <c r="J212" s="193">
        <f t="shared" si="331"/>
        <v>356.96</v>
      </c>
      <c r="K212" s="193"/>
      <c r="L212" s="193"/>
      <c r="M212" s="622">
        <f t="shared" si="332"/>
        <v>356.96</v>
      </c>
      <c r="N212" s="194">
        <v>0</v>
      </c>
      <c r="O212" s="622">
        <f t="shared" si="333"/>
        <v>0</v>
      </c>
      <c r="P212" s="194">
        <f>IFERROR(VLOOKUP(A212,#REF!,18,FALSE),)</f>
        <v>0</v>
      </c>
      <c r="Q212" s="622">
        <f t="shared" si="334"/>
        <v>0</v>
      </c>
      <c r="R212" s="194">
        <f t="shared" si="335"/>
        <v>0</v>
      </c>
      <c r="S212" s="630">
        <f t="shared" si="336"/>
        <v>0</v>
      </c>
      <c r="T212" s="194">
        <f t="shared" si="297"/>
        <v>2</v>
      </c>
      <c r="U212" s="630">
        <f t="shared" si="329"/>
        <v>356.96</v>
      </c>
    </row>
    <row r="213" spans="1:21" ht="38.25">
      <c r="A213" s="190" t="s">
        <v>386</v>
      </c>
      <c r="B213" s="191">
        <v>190605</v>
      </c>
      <c r="C213" s="657" t="s">
        <v>544</v>
      </c>
      <c r="D213" s="192" t="s">
        <v>57</v>
      </c>
      <c r="E213" s="193">
        <v>50.18</v>
      </c>
      <c r="F213" s="194">
        <v>1.8</v>
      </c>
      <c r="G213" s="194"/>
      <c r="H213" s="194"/>
      <c r="I213" s="193">
        <f t="shared" si="330"/>
        <v>1.8</v>
      </c>
      <c r="J213" s="193">
        <f t="shared" si="331"/>
        <v>90.323999999999998</v>
      </c>
      <c r="K213" s="193"/>
      <c r="L213" s="193"/>
      <c r="M213" s="622">
        <f t="shared" si="332"/>
        <v>90.323999999999998</v>
      </c>
      <c r="N213" s="194">
        <v>0</v>
      </c>
      <c r="O213" s="622">
        <f t="shared" si="333"/>
        <v>0</v>
      </c>
      <c r="P213" s="194">
        <f>IFERROR(VLOOKUP(A213,#REF!,18,FALSE),)</f>
        <v>0</v>
      </c>
      <c r="Q213" s="622">
        <f t="shared" si="334"/>
        <v>0</v>
      </c>
      <c r="R213" s="194">
        <f t="shared" si="335"/>
        <v>0</v>
      </c>
      <c r="S213" s="630">
        <f t="shared" si="336"/>
        <v>0</v>
      </c>
      <c r="T213" s="194">
        <f t="shared" si="297"/>
        <v>1.8</v>
      </c>
      <c r="U213" s="630">
        <f t="shared" si="329"/>
        <v>90.323999999999998</v>
      </c>
    </row>
    <row r="214" spans="1:21">
      <c r="A214" s="138"/>
      <c r="B214" s="132"/>
      <c r="C214" s="123"/>
      <c r="D214" s="123"/>
      <c r="E214" s="123"/>
      <c r="F214" s="123"/>
      <c r="G214" s="123"/>
      <c r="H214" s="123"/>
      <c r="I214" s="123"/>
      <c r="J214" s="123"/>
      <c r="K214" s="123"/>
      <c r="L214" s="123"/>
      <c r="M214" s="623"/>
      <c r="N214" s="123"/>
      <c r="O214" s="623"/>
      <c r="P214" s="123"/>
      <c r="Q214" s="623"/>
      <c r="R214" s="123"/>
      <c r="S214" s="631"/>
      <c r="T214" s="123">
        <f t="shared" si="297"/>
        <v>0</v>
      </c>
      <c r="U214" s="631">
        <f t="shared" ref="U214" si="337">I214-S214</f>
        <v>0</v>
      </c>
    </row>
    <row r="215" spans="1:21" s="654" customFormat="1">
      <c r="A215" s="202">
        <v>3</v>
      </c>
      <c r="B215" s="653" t="s">
        <v>863</v>
      </c>
      <c r="C215" s="654" t="s">
        <v>992</v>
      </c>
      <c r="D215" s="204"/>
      <c r="E215" s="205"/>
      <c r="F215" s="206"/>
      <c r="G215" s="206"/>
      <c r="H215" s="206"/>
      <c r="I215" s="207"/>
      <c r="J215" s="207">
        <f>SUBTOTAL(9,J216:J387)</f>
        <v>1365196.3011</v>
      </c>
      <c r="K215" s="207"/>
      <c r="L215" s="207"/>
      <c r="M215" s="619"/>
      <c r="N215" s="208"/>
      <c r="O215" s="619">
        <f>SUBTOTAL(9,O216:O387)</f>
        <v>1642654.3620000002</v>
      </c>
      <c r="P215" s="208"/>
      <c r="Q215" s="619">
        <f>SUBTOTAL(9,Q216:Q387)</f>
        <v>356.96</v>
      </c>
      <c r="R215" s="207"/>
      <c r="S215" s="619">
        <f>SUBTOTAL(9,S216:S387)</f>
        <v>1630923.442</v>
      </c>
      <c r="T215" s="207">
        <f>F215-R215</f>
        <v>0</v>
      </c>
      <c r="U215" s="619">
        <f>SUBTOTAL(9,U216:U387)</f>
        <v>7893.3179999999993</v>
      </c>
    </row>
    <row r="216" spans="1:21" s="213" customFormat="1">
      <c r="A216" s="210" t="s">
        <v>0</v>
      </c>
      <c r="B216" s="211"/>
      <c r="C216" s="655" t="s">
        <v>65</v>
      </c>
      <c r="D216" s="197"/>
      <c r="E216" s="198"/>
      <c r="F216" s="199"/>
      <c r="G216" s="199"/>
      <c r="H216" s="199"/>
      <c r="I216" s="200"/>
      <c r="J216" s="200">
        <f>SUBTOTAL(9,J217:J222)</f>
        <v>9979.0712000000003</v>
      </c>
      <c r="K216" s="200"/>
      <c r="L216" s="200"/>
      <c r="M216" s="620"/>
      <c r="N216" s="201"/>
      <c r="O216" s="620">
        <f>SUBTOTAL(9,O217:O222)</f>
        <v>13613.91</v>
      </c>
      <c r="P216" s="201"/>
      <c r="Q216" s="620">
        <f>SUBTOTAL(9,Q217:Q222)</f>
        <v>0</v>
      </c>
      <c r="R216" s="200"/>
      <c r="S216" s="620">
        <f>SUBTOTAL(9,S217:S222)</f>
        <v>7690.0700000000006</v>
      </c>
      <c r="T216" s="200">
        <f t="shared" ref="T216:T281" si="338">F216-R216</f>
        <v>0</v>
      </c>
      <c r="U216" s="620">
        <f>SUBTOTAL(9,U217:U222)</f>
        <v>0</v>
      </c>
    </row>
    <row r="217" spans="1:21" s="131" customFormat="1">
      <c r="A217" s="137" t="s">
        <v>392</v>
      </c>
      <c r="B217" s="133"/>
      <c r="C217" s="658" t="s">
        <v>101</v>
      </c>
      <c r="D217" s="126"/>
      <c r="E217" s="127"/>
      <c r="F217" s="128"/>
      <c r="G217" s="128"/>
      <c r="H217" s="128"/>
      <c r="I217" s="129"/>
      <c r="J217" s="129">
        <f>SUBTOTAL(9,J218:J218)</f>
        <v>1783.68</v>
      </c>
      <c r="K217" s="129"/>
      <c r="L217" s="129"/>
      <c r="M217" s="624"/>
      <c r="N217" s="130"/>
      <c r="O217" s="624">
        <f>SUBTOTAL(9,O218:O218)</f>
        <v>1783.68</v>
      </c>
      <c r="P217" s="130"/>
      <c r="Q217" s="624">
        <f>SUBTOTAL(9,Q218:Q218)</f>
        <v>0</v>
      </c>
      <c r="R217" s="129"/>
      <c r="S217" s="624">
        <f>SUBTOTAL(9,S218:S218)</f>
        <v>1783.68</v>
      </c>
      <c r="T217" s="129">
        <f t="shared" si="338"/>
        <v>0</v>
      </c>
      <c r="U217" s="624">
        <f>SUBTOTAL(9,U218:U218)</f>
        <v>0</v>
      </c>
    </row>
    <row r="218" spans="1:21">
      <c r="A218" s="190" t="s">
        <v>393</v>
      </c>
      <c r="B218" s="191">
        <v>20305</v>
      </c>
      <c r="C218" s="657" t="s">
        <v>103</v>
      </c>
      <c r="D218" s="192" t="s">
        <v>57</v>
      </c>
      <c r="E218" s="193">
        <v>222.96</v>
      </c>
      <c r="F218" s="194">
        <v>8</v>
      </c>
      <c r="G218" s="194"/>
      <c r="H218" s="194"/>
      <c r="I218" s="193">
        <f t="shared" ref="I218" si="339">F218+G218-H218</f>
        <v>8</v>
      </c>
      <c r="J218" s="193">
        <f t="shared" ref="J218" si="340">I218*E218</f>
        <v>1783.68</v>
      </c>
      <c r="K218" s="193"/>
      <c r="L218" s="193"/>
      <c r="M218" s="622">
        <f t="shared" ref="M218" si="341">I218*E218</f>
        <v>1783.68</v>
      </c>
      <c r="N218" s="195">
        <v>8</v>
      </c>
      <c r="O218" s="622">
        <f>TRUNC(N218*E218,2)</f>
        <v>1783.68</v>
      </c>
      <c r="P218" s="194">
        <v>0</v>
      </c>
      <c r="Q218" s="622">
        <f t="shared" ref="Q218" si="342">S218-O218</f>
        <v>0</v>
      </c>
      <c r="R218" s="194">
        <f>P218+N218</f>
        <v>8</v>
      </c>
      <c r="S218" s="630">
        <f>TRUNC(R218*E218,2)</f>
        <v>1783.68</v>
      </c>
      <c r="T218" s="194">
        <f t="shared" si="338"/>
        <v>0</v>
      </c>
      <c r="U218" s="630">
        <f t="shared" ref="U218" si="343">T218*E218</f>
        <v>0</v>
      </c>
    </row>
    <row r="219" spans="1:21">
      <c r="A219" s="138"/>
      <c r="B219" s="132"/>
      <c r="C219" s="123"/>
      <c r="D219" s="123"/>
      <c r="E219" s="123"/>
      <c r="F219" s="123"/>
      <c r="G219" s="123"/>
      <c r="H219" s="123"/>
      <c r="I219" s="123"/>
      <c r="J219" s="123"/>
      <c r="K219" s="123"/>
      <c r="L219" s="123"/>
      <c r="M219" s="623"/>
      <c r="N219" s="123"/>
      <c r="O219" s="623"/>
      <c r="P219" s="123"/>
      <c r="Q219" s="623"/>
      <c r="R219" s="123"/>
      <c r="S219" s="631"/>
      <c r="T219" s="123"/>
      <c r="U219" s="631"/>
    </row>
    <row r="220" spans="1:21" s="131" customFormat="1">
      <c r="A220" s="137" t="s">
        <v>394</v>
      </c>
      <c r="B220" s="133"/>
      <c r="C220" s="658" t="s">
        <v>105</v>
      </c>
      <c r="D220" s="126"/>
      <c r="E220" s="127"/>
      <c r="F220" s="128"/>
      <c r="G220" s="128"/>
      <c r="H220" s="128"/>
      <c r="I220" s="129"/>
      <c r="J220" s="129">
        <f>SUBTOTAL(9,J221:J222)</f>
        <v>8195.3912</v>
      </c>
      <c r="K220" s="129"/>
      <c r="L220" s="129"/>
      <c r="M220" s="624"/>
      <c r="N220" s="130"/>
      <c r="O220" s="624">
        <f>SUBTOTAL(9,O221:O222)</f>
        <v>11830.23</v>
      </c>
      <c r="P220" s="130"/>
      <c r="Q220" s="624">
        <f>SUBTOTAL(9,Q221:Q222)</f>
        <v>0</v>
      </c>
      <c r="R220" s="129"/>
      <c r="S220" s="624">
        <f>SUBTOTAL(9,S221:S222)</f>
        <v>5906.39</v>
      </c>
      <c r="T220" s="129">
        <f t="shared" si="338"/>
        <v>0</v>
      </c>
      <c r="U220" s="624">
        <f>SUBTOTAL(9,U221:U222)</f>
        <v>0</v>
      </c>
    </row>
    <row r="221" spans="1:21">
      <c r="A221" s="190" t="s">
        <v>395</v>
      </c>
      <c r="B221" s="191">
        <v>10201</v>
      </c>
      <c r="C221" s="657" t="s">
        <v>397</v>
      </c>
      <c r="D221" s="192" t="s">
        <v>57</v>
      </c>
      <c r="E221" s="193">
        <v>22.08</v>
      </c>
      <c r="F221" s="194">
        <v>268.29000000000002</v>
      </c>
      <c r="G221" s="194"/>
      <c r="H221" s="194">
        <f>F221</f>
        <v>268.29000000000002</v>
      </c>
      <c r="I221" s="193">
        <f t="shared" ref="I221" si="344">F221+G221-H221</f>
        <v>0</v>
      </c>
      <c r="J221" s="193">
        <f>F221*E221</f>
        <v>5923.8432000000003</v>
      </c>
      <c r="K221" s="193"/>
      <c r="L221" s="193">
        <f>H221*E221</f>
        <v>5923.8432000000003</v>
      </c>
      <c r="M221" s="622">
        <f>I221*E221</f>
        <v>0</v>
      </c>
      <c r="N221" s="194">
        <v>268.29000000000002</v>
      </c>
      <c r="O221" s="622">
        <f>TRUNC(N221*E221,2)</f>
        <v>5923.84</v>
      </c>
      <c r="P221" s="194">
        <v>0</v>
      </c>
      <c r="Q221" s="622">
        <v>0</v>
      </c>
      <c r="R221" s="194">
        <v>0</v>
      </c>
      <c r="S221" s="630">
        <f>TRUNC(R221*E221,2)</f>
        <v>0</v>
      </c>
      <c r="T221" s="194">
        <v>0</v>
      </c>
      <c r="U221" s="630">
        <v>0</v>
      </c>
    </row>
    <row r="222" spans="1:21" ht="38.25">
      <c r="A222" s="190" t="s">
        <v>396</v>
      </c>
      <c r="B222" s="191">
        <v>30304</v>
      </c>
      <c r="C222" s="657" t="s">
        <v>109</v>
      </c>
      <c r="D222" s="192" t="s">
        <v>58</v>
      </c>
      <c r="E222" s="193">
        <v>56.45</v>
      </c>
      <c r="F222" s="194">
        <v>40.24</v>
      </c>
      <c r="G222" s="194">
        <f>REPLANILHAMENTO!H192</f>
        <v>64.39</v>
      </c>
      <c r="H222" s="194"/>
      <c r="I222" s="193">
        <f>F222+G222</f>
        <v>104.63</v>
      </c>
      <c r="J222" s="193">
        <f>F222*E222</f>
        <v>2271.5480000000002</v>
      </c>
      <c r="K222" s="193">
        <f>E222*G222</f>
        <v>3634.8155000000002</v>
      </c>
      <c r="L222" s="193"/>
      <c r="M222" s="622">
        <f>I222*E222</f>
        <v>5906.3635000000004</v>
      </c>
      <c r="N222" s="194">
        <f>'3.1.2.2'!R27</f>
        <v>104.63055000000001</v>
      </c>
      <c r="O222" s="622">
        <f t="shared" ref="O222" si="345">TRUNC(N222*E222,2)</f>
        <v>5906.39</v>
      </c>
      <c r="P222" s="194">
        <f>'3.1.2.2'!R28</f>
        <v>0</v>
      </c>
      <c r="Q222" s="622">
        <f>P222*E222</f>
        <v>0</v>
      </c>
      <c r="R222" s="194">
        <f>P222+N222</f>
        <v>104.63055000000001</v>
      </c>
      <c r="S222" s="630">
        <f t="shared" ref="S222" si="346">TRUNC(R222*E222,2)</f>
        <v>5906.39</v>
      </c>
      <c r="T222" s="194">
        <v>0</v>
      </c>
      <c r="U222" s="630">
        <v>0</v>
      </c>
    </row>
    <row r="223" spans="1:21">
      <c r="A223" s="190" t="s">
        <v>1264</v>
      </c>
      <c r="B223" s="191">
        <f>REPLANILHAMENTO!B191</f>
        <v>10219</v>
      </c>
      <c r="C223" s="657" t="str">
        <f>REPLANILHAMENTO!D191</f>
        <v xml:space="preserve">Demolição manual de concreto armado </v>
      </c>
      <c r="D223" s="192" t="str">
        <f>REPLANILHAMENTO!E191</f>
        <v>m3</v>
      </c>
      <c r="E223" s="193">
        <f>REPLANILHAMENTO!F191</f>
        <v>281.24374947000001</v>
      </c>
      <c r="F223" s="194">
        <v>0</v>
      </c>
      <c r="G223" s="194">
        <f>REPLANILHAMENTO!H191</f>
        <v>40.24</v>
      </c>
      <c r="H223" s="194"/>
      <c r="I223" s="193">
        <f>F223+G223</f>
        <v>40.24</v>
      </c>
      <c r="J223" s="193">
        <f>F223*E223</f>
        <v>0</v>
      </c>
      <c r="K223" s="193">
        <f>G223*E223</f>
        <v>11317.248478672802</v>
      </c>
      <c r="L223" s="193"/>
      <c r="M223" s="622">
        <f>I223*E223</f>
        <v>11317.248478672802</v>
      </c>
      <c r="N223" s="194">
        <f>'3.1.2.3'!R23</f>
        <v>40.243500000000004</v>
      </c>
      <c r="O223" s="622">
        <v>0</v>
      </c>
      <c r="P223" s="194">
        <f>'3.1.2.3'!R24</f>
        <v>0</v>
      </c>
      <c r="Q223" s="622">
        <f>P223*E223</f>
        <v>0</v>
      </c>
      <c r="R223" s="194">
        <f>P223</f>
        <v>0</v>
      </c>
      <c r="S223" s="630">
        <f>Q223</f>
        <v>0</v>
      </c>
      <c r="T223" s="194">
        <v>0</v>
      </c>
      <c r="U223" s="630">
        <v>0</v>
      </c>
    </row>
    <row r="224" spans="1:21">
      <c r="A224" s="138"/>
      <c r="B224" s="132"/>
      <c r="C224" s="123"/>
      <c r="D224" s="123"/>
      <c r="E224" s="123"/>
      <c r="F224" s="123"/>
      <c r="G224" s="123"/>
      <c r="H224" s="123"/>
      <c r="I224" s="123"/>
      <c r="J224" s="123"/>
      <c r="K224" s="123"/>
      <c r="L224" s="123"/>
      <c r="M224" s="623"/>
      <c r="N224" s="123"/>
      <c r="O224" s="623"/>
      <c r="P224" s="123"/>
      <c r="Q224" s="623"/>
      <c r="R224" s="123"/>
      <c r="S224" s="631"/>
      <c r="T224" s="123"/>
      <c r="U224" s="631"/>
    </row>
    <row r="225" spans="1:21" s="213" customFormat="1">
      <c r="A225" s="210" t="s">
        <v>398</v>
      </c>
      <c r="B225" s="211"/>
      <c r="C225" s="655" t="s">
        <v>56</v>
      </c>
      <c r="D225" s="197"/>
      <c r="E225" s="198"/>
      <c r="F225" s="199"/>
      <c r="G225" s="199"/>
      <c r="H225" s="199"/>
      <c r="I225" s="200"/>
      <c r="J225" s="200">
        <f>SUBTOTAL(9,J226:J228)</f>
        <v>23153.894400000005</v>
      </c>
      <c r="K225" s="200"/>
      <c r="L225" s="200"/>
      <c r="M225" s="620"/>
      <c r="N225" s="201"/>
      <c r="O225" s="620">
        <f>SUBTOTAL(9,O226:O228)</f>
        <v>23153.88</v>
      </c>
      <c r="P225" s="201"/>
      <c r="Q225" s="620">
        <f>SUBTOTAL(9,Q226:Q228)</f>
        <v>0</v>
      </c>
      <c r="R225" s="200"/>
      <c r="S225" s="620">
        <f>SUBTOTAL(9,S226:S228)</f>
        <v>23153.88</v>
      </c>
      <c r="T225" s="200">
        <f t="shared" si="338"/>
        <v>0</v>
      </c>
      <c r="U225" s="620">
        <f>SUBTOTAL(9,U226:U228)</f>
        <v>0</v>
      </c>
    </row>
    <row r="226" spans="1:21" s="131" customFormat="1">
      <c r="A226" s="137" t="s">
        <v>399</v>
      </c>
      <c r="B226" s="133"/>
      <c r="C226" s="658" t="s">
        <v>111</v>
      </c>
      <c r="D226" s="126"/>
      <c r="E226" s="127"/>
      <c r="F226" s="128"/>
      <c r="G226" s="128"/>
      <c r="H226" s="128"/>
      <c r="I226" s="129"/>
      <c r="J226" s="129">
        <f>SUBTOTAL(9,J227:J228)</f>
        <v>23153.894400000005</v>
      </c>
      <c r="K226" s="129"/>
      <c r="L226" s="129"/>
      <c r="M226" s="624"/>
      <c r="N226" s="130"/>
      <c r="O226" s="624">
        <f>SUBTOTAL(9,O227:O228)</f>
        <v>23153.88</v>
      </c>
      <c r="P226" s="130"/>
      <c r="Q226" s="624">
        <f>SUBTOTAL(9,Q227:Q228)</f>
        <v>0</v>
      </c>
      <c r="R226" s="129"/>
      <c r="S226" s="624">
        <f>SUBTOTAL(9,S227:S228)</f>
        <v>23153.88</v>
      </c>
      <c r="T226" s="129">
        <f t="shared" si="338"/>
        <v>0</v>
      </c>
      <c r="U226" s="624">
        <f>SUBTOTAL(9,U227:U228)</f>
        <v>0</v>
      </c>
    </row>
    <row r="227" spans="1:21">
      <c r="A227" s="190" t="s">
        <v>400</v>
      </c>
      <c r="B227" s="191">
        <v>30103</v>
      </c>
      <c r="C227" s="657" t="s">
        <v>116</v>
      </c>
      <c r="D227" s="192" t="s">
        <v>58</v>
      </c>
      <c r="E227" s="193">
        <v>9.81</v>
      </c>
      <c r="F227" s="194">
        <v>349.44</v>
      </c>
      <c r="G227" s="194"/>
      <c r="H227" s="194"/>
      <c r="I227" s="193">
        <f t="shared" ref="I227" si="347">F227+G227-H227</f>
        <v>349.44</v>
      </c>
      <c r="J227" s="193">
        <f t="shared" ref="J227" si="348">I227*E227</f>
        <v>3428.0064000000002</v>
      </c>
      <c r="K227" s="193"/>
      <c r="L227" s="193"/>
      <c r="M227" s="622">
        <f t="shared" ref="M227" si="349">I227*E227</f>
        <v>3428.0064000000002</v>
      </c>
      <c r="N227" s="194">
        <f>144+205.44</f>
        <v>349.44</v>
      </c>
      <c r="O227" s="622">
        <f t="shared" ref="O227" si="350">TRUNC(N227*E227,2)</f>
        <v>3428</v>
      </c>
      <c r="P227" s="194">
        <v>0</v>
      </c>
      <c r="Q227" s="622">
        <f t="shared" ref="Q227" si="351">S227-O227</f>
        <v>0</v>
      </c>
      <c r="R227" s="194">
        <f t="shared" ref="R227" si="352">P227+N227</f>
        <v>349.44</v>
      </c>
      <c r="S227" s="630">
        <f t="shared" ref="S227" si="353">TRUNC(R227*E227,2)</f>
        <v>3428</v>
      </c>
      <c r="T227" s="194">
        <f t="shared" si="338"/>
        <v>0</v>
      </c>
      <c r="U227" s="630">
        <f t="shared" ref="U227:U228" si="354">T227*E227</f>
        <v>0</v>
      </c>
    </row>
    <row r="228" spans="1:21" ht="38.25">
      <c r="A228" s="190" t="s">
        <v>401</v>
      </c>
      <c r="B228" s="191">
        <v>30304</v>
      </c>
      <c r="C228" s="657" t="s">
        <v>109</v>
      </c>
      <c r="D228" s="192" t="s">
        <v>58</v>
      </c>
      <c r="E228" s="193">
        <v>56.45</v>
      </c>
      <c r="F228" s="194">
        <v>349.44</v>
      </c>
      <c r="G228" s="194"/>
      <c r="H228" s="194"/>
      <c r="I228" s="193">
        <f t="shared" ref="I228" si="355">F228+G228-H228</f>
        <v>349.44</v>
      </c>
      <c r="J228" s="193">
        <f t="shared" ref="J228" si="356">I228*E228</f>
        <v>19725.888000000003</v>
      </c>
      <c r="K228" s="193"/>
      <c r="L228" s="193"/>
      <c r="M228" s="622">
        <f t="shared" ref="M228" si="357">I228*E228</f>
        <v>19725.888000000003</v>
      </c>
      <c r="N228" s="194">
        <f>144+205.44</f>
        <v>349.44</v>
      </c>
      <c r="O228" s="622">
        <f>TRUNC(N228*E228,2)</f>
        <v>19725.88</v>
      </c>
      <c r="P228" s="194">
        <v>0</v>
      </c>
      <c r="Q228" s="622">
        <f>S228-O228</f>
        <v>0</v>
      </c>
      <c r="R228" s="194">
        <f>P228+N228</f>
        <v>349.44</v>
      </c>
      <c r="S228" s="630">
        <f>TRUNC(R228*E228,2)</f>
        <v>19725.88</v>
      </c>
      <c r="T228" s="194">
        <f t="shared" si="338"/>
        <v>0</v>
      </c>
      <c r="U228" s="630">
        <f t="shared" si="354"/>
        <v>0</v>
      </c>
    </row>
    <row r="229" spans="1:21" s="213" customFormat="1">
      <c r="A229" s="210" t="s">
        <v>403</v>
      </c>
      <c r="B229" s="211"/>
      <c r="C229" s="655" t="s">
        <v>119</v>
      </c>
      <c r="D229" s="197"/>
      <c r="E229" s="198"/>
      <c r="F229" s="199"/>
      <c r="G229" s="199"/>
      <c r="H229" s="199"/>
      <c r="I229" s="200"/>
      <c r="J229" s="200">
        <f>SUBTOTAL(9,J230:J302)</f>
        <v>369381.32020000013</v>
      </c>
      <c r="K229" s="200"/>
      <c r="L229" s="200"/>
      <c r="M229" s="620"/>
      <c r="N229" s="201"/>
      <c r="O229" s="620">
        <f>SUBTOTAL(9,O230:O302)</f>
        <v>332158.68000000005</v>
      </c>
      <c r="P229" s="201"/>
      <c r="Q229" s="620">
        <f>SUBTOTAL(9,Q230:Q302)</f>
        <v>0</v>
      </c>
      <c r="R229" s="200"/>
      <c r="S229" s="620">
        <f>SUBTOTAL(9,S230:S302)</f>
        <v>325994.64000000013</v>
      </c>
      <c r="T229" s="200">
        <f t="shared" si="338"/>
        <v>0</v>
      </c>
      <c r="U229" s="620">
        <f>SUBTOTAL(9,U230:U302)</f>
        <v>2916.6479999999988</v>
      </c>
    </row>
    <row r="230" spans="1:21" s="131" customFormat="1">
      <c r="A230" s="137" t="s">
        <v>404</v>
      </c>
      <c r="B230" s="133"/>
      <c r="C230" s="658" t="s">
        <v>98</v>
      </c>
      <c r="D230" s="126"/>
      <c r="E230" s="127"/>
      <c r="F230" s="128"/>
      <c r="G230" s="128"/>
      <c r="H230" s="128"/>
      <c r="I230" s="129"/>
      <c r="J230" s="129">
        <f>SUBTOTAL(9,J231)</f>
        <v>1544.921</v>
      </c>
      <c r="K230" s="129"/>
      <c r="L230" s="129"/>
      <c r="M230" s="624"/>
      <c r="N230" s="130"/>
      <c r="O230" s="624">
        <f>SUBTOTAL(9,O231)</f>
        <v>1544.92</v>
      </c>
      <c r="P230" s="130"/>
      <c r="Q230" s="624">
        <f>SUBTOTAL(9,Q231)</f>
        <v>0</v>
      </c>
      <c r="R230" s="129"/>
      <c r="S230" s="624">
        <f>SUBTOTAL(9,S231:S232)</f>
        <v>1544.92</v>
      </c>
      <c r="T230" s="129">
        <f t="shared" si="338"/>
        <v>0</v>
      </c>
      <c r="U230" s="624">
        <f>SUBTOTAL(9,U231)</f>
        <v>0</v>
      </c>
    </row>
    <row r="231" spans="1:21">
      <c r="A231" s="190" t="s">
        <v>402</v>
      </c>
      <c r="B231" s="191">
        <v>10501</v>
      </c>
      <c r="C231" s="657" t="s">
        <v>122</v>
      </c>
      <c r="D231" s="192" t="s">
        <v>57</v>
      </c>
      <c r="E231" s="193">
        <v>7.69</v>
      </c>
      <c r="F231" s="194">
        <v>200.9</v>
      </c>
      <c r="G231" s="194"/>
      <c r="H231" s="194"/>
      <c r="I231" s="193">
        <f t="shared" ref="I231" si="358">F231+G231-H231</f>
        <v>200.9</v>
      </c>
      <c r="J231" s="193">
        <f t="shared" ref="J231" si="359">I231*E231</f>
        <v>1544.921</v>
      </c>
      <c r="K231" s="193"/>
      <c r="L231" s="193"/>
      <c r="M231" s="622">
        <f t="shared" ref="M231" si="360">I231*E231</f>
        <v>1544.921</v>
      </c>
      <c r="N231" s="194">
        <v>200.9</v>
      </c>
      <c r="O231" s="622">
        <f t="shared" ref="O231" si="361">TRUNC(N231*E231,2)</f>
        <v>1544.92</v>
      </c>
      <c r="P231" s="194">
        <v>0</v>
      </c>
      <c r="Q231" s="622">
        <f t="shared" ref="Q231" si="362">S231-O231</f>
        <v>0</v>
      </c>
      <c r="R231" s="194">
        <f t="shared" ref="R231" si="363">P231+N231</f>
        <v>200.9</v>
      </c>
      <c r="S231" s="630">
        <f t="shared" ref="S231" si="364">TRUNC(R231*E231,2)</f>
        <v>1544.92</v>
      </c>
      <c r="T231" s="194">
        <f t="shared" si="338"/>
        <v>0</v>
      </c>
      <c r="U231" s="630">
        <f t="shared" ref="U231" si="365">T231*E231</f>
        <v>0</v>
      </c>
    </row>
    <row r="232" spans="1:21">
      <c r="A232" s="190" t="s">
        <v>1165</v>
      </c>
      <c r="B232" s="191" t="str">
        <f>REPLANILHAMENTO!B200</f>
        <v>020346</v>
      </c>
      <c r="C232" s="657" t="str">
        <f>REPLANILHAMENTO!D200</f>
        <v>Locação de andaime metálico para fachada - tipo torre (aluguel mensal)</v>
      </c>
      <c r="D232" s="192" t="s">
        <v>51</v>
      </c>
      <c r="E232" s="193">
        <v>8.0299999999999994</v>
      </c>
      <c r="F232" s="194">
        <v>0</v>
      </c>
      <c r="G232" s="194">
        <f>REPLANILHAMENTO!H200</f>
        <v>109.2</v>
      </c>
      <c r="H232" s="194"/>
      <c r="I232" s="193">
        <f>F232+G232</f>
        <v>109.2</v>
      </c>
      <c r="J232" s="193">
        <f>F232*E232</f>
        <v>0</v>
      </c>
      <c r="K232" s="193">
        <f>G232*E232</f>
        <v>876.87599999999998</v>
      </c>
      <c r="L232" s="193"/>
      <c r="M232" s="622">
        <f>I232*E232</f>
        <v>876.87599999999998</v>
      </c>
      <c r="N232" s="194">
        <f>'3.3.1.2'!R20</f>
        <v>109.2</v>
      </c>
      <c r="O232" s="622"/>
      <c r="P232" s="194">
        <f>'3.3.1.2'!R21</f>
        <v>0</v>
      </c>
      <c r="Q232" s="622">
        <f>P232*E232</f>
        <v>0</v>
      </c>
      <c r="R232" s="194">
        <f>P232</f>
        <v>0</v>
      </c>
      <c r="S232" s="630">
        <f>Q232</f>
        <v>0</v>
      </c>
      <c r="T232" s="194">
        <v>0</v>
      </c>
      <c r="U232" s="630">
        <v>0</v>
      </c>
    </row>
    <row r="233" spans="1:21">
      <c r="A233" s="138"/>
      <c r="B233" s="132"/>
      <c r="C233" s="123"/>
      <c r="D233" s="123"/>
      <c r="E233" s="123"/>
      <c r="F233" s="123"/>
      <c r="G233" s="123"/>
      <c r="H233" s="123"/>
      <c r="I233" s="123"/>
      <c r="J233" s="123"/>
      <c r="K233" s="123"/>
      <c r="L233" s="123"/>
      <c r="M233" s="623"/>
      <c r="N233" s="123"/>
      <c r="O233" s="623"/>
      <c r="P233" s="123"/>
      <c r="Q233" s="623"/>
      <c r="R233" s="123"/>
      <c r="S233" s="631"/>
      <c r="T233" s="123"/>
      <c r="U233" s="631"/>
    </row>
    <row r="234" spans="1:21" s="131" customFormat="1">
      <c r="A234" s="137" t="s">
        <v>405</v>
      </c>
      <c r="B234" s="133"/>
      <c r="C234" s="658" t="s">
        <v>124</v>
      </c>
      <c r="D234" s="126"/>
      <c r="E234" s="127"/>
      <c r="F234" s="128"/>
      <c r="G234" s="128"/>
      <c r="H234" s="128"/>
      <c r="I234" s="129"/>
      <c r="J234" s="129">
        <f>SUBTOTAL(9,J235:J245)</f>
        <v>121328.59760000001</v>
      </c>
      <c r="K234" s="129"/>
      <c r="L234" s="129"/>
      <c r="M234" s="624"/>
      <c r="N234" s="130"/>
      <c r="O234" s="624">
        <f>SUBTOTAL(9,O235:O245)</f>
        <v>77942.05</v>
      </c>
      <c r="P234" s="130"/>
      <c r="Q234" s="624">
        <f>SUBTOTAL(9,Q235:Q245)</f>
        <v>0</v>
      </c>
      <c r="R234" s="129"/>
      <c r="S234" s="624">
        <f>SUBTOTAL(9,S235:S245)</f>
        <v>77942.05</v>
      </c>
      <c r="T234" s="129">
        <f t="shared" si="338"/>
        <v>0</v>
      </c>
      <c r="U234" s="624">
        <f>SUBTOTAL(9,U235:U245)</f>
        <v>2916.6479999999988</v>
      </c>
    </row>
    <row r="235" spans="1:21" ht="25.5">
      <c r="A235" s="190" t="s">
        <v>406</v>
      </c>
      <c r="B235" s="191" t="s">
        <v>136</v>
      </c>
      <c r="C235" s="657" t="s">
        <v>141</v>
      </c>
      <c r="D235" s="192" t="s">
        <v>60</v>
      </c>
      <c r="E235" s="193">
        <v>462.96</v>
      </c>
      <c r="F235" s="194">
        <v>85</v>
      </c>
      <c r="G235" s="194"/>
      <c r="H235" s="194"/>
      <c r="I235" s="193">
        <f t="shared" ref="I235" si="366">F235+G235-H235</f>
        <v>85</v>
      </c>
      <c r="J235" s="193">
        <f t="shared" ref="J235" si="367">I235*E235</f>
        <v>39351.599999999999</v>
      </c>
      <c r="K235" s="193"/>
      <c r="L235" s="193"/>
      <c r="M235" s="622">
        <f t="shared" ref="M235" si="368">I235*E235</f>
        <v>39351.599999999999</v>
      </c>
      <c r="N235" s="194">
        <f>'3.3.2.1'!R34</f>
        <v>78.7</v>
      </c>
      <c r="O235" s="622">
        <f t="shared" ref="O235" si="369">TRUNC(N235*E235,2)</f>
        <v>36434.949999999997</v>
      </c>
      <c r="P235" s="560">
        <f>IFERROR(VLOOKUP(A235,'3.3.2.1'!A:U,18,FALSE),)</f>
        <v>0</v>
      </c>
      <c r="Q235" s="622">
        <f t="shared" ref="Q235" si="370">S235-O235</f>
        <v>0</v>
      </c>
      <c r="R235" s="194">
        <f>P235+N235</f>
        <v>78.7</v>
      </c>
      <c r="S235" s="630">
        <f t="shared" ref="S235" si="371">TRUNC(R235*E235,2)</f>
        <v>36434.949999999997</v>
      </c>
      <c r="T235" s="194">
        <f t="shared" si="338"/>
        <v>6.2999999999999972</v>
      </c>
      <c r="U235" s="630">
        <f t="shared" ref="U235" si="372">T235*E235</f>
        <v>2916.6479999999988</v>
      </c>
    </row>
    <row r="236" spans="1:21" s="659" customFormat="1">
      <c r="A236" s="555" t="s">
        <v>407</v>
      </c>
      <c r="B236" s="556" t="s">
        <v>137</v>
      </c>
      <c r="C236" s="660" t="s">
        <v>142</v>
      </c>
      <c r="D236" s="557" t="s">
        <v>49</v>
      </c>
      <c r="E236" s="558">
        <v>596.34</v>
      </c>
      <c r="F236" s="559">
        <v>35.71</v>
      </c>
      <c r="G236" s="559"/>
      <c r="H236" s="559">
        <f>F236</f>
        <v>35.71</v>
      </c>
      <c r="I236" s="558">
        <f>F236+G236-H236</f>
        <v>0</v>
      </c>
      <c r="J236" s="558">
        <f>F236*E236</f>
        <v>21295.3014</v>
      </c>
      <c r="K236" s="558"/>
      <c r="L236" s="558">
        <f>H236*E236</f>
        <v>21295.3014</v>
      </c>
      <c r="M236" s="626">
        <f>I236*E236</f>
        <v>0</v>
      </c>
      <c r="N236" s="559">
        <v>0</v>
      </c>
      <c r="O236" s="626">
        <f>TRUNC(N236*E236,2)</f>
        <v>0</v>
      </c>
      <c r="P236" s="559">
        <f>IFERROR(VLOOKUP(A236,#REF!,18,FALSE),)</f>
        <v>0</v>
      </c>
      <c r="Q236" s="626">
        <f>S236-O236</f>
        <v>0</v>
      </c>
      <c r="R236" s="559">
        <f>P236+N236</f>
        <v>0</v>
      </c>
      <c r="S236" s="632">
        <f>TRUNC(R236*E236,2)</f>
        <v>0</v>
      </c>
      <c r="T236" s="559">
        <v>0</v>
      </c>
      <c r="U236" s="632">
        <f t="shared" ref="U236:U243" si="373">I236-S236</f>
        <v>0</v>
      </c>
    </row>
    <row r="237" spans="1:21" s="659" customFormat="1" ht="25.5">
      <c r="A237" s="555" t="s">
        <v>408</v>
      </c>
      <c r="B237" s="556" t="s">
        <v>138</v>
      </c>
      <c r="C237" s="660" t="s">
        <v>143</v>
      </c>
      <c r="D237" s="557" t="s">
        <v>29</v>
      </c>
      <c r="E237" s="558">
        <v>4.82</v>
      </c>
      <c r="F237" s="559">
        <v>512</v>
      </c>
      <c r="G237" s="559"/>
      <c r="H237" s="559">
        <f t="shared" ref="H237:H238" si="374">F237</f>
        <v>512</v>
      </c>
      <c r="I237" s="558">
        <f t="shared" ref="I237:I238" si="375">F237+G237-H237</f>
        <v>0</v>
      </c>
      <c r="J237" s="558">
        <f t="shared" ref="J237:J238" si="376">F237*E237</f>
        <v>2467.84</v>
      </c>
      <c r="K237" s="558"/>
      <c r="L237" s="558">
        <f t="shared" ref="L237:L238" si="377">H237*E237</f>
        <v>2467.84</v>
      </c>
      <c r="M237" s="626"/>
      <c r="N237" s="559">
        <v>0</v>
      </c>
      <c r="O237" s="626">
        <f t="shared" ref="O237:O243" si="378">TRUNC(N237*E237,2)</f>
        <v>0</v>
      </c>
      <c r="P237" s="559">
        <f>IFERROR(VLOOKUP(A237,#REF!,18,FALSE),)</f>
        <v>0</v>
      </c>
      <c r="Q237" s="626">
        <f t="shared" ref="Q237:Q243" si="379">S237-O237</f>
        <v>0</v>
      </c>
      <c r="R237" s="559">
        <f t="shared" ref="R237:R243" si="380">P237+N237</f>
        <v>0</v>
      </c>
      <c r="S237" s="632">
        <f t="shared" ref="S237:S243" si="381">TRUNC(R237*E237,2)</f>
        <v>0</v>
      </c>
      <c r="T237" s="559">
        <v>0</v>
      </c>
      <c r="U237" s="632">
        <f t="shared" si="373"/>
        <v>0</v>
      </c>
    </row>
    <row r="238" spans="1:21" s="659" customFormat="1" ht="25.5">
      <c r="A238" s="555" t="s">
        <v>409</v>
      </c>
      <c r="B238" s="556" t="s">
        <v>139</v>
      </c>
      <c r="C238" s="660" t="s">
        <v>144</v>
      </c>
      <c r="D238" s="557" t="s">
        <v>29</v>
      </c>
      <c r="E238" s="558">
        <v>6.12</v>
      </c>
      <c r="F238" s="559">
        <v>4419.01</v>
      </c>
      <c r="G238" s="559"/>
      <c r="H238" s="559">
        <f t="shared" si="374"/>
        <v>4419.01</v>
      </c>
      <c r="I238" s="558">
        <f t="shared" si="375"/>
        <v>0</v>
      </c>
      <c r="J238" s="558">
        <f t="shared" si="376"/>
        <v>27044.341200000003</v>
      </c>
      <c r="K238" s="558"/>
      <c r="L238" s="558">
        <f t="shared" si="377"/>
        <v>27044.341200000003</v>
      </c>
      <c r="M238" s="626"/>
      <c r="N238" s="559">
        <v>0</v>
      </c>
      <c r="O238" s="626">
        <f t="shared" si="378"/>
        <v>0</v>
      </c>
      <c r="P238" s="559">
        <f>IFERROR(VLOOKUP(A238,#REF!,18,FALSE),)</f>
        <v>0</v>
      </c>
      <c r="Q238" s="626">
        <f t="shared" si="379"/>
        <v>0</v>
      </c>
      <c r="R238" s="559">
        <f t="shared" si="380"/>
        <v>0</v>
      </c>
      <c r="S238" s="632">
        <f t="shared" si="381"/>
        <v>0</v>
      </c>
      <c r="T238" s="559">
        <v>0</v>
      </c>
      <c r="U238" s="632">
        <f t="shared" si="373"/>
        <v>0</v>
      </c>
    </row>
    <row r="239" spans="1:21" ht="25.5">
      <c r="A239" s="190" t="s">
        <v>410</v>
      </c>
      <c r="B239" s="191">
        <v>30101</v>
      </c>
      <c r="C239" s="657" t="s">
        <v>145</v>
      </c>
      <c r="D239" s="192" t="s">
        <v>58</v>
      </c>
      <c r="E239" s="193">
        <v>48.58</v>
      </c>
      <c r="F239" s="194">
        <v>6.3</v>
      </c>
      <c r="G239" s="194">
        <f>REPLANILHAMENTO!H207</f>
        <v>36.909999999999997</v>
      </c>
      <c r="H239" s="194">
        <v>0</v>
      </c>
      <c r="I239" s="193">
        <f>F239+G239-H239</f>
        <v>43.209999999999994</v>
      </c>
      <c r="J239" s="193">
        <f>F239*E239</f>
        <v>306.05399999999997</v>
      </c>
      <c r="K239" s="193">
        <f>G239*E239</f>
        <v>1793.0877999999998</v>
      </c>
      <c r="L239" s="193"/>
      <c r="M239" s="622">
        <f>I239*E239</f>
        <v>2099.1417999999994</v>
      </c>
      <c r="N239" s="194">
        <f>'3.3.2.5'!R25</f>
        <v>43.21</v>
      </c>
      <c r="O239" s="622">
        <f t="shared" si="378"/>
        <v>2099.14</v>
      </c>
      <c r="P239" s="194">
        <f>'3.3.2.5'!R26</f>
        <v>0</v>
      </c>
      <c r="Q239" s="630">
        <f>P239*E239</f>
        <v>0</v>
      </c>
      <c r="R239" s="194">
        <f>P239+N239</f>
        <v>43.21</v>
      </c>
      <c r="S239" s="630">
        <f t="shared" si="381"/>
        <v>2099.14</v>
      </c>
      <c r="T239" s="194">
        <f>I239-R239</f>
        <v>0</v>
      </c>
      <c r="U239" s="630">
        <v>0</v>
      </c>
    </row>
    <row r="240" spans="1:21" ht="51">
      <c r="A240" s="190" t="s">
        <v>411</v>
      </c>
      <c r="B240" s="191">
        <v>40339</v>
      </c>
      <c r="C240" s="657" t="s">
        <v>146</v>
      </c>
      <c r="D240" s="192" t="s">
        <v>57</v>
      </c>
      <c r="E240" s="193">
        <v>91.04</v>
      </c>
      <c r="F240" s="194">
        <v>108</v>
      </c>
      <c r="G240" s="194">
        <f>REPLANILHAMENTO!H208</f>
        <v>34.840000000000003</v>
      </c>
      <c r="H240" s="194">
        <v>0</v>
      </c>
      <c r="I240" s="193">
        <f t="shared" ref="I240:I242" si="382">F240+G240-H240</f>
        <v>142.84</v>
      </c>
      <c r="J240" s="193">
        <f t="shared" ref="J240:J242" si="383">F240*E240</f>
        <v>9832.3200000000015</v>
      </c>
      <c r="K240" s="193">
        <f t="shared" ref="K240:K242" si="384">G240*E240</f>
        <v>3171.8336000000004</v>
      </c>
      <c r="L240" s="193"/>
      <c r="M240" s="622">
        <f t="shared" ref="M240:M241" si="385">I240*E240</f>
        <v>13004.153600000001</v>
      </c>
      <c r="N240" s="194">
        <f>'3.3.2.6'!R26</f>
        <v>142.84</v>
      </c>
      <c r="O240" s="622">
        <f t="shared" si="378"/>
        <v>13004.15</v>
      </c>
      <c r="P240" s="194">
        <f>'3.3.2.6'!R27</f>
        <v>0</v>
      </c>
      <c r="Q240" s="630">
        <f t="shared" ref="Q240:Q242" si="386">P240*E240</f>
        <v>0</v>
      </c>
      <c r="R240" s="194">
        <f>P240+N240</f>
        <v>142.84</v>
      </c>
      <c r="S240" s="630">
        <f t="shared" si="381"/>
        <v>13004.15</v>
      </c>
      <c r="T240" s="194">
        <f t="shared" ref="T240:T242" si="387">I240-R240</f>
        <v>0</v>
      </c>
      <c r="U240" s="630">
        <v>0</v>
      </c>
    </row>
    <row r="241" spans="1:21" ht="25.5">
      <c r="A241" s="190" t="s">
        <v>412</v>
      </c>
      <c r="B241" s="191">
        <v>40328</v>
      </c>
      <c r="C241" s="657" t="s">
        <v>147</v>
      </c>
      <c r="D241" s="192" t="s">
        <v>29</v>
      </c>
      <c r="E241" s="193">
        <v>7.98</v>
      </c>
      <c r="F241" s="194">
        <v>594</v>
      </c>
      <c r="G241" s="194">
        <f>REPLANILHAMENTO!H209</f>
        <v>521</v>
      </c>
      <c r="H241" s="194">
        <v>0</v>
      </c>
      <c r="I241" s="193">
        <f t="shared" si="382"/>
        <v>1115</v>
      </c>
      <c r="J241" s="193">
        <f t="shared" si="383"/>
        <v>4740.12</v>
      </c>
      <c r="K241" s="193">
        <f t="shared" si="384"/>
        <v>4157.58</v>
      </c>
      <c r="L241" s="193"/>
      <c r="M241" s="622">
        <f t="shared" si="385"/>
        <v>8897.7000000000007</v>
      </c>
      <c r="N241" s="194">
        <f>'3.3.2.7'!R26</f>
        <v>1115</v>
      </c>
      <c r="O241" s="622">
        <f t="shared" si="378"/>
        <v>8897.7000000000007</v>
      </c>
      <c r="P241" s="194">
        <f>'3.3.2.7'!R27</f>
        <v>0</v>
      </c>
      <c r="Q241" s="630">
        <f t="shared" si="386"/>
        <v>0</v>
      </c>
      <c r="R241" s="194">
        <f>P241+N241</f>
        <v>1115</v>
      </c>
      <c r="S241" s="630">
        <f t="shared" si="381"/>
        <v>8897.7000000000007</v>
      </c>
      <c r="T241" s="194">
        <f t="shared" si="387"/>
        <v>0</v>
      </c>
      <c r="U241" s="630">
        <v>0</v>
      </c>
    </row>
    <row r="242" spans="1:21" ht="25.5">
      <c r="A242" s="190" t="s">
        <v>413</v>
      </c>
      <c r="B242" s="191">
        <v>40245</v>
      </c>
      <c r="C242" s="657" t="s">
        <v>148</v>
      </c>
      <c r="D242" s="192" t="s">
        <v>29</v>
      </c>
      <c r="E242" s="193">
        <v>8.41</v>
      </c>
      <c r="F242" s="194">
        <v>40</v>
      </c>
      <c r="G242" s="194">
        <f>REPLANILHAMENTO!H210</f>
        <v>26</v>
      </c>
      <c r="H242" s="194">
        <v>0</v>
      </c>
      <c r="I242" s="193">
        <f t="shared" si="382"/>
        <v>66</v>
      </c>
      <c r="J242" s="193">
        <f t="shared" si="383"/>
        <v>336.4</v>
      </c>
      <c r="K242" s="193">
        <f t="shared" si="384"/>
        <v>218.66</v>
      </c>
      <c r="L242" s="193"/>
      <c r="M242" s="622">
        <f>I242*E242</f>
        <v>555.06000000000006</v>
      </c>
      <c r="N242" s="194">
        <f>'3.3.2.8'!R26</f>
        <v>66</v>
      </c>
      <c r="O242" s="622">
        <f t="shared" si="378"/>
        <v>555.05999999999995</v>
      </c>
      <c r="P242" s="194">
        <f>'3.3.2.8'!R27</f>
        <v>0</v>
      </c>
      <c r="Q242" s="630">
        <f t="shared" si="386"/>
        <v>0</v>
      </c>
      <c r="R242" s="194">
        <f>P242+N242</f>
        <v>66</v>
      </c>
      <c r="S242" s="630">
        <f t="shared" si="381"/>
        <v>555.05999999999995</v>
      </c>
      <c r="T242" s="194">
        <f t="shared" si="387"/>
        <v>0</v>
      </c>
      <c r="U242" s="630">
        <v>0</v>
      </c>
    </row>
    <row r="243" spans="1:21" s="659" customFormat="1" ht="25.5">
      <c r="A243" s="555" t="s">
        <v>414</v>
      </c>
      <c r="B243" s="556">
        <v>40246</v>
      </c>
      <c r="C243" s="660" t="s">
        <v>149</v>
      </c>
      <c r="D243" s="557" t="s">
        <v>29</v>
      </c>
      <c r="E243" s="558">
        <v>8.08</v>
      </c>
      <c r="F243" s="559">
        <v>29</v>
      </c>
      <c r="G243" s="559"/>
      <c r="H243" s="559">
        <f>F243</f>
        <v>29</v>
      </c>
      <c r="I243" s="558">
        <f>F243+G243-H243</f>
        <v>0</v>
      </c>
      <c r="J243" s="558">
        <f>F243*E243</f>
        <v>234.32</v>
      </c>
      <c r="K243" s="558"/>
      <c r="L243" s="558">
        <f>H243*E243</f>
        <v>234.32</v>
      </c>
      <c r="M243" s="626">
        <f>I243*E243</f>
        <v>0</v>
      </c>
      <c r="N243" s="559">
        <v>0</v>
      </c>
      <c r="O243" s="626">
        <f t="shared" si="378"/>
        <v>0</v>
      </c>
      <c r="P243" s="559">
        <f>IFERROR(VLOOKUP(A243,#REF!,18,FALSE),)</f>
        <v>0</v>
      </c>
      <c r="Q243" s="626">
        <f t="shared" si="379"/>
        <v>0</v>
      </c>
      <c r="R243" s="559">
        <f t="shared" si="380"/>
        <v>0</v>
      </c>
      <c r="S243" s="632">
        <f t="shared" si="381"/>
        <v>0</v>
      </c>
      <c r="T243" s="559">
        <v>0</v>
      </c>
      <c r="U243" s="632">
        <f t="shared" si="373"/>
        <v>0</v>
      </c>
    </row>
    <row r="244" spans="1:21" ht="38.25">
      <c r="A244" s="190" t="s">
        <v>415</v>
      </c>
      <c r="B244" s="191" t="s">
        <v>140</v>
      </c>
      <c r="C244" s="657" t="s">
        <v>150</v>
      </c>
      <c r="D244" s="192" t="s">
        <v>58</v>
      </c>
      <c r="E244" s="193">
        <v>486.08</v>
      </c>
      <c r="F244" s="194">
        <v>14.5</v>
      </c>
      <c r="G244" s="194">
        <f>REPLANILHAMENTO!H213</f>
        <v>2.5300000000000011</v>
      </c>
      <c r="H244" s="194">
        <v>0</v>
      </c>
      <c r="I244" s="193">
        <f t="shared" ref="I244:I245" si="388">F244+G244-H244</f>
        <v>17.03</v>
      </c>
      <c r="J244" s="193">
        <f t="shared" ref="J244" si="389">F244*E244</f>
        <v>7048.16</v>
      </c>
      <c r="K244" s="193">
        <f>G244*E244</f>
        <v>1229.7824000000005</v>
      </c>
      <c r="L244" s="193"/>
      <c r="M244" s="622">
        <f>I244*E244</f>
        <v>8277.9423999999999</v>
      </c>
      <c r="N244" s="194">
        <f>'3.3.2.10'!R25</f>
        <v>17.032</v>
      </c>
      <c r="O244" s="622">
        <f>TRUNC(N244*E244,2)</f>
        <v>8278.91</v>
      </c>
      <c r="P244" s="194">
        <f>'3.3.2.10'!R26</f>
        <v>0</v>
      </c>
      <c r="Q244" s="630">
        <f>P244*E244</f>
        <v>0</v>
      </c>
      <c r="R244" s="194">
        <f>P244+N244</f>
        <v>17.032</v>
      </c>
      <c r="S244" s="630">
        <f>TRUNC(R244*E244,2)</f>
        <v>8278.91</v>
      </c>
      <c r="T244" s="194">
        <v>0</v>
      </c>
      <c r="U244" s="630">
        <v>0</v>
      </c>
    </row>
    <row r="245" spans="1:21">
      <c r="A245" s="190" t="s">
        <v>416</v>
      </c>
      <c r="B245" s="191">
        <v>40813</v>
      </c>
      <c r="C245" s="657" t="s">
        <v>151</v>
      </c>
      <c r="D245" s="192" t="s">
        <v>57</v>
      </c>
      <c r="E245" s="193">
        <v>64.3</v>
      </c>
      <c r="F245" s="194">
        <v>134.87</v>
      </c>
      <c r="G245" s="194"/>
      <c r="H245" s="194"/>
      <c r="I245" s="193">
        <f t="shared" si="388"/>
        <v>134.87</v>
      </c>
      <c r="J245" s="193">
        <f t="shared" ref="J245" si="390">I245*E245</f>
        <v>8672.1409999999996</v>
      </c>
      <c r="K245" s="193"/>
      <c r="L245" s="193"/>
      <c r="M245" s="622">
        <f t="shared" ref="M245" si="391">I245*E245</f>
        <v>8672.1409999999996</v>
      </c>
      <c r="N245" s="194">
        <v>134.87</v>
      </c>
      <c r="O245" s="622">
        <f>TRUNC(N245*E245,2)</f>
        <v>8672.14</v>
      </c>
      <c r="P245" s="194">
        <v>0</v>
      </c>
      <c r="Q245" s="622">
        <f>S245-O245</f>
        <v>0</v>
      </c>
      <c r="R245" s="194">
        <f>P245+N245</f>
        <v>134.87</v>
      </c>
      <c r="S245" s="630">
        <f>TRUNC(R245*E245,2)</f>
        <v>8672.14</v>
      </c>
      <c r="T245" s="194">
        <f>I245-R245</f>
        <v>0</v>
      </c>
      <c r="U245" s="630">
        <f t="shared" ref="U245" si="392">T245*E245</f>
        <v>0</v>
      </c>
    </row>
    <row r="246" spans="1:21" ht="25.5">
      <c r="A246" s="190" t="s">
        <v>1169</v>
      </c>
      <c r="B246" s="191">
        <f>REPLANILHAMENTO!B202</f>
        <v>30206</v>
      </c>
      <c r="C246" s="657" t="str">
        <f>REPLANILHAMENTO!D202</f>
        <v>Aterro manual para regularização do terreno em areia, inclusive adensamento hidráulico e fornecimento do material (máximo de 100m3)</v>
      </c>
      <c r="D246" s="192" t="s">
        <v>58</v>
      </c>
      <c r="E246" s="193">
        <f>REPLANILHAMENTO!F202</f>
        <v>118.92</v>
      </c>
      <c r="F246" s="194">
        <v>0</v>
      </c>
      <c r="G246" s="194">
        <v>40.24</v>
      </c>
      <c r="H246" s="194">
        <v>0</v>
      </c>
      <c r="I246" s="193">
        <f>F246+G246</f>
        <v>40.24</v>
      </c>
      <c r="J246" s="193">
        <f>F246*E246</f>
        <v>0</v>
      </c>
      <c r="K246" s="193">
        <f>G246*E246</f>
        <v>4785.3407999999999</v>
      </c>
      <c r="L246" s="193"/>
      <c r="M246" s="622">
        <f>I246*E246</f>
        <v>4785.3407999999999</v>
      </c>
      <c r="N246" s="194">
        <f>'3.3.2.12'!R23</f>
        <v>40.243500000000004</v>
      </c>
      <c r="O246" s="622">
        <f>TRUNC(N246*E246,2)</f>
        <v>4785.75</v>
      </c>
      <c r="P246" s="194">
        <f>'3.3.2.12'!R24</f>
        <v>0</v>
      </c>
      <c r="Q246" s="630">
        <f>P246*E246</f>
        <v>0</v>
      </c>
      <c r="R246" s="194">
        <f>P246</f>
        <v>0</v>
      </c>
      <c r="S246" s="630">
        <f>Q246</f>
        <v>0</v>
      </c>
      <c r="T246" s="194">
        <v>0</v>
      </c>
      <c r="U246" s="630">
        <v>0</v>
      </c>
    </row>
    <row r="247" spans="1:21" ht="25.5">
      <c r="A247" s="190" t="s">
        <v>1170</v>
      </c>
      <c r="B247" s="191">
        <v>130110</v>
      </c>
      <c r="C247" s="657" t="str">
        <f>REPLANILHAMENTO!D212</f>
        <v>Lastro regularizado de concreto não estrutural, espessura de 8 cm (máximo de 100m3)</v>
      </c>
      <c r="D247" s="192" t="s">
        <v>57</v>
      </c>
      <c r="E247" s="193">
        <f>REPLANILHAMENTO!F212</f>
        <v>51.84</v>
      </c>
      <c r="F247" s="194">
        <v>0</v>
      </c>
      <c r="G247" s="194">
        <v>26.59</v>
      </c>
      <c r="H247" s="194">
        <v>0</v>
      </c>
      <c r="I247" s="193">
        <f>F247+G247</f>
        <v>26.59</v>
      </c>
      <c r="J247" s="193">
        <f>F247*E247</f>
        <v>0</v>
      </c>
      <c r="K247" s="193">
        <f>G247*E247</f>
        <v>1378.4256</v>
      </c>
      <c r="L247" s="193"/>
      <c r="M247" s="622">
        <f>I247*E247</f>
        <v>1378.4256</v>
      </c>
      <c r="N247" s="194">
        <f>'3.3.2.13'!R23</f>
        <v>26.587500000000002</v>
      </c>
      <c r="O247" s="622">
        <f>TRUNC(N247*E247,2)</f>
        <v>1378.29</v>
      </c>
      <c r="P247" s="194">
        <f>'3.3.2.13'!R24</f>
        <v>0</v>
      </c>
      <c r="Q247" s="630">
        <f>P247*E247</f>
        <v>0</v>
      </c>
      <c r="R247" s="194">
        <f>P247</f>
        <v>0</v>
      </c>
      <c r="S247" s="630">
        <f>Q247</f>
        <v>0</v>
      </c>
      <c r="T247" s="194">
        <v>0</v>
      </c>
      <c r="U247" s="630">
        <v>0</v>
      </c>
    </row>
    <row r="248" spans="1:21">
      <c r="A248" s="138"/>
      <c r="B248" s="132"/>
      <c r="C248" s="123"/>
      <c r="D248" s="123"/>
      <c r="E248" s="123"/>
      <c r="F248" s="123"/>
      <c r="G248" s="123"/>
      <c r="H248" s="123"/>
      <c r="I248" s="123"/>
      <c r="J248" s="123"/>
      <c r="K248" s="123"/>
      <c r="L248" s="123"/>
      <c r="M248" s="623"/>
      <c r="N248" s="123"/>
      <c r="O248" s="623"/>
      <c r="P248" s="123"/>
      <c r="Q248" s="623"/>
      <c r="R248" s="123"/>
      <c r="S248" s="631"/>
      <c r="T248" s="123"/>
      <c r="U248" s="631"/>
    </row>
    <row r="249" spans="1:21" s="131" customFormat="1">
      <c r="A249" s="137" t="s">
        <v>417</v>
      </c>
      <c r="B249" s="133"/>
      <c r="C249" s="658" t="s">
        <v>153</v>
      </c>
      <c r="D249" s="126"/>
      <c r="E249" s="127"/>
      <c r="F249" s="128"/>
      <c r="G249" s="128"/>
      <c r="H249" s="128"/>
      <c r="I249" s="129"/>
      <c r="J249" s="129">
        <f>SUBTOTAL(9,J250)</f>
        <v>15164.919</v>
      </c>
      <c r="K249" s="129"/>
      <c r="L249" s="129"/>
      <c r="M249" s="624"/>
      <c r="N249" s="130"/>
      <c r="O249" s="624">
        <f>SUBTOTAL(9,O250)</f>
        <v>15164.91</v>
      </c>
      <c r="P249" s="130"/>
      <c r="Q249" s="624">
        <f>SUBTOTAL(9,Q250)</f>
        <v>0</v>
      </c>
      <c r="R249" s="129"/>
      <c r="S249" s="624">
        <f>SUBTOTAL(9,S250)</f>
        <v>15164.91</v>
      </c>
      <c r="T249" s="129">
        <f t="shared" si="338"/>
        <v>0</v>
      </c>
      <c r="U249" s="624">
        <f>SUBTOTAL(9,U250)</f>
        <v>0</v>
      </c>
    </row>
    <row r="250" spans="1:21" ht="25.5">
      <c r="A250" s="190" t="s">
        <v>418</v>
      </c>
      <c r="B250" s="191" t="s">
        <v>155</v>
      </c>
      <c r="C250" s="657" t="s">
        <v>156</v>
      </c>
      <c r="D250" s="192" t="s">
        <v>50</v>
      </c>
      <c r="E250" s="193">
        <v>91.41</v>
      </c>
      <c r="F250" s="194">
        <v>165.9</v>
      </c>
      <c r="G250" s="194"/>
      <c r="H250" s="194"/>
      <c r="I250" s="193">
        <f t="shared" ref="I250" si="393">F250+G250-H250</f>
        <v>165.9</v>
      </c>
      <c r="J250" s="193">
        <f t="shared" ref="J250" si="394">I250*E250</f>
        <v>15164.919</v>
      </c>
      <c r="K250" s="193"/>
      <c r="L250" s="193"/>
      <c r="M250" s="622">
        <f t="shared" ref="M250" si="395">I250*E250</f>
        <v>15164.919</v>
      </c>
      <c r="N250" s="194">
        <f>I250</f>
        <v>165.9</v>
      </c>
      <c r="O250" s="622">
        <f t="shared" ref="O250" si="396">TRUNC(N250*E250,2)</f>
        <v>15164.91</v>
      </c>
      <c r="P250" s="264">
        <f>'3.3.3.1'!R25</f>
        <v>0</v>
      </c>
      <c r="Q250" s="625">
        <f t="shared" ref="Q250" si="397">S250-O250</f>
        <v>0</v>
      </c>
      <c r="R250" s="194">
        <f t="shared" ref="R250" si="398">P250+N250</f>
        <v>165.9</v>
      </c>
      <c r="S250" s="630">
        <f t="shared" ref="S250" si="399">TRUNC(R250*E250,2)</f>
        <v>15164.91</v>
      </c>
      <c r="T250" s="194">
        <f t="shared" si="338"/>
        <v>0</v>
      </c>
      <c r="U250" s="630">
        <f t="shared" ref="U250" si="400">T250*E250</f>
        <v>0</v>
      </c>
    </row>
    <row r="251" spans="1:21">
      <c r="A251" s="138"/>
      <c r="B251" s="132"/>
      <c r="C251" s="123"/>
      <c r="D251" s="123"/>
      <c r="E251" s="123"/>
      <c r="F251" s="123"/>
      <c r="G251" s="123"/>
      <c r="H251" s="123"/>
      <c r="I251" s="123"/>
      <c r="J251" s="123"/>
      <c r="K251" s="123"/>
      <c r="L251" s="123"/>
      <c r="M251" s="623"/>
      <c r="N251" s="123"/>
      <c r="O251" s="623"/>
      <c r="P251" s="123"/>
      <c r="Q251" s="623"/>
      <c r="R251" s="123"/>
      <c r="S251" s="631"/>
      <c r="T251" s="123"/>
      <c r="U251" s="631"/>
    </row>
    <row r="252" spans="1:21" s="131" customFormat="1">
      <c r="A252" s="137" t="s">
        <v>419</v>
      </c>
      <c r="B252" s="133"/>
      <c r="C252" s="658" t="s">
        <v>158</v>
      </c>
      <c r="D252" s="126"/>
      <c r="E252" s="127"/>
      <c r="F252" s="128"/>
      <c r="G252" s="128"/>
      <c r="H252" s="128"/>
      <c r="I252" s="129"/>
      <c r="J252" s="129">
        <f>SUBTOTAL(9,J253:J255)</f>
        <v>3771.0080999999996</v>
      </c>
      <c r="K252" s="129"/>
      <c r="L252" s="129"/>
      <c r="M252" s="624"/>
      <c r="N252" s="130"/>
      <c r="O252" s="624">
        <f>SUBTOTAL(9,O253:O255)</f>
        <v>3771.0000000000005</v>
      </c>
      <c r="P252" s="130"/>
      <c r="Q252" s="624">
        <f>SUBTOTAL(9,Q253:Q255)</f>
        <v>0</v>
      </c>
      <c r="R252" s="129"/>
      <c r="S252" s="624">
        <f>SUBTOTAL(9,S253:S255)</f>
        <v>3771.0000000000005</v>
      </c>
      <c r="T252" s="129">
        <f t="shared" si="338"/>
        <v>0</v>
      </c>
      <c r="U252" s="624">
        <f>SUBTOTAL(9,U253:U255)</f>
        <v>0</v>
      </c>
    </row>
    <row r="253" spans="1:21" ht="25.5">
      <c r="A253" s="190" t="s">
        <v>420</v>
      </c>
      <c r="B253" s="191" t="s">
        <v>155</v>
      </c>
      <c r="C253" s="657" t="s">
        <v>156</v>
      </c>
      <c r="D253" s="192" t="s">
        <v>50</v>
      </c>
      <c r="E253" s="193">
        <v>91.41</v>
      </c>
      <c r="F253" s="194">
        <v>29.33</v>
      </c>
      <c r="G253" s="194"/>
      <c r="H253" s="194"/>
      <c r="I253" s="193">
        <f t="shared" ref="I253:I255" si="401">F253+G253-H253</f>
        <v>29.33</v>
      </c>
      <c r="J253" s="193">
        <f t="shared" ref="J253:J255" si="402">I253*E253</f>
        <v>2681.0552999999995</v>
      </c>
      <c r="K253" s="193"/>
      <c r="L253" s="193"/>
      <c r="M253" s="622">
        <f t="shared" ref="M253:M255" si="403">I253*E253</f>
        <v>2681.0552999999995</v>
      </c>
      <c r="N253" s="194">
        <f>'3.3.4.1'!R23</f>
        <v>29.33</v>
      </c>
      <c r="O253" s="622">
        <f t="shared" ref="O253" si="404">TRUNC(N253*E253,2)</f>
        <v>2681.05</v>
      </c>
      <c r="P253" s="560">
        <f>'3.3.4.1'!R24</f>
        <v>0</v>
      </c>
      <c r="Q253" s="622">
        <f t="shared" ref="Q253" si="405">S253-O253</f>
        <v>0</v>
      </c>
      <c r="R253" s="194">
        <f t="shared" ref="R253" si="406">P253+N253</f>
        <v>29.33</v>
      </c>
      <c r="S253" s="630">
        <f t="shared" ref="S253" si="407">TRUNC(R253*E253,2)</f>
        <v>2681.05</v>
      </c>
      <c r="T253" s="194">
        <f t="shared" si="338"/>
        <v>0</v>
      </c>
      <c r="U253" s="630">
        <f t="shared" ref="U253:U255" si="408">T253*E253</f>
        <v>0</v>
      </c>
    </row>
    <row r="254" spans="1:21">
      <c r="A254" s="190" t="s">
        <v>421</v>
      </c>
      <c r="B254" s="191">
        <v>200323</v>
      </c>
      <c r="C254" s="657" t="s">
        <v>162</v>
      </c>
      <c r="D254" s="192" t="s">
        <v>58</v>
      </c>
      <c r="E254" s="193">
        <v>125.94</v>
      </c>
      <c r="F254" s="194">
        <v>6.62</v>
      </c>
      <c r="G254" s="194"/>
      <c r="H254" s="194"/>
      <c r="I254" s="193">
        <f t="shared" si="401"/>
        <v>6.62</v>
      </c>
      <c r="J254" s="193">
        <f t="shared" si="402"/>
        <v>833.72280000000001</v>
      </c>
      <c r="K254" s="193"/>
      <c r="L254" s="193"/>
      <c r="M254" s="622">
        <f t="shared" si="403"/>
        <v>833.72280000000001</v>
      </c>
      <c r="N254" s="194">
        <f>'3.3.4.2'!R23</f>
        <v>6.62</v>
      </c>
      <c r="O254" s="622">
        <f>TRUNC(N254*E254,2)</f>
        <v>833.72</v>
      </c>
      <c r="P254" s="560">
        <f>'3.3.4.2'!R24</f>
        <v>0</v>
      </c>
      <c r="Q254" s="622">
        <f>S254-O254</f>
        <v>0</v>
      </c>
      <c r="R254" s="194">
        <f>P254+N254</f>
        <v>6.62</v>
      </c>
      <c r="S254" s="630">
        <f>TRUNC(R254*E254,2)</f>
        <v>833.72</v>
      </c>
      <c r="T254" s="194">
        <f t="shared" si="338"/>
        <v>0</v>
      </c>
      <c r="U254" s="630">
        <f t="shared" si="408"/>
        <v>0</v>
      </c>
    </row>
    <row r="255" spans="1:21" ht="38.25">
      <c r="A255" s="190" t="s">
        <v>422</v>
      </c>
      <c r="B255" s="191">
        <v>50501</v>
      </c>
      <c r="C255" s="657" t="s">
        <v>916</v>
      </c>
      <c r="D255" s="192" t="s">
        <v>57</v>
      </c>
      <c r="E255" s="193">
        <v>94.9</v>
      </c>
      <c r="F255" s="194">
        <v>2.7</v>
      </c>
      <c r="G255" s="194"/>
      <c r="H255" s="194"/>
      <c r="I255" s="193">
        <f t="shared" si="401"/>
        <v>2.7</v>
      </c>
      <c r="J255" s="193">
        <f t="shared" si="402"/>
        <v>256.23</v>
      </c>
      <c r="K255" s="193"/>
      <c r="L255" s="193"/>
      <c r="M255" s="622">
        <f t="shared" si="403"/>
        <v>256.23</v>
      </c>
      <c r="N255" s="194">
        <f>'3.3.4.3'!R23</f>
        <v>2.7</v>
      </c>
      <c r="O255" s="622">
        <f t="shared" ref="O255" si="409">TRUNC(N255*E255,2)</f>
        <v>256.23</v>
      </c>
      <c r="P255" s="560">
        <f>'3.3.4.3'!R24</f>
        <v>0</v>
      </c>
      <c r="Q255" s="622">
        <f t="shared" ref="Q255" si="410">S255-O255</f>
        <v>0</v>
      </c>
      <c r="R255" s="194">
        <f t="shared" ref="R255" si="411">P255+N255</f>
        <v>2.7</v>
      </c>
      <c r="S255" s="630">
        <f t="shared" ref="S255" si="412">TRUNC(R255*E255,2)</f>
        <v>256.23</v>
      </c>
      <c r="T255" s="194">
        <f t="shared" si="338"/>
        <v>0</v>
      </c>
      <c r="U255" s="630">
        <f t="shared" si="408"/>
        <v>0</v>
      </c>
    </row>
    <row r="256" spans="1:21">
      <c r="A256" s="138"/>
      <c r="B256" s="132"/>
      <c r="C256" s="123"/>
      <c r="D256" s="123"/>
      <c r="E256" s="123"/>
      <c r="F256" s="123"/>
      <c r="G256" s="123"/>
      <c r="H256" s="123"/>
      <c r="I256" s="123"/>
      <c r="J256" s="123"/>
      <c r="K256" s="123"/>
      <c r="L256" s="123"/>
      <c r="M256" s="623"/>
      <c r="N256" s="123"/>
      <c r="O256" s="623"/>
      <c r="P256" s="123"/>
      <c r="Q256" s="623"/>
      <c r="R256" s="123"/>
      <c r="S256" s="631"/>
      <c r="T256" s="123"/>
      <c r="U256" s="631"/>
    </row>
    <row r="257" spans="1:21" s="131" customFormat="1">
      <c r="A257" s="137" t="s">
        <v>423</v>
      </c>
      <c r="B257" s="133"/>
      <c r="C257" s="658" t="s">
        <v>164</v>
      </c>
      <c r="D257" s="126"/>
      <c r="E257" s="127"/>
      <c r="F257" s="128"/>
      <c r="G257" s="128"/>
      <c r="H257" s="128"/>
      <c r="I257" s="129"/>
      <c r="J257" s="129">
        <f>SUBTOTAL(9,J258:J262)</f>
        <v>9601.4940000000006</v>
      </c>
      <c r="K257" s="129"/>
      <c r="L257" s="129"/>
      <c r="M257" s="624"/>
      <c r="N257" s="130"/>
      <c r="O257" s="624">
        <f>SUBTOTAL(9,O258:O262)</f>
        <v>9601.49</v>
      </c>
      <c r="P257" s="130"/>
      <c r="Q257" s="624">
        <f>SUBTOTAL(9,Q258:Q262)</f>
        <v>0</v>
      </c>
      <c r="R257" s="129"/>
      <c r="S257" s="624">
        <f>SUBTOTAL(9,S258:S262)</f>
        <v>9601.49</v>
      </c>
      <c r="T257" s="129">
        <f t="shared" si="338"/>
        <v>0</v>
      </c>
      <c r="U257" s="624">
        <f>SUBTOTAL(9,U258:U262)</f>
        <v>0</v>
      </c>
    </row>
    <row r="258" spans="1:21" ht="51">
      <c r="A258" s="190" t="s">
        <v>424</v>
      </c>
      <c r="B258" s="191">
        <v>40339</v>
      </c>
      <c r="C258" s="657" t="s">
        <v>184</v>
      </c>
      <c r="D258" s="192" t="s">
        <v>57</v>
      </c>
      <c r="E258" s="193">
        <v>91.04</v>
      </c>
      <c r="F258" s="194">
        <v>51</v>
      </c>
      <c r="G258" s="194"/>
      <c r="H258" s="194"/>
      <c r="I258" s="193">
        <f t="shared" ref="I258" si="413">F258+G258-H258</f>
        <v>51</v>
      </c>
      <c r="J258" s="193">
        <f t="shared" ref="J258" si="414">I258*E258</f>
        <v>4643.04</v>
      </c>
      <c r="K258" s="193"/>
      <c r="L258" s="193"/>
      <c r="M258" s="622">
        <f t="shared" ref="M258" si="415">I258*E258</f>
        <v>4643.04</v>
      </c>
      <c r="N258" s="194">
        <v>51</v>
      </c>
      <c r="O258" s="622">
        <f t="shared" ref="O258" si="416">TRUNC(N258*E258,2)</f>
        <v>4643.04</v>
      </c>
      <c r="P258" s="264">
        <v>0</v>
      </c>
      <c r="Q258" s="625">
        <f t="shared" ref="Q258" si="417">S258-O258</f>
        <v>0</v>
      </c>
      <c r="R258" s="194">
        <f t="shared" ref="R258" si="418">P258+N258</f>
        <v>51</v>
      </c>
      <c r="S258" s="630">
        <f t="shared" ref="S258" si="419">TRUNC(R258*E258,2)</f>
        <v>4643.04</v>
      </c>
      <c r="T258" s="194">
        <f t="shared" si="338"/>
        <v>0</v>
      </c>
      <c r="U258" s="630">
        <f t="shared" ref="U258:U262" si="420">T258*E258</f>
        <v>0</v>
      </c>
    </row>
    <row r="259" spans="1:21" ht="25.5">
      <c r="A259" s="190" t="s">
        <v>425</v>
      </c>
      <c r="B259" s="191">
        <v>40328</v>
      </c>
      <c r="C259" s="657" t="s">
        <v>147</v>
      </c>
      <c r="D259" s="192" t="s">
        <v>29</v>
      </c>
      <c r="E259" s="193">
        <v>7.98</v>
      </c>
      <c r="F259" s="194">
        <v>160</v>
      </c>
      <c r="G259" s="194"/>
      <c r="H259" s="194"/>
      <c r="I259" s="193">
        <f t="shared" ref="I259:I262" si="421">F259+G259-H259</f>
        <v>160</v>
      </c>
      <c r="J259" s="193">
        <f t="shared" ref="J259:J262" si="422">I259*E259</f>
        <v>1276.8000000000002</v>
      </c>
      <c r="K259" s="193"/>
      <c r="L259" s="193"/>
      <c r="M259" s="622">
        <f t="shared" ref="M259:M262" si="423">I259*E259</f>
        <v>1276.8000000000002</v>
      </c>
      <c r="N259" s="194">
        <v>160</v>
      </c>
      <c r="O259" s="622">
        <f>TRUNC(N259*E259,2)</f>
        <v>1276.8</v>
      </c>
      <c r="P259" s="264">
        <v>0</v>
      </c>
      <c r="Q259" s="625">
        <f>S259-O259</f>
        <v>0</v>
      </c>
      <c r="R259" s="194">
        <f>P259+N259</f>
        <v>160</v>
      </c>
      <c r="S259" s="630">
        <f>TRUNC(R259*E259,2)</f>
        <v>1276.8</v>
      </c>
      <c r="T259" s="194">
        <f t="shared" si="338"/>
        <v>0</v>
      </c>
      <c r="U259" s="630">
        <f t="shared" si="420"/>
        <v>0</v>
      </c>
    </row>
    <row r="260" spans="1:21" ht="25.5">
      <c r="A260" s="190" t="s">
        <v>426</v>
      </c>
      <c r="B260" s="191">
        <v>40245</v>
      </c>
      <c r="C260" s="657" t="s">
        <v>148</v>
      </c>
      <c r="D260" s="192" t="s">
        <v>29</v>
      </c>
      <c r="E260" s="193">
        <v>8.41</v>
      </c>
      <c r="F260" s="194">
        <v>199</v>
      </c>
      <c r="G260" s="194"/>
      <c r="H260" s="194"/>
      <c r="I260" s="193">
        <f t="shared" si="421"/>
        <v>199</v>
      </c>
      <c r="J260" s="193">
        <f t="shared" si="422"/>
        <v>1673.59</v>
      </c>
      <c r="K260" s="193"/>
      <c r="L260" s="193"/>
      <c r="M260" s="622">
        <f t="shared" si="423"/>
        <v>1673.59</v>
      </c>
      <c r="N260" s="194">
        <v>199</v>
      </c>
      <c r="O260" s="622">
        <f t="shared" ref="O260:O262" si="424">TRUNC(N260*E260,2)</f>
        <v>1673.59</v>
      </c>
      <c r="P260" s="264">
        <v>0</v>
      </c>
      <c r="Q260" s="625">
        <f t="shared" ref="Q260:Q262" si="425">S260-O260</f>
        <v>0</v>
      </c>
      <c r="R260" s="194">
        <f t="shared" ref="R260:R262" si="426">P260+N260</f>
        <v>199</v>
      </c>
      <c r="S260" s="630">
        <f t="shared" ref="S260:S262" si="427">TRUNC(R260*E260,2)</f>
        <v>1673.59</v>
      </c>
      <c r="T260" s="194">
        <f t="shared" si="338"/>
        <v>0</v>
      </c>
      <c r="U260" s="630">
        <f t="shared" si="420"/>
        <v>0</v>
      </c>
    </row>
    <row r="261" spans="1:21" ht="25.5">
      <c r="A261" s="190" t="s">
        <v>427</v>
      </c>
      <c r="B261" s="191">
        <v>40246</v>
      </c>
      <c r="C261" s="657" t="s">
        <v>149</v>
      </c>
      <c r="D261" s="192" t="s">
        <v>29</v>
      </c>
      <c r="E261" s="193">
        <v>8.08</v>
      </c>
      <c r="F261" s="194">
        <v>50</v>
      </c>
      <c r="G261" s="194"/>
      <c r="H261" s="194"/>
      <c r="I261" s="193">
        <f t="shared" si="421"/>
        <v>50</v>
      </c>
      <c r="J261" s="193">
        <f t="shared" si="422"/>
        <v>404</v>
      </c>
      <c r="K261" s="193"/>
      <c r="L261" s="193"/>
      <c r="M261" s="622">
        <f t="shared" si="423"/>
        <v>404</v>
      </c>
      <c r="N261" s="194">
        <v>50</v>
      </c>
      <c r="O261" s="622">
        <f t="shared" si="424"/>
        <v>404</v>
      </c>
      <c r="P261" s="264">
        <v>0</v>
      </c>
      <c r="Q261" s="625">
        <f t="shared" si="425"/>
        <v>0</v>
      </c>
      <c r="R261" s="194">
        <f t="shared" si="426"/>
        <v>50</v>
      </c>
      <c r="S261" s="630">
        <f t="shared" si="427"/>
        <v>404</v>
      </c>
      <c r="T261" s="194">
        <f t="shared" si="338"/>
        <v>0</v>
      </c>
      <c r="U261" s="630">
        <f t="shared" si="420"/>
        <v>0</v>
      </c>
    </row>
    <row r="262" spans="1:21" ht="38.25">
      <c r="A262" s="190" t="s">
        <v>428</v>
      </c>
      <c r="B262" s="191" t="s">
        <v>140</v>
      </c>
      <c r="C262" s="657" t="s">
        <v>150</v>
      </c>
      <c r="D262" s="192" t="s">
        <v>58</v>
      </c>
      <c r="E262" s="193">
        <v>486.08</v>
      </c>
      <c r="F262" s="194">
        <v>3.3</v>
      </c>
      <c r="G262" s="194"/>
      <c r="H262" s="194"/>
      <c r="I262" s="193">
        <f t="shared" si="421"/>
        <v>3.3</v>
      </c>
      <c r="J262" s="193">
        <f t="shared" si="422"/>
        <v>1604.0639999999999</v>
      </c>
      <c r="K262" s="193"/>
      <c r="L262" s="193"/>
      <c r="M262" s="622">
        <f t="shared" si="423"/>
        <v>1604.0639999999999</v>
      </c>
      <c r="N262" s="194">
        <v>3.3</v>
      </c>
      <c r="O262" s="622">
        <f t="shared" si="424"/>
        <v>1604.06</v>
      </c>
      <c r="P262" s="264">
        <v>0</v>
      </c>
      <c r="Q262" s="625">
        <f t="shared" si="425"/>
        <v>0</v>
      </c>
      <c r="R262" s="194">
        <f t="shared" si="426"/>
        <v>3.3</v>
      </c>
      <c r="S262" s="630">
        <f t="shared" si="427"/>
        <v>1604.06</v>
      </c>
      <c r="T262" s="194">
        <f t="shared" si="338"/>
        <v>0</v>
      </c>
      <c r="U262" s="630">
        <f t="shared" si="420"/>
        <v>0</v>
      </c>
    </row>
    <row r="263" spans="1:21">
      <c r="A263" s="138"/>
      <c r="B263" s="132"/>
      <c r="C263" s="123"/>
      <c r="D263" s="123"/>
      <c r="E263" s="123"/>
      <c r="F263" s="123"/>
      <c r="G263" s="123"/>
      <c r="H263" s="123"/>
      <c r="I263" s="123"/>
      <c r="J263" s="123"/>
      <c r="K263" s="123"/>
      <c r="L263" s="123"/>
      <c r="M263" s="623"/>
      <c r="N263" s="123"/>
      <c r="O263" s="623"/>
      <c r="P263" s="123"/>
      <c r="Q263" s="623"/>
      <c r="R263" s="123"/>
      <c r="S263" s="631"/>
      <c r="T263" s="123"/>
      <c r="U263" s="631"/>
    </row>
    <row r="264" spans="1:21" s="131" customFormat="1">
      <c r="A264" s="137" t="s">
        <v>429</v>
      </c>
      <c r="B264" s="133"/>
      <c r="C264" s="658" t="s">
        <v>171</v>
      </c>
      <c r="D264" s="126"/>
      <c r="E264" s="127"/>
      <c r="F264" s="128"/>
      <c r="G264" s="128"/>
      <c r="H264" s="128"/>
      <c r="I264" s="129"/>
      <c r="J264" s="129">
        <f>SUBTOTAL(9,J265:J269)</f>
        <v>20580.705999999998</v>
      </c>
      <c r="K264" s="129"/>
      <c r="L264" s="129"/>
      <c r="M264" s="624"/>
      <c r="N264" s="130"/>
      <c r="O264" s="624">
        <f>SUBTOTAL(9,O265:O269)</f>
        <v>20580.7</v>
      </c>
      <c r="P264" s="130"/>
      <c r="Q264" s="624">
        <f>SUBTOTAL(9,Q265:Q269)</f>
        <v>0</v>
      </c>
      <c r="R264" s="129"/>
      <c r="S264" s="624">
        <f>SUBTOTAL(9,S265:S269)</f>
        <v>20580.7</v>
      </c>
      <c r="T264" s="129">
        <f t="shared" si="338"/>
        <v>0</v>
      </c>
      <c r="U264" s="624">
        <f>SUBTOTAL(9,U265:U269)</f>
        <v>0</v>
      </c>
    </row>
    <row r="265" spans="1:21" ht="51">
      <c r="A265" s="190" t="s">
        <v>430</v>
      </c>
      <c r="B265" s="191">
        <v>40339</v>
      </c>
      <c r="C265" s="657" t="s">
        <v>184</v>
      </c>
      <c r="D265" s="192" t="s">
        <v>57</v>
      </c>
      <c r="E265" s="193">
        <v>91.04</v>
      </c>
      <c r="F265" s="194">
        <v>100</v>
      </c>
      <c r="G265" s="194"/>
      <c r="H265" s="194"/>
      <c r="I265" s="193">
        <f t="shared" ref="I265" si="428">F265+G265-H265</f>
        <v>100</v>
      </c>
      <c r="J265" s="193">
        <f t="shared" ref="J265" si="429">I265*E265</f>
        <v>9104</v>
      </c>
      <c r="K265" s="193"/>
      <c r="L265" s="193"/>
      <c r="M265" s="622">
        <f t="shared" ref="M265" si="430">I265*E265</f>
        <v>9104</v>
      </c>
      <c r="N265" s="194">
        <v>100</v>
      </c>
      <c r="O265" s="622">
        <f t="shared" ref="O265" si="431">TRUNC(N265*E265,2)</f>
        <v>9104</v>
      </c>
      <c r="P265" s="264">
        <v>0</v>
      </c>
      <c r="Q265" s="625">
        <f t="shared" ref="Q265" si="432">S265-O265</f>
        <v>0</v>
      </c>
      <c r="R265" s="194">
        <f t="shared" ref="R265" si="433">P265+N265</f>
        <v>100</v>
      </c>
      <c r="S265" s="630">
        <f t="shared" ref="S265" si="434">TRUNC(R265*E265,2)</f>
        <v>9104</v>
      </c>
      <c r="T265" s="194">
        <f t="shared" si="338"/>
        <v>0</v>
      </c>
      <c r="U265" s="630">
        <f t="shared" ref="U265:U269" si="435">T265*E265</f>
        <v>0</v>
      </c>
    </row>
    <row r="266" spans="1:21" ht="25.5">
      <c r="A266" s="190" t="s">
        <v>431</v>
      </c>
      <c r="B266" s="191">
        <v>40328</v>
      </c>
      <c r="C266" s="657" t="s">
        <v>147</v>
      </c>
      <c r="D266" s="192" t="s">
        <v>29</v>
      </c>
      <c r="E266" s="193">
        <v>7.98</v>
      </c>
      <c r="F266" s="194">
        <v>481</v>
      </c>
      <c r="G266" s="194"/>
      <c r="H266" s="194"/>
      <c r="I266" s="193">
        <f t="shared" ref="I266:I269" si="436">F266+G266-H266</f>
        <v>481</v>
      </c>
      <c r="J266" s="193">
        <f t="shared" ref="J266:J269" si="437">I266*E266</f>
        <v>3838.38</v>
      </c>
      <c r="K266" s="193"/>
      <c r="L266" s="193"/>
      <c r="M266" s="622">
        <f t="shared" ref="M266:M269" si="438">I266*E266</f>
        <v>3838.38</v>
      </c>
      <c r="N266" s="194">
        <v>481</v>
      </c>
      <c r="O266" s="622">
        <f>TRUNC(N266*E266,2)</f>
        <v>3838.38</v>
      </c>
      <c r="P266" s="264">
        <v>0</v>
      </c>
      <c r="Q266" s="625">
        <f>S266-O266</f>
        <v>0</v>
      </c>
      <c r="R266" s="194">
        <f>P266+N266</f>
        <v>481</v>
      </c>
      <c r="S266" s="630">
        <f>TRUNC(R266*E266,2)</f>
        <v>3838.38</v>
      </c>
      <c r="T266" s="194">
        <f t="shared" si="338"/>
        <v>0</v>
      </c>
      <c r="U266" s="630">
        <f t="shared" si="435"/>
        <v>0</v>
      </c>
    </row>
    <row r="267" spans="1:21" ht="25.5">
      <c r="A267" s="190" t="s">
        <v>432</v>
      </c>
      <c r="B267" s="191">
        <v>40245</v>
      </c>
      <c r="C267" s="657" t="s">
        <v>148</v>
      </c>
      <c r="D267" s="192" t="s">
        <v>29</v>
      </c>
      <c r="E267" s="193">
        <v>8.41</v>
      </c>
      <c r="F267" s="194">
        <v>287</v>
      </c>
      <c r="G267" s="194"/>
      <c r="H267" s="194"/>
      <c r="I267" s="193">
        <f t="shared" si="436"/>
        <v>287</v>
      </c>
      <c r="J267" s="193">
        <f t="shared" si="437"/>
        <v>2413.67</v>
      </c>
      <c r="K267" s="193"/>
      <c r="L267" s="193"/>
      <c r="M267" s="622">
        <f t="shared" si="438"/>
        <v>2413.67</v>
      </c>
      <c r="N267" s="194">
        <v>287</v>
      </c>
      <c r="O267" s="622">
        <f t="shared" ref="O267:O269" si="439">TRUNC(N267*E267,2)</f>
        <v>2413.67</v>
      </c>
      <c r="P267" s="264">
        <v>0</v>
      </c>
      <c r="Q267" s="625">
        <f t="shared" ref="Q267:Q269" si="440">S267-O267</f>
        <v>0</v>
      </c>
      <c r="R267" s="194">
        <f t="shared" ref="R267:R269" si="441">P267+N267</f>
        <v>287</v>
      </c>
      <c r="S267" s="630">
        <f t="shared" ref="S267:S269" si="442">TRUNC(R267*E267,2)</f>
        <v>2413.67</v>
      </c>
      <c r="T267" s="194">
        <f t="shared" si="338"/>
        <v>0</v>
      </c>
      <c r="U267" s="630">
        <f t="shared" si="435"/>
        <v>0</v>
      </c>
    </row>
    <row r="268" spans="1:21" ht="25.5">
      <c r="A268" s="190" t="s">
        <v>433</v>
      </c>
      <c r="B268" s="191">
        <v>40246</v>
      </c>
      <c r="C268" s="657" t="s">
        <v>149</v>
      </c>
      <c r="D268" s="192" t="s">
        <v>29</v>
      </c>
      <c r="E268" s="193">
        <v>8.08</v>
      </c>
      <c r="F268" s="194">
        <v>33</v>
      </c>
      <c r="G268" s="194"/>
      <c r="H268" s="194"/>
      <c r="I268" s="193">
        <f t="shared" si="436"/>
        <v>33</v>
      </c>
      <c r="J268" s="193">
        <f t="shared" si="437"/>
        <v>266.64</v>
      </c>
      <c r="K268" s="193"/>
      <c r="L268" s="193"/>
      <c r="M268" s="622">
        <f t="shared" si="438"/>
        <v>266.64</v>
      </c>
      <c r="N268" s="194">
        <v>33</v>
      </c>
      <c r="O268" s="622">
        <f t="shared" si="439"/>
        <v>266.64</v>
      </c>
      <c r="P268" s="264">
        <v>0</v>
      </c>
      <c r="Q268" s="625">
        <f t="shared" si="440"/>
        <v>0</v>
      </c>
      <c r="R268" s="194">
        <f t="shared" si="441"/>
        <v>33</v>
      </c>
      <c r="S268" s="630">
        <f t="shared" si="442"/>
        <v>266.64</v>
      </c>
      <c r="T268" s="194">
        <f t="shared" si="338"/>
        <v>0</v>
      </c>
      <c r="U268" s="630">
        <f t="shared" si="435"/>
        <v>0</v>
      </c>
    </row>
    <row r="269" spans="1:21" ht="51">
      <c r="A269" s="190" t="s">
        <v>434</v>
      </c>
      <c r="B269" s="191" t="s">
        <v>140</v>
      </c>
      <c r="C269" s="657" t="s">
        <v>177</v>
      </c>
      <c r="D269" s="192" t="s">
        <v>58</v>
      </c>
      <c r="E269" s="193">
        <v>486.08</v>
      </c>
      <c r="F269" s="194">
        <v>10.199999999999999</v>
      </c>
      <c r="G269" s="194"/>
      <c r="H269" s="194"/>
      <c r="I269" s="193">
        <f t="shared" si="436"/>
        <v>10.199999999999999</v>
      </c>
      <c r="J269" s="193">
        <f t="shared" si="437"/>
        <v>4958.0159999999996</v>
      </c>
      <c r="K269" s="193"/>
      <c r="L269" s="193"/>
      <c r="M269" s="622">
        <f t="shared" si="438"/>
        <v>4958.0159999999996</v>
      </c>
      <c r="N269" s="194">
        <f>'3,3.6.5'!R27</f>
        <v>10.199999999999999</v>
      </c>
      <c r="O269" s="622">
        <f t="shared" si="439"/>
        <v>4958.01</v>
      </c>
      <c r="P269" s="264">
        <f>'3,3.6.5'!R28</f>
        <v>0</v>
      </c>
      <c r="Q269" s="625">
        <f t="shared" si="440"/>
        <v>0</v>
      </c>
      <c r="R269" s="194">
        <f t="shared" si="441"/>
        <v>10.199999999999999</v>
      </c>
      <c r="S269" s="630">
        <f t="shared" si="442"/>
        <v>4958.01</v>
      </c>
      <c r="T269" s="194">
        <f t="shared" si="338"/>
        <v>0</v>
      </c>
      <c r="U269" s="630">
        <f t="shared" si="435"/>
        <v>0</v>
      </c>
    </row>
    <row r="270" spans="1:21">
      <c r="A270" s="138"/>
      <c r="B270" s="132"/>
      <c r="C270" s="123"/>
      <c r="D270" s="123"/>
      <c r="E270" s="123"/>
      <c r="F270" s="123"/>
      <c r="G270" s="123"/>
      <c r="H270" s="123"/>
      <c r="I270" s="123"/>
      <c r="J270" s="123"/>
      <c r="K270" s="123"/>
      <c r="L270" s="123"/>
      <c r="M270" s="623"/>
      <c r="N270" s="123"/>
      <c r="O270" s="623"/>
      <c r="P270" s="123"/>
      <c r="Q270" s="623"/>
      <c r="R270" s="123"/>
      <c r="S270" s="631"/>
      <c r="T270" s="123"/>
      <c r="U270" s="631"/>
    </row>
    <row r="271" spans="1:21" s="131" customFormat="1">
      <c r="A271" s="137" t="s">
        <v>435</v>
      </c>
      <c r="B271" s="133"/>
      <c r="C271" s="658" t="s">
        <v>179</v>
      </c>
      <c r="D271" s="126"/>
      <c r="E271" s="127"/>
      <c r="F271" s="128"/>
      <c r="G271" s="128"/>
      <c r="H271" s="128"/>
      <c r="I271" s="129"/>
      <c r="J271" s="129">
        <f>SUBTOTAL(9,J272:J275)</f>
        <v>23928.707199999997</v>
      </c>
      <c r="K271" s="129"/>
      <c r="L271" s="129"/>
      <c r="M271" s="624"/>
      <c r="N271" s="130"/>
      <c r="O271" s="624">
        <f>SUBTOTAL(9,O272:O275)</f>
        <v>23928.7</v>
      </c>
      <c r="P271" s="130"/>
      <c r="Q271" s="624">
        <f>SUBTOTAL(9,Q272:Q275)</f>
        <v>0</v>
      </c>
      <c r="R271" s="129"/>
      <c r="S271" s="624">
        <f>SUBTOTAL(9,S272:S275)</f>
        <v>23928.7</v>
      </c>
      <c r="T271" s="129">
        <f t="shared" si="338"/>
        <v>0</v>
      </c>
      <c r="U271" s="624">
        <f>SUBTOTAL(9,U272:U275)</f>
        <v>0</v>
      </c>
    </row>
    <row r="272" spans="1:21" ht="51">
      <c r="A272" s="190" t="s">
        <v>436</v>
      </c>
      <c r="B272" s="191">
        <v>40339</v>
      </c>
      <c r="C272" s="657" t="s">
        <v>184</v>
      </c>
      <c r="D272" s="192" t="s">
        <v>57</v>
      </c>
      <c r="E272" s="193">
        <v>91.04</v>
      </c>
      <c r="F272" s="194">
        <v>33</v>
      </c>
      <c r="G272" s="194"/>
      <c r="H272" s="194"/>
      <c r="I272" s="193">
        <f t="shared" ref="I272" si="443">F272+G272-H272</f>
        <v>33</v>
      </c>
      <c r="J272" s="193">
        <f t="shared" ref="J272" si="444">I272*E272</f>
        <v>3004.32</v>
      </c>
      <c r="K272" s="193"/>
      <c r="L272" s="193"/>
      <c r="M272" s="622">
        <f t="shared" ref="M272" si="445">I272*E272</f>
        <v>3004.32</v>
      </c>
      <c r="N272" s="194">
        <f>'3.3.7.1'!R26</f>
        <v>33</v>
      </c>
      <c r="O272" s="622">
        <f t="shared" ref="O272" si="446">TRUNC(N272*E272,2)</f>
        <v>3004.32</v>
      </c>
      <c r="P272" s="264">
        <f>'3.3.7.1'!R27</f>
        <v>0</v>
      </c>
      <c r="Q272" s="625">
        <f t="shared" ref="Q272" si="447">S272-O272</f>
        <v>0</v>
      </c>
      <c r="R272" s="194">
        <f t="shared" ref="R272" si="448">P272+N272</f>
        <v>33</v>
      </c>
      <c r="S272" s="630">
        <f t="shared" ref="S272" si="449">TRUNC(R272*E272,2)</f>
        <v>3004.32</v>
      </c>
      <c r="T272" s="194">
        <f t="shared" si="338"/>
        <v>0</v>
      </c>
      <c r="U272" s="630">
        <f t="shared" ref="U272:U275" si="450">T272*E272</f>
        <v>0</v>
      </c>
    </row>
    <row r="273" spans="1:21" ht="25.5">
      <c r="A273" s="190" t="s">
        <v>437</v>
      </c>
      <c r="B273" s="191">
        <v>40328</v>
      </c>
      <c r="C273" s="657" t="s">
        <v>147</v>
      </c>
      <c r="D273" s="192" t="s">
        <v>29</v>
      </c>
      <c r="E273" s="193">
        <v>7.98</v>
      </c>
      <c r="F273" s="194">
        <v>344</v>
      </c>
      <c r="G273" s="194"/>
      <c r="H273" s="194"/>
      <c r="I273" s="193">
        <f t="shared" ref="I273:I274" si="451">F273+G273-H273</f>
        <v>344</v>
      </c>
      <c r="J273" s="193">
        <f t="shared" ref="J273:J274" si="452">I273*E273</f>
        <v>2745.1200000000003</v>
      </c>
      <c r="K273" s="193"/>
      <c r="L273" s="193"/>
      <c r="M273" s="622">
        <f t="shared" ref="M273:M274" si="453">I273*E273</f>
        <v>2745.1200000000003</v>
      </c>
      <c r="N273" s="194">
        <v>344</v>
      </c>
      <c r="O273" s="622">
        <f>TRUNC(N273*E273,2)</f>
        <v>2745.12</v>
      </c>
      <c r="P273" s="264">
        <v>0</v>
      </c>
      <c r="Q273" s="625">
        <f>S273-O273</f>
        <v>0</v>
      </c>
      <c r="R273" s="194">
        <f>P273+N273</f>
        <v>344</v>
      </c>
      <c r="S273" s="630">
        <f>TRUNC(R273*E273,2)</f>
        <v>2745.12</v>
      </c>
      <c r="T273" s="194">
        <f t="shared" si="338"/>
        <v>0</v>
      </c>
      <c r="U273" s="630">
        <f t="shared" si="450"/>
        <v>0</v>
      </c>
    </row>
    <row r="274" spans="1:21" ht="52.5" customHeight="1">
      <c r="A274" s="190" t="s">
        <v>438</v>
      </c>
      <c r="B274" s="191" t="s">
        <v>140</v>
      </c>
      <c r="C274" s="657" t="s">
        <v>177</v>
      </c>
      <c r="D274" s="192" t="s">
        <v>58</v>
      </c>
      <c r="E274" s="193">
        <v>486.08</v>
      </c>
      <c r="F274" s="194">
        <v>7.34</v>
      </c>
      <c r="G274" s="194"/>
      <c r="H274" s="194"/>
      <c r="I274" s="193">
        <f t="shared" si="451"/>
        <v>7.34</v>
      </c>
      <c r="J274" s="193">
        <f t="shared" si="452"/>
        <v>3567.8271999999997</v>
      </c>
      <c r="K274" s="193"/>
      <c r="L274" s="193"/>
      <c r="M274" s="622">
        <f t="shared" si="453"/>
        <v>3567.8271999999997</v>
      </c>
      <c r="N274" s="194">
        <f>'3.3.7.3'!R26</f>
        <v>7.34</v>
      </c>
      <c r="O274" s="622">
        <f t="shared" ref="O274:O275" si="454">TRUNC(N274*E274,2)</f>
        <v>3567.82</v>
      </c>
      <c r="P274" s="264">
        <f>'3.3.7.3'!R27</f>
        <v>0</v>
      </c>
      <c r="Q274" s="625">
        <f t="shared" ref="Q274:Q275" si="455">S274-O274</f>
        <v>0</v>
      </c>
      <c r="R274" s="194">
        <f t="shared" ref="R274:R275" si="456">P274+N274</f>
        <v>7.34</v>
      </c>
      <c r="S274" s="630">
        <f t="shared" ref="S274:S275" si="457">TRUNC(R274*E274,2)</f>
        <v>3567.82</v>
      </c>
      <c r="T274" s="194">
        <f t="shared" si="338"/>
        <v>0</v>
      </c>
      <c r="U274" s="630">
        <f t="shared" si="450"/>
        <v>0</v>
      </c>
    </row>
    <row r="275" spans="1:21" ht="25.5">
      <c r="A275" s="190" t="s">
        <v>439</v>
      </c>
      <c r="B275" s="191">
        <v>40602</v>
      </c>
      <c r="C275" s="657" t="s">
        <v>185</v>
      </c>
      <c r="D275" s="192" t="s">
        <v>57</v>
      </c>
      <c r="E275" s="193">
        <v>79.41</v>
      </c>
      <c r="F275" s="194">
        <v>184</v>
      </c>
      <c r="G275" s="194"/>
      <c r="H275" s="194"/>
      <c r="I275" s="193">
        <f t="shared" ref="I275" si="458">F275+G275-H275</f>
        <v>184</v>
      </c>
      <c r="J275" s="193">
        <f t="shared" ref="J275" si="459">I275*E275</f>
        <v>14611.439999999999</v>
      </c>
      <c r="K275" s="193"/>
      <c r="L275" s="193"/>
      <c r="M275" s="622">
        <f t="shared" ref="M275" si="460">I275*E275</f>
        <v>14611.439999999999</v>
      </c>
      <c r="N275" s="194">
        <f>'3.3.7.4'!R26</f>
        <v>184</v>
      </c>
      <c r="O275" s="622">
        <f t="shared" si="454"/>
        <v>14611.44</v>
      </c>
      <c r="P275" s="264">
        <f>'3.3.7.4'!R27</f>
        <v>0</v>
      </c>
      <c r="Q275" s="625">
        <f t="shared" si="455"/>
        <v>0</v>
      </c>
      <c r="R275" s="194">
        <f t="shared" si="456"/>
        <v>184</v>
      </c>
      <c r="S275" s="630">
        <f t="shared" si="457"/>
        <v>14611.44</v>
      </c>
      <c r="T275" s="194">
        <f t="shared" si="338"/>
        <v>0</v>
      </c>
      <c r="U275" s="630">
        <f t="shared" si="450"/>
        <v>0</v>
      </c>
    </row>
    <row r="276" spans="1:21">
      <c r="A276" s="138"/>
      <c r="B276" s="132"/>
      <c r="C276" s="123"/>
      <c r="D276" s="123"/>
      <c r="E276" s="123"/>
      <c r="F276" s="123"/>
      <c r="G276" s="123"/>
      <c r="H276" s="123"/>
      <c r="I276" s="123"/>
      <c r="J276" s="123"/>
      <c r="K276" s="123"/>
      <c r="L276" s="123"/>
      <c r="M276" s="623"/>
      <c r="N276" s="123"/>
      <c r="O276" s="623"/>
      <c r="P276" s="123"/>
      <c r="Q276" s="623"/>
      <c r="R276" s="123"/>
      <c r="S276" s="631"/>
      <c r="T276" s="123"/>
      <c r="U276" s="631"/>
    </row>
    <row r="277" spans="1:21" s="131" customFormat="1">
      <c r="A277" s="137" t="s">
        <v>440</v>
      </c>
      <c r="B277" s="133"/>
      <c r="C277" s="658" t="s">
        <v>187</v>
      </c>
      <c r="D277" s="126"/>
      <c r="E277" s="127"/>
      <c r="F277" s="128"/>
      <c r="G277" s="128"/>
      <c r="H277" s="128"/>
      <c r="I277" s="129"/>
      <c r="J277" s="129">
        <f>SUBTOTAL(9,J278:J283)</f>
        <v>52096.830300000009</v>
      </c>
      <c r="K277" s="129"/>
      <c r="L277" s="129"/>
      <c r="M277" s="624"/>
      <c r="N277" s="130"/>
      <c r="O277" s="624">
        <f>SUBTOTAL(9,O278:O283)</f>
        <v>52096.80000000001</v>
      </c>
      <c r="P277" s="130"/>
      <c r="Q277" s="624">
        <f>SUBTOTAL(9,Q278:Q283)</f>
        <v>0</v>
      </c>
      <c r="R277" s="129"/>
      <c r="S277" s="624">
        <f>SUBTOTAL(9,S278:S283)</f>
        <v>52096.80000000001</v>
      </c>
      <c r="T277" s="129">
        <f t="shared" si="338"/>
        <v>0</v>
      </c>
      <c r="U277" s="624">
        <f>SUBTOTAL(9,U278:U283)</f>
        <v>0</v>
      </c>
    </row>
    <row r="278" spans="1:21" ht="51">
      <c r="A278" s="190" t="s">
        <v>441</v>
      </c>
      <c r="B278" s="191">
        <v>90102</v>
      </c>
      <c r="C278" s="657" t="s">
        <v>194</v>
      </c>
      <c r="D278" s="192" t="s">
        <v>57</v>
      </c>
      <c r="E278" s="193">
        <v>89.99</v>
      </c>
      <c r="F278" s="194">
        <v>208.03</v>
      </c>
      <c r="G278" s="194"/>
      <c r="H278" s="194"/>
      <c r="I278" s="193">
        <f t="shared" ref="I278" si="461">F278+G278-H278</f>
        <v>208.03</v>
      </c>
      <c r="J278" s="193">
        <f t="shared" ref="J278" si="462">I278*E278</f>
        <v>18720.619699999999</v>
      </c>
      <c r="K278" s="193"/>
      <c r="L278" s="193"/>
      <c r="M278" s="622">
        <f t="shared" ref="M278" si="463">I278*E278</f>
        <v>18720.619699999999</v>
      </c>
      <c r="N278" s="194">
        <v>208.03</v>
      </c>
      <c r="O278" s="622">
        <f t="shared" ref="O278" si="464">TRUNC(N278*E278,2)</f>
        <v>18720.61</v>
      </c>
      <c r="P278" s="264">
        <v>0</v>
      </c>
      <c r="Q278" s="625">
        <f t="shared" ref="Q278" si="465">S278-O278</f>
        <v>0</v>
      </c>
      <c r="R278" s="194">
        <f t="shared" ref="R278" si="466">P278+N278</f>
        <v>208.03</v>
      </c>
      <c r="S278" s="630">
        <f t="shared" ref="S278" si="467">TRUNC(R278*E278,2)</f>
        <v>18720.61</v>
      </c>
      <c r="T278" s="194">
        <f t="shared" si="338"/>
        <v>0</v>
      </c>
      <c r="U278" s="630">
        <f t="shared" ref="U278:U283" si="468">T278*E278</f>
        <v>0</v>
      </c>
    </row>
    <row r="279" spans="1:21" ht="51">
      <c r="A279" s="190" t="s">
        <v>442</v>
      </c>
      <c r="B279" s="191">
        <v>90223</v>
      </c>
      <c r="C279" s="657" t="s">
        <v>195</v>
      </c>
      <c r="D279" s="192" t="s">
        <v>57</v>
      </c>
      <c r="E279" s="193">
        <v>124.46</v>
      </c>
      <c r="F279" s="194">
        <v>209.41</v>
      </c>
      <c r="G279" s="194"/>
      <c r="H279" s="194"/>
      <c r="I279" s="193">
        <f t="shared" ref="I279:I283" si="469">F279+G279-H279</f>
        <v>209.41</v>
      </c>
      <c r="J279" s="193">
        <f t="shared" ref="J279:J283" si="470">I279*E279</f>
        <v>26063.168599999997</v>
      </c>
      <c r="K279" s="193"/>
      <c r="L279" s="193"/>
      <c r="M279" s="622">
        <f t="shared" ref="M279:M283" si="471">I279*E279</f>
        <v>26063.168599999997</v>
      </c>
      <c r="N279" s="194">
        <f>'3.3.8.2'!R24</f>
        <v>209.41</v>
      </c>
      <c r="O279" s="622">
        <f>TRUNC(N279*E279,2)</f>
        <v>26063.16</v>
      </c>
      <c r="P279" s="560">
        <f>'3.3.8.2'!R25</f>
        <v>0</v>
      </c>
      <c r="Q279" s="622">
        <f>P279*E279</f>
        <v>0</v>
      </c>
      <c r="R279" s="194">
        <f>P279+N279</f>
        <v>209.41</v>
      </c>
      <c r="S279" s="630">
        <f>TRUNC(R279*E279,2)</f>
        <v>26063.16</v>
      </c>
      <c r="T279" s="194">
        <f t="shared" si="338"/>
        <v>0</v>
      </c>
      <c r="U279" s="630">
        <f t="shared" si="468"/>
        <v>0</v>
      </c>
    </row>
    <row r="280" spans="1:21" ht="51">
      <c r="A280" s="190" t="s">
        <v>443</v>
      </c>
      <c r="B280" s="191">
        <v>40339</v>
      </c>
      <c r="C280" s="657" t="s">
        <v>196</v>
      </c>
      <c r="D280" s="192" t="s">
        <v>57</v>
      </c>
      <c r="E280" s="193">
        <v>91.04</v>
      </c>
      <c r="F280" s="194">
        <v>23.5</v>
      </c>
      <c r="G280" s="194"/>
      <c r="H280" s="194"/>
      <c r="I280" s="193">
        <f t="shared" si="469"/>
        <v>23.5</v>
      </c>
      <c r="J280" s="193">
        <f t="shared" si="470"/>
        <v>2139.44</v>
      </c>
      <c r="K280" s="193"/>
      <c r="L280" s="193"/>
      <c r="M280" s="622">
        <f t="shared" si="471"/>
        <v>2139.44</v>
      </c>
      <c r="N280" s="194">
        <f>'3.3.8.3'!R24</f>
        <v>23.5</v>
      </c>
      <c r="O280" s="622">
        <f t="shared" ref="O280:O283" si="472">TRUNC(N280*E280,2)</f>
        <v>2139.44</v>
      </c>
      <c r="P280" s="264">
        <f>'3.3.8.3'!R25</f>
        <v>0</v>
      </c>
      <c r="Q280" s="625">
        <f t="shared" ref="Q280:Q283" si="473">S280-O280</f>
        <v>0</v>
      </c>
      <c r="R280" s="194">
        <f t="shared" ref="R280:R283" si="474">P280+N280</f>
        <v>23.5</v>
      </c>
      <c r="S280" s="630">
        <f t="shared" ref="S280:S283" si="475">TRUNC(R280*E280,2)</f>
        <v>2139.44</v>
      </c>
      <c r="T280" s="194">
        <f t="shared" si="338"/>
        <v>0</v>
      </c>
      <c r="U280" s="630">
        <f t="shared" si="468"/>
        <v>0</v>
      </c>
    </row>
    <row r="281" spans="1:21" ht="25.5">
      <c r="A281" s="190" t="s">
        <v>444</v>
      </c>
      <c r="B281" s="191">
        <v>40328</v>
      </c>
      <c r="C281" s="657" t="s">
        <v>197</v>
      </c>
      <c r="D281" s="192" t="s">
        <v>29</v>
      </c>
      <c r="E281" s="193">
        <v>7.98</v>
      </c>
      <c r="F281" s="194">
        <v>112</v>
      </c>
      <c r="G281" s="194"/>
      <c r="H281" s="194"/>
      <c r="I281" s="193">
        <f t="shared" si="469"/>
        <v>112</v>
      </c>
      <c r="J281" s="193">
        <f t="shared" si="470"/>
        <v>893.76</v>
      </c>
      <c r="K281" s="193"/>
      <c r="L281" s="193"/>
      <c r="M281" s="622">
        <f t="shared" si="471"/>
        <v>893.76</v>
      </c>
      <c r="N281" s="194">
        <f>'3.3.8.4'!R24</f>
        <v>112</v>
      </c>
      <c r="O281" s="622">
        <f t="shared" si="472"/>
        <v>893.76</v>
      </c>
      <c r="P281" s="264">
        <f>'3.3.8.4'!R25</f>
        <v>0</v>
      </c>
      <c r="Q281" s="625">
        <f t="shared" si="473"/>
        <v>0</v>
      </c>
      <c r="R281" s="194">
        <f t="shared" si="474"/>
        <v>112</v>
      </c>
      <c r="S281" s="630">
        <f t="shared" si="475"/>
        <v>893.76</v>
      </c>
      <c r="T281" s="194">
        <f t="shared" si="338"/>
        <v>0</v>
      </c>
      <c r="U281" s="630">
        <f t="shared" si="468"/>
        <v>0</v>
      </c>
    </row>
    <row r="282" spans="1:21" ht="51">
      <c r="A282" s="190" t="s">
        <v>445</v>
      </c>
      <c r="B282" s="191" t="s">
        <v>140</v>
      </c>
      <c r="C282" s="657" t="s">
        <v>198</v>
      </c>
      <c r="D282" s="192" t="s">
        <v>58</v>
      </c>
      <c r="E282" s="193">
        <v>486.08</v>
      </c>
      <c r="F282" s="194">
        <v>1.2</v>
      </c>
      <c r="G282" s="194"/>
      <c r="H282" s="194"/>
      <c r="I282" s="193">
        <f t="shared" si="469"/>
        <v>1.2</v>
      </c>
      <c r="J282" s="193">
        <f t="shared" si="470"/>
        <v>583.29599999999994</v>
      </c>
      <c r="K282" s="193"/>
      <c r="L282" s="193"/>
      <c r="M282" s="622">
        <f t="shared" si="471"/>
        <v>583.29599999999994</v>
      </c>
      <c r="N282" s="194">
        <f>'3.3.8.5'!R24</f>
        <v>1.2</v>
      </c>
      <c r="O282" s="622">
        <f t="shared" si="472"/>
        <v>583.29</v>
      </c>
      <c r="P282" s="264">
        <f>'3.3.8.5'!R25</f>
        <v>0</v>
      </c>
      <c r="Q282" s="625">
        <f t="shared" si="473"/>
        <v>0</v>
      </c>
      <c r="R282" s="194">
        <f t="shared" si="474"/>
        <v>1.2</v>
      </c>
      <c r="S282" s="630">
        <f t="shared" si="475"/>
        <v>583.29</v>
      </c>
      <c r="T282" s="194">
        <f t="shared" ref="T282:T353" si="476">F282-R282</f>
        <v>0</v>
      </c>
      <c r="U282" s="630">
        <f t="shared" si="468"/>
        <v>0</v>
      </c>
    </row>
    <row r="283" spans="1:21" ht="51">
      <c r="A283" s="190" t="s">
        <v>446</v>
      </c>
      <c r="B283" s="191">
        <v>50602</v>
      </c>
      <c r="C283" s="657" t="s">
        <v>199</v>
      </c>
      <c r="D283" s="192" t="s">
        <v>57</v>
      </c>
      <c r="E283" s="193">
        <v>62.2</v>
      </c>
      <c r="F283" s="194">
        <v>59.43</v>
      </c>
      <c r="G283" s="194"/>
      <c r="H283" s="194"/>
      <c r="I283" s="193">
        <f t="shared" si="469"/>
        <v>59.43</v>
      </c>
      <c r="J283" s="193">
        <f t="shared" si="470"/>
        <v>3696.5460000000003</v>
      </c>
      <c r="K283" s="193"/>
      <c r="L283" s="193"/>
      <c r="M283" s="622">
        <f t="shared" si="471"/>
        <v>3696.5460000000003</v>
      </c>
      <c r="N283" s="194">
        <f>'3.3.8.6'!R24</f>
        <v>59.43</v>
      </c>
      <c r="O283" s="622">
        <f t="shared" si="472"/>
        <v>3696.54</v>
      </c>
      <c r="P283" s="264">
        <f>'3.3.8.6'!R25</f>
        <v>0</v>
      </c>
      <c r="Q283" s="625">
        <f t="shared" si="473"/>
        <v>0</v>
      </c>
      <c r="R283" s="194">
        <f t="shared" si="474"/>
        <v>59.43</v>
      </c>
      <c r="S283" s="630">
        <f t="shared" si="475"/>
        <v>3696.54</v>
      </c>
      <c r="T283" s="194">
        <f t="shared" si="476"/>
        <v>0</v>
      </c>
      <c r="U283" s="630">
        <f t="shared" si="468"/>
        <v>0</v>
      </c>
    </row>
    <row r="284" spans="1:21">
      <c r="A284" s="138"/>
      <c r="B284" s="132"/>
      <c r="C284" s="123"/>
      <c r="D284" s="123"/>
      <c r="E284" s="123"/>
      <c r="F284" s="123"/>
      <c r="G284" s="123"/>
      <c r="H284" s="123"/>
      <c r="I284" s="123"/>
      <c r="J284" s="123"/>
      <c r="K284" s="123"/>
      <c r="L284" s="123"/>
      <c r="M284" s="623"/>
      <c r="N284" s="123"/>
      <c r="O284" s="623"/>
      <c r="P284" s="123"/>
      <c r="Q284" s="623"/>
      <c r="R284" s="123"/>
      <c r="S284" s="631"/>
      <c r="T284" s="123"/>
      <c r="U284" s="631"/>
    </row>
    <row r="285" spans="1:21" s="131" customFormat="1">
      <c r="A285" s="137" t="s">
        <v>447</v>
      </c>
      <c r="B285" s="133"/>
      <c r="C285" s="658" t="s">
        <v>201</v>
      </c>
      <c r="D285" s="126"/>
      <c r="E285" s="127"/>
      <c r="F285" s="128"/>
      <c r="G285" s="128"/>
      <c r="H285" s="128"/>
      <c r="I285" s="129"/>
      <c r="J285" s="129">
        <f>SUBTOTAL(9,J286:J289)</f>
        <v>6351.6699999999992</v>
      </c>
      <c r="K285" s="129"/>
      <c r="L285" s="129"/>
      <c r="M285" s="624"/>
      <c r="N285" s="130"/>
      <c r="O285" s="624">
        <f>SUBTOTAL(9,O286:O289)</f>
        <v>6351.66</v>
      </c>
      <c r="P285" s="130"/>
      <c r="Q285" s="624">
        <f>SUBTOTAL(9,Q286:Q289)</f>
        <v>0</v>
      </c>
      <c r="R285" s="129"/>
      <c r="S285" s="624">
        <f>SUBTOTAL(9,S286:S289)</f>
        <v>6351.66</v>
      </c>
      <c r="T285" s="129">
        <f t="shared" si="476"/>
        <v>0</v>
      </c>
      <c r="U285" s="624">
        <f>SUBTOTAL(9,U286:U289)</f>
        <v>0</v>
      </c>
    </row>
    <row r="286" spans="1:21" ht="25.5">
      <c r="A286" s="190" t="s">
        <v>448</v>
      </c>
      <c r="B286" s="191" t="s">
        <v>206</v>
      </c>
      <c r="C286" s="657" t="s">
        <v>207</v>
      </c>
      <c r="D286" s="192" t="s">
        <v>60</v>
      </c>
      <c r="E286" s="193">
        <v>72.83</v>
      </c>
      <c r="F286" s="194">
        <v>39.799999999999997</v>
      </c>
      <c r="G286" s="194"/>
      <c r="H286" s="194"/>
      <c r="I286" s="193">
        <f t="shared" ref="I286" si="477">F286+G286-H286</f>
        <v>39.799999999999997</v>
      </c>
      <c r="J286" s="193">
        <f t="shared" ref="J286" si="478">I286*E286</f>
        <v>2898.6339999999996</v>
      </c>
      <c r="K286" s="193"/>
      <c r="L286" s="193"/>
      <c r="M286" s="622">
        <f t="shared" ref="M286" si="479">I286*E286</f>
        <v>2898.6339999999996</v>
      </c>
      <c r="N286" s="194">
        <f>'3.3.9.1'!R23</f>
        <v>39.799999999999997</v>
      </c>
      <c r="O286" s="622">
        <f t="shared" ref="O286" si="480">TRUNC(N286*E286,2)</f>
        <v>2898.63</v>
      </c>
      <c r="P286" s="194">
        <f>'3.3.9.1'!R24</f>
        <v>0</v>
      </c>
      <c r="Q286" s="622">
        <f t="shared" ref="Q286" si="481">S286-O286</f>
        <v>0</v>
      </c>
      <c r="R286" s="194">
        <f>P286+N286</f>
        <v>39.799999999999997</v>
      </c>
      <c r="S286" s="630">
        <f t="shared" ref="S286" si="482">TRUNC(R286*E286,2)</f>
        <v>2898.63</v>
      </c>
      <c r="T286" s="194">
        <f t="shared" si="476"/>
        <v>0</v>
      </c>
      <c r="U286" s="630">
        <f t="shared" ref="U286:U289" si="483">T286*E286</f>
        <v>0</v>
      </c>
    </row>
    <row r="287" spans="1:21">
      <c r="A287" s="190" t="s">
        <v>449</v>
      </c>
      <c r="B287" s="191">
        <v>90302</v>
      </c>
      <c r="C287" s="657" t="s">
        <v>208</v>
      </c>
      <c r="D287" s="192" t="s">
        <v>51</v>
      </c>
      <c r="E287" s="193">
        <v>31.38</v>
      </c>
      <c r="F287" s="194">
        <v>62.2</v>
      </c>
      <c r="G287" s="194"/>
      <c r="H287" s="194"/>
      <c r="I287" s="193">
        <f t="shared" ref="I287:I289" si="484">F287+G287-H287</f>
        <v>62.2</v>
      </c>
      <c r="J287" s="193">
        <f t="shared" ref="J287:J289" si="485">I287*E287</f>
        <v>1951.836</v>
      </c>
      <c r="K287" s="193"/>
      <c r="L287" s="193"/>
      <c r="M287" s="622">
        <f t="shared" ref="M287:M289" si="486">I287*E287</f>
        <v>1951.836</v>
      </c>
      <c r="N287" s="194">
        <f>'3.3.9.2'!R23</f>
        <v>62.2</v>
      </c>
      <c r="O287" s="622">
        <f>TRUNC(N287*E287,2)</f>
        <v>1951.83</v>
      </c>
      <c r="P287" s="194">
        <f>'3.3.9.2'!R24</f>
        <v>0</v>
      </c>
      <c r="Q287" s="622">
        <f>S287-O287</f>
        <v>0</v>
      </c>
      <c r="R287" s="194">
        <f>P287+N287</f>
        <v>62.2</v>
      </c>
      <c r="S287" s="630">
        <f>TRUNC(R287*E287,2)</f>
        <v>1951.83</v>
      </c>
      <c r="T287" s="194">
        <f t="shared" si="476"/>
        <v>0</v>
      </c>
      <c r="U287" s="630">
        <f t="shared" si="483"/>
        <v>0</v>
      </c>
    </row>
    <row r="288" spans="1:21" ht="25.5">
      <c r="A288" s="190" t="s">
        <v>450</v>
      </c>
      <c r="B288" s="191">
        <v>141909</v>
      </c>
      <c r="C288" s="657" t="s">
        <v>209</v>
      </c>
      <c r="D288" s="192" t="s">
        <v>51</v>
      </c>
      <c r="E288" s="193">
        <v>61.57</v>
      </c>
      <c r="F288" s="194">
        <v>10</v>
      </c>
      <c r="G288" s="194"/>
      <c r="H288" s="194"/>
      <c r="I288" s="193">
        <f t="shared" si="484"/>
        <v>10</v>
      </c>
      <c r="J288" s="193">
        <f t="shared" si="485"/>
        <v>615.70000000000005</v>
      </c>
      <c r="K288" s="193"/>
      <c r="L288" s="193"/>
      <c r="M288" s="622">
        <f t="shared" si="486"/>
        <v>615.70000000000005</v>
      </c>
      <c r="N288" s="194">
        <f>'3.3.9.3'!R23</f>
        <v>10</v>
      </c>
      <c r="O288" s="622">
        <f t="shared" ref="O288:O289" si="487">TRUNC(N288*E288,2)</f>
        <v>615.70000000000005</v>
      </c>
      <c r="P288" s="194">
        <f>'3.3.9.3'!R24</f>
        <v>0</v>
      </c>
      <c r="Q288" s="622">
        <f t="shared" ref="Q288:Q289" si="488">S288-O288</f>
        <v>0</v>
      </c>
      <c r="R288" s="194">
        <f t="shared" ref="R288:R289" si="489">P288+N288</f>
        <v>10</v>
      </c>
      <c r="S288" s="630">
        <f t="shared" ref="S288:S289" si="490">TRUNC(R288*E288,2)</f>
        <v>615.70000000000005</v>
      </c>
      <c r="T288" s="194">
        <f t="shared" si="476"/>
        <v>0</v>
      </c>
      <c r="U288" s="630">
        <f t="shared" si="483"/>
        <v>0</v>
      </c>
    </row>
    <row r="289" spans="1:21" ht="25.5">
      <c r="A289" s="190" t="s">
        <v>451</v>
      </c>
      <c r="B289" s="191">
        <v>140904</v>
      </c>
      <c r="C289" s="657" t="s">
        <v>210</v>
      </c>
      <c r="D289" s="192" t="s">
        <v>51</v>
      </c>
      <c r="E289" s="193">
        <v>80.5</v>
      </c>
      <c r="F289" s="194">
        <v>11</v>
      </c>
      <c r="G289" s="194"/>
      <c r="H289" s="194"/>
      <c r="I289" s="193">
        <f t="shared" si="484"/>
        <v>11</v>
      </c>
      <c r="J289" s="193">
        <f t="shared" si="485"/>
        <v>885.5</v>
      </c>
      <c r="K289" s="193"/>
      <c r="L289" s="193"/>
      <c r="M289" s="622">
        <f t="shared" si="486"/>
        <v>885.5</v>
      </c>
      <c r="N289" s="194">
        <f>'3.3.9.4'!R23</f>
        <v>11</v>
      </c>
      <c r="O289" s="622">
        <f t="shared" si="487"/>
        <v>885.5</v>
      </c>
      <c r="P289" s="194">
        <f>'3.3.9.4'!R24</f>
        <v>0</v>
      </c>
      <c r="Q289" s="622">
        <f t="shared" si="488"/>
        <v>0</v>
      </c>
      <c r="R289" s="194">
        <f t="shared" si="489"/>
        <v>11</v>
      </c>
      <c r="S289" s="630">
        <f t="shared" si="490"/>
        <v>885.5</v>
      </c>
      <c r="T289" s="194">
        <f t="shared" si="476"/>
        <v>0</v>
      </c>
      <c r="U289" s="630">
        <f t="shared" si="483"/>
        <v>0</v>
      </c>
    </row>
    <row r="290" spans="1:21">
      <c r="A290" s="138"/>
      <c r="B290" s="132"/>
      <c r="C290" s="123"/>
      <c r="D290" s="123"/>
      <c r="E290" s="123"/>
      <c r="F290" s="123"/>
      <c r="G290" s="123"/>
      <c r="H290" s="123"/>
      <c r="I290" s="123"/>
      <c r="J290" s="123"/>
      <c r="K290" s="123"/>
      <c r="L290" s="123"/>
      <c r="M290" s="623"/>
      <c r="N290" s="123"/>
      <c r="O290" s="623"/>
      <c r="P290" s="123"/>
      <c r="Q290" s="623"/>
      <c r="R290" s="123"/>
      <c r="S290" s="631"/>
      <c r="T290" s="123"/>
      <c r="U290" s="631"/>
    </row>
    <row r="291" spans="1:21" s="131" customFormat="1">
      <c r="A291" s="137" t="s">
        <v>894</v>
      </c>
      <c r="B291" s="133"/>
      <c r="C291" s="658" t="s">
        <v>212</v>
      </c>
      <c r="D291" s="126"/>
      <c r="E291" s="127"/>
      <c r="F291" s="128"/>
      <c r="G291" s="128"/>
      <c r="H291" s="128"/>
      <c r="I291" s="129"/>
      <c r="J291" s="129">
        <f>SUBTOTAL(9,J292:J302)</f>
        <v>115012.46699999998</v>
      </c>
      <c r="K291" s="129"/>
      <c r="L291" s="129"/>
      <c r="M291" s="624"/>
      <c r="N291" s="130"/>
      <c r="O291" s="624">
        <f>SUBTOTAL(9,O292:O302)</f>
        <v>115012.40999999999</v>
      </c>
      <c r="P291" s="130"/>
      <c r="Q291" s="624">
        <f>SUBTOTAL(9,Q292:Q302)</f>
        <v>0</v>
      </c>
      <c r="R291" s="129"/>
      <c r="S291" s="624">
        <f>SUBTOTAL(9,S292:S302)</f>
        <v>115012.40999999999</v>
      </c>
      <c r="T291" s="129">
        <f t="shared" si="476"/>
        <v>0</v>
      </c>
      <c r="U291" s="624">
        <f>SUBTOTAL(9,U292:U302)</f>
        <v>0</v>
      </c>
    </row>
    <row r="292" spans="1:21" ht="21.75" customHeight="1">
      <c r="A292" s="190" t="s">
        <v>452</v>
      </c>
      <c r="B292" s="191" t="s">
        <v>224</v>
      </c>
      <c r="C292" s="657" t="s">
        <v>229</v>
      </c>
      <c r="D292" s="192" t="s">
        <v>50</v>
      </c>
      <c r="E292" s="193">
        <v>280.31</v>
      </c>
      <c r="F292" s="194">
        <v>118.46</v>
      </c>
      <c r="G292" s="194"/>
      <c r="H292" s="194"/>
      <c r="I292" s="193">
        <f t="shared" ref="I292" si="491">F292+G292-H292</f>
        <v>118.46</v>
      </c>
      <c r="J292" s="193">
        <f t="shared" ref="J292" si="492">I292*E292</f>
        <v>33205.522599999997</v>
      </c>
      <c r="K292" s="193"/>
      <c r="L292" s="193"/>
      <c r="M292" s="622">
        <f t="shared" ref="M292" si="493">I292*E292</f>
        <v>33205.522599999997</v>
      </c>
      <c r="N292" s="194">
        <f>'3.3.10.1'!R24</f>
        <v>118.46</v>
      </c>
      <c r="O292" s="622">
        <f t="shared" ref="O292" si="494">TRUNC(N292*E292,2)</f>
        <v>33205.519999999997</v>
      </c>
      <c r="P292" s="264">
        <f>'3.3.10.1'!R25</f>
        <v>0</v>
      </c>
      <c r="Q292" s="625">
        <f t="shared" ref="Q292" si="495">S292-O292</f>
        <v>0</v>
      </c>
      <c r="R292" s="194">
        <f t="shared" ref="R292" si="496">P292+N292</f>
        <v>118.46</v>
      </c>
      <c r="S292" s="630">
        <f t="shared" ref="S292" si="497">TRUNC(R292*E292,2)</f>
        <v>33205.519999999997</v>
      </c>
      <c r="T292" s="194">
        <f t="shared" si="476"/>
        <v>0</v>
      </c>
      <c r="U292" s="630">
        <f t="shared" ref="U292:U302" si="498">T292*E292</f>
        <v>0</v>
      </c>
    </row>
    <row r="293" spans="1:21">
      <c r="A293" s="190" t="s">
        <v>453</v>
      </c>
      <c r="B293" s="191" t="s">
        <v>225</v>
      </c>
      <c r="C293" s="657" t="s">
        <v>230</v>
      </c>
      <c r="D293" s="192" t="s">
        <v>50</v>
      </c>
      <c r="E293" s="193">
        <v>645.84</v>
      </c>
      <c r="F293" s="194">
        <v>11.14</v>
      </c>
      <c r="G293" s="194"/>
      <c r="H293" s="194"/>
      <c r="I293" s="193">
        <f t="shared" ref="I293:I302" si="499">F293+G293-H293</f>
        <v>11.14</v>
      </c>
      <c r="J293" s="193">
        <f t="shared" ref="J293:J302" si="500">I293*E293</f>
        <v>7194.6576000000005</v>
      </c>
      <c r="K293" s="193"/>
      <c r="L293" s="193"/>
      <c r="M293" s="622">
        <f t="shared" ref="M293:M302" si="501">I293*E293</f>
        <v>7194.6576000000005</v>
      </c>
      <c r="N293" s="194">
        <f>'3.3.10.2'!R17</f>
        <v>11.14</v>
      </c>
      <c r="O293" s="622">
        <f>TRUNC(N293*E293,2)</f>
        <v>7194.65</v>
      </c>
      <c r="P293" s="194">
        <f>'3.3.10.2'!R18</f>
        <v>0</v>
      </c>
      <c r="Q293" s="622">
        <f>S293-O293</f>
        <v>0</v>
      </c>
      <c r="R293" s="194">
        <f>P293+N293</f>
        <v>11.14</v>
      </c>
      <c r="S293" s="630">
        <f>TRUNC(R293*E293,2)</f>
        <v>7194.65</v>
      </c>
      <c r="T293" s="194">
        <f t="shared" si="476"/>
        <v>0</v>
      </c>
      <c r="U293" s="630">
        <f t="shared" si="498"/>
        <v>0</v>
      </c>
    </row>
    <row r="294" spans="1:21" ht="25.5">
      <c r="A294" s="190" t="s">
        <v>454</v>
      </c>
      <c r="B294" s="191" t="s">
        <v>226</v>
      </c>
      <c r="C294" s="657" t="s">
        <v>231</v>
      </c>
      <c r="D294" s="192" t="s">
        <v>50</v>
      </c>
      <c r="E294" s="193">
        <v>651.87</v>
      </c>
      <c r="F294" s="194">
        <v>11.25</v>
      </c>
      <c r="G294" s="194"/>
      <c r="H294" s="194"/>
      <c r="I294" s="193">
        <f t="shared" si="499"/>
        <v>11.25</v>
      </c>
      <c r="J294" s="193">
        <f t="shared" si="500"/>
        <v>7333.5375000000004</v>
      </c>
      <c r="K294" s="193"/>
      <c r="L294" s="193"/>
      <c r="M294" s="622">
        <f t="shared" si="501"/>
        <v>7333.5375000000004</v>
      </c>
      <c r="N294" s="194">
        <f>'3.3.10.3'!R17</f>
        <v>11.25</v>
      </c>
      <c r="O294" s="622">
        <f t="shared" ref="O294:O302" si="502">TRUNC(N294*E294,2)</f>
        <v>7333.53</v>
      </c>
      <c r="P294" s="194">
        <f>'3.3.10.3'!R18</f>
        <v>0</v>
      </c>
      <c r="Q294" s="622">
        <f t="shared" ref="Q294:Q302" si="503">S294-O294</f>
        <v>0</v>
      </c>
      <c r="R294" s="194">
        <f t="shared" ref="R294:R302" si="504">P294+N294</f>
        <v>11.25</v>
      </c>
      <c r="S294" s="630">
        <f t="shared" ref="S294:S302" si="505">TRUNC(R294*E294,2)</f>
        <v>7333.53</v>
      </c>
      <c r="T294" s="194">
        <f t="shared" si="476"/>
        <v>0</v>
      </c>
      <c r="U294" s="630">
        <f t="shared" si="498"/>
        <v>0</v>
      </c>
    </row>
    <row r="295" spans="1:21" ht="25.5">
      <c r="A295" s="190" t="s">
        <v>455</v>
      </c>
      <c r="B295" s="191">
        <v>210322</v>
      </c>
      <c r="C295" s="657" t="s">
        <v>232</v>
      </c>
      <c r="D295" s="192" t="s">
        <v>51</v>
      </c>
      <c r="E295" s="193">
        <v>91.5</v>
      </c>
      <c r="F295" s="194">
        <v>17.55</v>
      </c>
      <c r="G295" s="194"/>
      <c r="H295" s="194"/>
      <c r="I295" s="193">
        <f t="shared" si="499"/>
        <v>17.55</v>
      </c>
      <c r="J295" s="193">
        <f t="shared" si="500"/>
        <v>1605.825</v>
      </c>
      <c r="K295" s="193"/>
      <c r="L295" s="193"/>
      <c r="M295" s="622">
        <f t="shared" si="501"/>
        <v>1605.825</v>
      </c>
      <c r="N295" s="194">
        <f>'3.3.10.4'!R17</f>
        <v>17.55</v>
      </c>
      <c r="O295" s="622">
        <f t="shared" si="502"/>
        <v>1605.82</v>
      </c>
      <c r="P295" s="194">
        <f>'3.3.10.4'!R18</f>
        <v>0</v>
      </c>
      <c r="Q295" s="622">
        <f t="shared" si="503"/>
        <v>0</v>
      </c>
      <c r="R295" s="194">
        <f t="shared" si="504"/>
        <v>17.55</v>
      </c>
      <c r="S295" s="630">
        <f t="shared" si="505"/>
        <v>1605.82</v>
      </c>
      <c r="T295" s="194">
        <f t="shared" si="476"/>
        <v>0</v>
      </c>
      <c r="U295" s="630">
        <f t="shared" si="498"/>
        <v>0</v>
      </c>
    </row>
    <row r="296" spans="1:21" ht="25.5">
      <c r="A296" s="190" t="s">
        <v>456</v>
      </c>
      <c r="B296" s="191" t="s">
        <v>227</v>
      </c>
      <c r="C296" s="657" t="s">
        <v>233</v>
      </c>
      <c r="D296" s="192" t="s">
        <v>51</v>
      </c>
      <c r="E296" s="193">
        <v>366.23</v>
      </c>
      <c r="F296" s="194">
        <v>4.1500000000000004</v>
      </c>
      <c r="G296" s="194"/>
      <c r="H296" s="194"/>
      <c r="I296" s="193">
        <f t="shared" si="499"/>
        <v>4.1500000000000004</v>
      </c>
      <c r="J296" s="193">
        <f t="shared" si="500"/>
        <v>1519.8545000000001</v>
      </c>
      <c r="K296" s="193"/>
      <c r="L296" s="193"/>
      <c r="M296" s="622">
        <f t="shared" si="501"/>
        <v>1519.8545000000001</v>
      </c>
      <c r="N296" s="194">
        <f>'3.3.10.5'!R17</f>
        <v>4.1500000000000004</v>
      </c>
      <c r="O296" s="622">
        <f t="shared" si="502"/>
        <v>1519.85</v>
      </c>
      <c r="P296" s="194">
        <f>'3.3.10.5'!R18</f>
        <v>0</v>
      </c>
      <c r="Q296" s="622">
        <f t="shared" si="503"/>
        <v>0</v>
      </c>
      <c r="R296" s="194">
        <f>P296+N296</f>
        <v>4.1500000000000004</v>
      </c>
      <c r="S296" s="630">
        <f t="shared" si="505"/>
        <v>1519.85</v>
      </c>
      <c r="T296" s="194">
        <f t="shared" si="476"/>
        <v>0</v>
      </c>
      <c r="U296" s="630">
        <f t="shared" si="498"/>
        <v>0</v>
      </c>
    </row>
    <row r="297" spans="1:21" ht="51">
      <c r="A297" s="190" t="s">
        <v>457</v>
      </c>
      <c r="B297" s="191">
        <v>50608</v>
      </c>
      <c r="C297" s="657" t="s">
        <v>234</v>
      </c>
      <c r="D297" s="192" t="s">
        <v>57</v>
      </c>
      <c r="E297" s="193">
        <v>88.68</v>
      </c>
      <c r="F297" s="194">
        <v>6.97</v>
      </c>
      <c r="G297" s="194"/>
      <c r="H297" s="194"/>
      <c r="I297" s="193">
        <f t="shared" si="499"/>
        <v>6.97</v>
      </c>
      <c r="J297" s="193">
        <f t="shared" si="500"/>
        <v>618.09960000000001</v>
      </c>
      <c r="K297" s="193"/>
      <c r="L297" s="193"/>
      <c r="M297" s="622">
        <f t="shared" si="501"/>
        <v>618.09960000000001</v>
      </c>
      <c r="N297" s="194">
        <f>'3.3.10.6'!R24</f>
        <v>6.97</v>
      </c>
      <c r="O297" s="622">
        <f t="shared" si="502"/>
        <v>618.09</v>
      </c>
      <c r="P297" s="264">
        <f>'3.3.10.6'!R25</f>
        <v>0</v>
      </c>
      <c r="Q297" s="622">
        <f t="shared" si="503"/>
        <v>0</v>
      </c>
      <c r="R297" s="194">
        <f>P297+N297</f>
        <v>6.97</v>
      </c>
      <c r="S297" s="630">
        <f t="shared" si="505"/>
        <v>618.09</v>
      </c>
      <c r="T297" s="194">
        <f t="shared" si="476"/>
        <v>0</v>
      </c>
      <c r="U297" s="630">
        <f t="shared" si="498"/>
        <v>0</v>
      </c>
    </row>
    <row r="298" spans="1:21" ht="35.25" customHeight="1">
      <c r="A298" s="190" t="s">
        <v>458</v>
      </c>
      <c r="B298" s="191">
        <v>120101</v>
      </c>
      <c r="C298" s="657" t="s">
        <v>235</v>
      </c>
      <c r="D298" s="192" t="s">
        <v>57</v>
      </c>
      <c r="E298" s="193">
        <v>5.64</v>
      </c>
      <c r="F298" s="194">
        <v>540.16999999999996</v>
      </c>
      <c r="G298" s="194"/>
      <c r="H298" s="194"/>
      <c r="I298" s="193">
        <f t="shared" si="499"/>
        <v>540.16999999999996</v>
      </c>
      <c r="J298" s="193">
        <f t="shared" si="500"/>
        <v>3046.5587999999998</v>
      </c>
      <c r="K298" s="193"/>
      <c r="L298" s="193"/>
      <c r="M298" s="622">
        <f t="shared" si="501"/>
        <v>3046.5587999999998</v>
      </c>
      <c r="N298" s="194">
        <f>'3.3.10.7'!R24</f>
        <v>540.16999999999996</v>
      </c>
      <c r="O298" s="622">
        <f t="shared" si="502"/>
        <v>3046.55</v>
      </c>
      <c r="P298" s="264">
        <f>'3.3.10.7'!R25</f>
        <v>0</v>
      </c>
      <c r="Q298" s="622">
        <f t="shared" si="503"/>
        <v>0</v>
      </c>
      <c r="R298" s="194">
        <f>P298+N298</f>
        <v>540.16999999999996</v>
      </c>
      <c r="S298" s="630">
        <f t="shared" si="505"/>
        <v>3046.55</v>
      </c>
      <c r="T298" s="194">
        <f t="shared" si="476"/>
        <v>0</v>
      </c>
      <c r="U298" s="630">
        <f t="shared" si="498"/>
        <v>0</v>
      </c>
    </row>
    <row r="299" spans="1:21" ht="25.5">
      <c r="A299" s="190" t="s">
        <v>459</v>
      </c>
      <c r="B299" s="191">
        <v>120303</v>
      </c>
      <c r="C299" s="657" t="s">
        <v>236</v>
      </c>
      <c r="D299" s="192" t="s">
        <v>57</v>
      </c>
      <c r="E299" s="193">
        <v>49.24</v>
      </c>
      <c r="F299" s="194">
        <v>540.16999999999996</v>
      </c>
      <c r="G299" s="194"/>
      <c r="H299" s="194"/>
      <c r="I299" s="193">
        <f t="shared" si="499"/>
        <v>540.16999999999996</v>
      </c>
      <c r="J299" s="193">
        <f t="shared" si="500"/>
        <v>26597.970799999999</v>
      </c>
      <c r="K299" s="193"/>
      <c r="L299" s="193"/>
      <c r="M299" s="622">
        <f t="shared" si="501"/>
        <v>26597.970799999999</v>
      </c>
      <c r="N299" s="194">
        <f>'3.3.10.8'!R24</f>
        <v>540.16999999999996</v>
      </c>
      <c r="O299" s="622">
        <f t="shared" si="502"/>
        <v>26597.97</v>
      </c>
      <c r="P299" s="264">
        <f>'3.3.10.8'!R25</f>
        <v>0</v>
      </c>
      <c r="Q299" s="622">
        <f t="shared" si="503"/>
        <v>0</v>
      </c>
      <c r="R299" s="194">
        <f t="shared" si="504"/>
        <v>540.16999999999996</v>
      </c>
      <c r="S299" s="630">
        <f t="shared" si="505"/>
        <v>26597.97</v>
      </c>
      <c r="T299" s="194">
        <f t="shared" si="476"/>
        <v>0</v>
      </c>
      <c r="U299" s="630">
        <f t="shared" si="498"/>
        <v>0</v>
      </c>
    </row>
    <row r="300" spans="1:21" ht="25.5">
      <c r="A300" s="190" t="s">
        <v>460</v>
      </c>
      <c r="B300" s="191">
        <v>190117</v>
      </c>
      <c r="C300" s="657" t="s">
        <v>237</v>
      </c>
      <c r="D300" s="192" t="s">
        <v>57</v>
      </c>
      <c r="E300" s="193">
        <v>18.27</v>
      </c>
      <c r="F300" s="194">
        <v>540.16999999999996</v>
      </c>
      <c r="G300" s="194"/>
      <c r="H300" s="194"/>
      <c r="I300" s="193">
        <f t="shared" si="499"/>
        <v>540.16999999999996</v>
      </c>
      <c r="J300" s="193">
        <f t="shared" si="500"/>
        <v>9868.9058999999997</v>
      </c>
      <c r="K300" s="193"/>
      <c r="L300" s="193"/>
      <c r="M300" s="622">
        <f t="shared" si="501"/>
        <v>9868.9058999999997</v>
      </c>
      <c r="N300" s="194">
        <f>'3.3.10.9'!R24</f>
        <v>540.16999999999996</v>
      </c>
      <c r="O300" s="622">
        <f t="shared" si="502"/>
        <v>9868.9</v>
      </c>
      <c r="P300" s="264">
        <f>'3.3.10.9'!R25</f>
        <v>0</v>
      </c>
      <c r="Q300" s="622">
        <f t="shared" si="503"/>
        <v>0</v>
      </c>
      <c r="R300" s="194">
        <f t="shared" si="504"/>
        <v>540.16999999999996</v>
      </c>
      <c r="S300" s="630">
        <f t="shared" si="505"/>
        <v>9868.9</v>
      </c>
      <c r="T300" s="194">
        <f t="shared" si="476"/>
        <v>0</v>
      </c>
      <c r="U300" s="630">
        <f t="shared" si="498"/>
        <v>0</v>
      </c>
    </row>
    <row r="301" spans="1:21" ht="52.5" customHeight="1">
      <c r="A301" s="190" t="s">
        <v>461</v>
      </c>
      <c r="B301" s="191">
        <v>130230</v>
      </c>
      <c r="C301" s="657" t="s">
        <v>238</v>
      </c>
      <c r="D301" s="192" t="s">
        <v>57</v>
      </c>
      <c r="E301" s="193">
        <v>106.19</v>
      </c>
      <c r="F301" s="194">
        <v>157.13</v>
      </c>
      <c r="G301" s="194"/>
      <c r="H301" s="194"/>
      <c r="I301" s="193">
        <f t="shared" si="499"/>
        <v>157.13</v>
      </c>
      <c r="J301" s="193">
        <f t="shared" si="500"/>
        <v>16685.634699999999</v>
      </c>
      <c r="K301" s="193"/>
      <c r="L301" s="193"/>
      <c r="M301" s="622">
        <f t="shared" si="501"/>
        <v>16685.634699999999</v>
      </c>
      <c r="N301" s="194">
        <f>'3.3.10.10'!R23</f>
        <v>157.13000000000002</v>
      </c>
      <c r="O301" s="622">
        <f t="shared" si="502"/>
        <v>16685.63</v>
      </c>
      <c r="P301" s="560">
        <f>'3.3.10.10'!R24</f>
        <v>0</v>
      </c>
      <c r="Q301" s="622">
        <f t="shared" si="503"/>
        <v>0</v>
      </c>
      <c r="R301" s="194">
        <f t="shared" si="504"/>
        <v>157.13000000000002</v>
      </c>
      <c r="S301" s="630">
        <f t="shared" si="505"/>
        <v>16685.63</v>
      </c>
      <c r="T301" s="194">
        <f>I301-R301</f>
        <v>0</v>
      </c>
      <c r="U301" s="630">
        <f t="shared" si="498"/>
        <v>0</v>
      </c>
    </row>
    <row r="302" spans="1:21" ht="25.5">
      <c r="A302" s="190" t="s">
        <v>462</v>
      </c>
      <c r="B302" s="191" t="s">
        <v>228</v>
      </c>
      <c r="C302" s="657" t="s">
        <v>239</v>
      </c>
      <c r="D302" s="192" t="s">
        <v>72</v>
      </c>
      <c r="E302" s="193">
        <v>333.45</v>
      </c>
      <c r="F302" s="194">
        <v>22</v>
      </c>
      <c r="G302" s="194"/>
      <c r="H302" s="194"/>
      <c r="I302" s="193">
        <f t="shared" si="499"/>
        <v>22</v>
      </c>
      <c r="J302" s="193">
        <f t="shared" si="500"/>
        <v>7335.9</v>
      </c>
      <c r="K302" s="193"/>
      <c r="L302" s="193"/>
      <c r="M302" s="622">
        <f t="shared" si="501"/>
        <v>7335.9</v>
      </c>
      <c r="N302" s="194">
        <v>22</v>
      </c>
      <c r="O302" s="622">
        <f t="shared" si="502"/>
        <v>7335.9</v>
      </c>
      <c r="P302" s="560">
        <v>0</v>
      </c>
      <c r="Q302" s="622">
        <f t="shared" si="503"/>
        <v>0</v>
      </c>
      <c r="R302" s="194">
        <f t="shared" si="504"/>
        <v>22</v>
      </c>
      <c r="S302" s="630">
        <f t="shared" si="505"/>
        <v>7335.9</v>
      </c>
      <c r="T302" s="194">
        <f t="shared" si="476"/>
        <v>0</v>
      </c>
      <c r="U302" s="630">
        <f t="shared" si="498"/>
        <v>0</v>
      </c>
    </row>
    <row r="303" spans="1:21">
      <c r="A303" s="138"/>
      <c r="B303" s="132"/>
      <c r="C303" s="123"/>
      <c r="D303" s="123"/>
      <c r="E303" s="123"/>
      <c r="F303" s="123"/>
      <c r="G303" s="123"/>
      <c r="H303" s="123"/>
      <c r="I303" s="123"/>
      <c r="J303" s="123"/>
      <c r="K303" s="123"/>
      <c r="L303" s="123"/>
      <c r="M303" s="623"/>
      <c r="N303" s="123"/>
      <c r="O303" s="623"/>
      <c r="P303" s="123"/>
      <c r="Q303" s="623"/>
      <c r="R303" s="123"/>
      <c r="S303" s="631"/>
      <c r="T303" s="123"/>
      <c r="U303" s="631"/>
    </row>
    <row r="304" spans="1:21" s="213" customFormat="1">
      <c r="A304" s="210" t="s">
        <v>463</v>
      </c>
      <c r="B304" s="211"/>
      <c r="C304" s="655" t="s">
        <v>240</v>
      </c>
      <c r="D304" s="197"/>
      <c r="E304" s="198"/>
      <c r="F304" s="199"/>
      <c r="G304" s="199"/>
      <c r="H304" s="199"/>
      <c r="I304" s="200"/>
      <c r="J304" s="200">
        <f>SUBTOTAL(9,J305:J344)</f>
        <v>489198.49390000006</v>
      </c>
      <c r="K304" s="200"/>
      <c r="L304" s="200"/>
      <c r="M304" s="620"/>
      <c r="N304" s="201"/>
      <c r="O304" s="620">
        <f>SUBTOTAL(9,O305:O344)</f>
        <v>805578.022</v>
      </c>
      <c r="P304" s="201"/>
      <c r="Q304" s="620">
        <f>SUBTOTAL(9,Q305:Q344)</f>
        <v>0</v>
      </c>
      <c r="R304" s="200"/>
      <c r="S304" s="620">
        <f>SUBTOTAL(9,S305:S344)</f>
        <v>805578.022</v>
      </c>
      <c r="T304" s="200">
        <f t="shared" si="476"/>
        <v>0</v>
      </c>
      <c r="U304" s="620">
        <f>SUBTOTAL(9,U305:U344)</f>
        <v>0</v>
      </c>
    </row>
    <row r="305" spans="1:21" s="131" customFormat="1">
      <c r="A305" s="137" t="s">
        <v>464</v>
      </c>
      <c r="B305" s="133"/>
      <c r="C305" s="658" t="s">
        <v>242</v>
      </c>
      <c r="D305" s="126"/>
      <c r="E305" s="127"/>
      <c r="F305" s="128"/>
      <c r="G305" s="128"/>
      <c r="H305" s="128"/>
      <c r="I305" s="129"/>
      <c r="J305" s="129">
        <f>SUBTOTAL(9,J306:J317)</f>
        <v>296584.22210000007</v>
      </c>
      <c r="K305" s="129"/>
      <c r="L305" s="129"/>
      <c r="M305" s="624"/>
      <c r="N305" s="130"/>
      <c r="O305" s="624">
        <f>SUBTOTAL(9,O306:O317)</f>
        <v>304353.90000000002</v>
      </c>
      <c r="P305" s="130"/>
      <c r="Q305" s="624">
        <f>SUBTOTAL(9,Q306:Q317)</f>
        <v>0</v>
      </c>
      <c r="R305" s="129"/>
      <c r="S305" s="624">
        <f>SUBTOTAL(9,S306:S317)</f>
        <v>304353.90000000002</v>
      </c>
      <c r="T305" s="129">
        <f t="shared" si="476"/>
        <v>0</v>
      </c>
      <c r="U305" s="624">
        <f>SUBTOTAL(9,U306:U317)</f>
        <v>0</v>
      </c>
    </row>
    <row r="306" spans="1:21" ht="25.5">
      <c r="A306" s="190" t="s">
        <v>465</v>
      </c>
      <c r="B306" s="191">
        <v>40405</v>
      </c>
      <c r="C306" s="657" t="s">
        <v>264</v>
      </c>
      <c r="D306" s="192" t="s">
        <v>57</v>
      </c>
      <c r="E306" s="193">
        <v>86.33</v>
      </c>
      <c r="F306" s="194">
        <v>341</v>
      </c>
      <c r="G306" s="194">
        <v>90</v>
      </c>
      <c r="H306" s="194">
        <v>0</v>
      </c>
      <c r="I306" s="193">
        <f t="shared" ref="I306" si="506">F306+G306-H306</f>
        <v>431</v>
      </c>
      <c r="J306" s="193">
        <f>F306*E306</f>
        <v>29438.53</v>
      </c>
      <c r="K306" s="193">
        <f t="shared" ref="K306" si="507">G306*E306</f>
        <v>7769.7</v>
      </c>
      <c r="L306" s="193"/>
      <c r="M306" s="622">
        <f>I306*E306</f>
        <v>37208.229999999996</v>
      </c>
      <c r="N306" s="194">
        <f>'3.4.1.1'!R17</f>
        <v>431</v>
      </c>
      <c r="O306" s="622">
        <f t="shared" ref="O306:O317" si="508">TRUNC(N306*E306,2)</f>
        <v>37208.230000000003</v>
      </c>
      <c r="P306" s="560">
        <v>0</v>
      </c>
      <c r="Q306" s="622">
        <f>P306*E306</f>
        <v>0</v>
      </c>
      <c r="R306" s="194">
        <f>P306+N306</f>
        <v>431</v>
      </c>
      <c r="S306" s="630">
        <f t="shared" ref="S306:S317" si="509">TRUNC(R306*E306,2)</f>
        <v>37208.230000000003</v>
      </c>
      <c r="T306" s="194">
        <f>I306-R306</f>
        <v>0</v>
      </c>
      <c r="U306" s="630">
        <v>0</v>
      </c>
    </row>
    <row r="307" spans="1:21" ht="25.5">
      <c r="A307" s="190" t="s">
        <v>466</v>
      </c>
      <c r="B307" s="191" t="s">
        <v>255</v>
      </c>
      <c r="C307" s="657" t="s">
        <v>265</v>
      </c>
      <c r="D307" s="192" t="s">
        <v>29</v>
      </c>
      <c r="E307" s="193">
        <v>7.33</v>
      </c>
      <c r="F307" s="194">
        <v>3966.02</v>
      </c>
      <c r="G307" s="194"/>
      <c r="H307" s="194"/>
      <c r="I307" s="193">
        <f t="shared" ref="I307" si="510">F307+G307-H307</f>
        <v>3966.02</v>
      </c>
      <c r="J307" s="193">
        <f t="shared" ref="J307" si="511">I307*E307</f>
        <v>29070.926599999999</v>
      </c>
      <c r="K307" s="193"/>
      <c r="L307" s="193"/>
      <c r="M307" s="622">
        <f t="shared" ref="M307" si="512">I307*E307</f>
        <v>29070.926599999999</v>
      </c>
      <c r="N307" s="194">
        <v>3966.02</v>
      </c>
      <c r="O307" s="622">
        <f t="shared" si="508"/>
        <v>29070.92</v>
      </c>
      <c r="P307" s="560">
        <v>0</v>
      </c>
      <c r="Q307" s="622">
        <f>S307-O307</f>
        <v>0</v>
      </c>
      <c r="R307" s="194">
        <f t="shared" ref="R307:R317" si="513">P307+N307</f>
        <v>3966.02</v>
      </c>
      <c r="S307" s="630">
        <f t="shared" si="509"/>
        <v>29070.92</v>
      </c>
      <c r="T307" s="194">
        <f t="shared" si="476"/>
        <v>0</v>
      </c>
      <c r="U307" s="630">
        <f t="shared" ref="U307" si="514">T307*E307</f>
        <v>0</v>
      </c>
    </row>
    <row r="308" spans="1:21" ht="25.5">
      <c r="A308" s="190" t="s">
        <v>467</v>
      </c>
      <c r="B308" s="191">
        <v>40328</v>
      </c>
      <c r="C308" s="657" t="s">
        <v>147</v>
      </c>
      <c r="D308" s="192" t="s">
        <v>29</v>
      </c>
      <c r="E308" s="193">
        <v>7.98</v>
      </c>
      <c r="F308" s="194">
        <v>1880</v>
      </c>
      <c r="G308" s="194"/>
      <c r="H308" s="194"/>
      <c r="I308" s="193">
        <f t="shared" ref="I308:I317" si="515">F308+G308-H308</f>
        <v>1880</v>
      </c>
      <c r="J308" s="193">
        <f t="shared" ref="J308:J317" si="516">I308*E308</f>
        <v>15002.400000000001</v>
      </c>
      <c r="K308" s="193"/>
      <c r="L308" s="193"/>
      <c r="M308" s="622">
        <f t="shared" ref="M308:M317" si="517">I308*E308</f>
        <v>15002.400000000001</v>
      </c>
      <c r="N308" s="194">
        <v>1880</v>
      </c>
      <c r="O308" s="622">
        <f t="shared" si="508"/>
        <v>15002.4</v>
      </c>
      <c r="P308" s="560">
        <v>0</v>
      </c>
      <c r="Q308" s="622">
        <f t="shared" ref="Q308:Q317" si="518">S308-O308</f>
        <v>0</v>
      </c>
      <c r="R308" s="194">
        <f t="shared" si="513"/>
        <v>1880</v>
      </c>
      <c r="S308" s="630">
        <f t="shared" si="509"/>
        <v>15002.4</v>
      </c>
      <c r="T308" s="194">
        <f t="shared" si="476"/>
        <v>0</v>
      </c>
      <c r="U308" s="635">
        <v>0</v>
      </c>
    </row>
    <row r="309" spans="1:21">
      <c r="A309" s="190" t="s">
        <v>468</v>
      </c>
      <c r="B309" s="191" t="s">
        <v>256</v>
      </c>
      <c r="C309" s="657" t="s">
        <v>266</v>
      </c>
      <c r="D309" s="192" t="s">
        <v>29</v>
      </c>
      <c r="E309" s="193">
        <v>11.02</v>
      </c>
      <c r="F309" s="194">
        <v>73</v>
      </c>
      <c r="G309" s="194"/>
      <c r="H309" s="194"/>
      <c r="I309" s="193">
        <f t="shared" si="515"/>
        <v>73</v>
      </c>
      <c r="J309" s="193">
        <f t="shared" si="516"/>
        <v>804.45999999999992</v>
      </c>
      <c r="K309" s="193"/>
      <c r="L309" s="193"/>
      <c r="M309" s="622">
        <f t="shared" si="517"/>
        <v>804.45999999999992</v>
      </c>
      <c r="N309" s="194">
        <v>73</v>
      </c>
      <c r="O309" s="622">
        <f t="shared" si="508"/>
        <v>804.46</v>
      </c>
      <c r="P309" s="560">
        <v>0</v>
      </c>
      <c r="Q309" s="622">
        <f t="shared" si="518"/>
        <v>0</v>
      </c>
      <c r="R309" s="194">
        <f t="shared" si="513"/>
        <v>73</v>
      </c>
      <c r="S309" s="630">
        <f t="shared" si="509"/>
        <v>804.46</v>
      </c>
      <c r="T309" s="194">
        <f t="shared" si="476"/>
        <v>0</v>
      </c>
      <c r="U309" s="635">
        <v>0</v>
      </c>
    </row>
    <row r="310" spans="1:21" ht="51">
      <c r="A310" s="190" t="s">
        <v>469</v>
      </c>
      <c r="B310" s="191" t="s">
        <v>257</v>
      </c>
      <c r="C310" s="657" t="s">
        <v>267</v>
      </c>
      <c r="D310" s="192" t="s">
        <v>58</v>
      </c>
      <c r="E310" s="193">
        <v>777.83</v>
      </c>
      <c r="F310" s="194">
        <v>28.05</v>
      </c>
      <c r="G310" s="194"/>
      <c r="H310" s="194"/>
      <c r="I310" s="193">
        <f t="shared" si="515"/>
        <v>28.05</v>
      </c>
      <c r="J310" s="193">
        <f t="shared" si="516"/>
        <v>21818.131500000003</v>
      </c>
      <c r="K310" s="193"/>
      <c r="L310" s="193"/>
      <c r="M310" s="622">
        <f t="shared" si="517"/>
        <v>21818.131500000003</v>
      </c>
      <c r="N310" s="194">
        <v>28.05</v>
      </c>
      <c r="O310" s="622">
        <f t="shared" si="508"/>
        <v>21818.13</v>
      </c>
      <c r="P310" s="560">
        <v>0</v>
      </c>
      <c r="Q310" s="622">
        <f t="shared" si="518"/>
        <v>0</v>
      </c>
      <c r="R310" s="194">
        <f t="shared" si="513"/>
        <v>28.05</v>
      </c>
      <c r="S310" s="630">
        <f t="shared" si="509"/>
        <v>21818.13</v>
      </c>
      <c r="T310" s="194">
        <f t="shared" si="476"/>
        <v>0</v>
      </c>
      <c r="U310" s="635">
        <v>0</v>
      </c>
    </row>
    <row r="311" spans="1:21" ht="25.5">
      <c r="A311" s="190" t="s">
        <v>470</v>
      </c>
      <c r="B311" s="191" t="s">
        <v>258</v>
      </c>
      <c r="C311" s="657" t="s">
        <v>268</v>
      </c>
      <c r="D311" s="192" t="s">
        <v>49</v>
      </c>
      <c r="E311" s="193">
        <v>641.15</v>
      </c>
      <c r="F311" s="194">
        <v>113.84</v>
      </c>
      <c r="G311" s="194"/>
      <c r="H311" s="194"/>
      <c r="I311" s="193">
        <f t="shared" si="515"/>
        <v>113.84</v>
      </c>
      <c r="J311" s="193">
        <f t="shared" si="516"/>
        <v>72988.516000000003</v>
      </c>
      <c r="K311" s="193"/>
      <c r="L311" s="193"/>
      <c r="M311" s="622">
        <f t="shared" si="517"/>
        <v>72988.516000000003</v>
      </c>
      <c r="N311" s="194">
        <v>113.84</v>
      </c>
      <c r="O311" s="622">
        <f t="shared" si="508"/>
        <v>72988.509999999995</v>
      </c>
      <c r="P311" s="194">
        <v>0</v>
      </c>
      <c r="Q311" s="622">
        <f t="shared" si="518"/>
        <v>0</v>
      </c>
      <c r="R311" s="194">
        <f t="shared" si="513"/>
        <v>113.84</v>
      </c>
      <c r="S311" s="630">
        <f t="shared" si="509"/>
        <v>72988.509999999995</v>
      </c>
      <c r="T311" s="194">
        <f t="shared" si="476"/>
        <v>0</v>
      </c>
      <c r="U311" s="635">
        <v>0</v>
      </c>
    </row>
    <row r="312" spans="1:21" ht="25.5">
      <c r="A312" s="190" t="s">
        <v>471</v>
      </c>
      <c r="B312" s="191" t="s">
        <v>259</v>
      </c>
      <c r="C312" s="657" t="s">
        <v>269</v>
      </c>
      <c r="D312" s="192" t="s">
        <v>72</v>
      </c>
      <c r="E312" s="193">
        <v>14345.61</v>
      </c>
      <c r="F312" s="194">
        <v>4</v>
      </c>
      <c r="G312" s="194"/>
      <c r="H312" s="194"/>
      <c r="I312" s="193">
        <f t="shared" si="515"/>
        <v>4</v>
      </c>
      <c r="J312" s="193">
        <f t="shared" si="516"/>
        <v>57382.44</v>
      </c>
      <c r="K312" s="193"/>
      <c r="L312" s="193"/>
      <c r="M312" s="622">
        <f t="shared" si="517"/>
        <v>57382.44</v>
      </c>
      <c r="N312" s="194">
        <v>4</v>
      </c>
      <c r="O312" s="622">
        <f t="shared" si="508"/>
        <v>57382.44</v>
      </c>
      <c r="P312" s="194">
        <v>0</v>
      </c>
      <c r="Q312" s="622">
        <f t="shared" si="518"/>
        <v>0</v>
      </c>
      <c r="R312" s="194">
        <f t="shared" si="513"/>
        <v>4</v>
      </c>
      <c r="S312" s="630">
        <f t="shared" si="509"/>
        <v>57382.44</v>
      </c>
      <c r="T312" s="194">
        <f>I312-R312</f>
        <v>0</v>
      </c>
      <c r="U312" s="635">
        <f>T312*E312</f>
        <v>0</v>
      </c>
    </row>
    <row r="313" spans="1:21" ht="25.5">
      <c r="A313" s="190" t="s">
        <v>472</v>
      </c>
      <c r="B313" s="191" t="s">
        <v>260</v>
      </c>
      <c r="C313" s="657" t="s">
        <v>270</v>
      </c>
      <c r="D313" s="192" t="s">
        <v>72</v>
      </c>
      <c r="E313" s="193">
        <v>5478.19</v>
      </c>
      <c r="F313" s="194">
        <v>2</v>
      </c>
      <c r="G313" s="194"/>
      <c r="H313" s="194"/>
      <c r="I313" s="193">
        <f t="shared" si="515"/>
        <v>2</v>
      </c>
      <c r="J313" s="193">
        <f t="shared" si="516"/>
        <v>10956.38</v>
      </c>
      <c r="K313" s="193"/>
      <c r="L313" s="193"/>
      <c r="M313" s="622">
        <f t="shared" si="517"/>
        <v>10956.38</v>
      </c>
      <c r="N313" s="194">
        <v>2</v>
      </c>
      <c r="O313" s="622">
        <f t="shared" si="508"/>
        <v>10956.38</v>
      </c>
      <c r="P313" s="194">
        <v>0</v>
      </c>
      <c r="Q313" s="622">
        <f t="shared" si="518"/>
        <v>0</v>
      </c>
      <c r="R313" s="194">
        <f t="shared" si="513"/>
        <v>2</v>
      </c>
      <c r="S313" s="630">
        <f t="shared" si="509"/>
        <v>10956.38</v>
      </c>
      <c r="T313" s="194">
        <f t="shared" si="476"/>
        <v>0</v>
      </c>
      <c r="U313" s="635">
        <v>0</v>
      </c>
    </row>
    <row r="314" spans="1:21" ht="38.25">
      <c r="A314" s="190" t="s">
        <v>473</v>
      </c>
      <c r="B314" s="191">
        <v>40817</v>
      </c>
      <c r="C314" s="657" t="s">
        <v>271</v>
      </c>
      <c r="D314" s="192" t="s">
        <v>58</v>
      </c>
      <c r="E314" s="193">
        <v>3001.6</v>
      </c>
      <c r="F314" s="194">
        <v>0.03</v>
      </c>
      <c r="G314" s="194"/>
      <c r="H314" s="194"/>
      <c r="I314" s="193">
        <f>F314+G314-H314</f>
        <v>0.03</v>
      </c>
      <c r="J314" s="193">
        <f t="shared" si="516"/>
        <v>90.047999999999988</v>
      </c>
      <c r="K314" s="193"/>
      <c r="L314" s="193"/>
      <c r="M314" s="622">
        <f t="shared" si="517"/>
        <v>90.047999999999988</v>
      </c>
      <c r="N314" s="194">
        <v>0.03</v>
      </c>
      <c r="O314" s="622">
        <f t="shared" si="508"/>
        <v>90.04</v>
      </c>
      <c r="P314" s="560">
        <v>0</v>
      </c>
      <c r="Q314" s="622">
        <f t="shared" si="518"/>
        <v>0</v>
      </c>
      <c r="R314" s="194">
        <f t="shared" si="513"/>
        <v>0.03</v>
      </c>
      <c r="S314" s="630">
        <f t="shared" si="509"/>
        <v>90.04</v>
      </c>
      <c r="T314" s="194">
        <f t="shared" si="476"/>
        <v>0</v>
      </c>
      <c r="U314" s="630">
        <f>T314*E314</f>
        <v>0</v>
      </c>
    </row>
    <row r="315" spans="1:21" ht="36.75" customHeight="1">
      <c r="A315" s="190" t="s">
        <v>474</v>
      </c>
      <c r="B315" s="191" t="s">
        <v>261</v>
      </c>
      <c r="C315" s="657" t="s">
        <v>272</v>
      </c>
      <c r="D315" s="192" t="s">
        <v>72</v>
      </c>
      <c r="E315" s="193">
        <v>2011.04</v>
      </c>
      <c r="F315" s="194">
        <v>15</v>
      </c>
      <c r="G315" s="194"/>
      <c r="H315" s="194"/>
      <c r="I315" s="193">
        <f t="shared" si="515"/>
        <v>15</v>
      </c>
      <c r="J315" s="193">
        <f t="shared" si="516"/>
        <v>30165.599999999999</v>
      </c>
      <c r="K315" s="193"/>
      <c r="L315" s="193"/>
      <c r="M315" s="622">
        <f t="shared" si="517"/>
        <v>30165.599999999999</v>
      </c>
      <c r="N315" s="194">
        <v>15</v>
      </c>
      <c r="O315" s="622">
        <f t="shared" si="508"/>
        <v>30165.599999999999</v>
      </c>
      <c r="P315" s="194">
        <v>0</v>
      </c>
      <c r="Q315" s="622">
        <f t="shared" si="518"/>
        <v>0</v>
      </c>
      <c r="R315" s="194">
        <f t="shared" si="513"/>
        <v>15</v>
      </c>
      <c r="S315" s="630">
        <f t="shared" si="509"/>
        <v>30165.599999999999</v>
      </c>
      <c r="T315" s="194">
        <f t="shared" si="476"/>
        <v>0</v>
      </c>
      <c r="U315" s="630">
        <f>T315*E315</f>
        <v>0</v>
      </c>
    </row>
    <row r="316" spans="1:21" ht="25.5">
      <c r="A316" s="190" t="s">
        <v>475</v>
      </c>
      <c r="B316" s="191" t="s">
        <v>262</v>
      </c>
      <c r="C316" s="657" t="s">
        <v>273</v>
      </c>
      <c r="D316" s="192" t="s">
        <v>72</v>
      </c>
      <c r="E316" s="193">
        <v>28185.33</v>
      </c>
      <c r="F316" s="194">
        <v>1</v>
      </c>
      <c r="G316" s="194"/>
      <c r="H316" s="194"/>
      <c r="I316" s="193">
        <f t="shared" si="515"/>
        <v>1</v>
      </c>
      <c r="J316" s="193">
        <f t="shared" si="516"/>
        <v>28185.33</v>
      </c>
      <c r="K316" s="193"/>
      <c r="L316" s="193"/>
      <c r="M316" s="622">
        <f t="shared" si="517"/>
        <v>28185.33</v>
      </c>
      <c r="N316" s="194">
        <v>1</v>
      </c>
      <c r="O316" s="622">
        <f t="shared" si="508"/>
        <v>28185.33</v>
      </c>
      <c r="P316" s="194">
        <v>0</v>
      </c>
      <c r="Q316" s="622">
        <f t="shared" si="518"/>
        <v>0</v>
      </c>
      <c r="R316" s="194">
        <f t="shared" si="513"/>
        <v>1</v>
      </c>
      <c r="S316" s="630">
        <f t="shared" si="509"/>
        <v>28185.33</v>
      </c>
      <c r="T316" s="194">
        <f t="shared" si="476"/>
        <v>0</v>
      </c>
      <c r="U316" s="630">
        <f>T316*E316</f>
        <v>0</v>
      </c>
    </row>
    <row r="317" spans="1:21">
      <c r="A317" s="190" t="s">
        <v>476</v>
      </c>
      <c r="B317" s="191" t="s">
        <v>263</v>
      </c>
      <c r="C317" s="657" t="s">
        <v>274</v>
      </c>
      <c r="D317" s="192" t="s">
        <v>72</v>
      </c>
      <c r="E317" s="193">
        <v>340.73</v>
      </c>
      <c r="F317" s="194">
        <v>2</v>
      </c>
      <c r="G317" s="194"/>
      <c r="H317" s="194"/>
      <c r="I317" s="193">
        <f t="shared" si="515"/>
        <v>2</v>
      </c>
      <c r="J317" s="193">
        <f t="shared" si="516"/>
        <v>681.46</v>
      </c>
      <c r="K317" s="193"/>
      <c r="L317" s="193"/>
      <c r="M317" s="622">
        <f t="shared" si="517"/>
        <v>681.46</v>
      </c>
      <c r="N317" s="194">
        <v>2</v>
      </c>
      <c r="O317" s="622">
        <f t="shared" si="508"/>
        <v>681.46</v>
      </c>
      <c r="P317" s="264">
        <v>0</v>
      </c>
      <c r="Q317" s="625">
        <f t="shared" si="518"/>
        <v>0</v>
      </c>
      <c r="R317" s="194">
        <f t="shared" si="513"/>
        <v>2</v>
      </c>
      <c r="S317" s="630">
        <f t="shared" si="509"/>
        <v>681.46</v>
      </c>
      <c r="T317" s="194">
        <f t="shared" si="476"/>
        <v>0</v>
      </c>
      <c r="U317" s="635">
        <v>0</v>
      </c>
    </row>
    <row r="318" spans="1:21">
      <c r="A318" s="190" t="s">
        <v>1178</v>
      </c>
      <c r="B318" s="191" t="s">
        <v>1118</v>
      </c>
      <c r="C318" s="657" t="s">
        <v>1119</v>
      </c>
      <c r="D318" s="192" t="s">
        <v>10</v>
      </c>
      <c r="E318" s="193">
        <v>13295.45</v>
      </c>
      <c r="F318" s="194">
        <v>0</v>
      </c>
      <c r="G318" s="194">
        <v>1</v>
      </c>
      <c r="H318" s="194">
        <v>0</v>
      </c>
      <c r="I318" s="193">
        <f>F318+G318</f>
        <v>1</v>
      </c>
      <c r="J318" s="193">
        <f>F318*E318</f>
        <v>0</v>
      </c>
      <c r="K318" s="193">
        <f>G318*E318</f>
        <v>13295.45</v>
      </c>
      <c r="L318" s="193"/>
      <c r="M318" s="622">
        <f>I318*E318</f>
        <v>13295.45</v>
      </c>
      <c r="N318" s="194">
        <v>1</v>
      </c>
      <c r="O318" s="622">
        <f>N318*E318</f>
        <v>13295.45</v>
      </c>
      <c r="P318" s="194"/>
      <c r="Q318" s="622">
        <f>P318*E318</f>
        <v>0</v>
      </c>
      <c r="R318" s="194">
        <v>1</v>
      </c>
      <c r="S318" s="630">
        <v>13295.45</v>
      </c>
      <c r="T318" s="194">
        <f>I318-R318</f>
        <v>0</v>
      </c>
      <c r="U318" s="630">
        <v>0</v>
      </c>
    </row>
    <row r="319" spans="1:21">
      <c r="A319" s="138"/>
      <c r="B319" s="132"/>
      <c r="C319" s="123"/>
      <c r="D319" s="123"/>
      <c r="E319" s="123"/>
      <c r="F319" s="123"/>
      <c r="G319" s="123"/>
      <c r="H319" s="123"/>
      <c r="I319" s="123"/>
      <c r="J319" s="123"/>
      <c r="K319" s="123"/>
      <c r="L319" s="123"/>
      <c r="M319" s="623"/>
      <c r="N319" s="123"/>
      <c r="O319" s="623"/>
      <c r="P319" s="123"/>
      <c r="Q319" s="623"/>
      <c r="R319" s="123"/>
      <c r="S319" s="631"/>
      <c r="T319" s="123"/>
      <c r="U319" s="631"/>
    </row>
    <row r="320" spans="1:21" s="131" customFormat="1">
      <c r="A320" s="137" t="s">
        <v>477</v>
      </c>
      <c r="B320" s="133"/>
      <c r="C320" s="658" t="s">
        <v>276</v>
      </c>
      <c r="D320" s="126"/>
      <c r="E320" s="127"/>
      <c r="F320" s="128"/>
      <c r="G320" s="128"/>
      <c r="H320" s="128"/>
      <c r="I320" s="129"/>
      <c r="J320" s="129">
        <f>SUBTOTAL(9,J321:J321)</f>
        <v>2219.4899999999998</v>
      </c>
      <c r="K320" s="129"/>
      <c r="L320" s="129"/>
      <c r="M320" s="624"/>
      <c r="N320" s="130"/>
      <c r="O320" s="624">
        <f>SUBTOTAL(9,O321:O321)</f>
        <v>2219.4899999999998</v>
      </c>
      <c r="P320" s="130"/>
      <c r="Q320" s="624">
        <f>SUBTOTAL(9,Q321:Q321)</f>
        <v>0</v>
      </c>
      <c r="R320" s="129"/>
      <c r="S320" s="624">
        <f>SUBTOTAL(9,S321:S321)</f>
        <v>2219.4899999999998</v>
      </c>
      <c r="T320" s="129">
        <f t="shared" si="476"/>
        <v>0</v>
      </c>
      <c r="U320" s="624">
        <f>SUM(U321)</f>
        <v>0</v>
      </c>
    </row>
    <row r="321" spans="1:21" ht="25.5">
      <c r="A321" s="190" t="s">
        <v>478</v>
      </c>
      <c r="B321" s="191" t="s">
        <v>479</v>
      </c>
      <c r="C321" s="657" t="s">
        <v>480</v>
      </c>
      <c r="D321" s="192" t="s">
        <v>72</v>
      </c>
      <c r="E321" s="193">
        <v>2219.4899999999998</v>
      </c>
      <c r="F321" s="194">
        <v>1</v>
      </c>
      <c r="G321" s="194"/>
      <c r="H321" s="194"/>
      <c r="I321" s="193">
        <f t="shared" ref="I321" si="519">F321+G321-H321</f>
        <v>1</v>
      </c>
      <c r="J321" s="193">
        <f t="shared" ref="J321" si="520">I321*E321</f>
        <v>2219.4899999999998</v>
      </c>
      <c r="K321" s="193"/>
      <c r="L321" s="193"/>
      <c r="M321" s="622">
        <f t="shared" ref="M321" si="521">I321*E321</f>
        <v>2219.4899999999998</v>
      </c>
      <c r="N321" s="194">
        <v>1</v>
      </c>
      <c r="O321" s="622">
        <f t="shared" ref="O321" si="522">TRUNC(N321*E321,2)</f>
        <v>2219.4899999999998</v>
      </c>
      <c r="P321" s="194">
        <v>0</v>
      </c>
      <c r="Q321" s="622">
        <f t="shared" ref="Q321" si="523">S321-O321</f>
        <v>0</v>
      </c>
      <c r="R321" s="194">
        <f t="shared" ref="R321" si="524">P321+N321</f>
        <v>1</v>
      </c>
      <c r="S321" s="630">
        <f t="shared" ref="S321" si="525">TRUNC(R321*E321,2)</f>
        <v>2219.4899999999998</v>
      </c>
      <c r="T321" s="194">
        <f t="shared" si="476"/>
        <v>0</v>
      </c>
      <c r="U321" s="630">
        <f>T321*E321</f>
        <v>0</v>
      </c>
    </row>
    <row r="322" spans="1:21">
      <c r="A322" s="138"/>
      <c r="B322" s="132"/>
      <c r="C322" s="123"/>
      <c r="D322" s="123"/>
      <c r="E322" s="123"/>
      <c r="F322" s="123"/>
      <c r="G322" s="123"/>
      <c r="H322" s="123"/>
      <c r="I322" s="123"/>
      <c r="J322" s="123"/>
      <c r="K322" s="123"/>
      <c r="L322" s="123"/>
      <c r="M322" s="623"/>
      <c r="N322" s="123"/>
      <c r="O322" s="623"/>
      <c r="P322" s="123"/>
      <c r="Q322" s="623"/>
      <c r="R322" s="123"/>
      <c r="S322" s="631"/>
      <c r="T322" s="123"/>
      <c r="U322" s="631"/>
    </row>
    <row r="323" spans="1:21" s="131" customFormat="1">
      <c r="A323" s="137" t="s">
        <v>481</v>
      </c>
      <c r="B323" s="133"/>
      <c r="C323" s="658" t="s">
        <v>281</v>
      </c>
      <c r="D323" s="126"/>
      <c r="E323" s="127"/>
      <c r="F323" s="128"/>
      <c r="G323" s="128"/>
      <c r="H323" s="128"/>
      <c r="I323" s="129"/>
      <c r="J323" s="129">
        <f>SUBTOTAL(9,J324:J337)</f>
        <v>181656.53399999999</v>
      </c>
      <c r="K323" s="129"/>
      <c r="L323" s="129"/>
      <c r="M323" s="624"/>
      <c r="N323" s="130"/>
      <c r="O323" s="624">
        <f>SUBTOTAL(9,O324:O337)</f>
        <v>202184.79</v>
      </c>
      <c r="P323" s="130"/>
      <c r="Q323" s="624">
        <f>SUBTOTAL(9,Q324:Q341)</f>
        <v>0</v>
      </c>
      <c r="R323" s="129"/>
      <c r="S323" s="624">
        <f>SUBTOTAL(9,S324:S337)</f>
        <v>202184.79</v>
      </c>
      <c r="T323" s="129">
        <f t="shared" si="476"/>
        <v>0</v>
      </c>
      <c r="U323" s="624">
        <f>SUM(U324:U341)</f>
        <v>0</v>
      </c>
    </row>
    <row r="324" spans="1:21" ht="38.25">
      <c r="A324" s="190" t="s">
        <v>482</v>
      </c>
      <c r="B324" s="191" t="s">
        <v>496</v>
      </c>
      <c r="C324" s="657" t="s">
        <v>499</v>
      </c>
      <c r="D324" s="192" t="s">
        <v>315</v>
      </c>
      <c r="E324" s="193">
        <v>11945.63</v>
      </c>
      <c r="F324" s="194">
        <v>2</v>
      </c>
      <c r="G324" s="194"/>
      <c r="H324" s="194"/>
      <c r="I324" s="193">
        <f t="shared" ref="I324" si="526">F324+G324-H324</f>
        <v>2</v>
      </c>
      <c r="J324" s="193">
        <f t="shared" ref="J324" si="527">I324*E324</f>
        <v>23891.26</v>
      </c>
      <c r="K324" s="193"/>
      <c r="L324" s="193"/>
      <c r="M324" s="622">
        <f t="shared" ref="M324" si="528">I324*E324</f>
        <v>23891.26</v>
      </c>
      <c r="N324" s="194">
        <v>2</v>
      </c>
      <c r="O324" s="622">
        <f t="shared" ref="O324:O337" si="529">TRUNC(N324*E324,2)</f>
        <v>23891.26</v>
      </c>
      <c r="P324" s="194">
        <v>0</v>
      </c>
      <c r="Q324" s="622">
        <f t="shared" ref="Q324:Q337" si="530">S324-O324</f>
        <v>0</v>
      </c>
      <c r="R324" s="194">
        <f t="shared" ref="R324:R337" si="531">P324+N324</f>
        <v>2</v>
      </c>
      <c r="S324" s="630">
        <f t="shared" ref="S324:S337" si="532">TRUNC(R324*E324,2)</f>
        <v>23891.26</v>
      </c>
      <c r="T324" s="194">
        <f t="shared" si="476"/>
        <v>0</v>
      </c>
      <c r="U324" s="630">
        <v>0</v>
      </c>
    </row>
    <row r="325" spans="1:21" s="659" customFormat="1" ht="25.5">
      <c r="A325" s="555" t="s">
        <v>483</v>
      </c>
      <c r="B325" s="556" t="s">
        <v>295</v>
      </c>
      <c r="C325" s="660" t="s">
        <v>305</v>
      </c>
      <c r="D325" s="557" t="s">
        <v>51</v>
      </c>
      <c r="E325" s="558">
        <v>1268.83</v>
      </c>
      <c r="F325" s="559">
        <v>35.799999999999997</v>
      </c>
      <c r="G325" s="559">
        <v>0</v>
      </c>
      <c r="H325" s="559">
        <f>F325</f>
        <v>35.799999999999997</v>
      </c>
      <c r="I325" s="558">
        <f t="shared" ref="I325:I331" si="533">F325+G325-H325</f>
        <v>0</v>
      </c>
      <c r="J325" s="558">
        <f t="shared" ref="J325:J331" si="534">F325*E325</f>
        <v>45424.113999999994</v>
      </c>
      <c r="K325" s="558">
        <f t="shared" ref="K325:K331" si="535">G325*E325</f>
        <v>0</v>
      </c>
      <c r="L325" s="558">
        <f t="shared" ref="L325:L331" si="536">H325*E325</f>
        <v>45424.113999999994</v>
      </c>
      <c r="M325" s="626">
        <f t="shared" ref="M325:M331" si="537">I325*E325</f>
        <v>0</v>
      </c>
      <c r="N325" s="559">
        <v>0</v>
      </c>
      <c r="O325" s="626">
        <f t="shared" si="529"/>
        <v>0</v>
      </c>
      <c r="P325" s="559">
        <f>IFERROR(VLOOKUP(A325,#REF!,18,FALSE),)</f>
        <v>0</v>
      </c>
      <c r="Q325" s="626">
        <f t="shared" si="530"/>
        <v>0</v>
      </c>
      <c r="R325" s="559">
        <f t="shared" si="531"/>
        <v>0</v>
      </c>
      <c r="S325" s="632">
        <f t="shared" si="532"/>
        <v>0</v>
      </c>
      <c r="T325" s="559">
        <v>0</v>
      </c>
      <c r="U325" s="632"/>
    </row>
    <row r="326" spans="1:21" ht="29.25" customHeight="1">
      <c r="A326" s="190" t="s">
        <v>484</v>
      </c>
      <c r="B326" s="191" t="s">
        <v>296</v>
      </c>
      <c r="C326" s="657" t="s">
        <v>306</v>
      </c>
      <c r="D326" s="192" t="s">
        <v>51</v>
      </c>
      <c r="E326" s="193">
        <v>294.97000000000003</v>
      </c>
      <c r="F326" s="194">
        <v>35.799999999999997</v>
      </c>
      <c r="G326" s="194">
        <f>REPLANILHAMENTO!H283</f>
        <v>138.19999999999999</v>
      </c>
      <c r="H326" s="194"/>
      <c r="I326" s="193">
        <f t="shared" si="533"/>
        <v>174</v>
      </c>
      <c r="J326" s="193">
        <f t="shared" si="534"/>
        <v>10559.925999999999</v>
      </c>
      <c r="K326" s="193">
        <f t="shared" si="535"/>
        <v>40764.853999999999</v>
      </c>
      <c r="L326" s="193">
        <f t="shared" si="536"/>
        <v>0</v>
      </c>
      <c r="M326" s="622">
        <f t="shared" si="537"/>
        <v>51324.780000000006</v>
      </c>
      <c r="N326" s="194">
        <f>'3.4.3.3'!R19</f>
        <v>174</v>
      </c>
      <c r="O326" s="622">
        <f t="shared" si="529"/>
        <v>51324.78</v>
      </c>
      <c r="P326" s="194">
        <f>'3.4.3.3'!R20</f>
        <v>0</v>
      </c>
      <c r="Q326" s="622">
        <f t="shared" si="530"/>
        <v>0</v>
      </c>
      <c r="R326" s="194">
        <f t="shared" si="531"/>
        <v>174</v>
      </c>
      <c r="S326" s="630">
        <f t="shared" si="532"/>
        <v>51324.78</v>
      </c>
      <c r="T326" s="194">
        <f>I326-R326</f>
        <v>0</v>
      </c>
      <c r="U326" s="630">
        <f>T326*E326</f>
        <v>0</v>
      </c>
    </row>
    <row r="327" spans="1:21" s="659" customFormat="1">
      <c r="A327" s="555" t="s">
        <v>485</v>
      </c>
      <c r="B327" s="556" t="s">
        <v>297</v>
      </c>
      <c r="C327" s="660" t="s">
        <v>307</v>
      </c>
      <c r="D327" s="557" t="s">
        <v>51</v>
      </c>
      <c r="E327" s="558">
        <v>309.62</v>
      </c>
      <c r="F327" s="559">
        <v>2.8</v>
      </c>
      <c r="G327" s="559"/>
      <c r="H327" s="559">
        <f>F327</f>
        <v>2.8</v>
      </c>
      <c r="I327" s="558">
        <f t="shared" si="533"/>
        <v>0</v>
      </c>
      <c r="J327" s="558">
        <f t="shared" si="534"/>
        <v>866.93599999999992</v>
      </c>
      <c r="K327" s="558">
        <f t="shared" si="535"/>
        <v>0</v>
      </c>
      <c r="L327" s="558">
        <f t="shared" si="536"/>
        <v>866.93599999999992</v>
      </c>
      <c r="M327" s="626">
        <f t="shared" si="537"/>
        <v>0</v>
      </c>
      <c r="N327" s="559">
        <v>0</v>
      </c>
      <c r="O327" s="626">
        <f t="shared" si="529"/>
        <v>0</v>
      </c>
      <c r="P327" s="559">
        <f>IFERROR(VLOOKUP(A327,#REF!,18,FALSE),)</f>
        <v>0</v>
      </c>
      <c r="Q327" s="626">
        <f t="shared" si="530"/>
        <v>0</v>
      </c>
      <c r="R327" s="559">
        <f t="shared" si="531"/>
        <v>0</v>
      </c>
      <c r="S327" s="632">
        <f t="shared" si="532"/>
        <v>0</v>
      </c>
      <c r="T327" s="559"/>
      <c r="U327" s="632"/>
    </row>
    <row r="328" spans="1:21" ht="29.25" customHeight="1">
      <c r="A328" s="190" t="s">
        <v>486</v>
      </c>
      <c r="B328" s="191" t="s">
        <v>298</v>
      </c>
      <c r="C328" s="657" t="s">
        <v>308</v>
      </c>
      <c r="D328" s="192" t="s">
        <v>51</v>
      </c>
      <c r="E328" s="193">
        <v>358.26</v>
      </c>
      <c r="F328" s="194">
        <v>2.8</v>
      </c>
      <c r="G328" s="194">
        <v>171.2</v>
      </c>
      <c r="H328" s="194"/>
      <c r="I328" s="193">
        <f t="shared" si="533"/>
        <v>174</v>
      </c>
      <c r="J328" s="193">
        <f t="shared" si="534"/>
        <v>1003.1279999999999</v>
      </c>
      <c r="K328" s="193">
        <f t="shared" si="535"/>
        <v>61334.111999999994</v>
      </c>
      <c r="L328" s="193">
        <f t="shared" si="536"/>
        <v>0</v>
      </c>
      <c r="M328" s="622">
        <f t="shared" si="537"/>
        <v>62337.24</v>
      </c>
      <c r="N328" s="194">
        <f>'3.4.3.5'!R19</f>
        <v>174</v>
      </c>
      <c r="O328" s="622">
        <f t="shared" si="529"/>
        <v>62337.24</v>
      </c>
      <c r="P328" s="194">
        <f>'3.4.3.5'!R20</f>
        <v>0</v>
      </c>
      <c r="Q328" s="622">
        <f t="shared" si="530"/>
        <v>0</v>
      </c>
      <c r="R328" s="194">
        <f t="shared" si="531"/>
        <v>174</v>
      </c>
      <c r="S328" s="630">
        <f t="shared" si="532"/>
        <v>62337.24</v>
      </c>
      <c r="T328" s="194">
        <f>I328-R328</f>
        <v>0</v>
      </c>
      <c r="U328" s="630">
        <f>T328*E328</f>
        <v>0</v>
      </c>
    </row>
    <row r="329" spans="1:21" s="659" customFormat="1" ht="25.5">
      <c r="A329" s="555" t="s">
        <v>487</v>
      </c>
      <c r="B329" s="556" t="s">
        <v>497</v>
      </c>
      <c r="C329" s="660" t="s">
        <v>500</v>
      </c>
      <c r="D329" s="557" t="s">
        <v>51</v>
      </c>
      <c r="E329" s="558">
        <v>3440.35</v>
      </c>
      <c r="F329" s="559">
        <v>8</v>
      </c>
      <c r="G329" s="559"/>
      <c r="H329" s="559">
        <f>F329</f>
        <v>8</v>
      </c>
      <c r="I329" s="558">
        <f t="shared" si="533"/>
        <v>0</v>
      </c>
      <c r="J329" s="558">
        <f t="shared" si="534"/>
        <v>27522.799999999999</v>
      </c>
      <c r="K329" s="558">
        <f t="shared" si="535"/>
        <v>0</v>
      </c>
      <c r="L329" s="558">
        <f t="shared" si="536"/>
        <v>27522.799999999999</v>
      </c>
      <c r="M329" s="626">
        <f t="shared" si="537"/>
        <v>0</v>
      </c>
      <c r="N329" s="559">
        <v>0</v>
      </c>
      <c r="O329" s="626">
        <f t="shared" ref="O329:O330" si="538">TRUNC(N329*E329,2)</f>
        <v>0</v>
      </c>
      <c r="P329" s="559">
        <f>IFERROR(VLOOKUP(A329,#REF!,18,FALSE),)</f>
        <v>0</v>
      </c>
      <c r="Q329" s="626">
        <f t="shared" ref="Q329:Q330" si="539">S329-O329</f>
        <v>0</v>
      </c>
      <c r="R329" s="559">
        <f t="shared" ref="R329:R330" si="540">P329+N329</f>
        <v>0</v>
      </c>
      <c r="S329" s="632">
        <f t="shared" ref="S329:S330" si="541">TRUNC(R329*E329,2)</f>
        <v>0</v>
      </c>
      <c r="T329" s="559">
        <v>0</v>
      </c>
      <c r="U329" s="632"/>
    </row>
    <row r="330" spans="1:21" ht="50.25" customHeight="1">
      <c r="A330" s="190" t="s">
        <v>488</v>
      </c>
      <c r="B330" s="191" t="s">
        <v>498</v>
      </c>
      <c r="C330" s="657" t="s">
        <v>501</v>
      </c>
      <c r="D330" s="192" t="s">
        <v>51</v>
      </c>
      <c r="E330" s="193">
        <v>2019.23</v>
      </c>
      <c r="F330" s="194">
        <v>8</v>
      </c>
      <c r="G330" s="194">
        <f>REPLANILHAMENTO!H289</f>
        <v>23.200000000000003</v>
      </c>
      <c r="H330" s="194"/>
      <c r="I330" s="193">
        <f t="shared" si="533"/>
        <v>31.200000000000003</v>
      </c>
      <c r="J330" s="193">
        <f t="shared" si="534"/>
        <v>16153.84</v>
      </c>
      <c r="K330" s="193">
        <f t="shared" si="535"/>
        <v>46846.136000000006</v>
      </c>
      <c r="L330" s="193">
        <f t="shared" si="536"/>
        <v>0</v>
      </c>
      <c r="M330" s="622">
        <f t="shared" si="537"/>
        <v>62999.97600000001</v>
      </c>
      <c r="N330" s="194">
        <f>'3.4.3.7'!R19</f>
        <v>31.2</v>
      </c>
      <c r="O330" s="622">
        <f t="shared" si="538"/>
        <v>62999.97</v>
      </c>
      <c r="P330" s="194">
        <f>'3.4.3.7'!R20</f>
        <v>0</v>
      </c>
      <c r="Q330" s="622">
        <f t="shared" si="539"/>
        <v>0</v>
      </c>
      <c r="R330" s="194">
        <f t="shared" si="540"/>
        <v>31.2</v>
      </c>
      <c r="S330" s="630">
        <f t="shared" si="541"/>
        <v>62999.97</v>
      </c>
      <c r="T330" s="194">
        <f>I330-R330</f>
        <v>0</v>
      </c>
      <c r="U330" s="630">
        <f>T330*E330</f>
        <v>0</v>
      </c>
    </row>
    <row r="331" spans="1:21" s="659" customFormat="1" ht="25.5">
      <c r="A331" s="555" t="s">
        <v>489</v>
      </c>
      <c r="B331" s="556" t="s">
        <v>299</v>
      </c>
      <c r="C331" s="660" t="s">
        <v>309</v>
      </c>
      <c r="D331" s="557" t="s">
        <v>29</v>
      </c>
      <c r="E331" s="558">
        <v>8.1199999999999992</v>
      </c>
      <c r="F331" s="559">
        <v>3870</v>
      </c>
      <c r="G331" s="559"/>
      <c r="H331" s="559">
        <f>F331</f>
        <v>3870</v>
      </c>
      <c r="I331" s="558">
        <f t="shared" si="533"/>
        <v>0</v>
      </c>
      <c r="J331" s="558">
        <f t="shared" si="534"/>
        <v>31424.399999999998</v>
      </c>
      <c r="K331" s="558">
        <f t="shared" si="535"/>
        <v>0</v>
      </c>
      <c r="L331" s="558">
        <f t="shared" si="536"/>
        <v>31424.399999999998</v>
      </c>
      <c r="M331" s="626">
        <f t="shared" si="537"/>
        <v>0</v>
      </c>
      <c r="N331" s="559">
        <v>0</v>
      </c>
      <c r="O331" s="626">
        <f t="shared" si="529"/>
        <v>0</v>
      </c>
      <c r="P331" s="559">
        <f>IFERROR(VLOOKUP(A331,#REF!,18,FALSE),)</f>
        <v>0</v>
      </c>
      <c r="Q331" s="626">
        <f t="shared" si="530"/>
        <v>0</v>
      </c>
      <c r="R331" s="559">
        <f t="shared" si="531"/>
        <v>0</v>
      </c>
      <c r="S331" s="632">
        <f t="shared" si="532"/>
        <v>0</v>
      </c>
      <c r="T331" s="559"/>
      <c r="U331" s="632"/>
    </row>
    <row r="332" spans="1:21" s="659" customFormat="1">
      <c r="A332" s="555" t="s">
        <v>490</v>
      </c>
      <c r="B332" s="556" t="s">
        <v>300</v>
      </c>
      <c r="C332" s="660" t="s">
        <v>310</v>
      </c>
      <c r="D332" s="557" t="s">
        <v>29</v>
      </c>
      <c r="E332" s="558">
        <v>0.64</v>
      </c>
      <c r="F332" s="559">
        <v>3870</v>
      </c>
      <c r="G332" s="559"/>
      <c r="H332" s="559">
        <f t="shared" ref="H332:H334" si="542">F332</f>
        <v>3870</v>
      </c>
      <c r="I332" s="558">
        <f t="shared" ref="I332:I335" si="543">F332+G332-H332</f>
        <v>0</v>
      </c>
      <c r="J332" s="558">
        <f t="shared" ref="J332:J334" si="544">F332*E332</f>
        <v>2476.8000000000002</v>
      </c>
      <c r="K332" s="558">
        <f t="shared" ref="K332:K334" si="545">G332*E332</f>
        <v>0</v>
      </c>
      <c r="L332" s="558">
        <f t="shared" ref="L332:L334" si="546">H332*E332</f>
        <v>2476.8000000000002</v>
      </c>
      <c r="M332" s="626">
        <f t="shared" ref="M332:M335" si="547">I332*E332</f>
        <v>0</v>
      </c>
      <c r="N332" s="559">
        <v>0</v>
      </c>
      <c r="O332" s="626">
        <f t="shared" si="529"/>
        <v>0</v>
      </c>
      <c r="P332" s="559">
        <f>IFERROR(VLOOKUP(A332,#REF!,18,FALSE),)</f>
        <v>0</v>
      </c>
      <c r="Q332" s="626">
        <f t="shared" si="530"/>
        <v>0</v>
      </c>
      <c r="R332" s="559">
        <f t="shared" si="531"/>
        <v>0</v>
      </c>
      <c r="S332" s="632">
        <f t="shared" si="532"/>
        <v>0</v>
      </c>
      <c r="T332" s="559"/>
      <c r="U332" s="632"/>
    </row>
    <row r="333" spans="1:21" s="659" customFormat="1" ht="38.25">
      <c r="A333" s="555" t="s">
        <v>491</v>
      </c>
      <c r="B333" s="556" t="s">
        <v>140</v>
      </c>
      <c r="C333" s="660" t="s">
        <v>150</v>
      </c>
      <c r="D333" s="557" t="s">
        <v>58</v>
      </c>
      <c r="E333" s="558">
        <v>486.08</v>
      </c>
      <c r="F333" s="559">
        <v>16.09</v>
      </c>
      <c r="G333" s="559"/>
      <c r="H333" s="559">
        <f t="shared" si="542"/>
        <v>16.09</v>
      </c>
      <c r="I333" s="558">
        <f t="shared" si="543"/>
        <v>0</v>
      </c>
      <c r="J333" s="558">
        <f t="shared" si="544"/>
        <v>7821.0271999999995</v>
      </c>
      <c r="K333" s="558">
        <f t="shared" si="545"/>
        <v>0</v>
      </c>
      <c r="L333" s="558">
        <f t="shared" si="546"/>
        <v>7821.0271999999995</v>
      </c>
      <c r="M333" s="626">
        <f t="shared" si="547"/>
        <v>0</v>
      </c>
      <c r="N333" s="559">
        <v>0</v>
      </c>
      <c r="O333" s="626">
        <f t="shared" si="529"/>
        <v>0</v>
      </c>
      <c r="P333" s="559">
        <f>IFERROR(VLOOKUP(A333,#REF!,18,FALSE),)</f>
        <v>0</v>
      </c>
      <c r="Q333" s="626">
        <f t="shared" si="530"/>
        <v>0</v>
      </c>
      <c r="R333" s="559">
        <f t="shared" si="531"/>
        <v>0</v>
      </c>
      <c r="S333" s="632">
        <f t="shared" si="532"/>
        <v>0</v>
      </c>
      <c r="T333" s="559"/>
      <c r="U333" s="632"/>
    </row>
    <row r="334" spans="1:21" s="659" customFormat="1">
      <c r="A334" s="555" t="s">
        <v>492</v>
      </c>
      <c r="B334" s="556" t="s">
        <v>301</v>
      </c>
      <c r="C334" s="660" t="s">
        <v>311</v>
      </c>
      <c r="D334" s="557" t="s">
        <v>49</v>
      </c>
      <c r="E334" s="558">
        <v>105.97</v>
      </c>
      <c r="F334" s="559">
        <v>16.09</v>
      </c>
      <c r="G334" s="559"/>
      <c r="H334" s="559">
        <f t="shared" si="542"/>
        <v>16.09</v>
      </c>
      <c r="I334" s="558">
        <f t="shared" si="543"/>
        <v>0</v>
      </c>
      <c r="J334" s="558">
        <f t="shared" si="544"/>
        <v>1705.0572999999999</v>
      </c>
      <c r="K334" s="558">
        <f t="shared" si="545"/>
        <v>0</v>
      </c>
      <c r="L334" s="558">
        <f t="shared" si="546"/>
        <v>1705.0572999999999</v>
      </c>
      <c r="M334" s="626">
        <f t="shared" si="547"/>
        <v>0</v>
      </c>
      <c r="N334" s="559">
        <v>0</v>
      </c>
      <c r="O334" s="626">
        <f t="shared" si="529"/>
        <v>0</v>
      </c>
      <c r="P334" s="559">
        <f>IFERROR(VLOOKUP(A334,#REF!,18,FALSE),)</f>
        <v>0</v>
      </c>
      <c r="Q334" s="626">
        <f t="shared" si="530"/>
        <v>0</v>
      </c>
      <c r="R334" s="559">
        <f t="shared" si="531"/>
        <v>0</v>
      </c>
      <c r="S334" s="632">
        <f t="shared" si="532"/>
        <v>0</v>
      </c>
      <c r="T334" s="559"/>
      <c r="U334" s="632"/>
    </row>
    <row r="335" spans="1:21" ht="33" customHeight="1">
      <c r="A335" s="190" t="s">
        <v>493</v>
      </c>
      <c r="B335" s="191" t="s">
        <v>302</v>
      </c>
      <c r="C335" s="657" t="s">
        <v>312</v>
      </c>
      <c r="D335" s="192" t="s">
        <v>72</v>
      </c>
      <c r="E335" s="193">
        <v>1.62</v>
      </c>
      <c r="F335" s="194">
        <v>4</v>
      </c>
      <c r="G335" s="194"/>
      <c r="H335" s="194"/>
      <c r="I335" s="193">
        <f t="shared" si="543"/>
        <v>4</v>
      </c>
      <c r="J335" s="193">
        <f t="shared" ref="J335" si="548">I335*E335</f>
        <v>6.48</v>
      </c>
      <c r="K335" s="193"/>
      <c r="L335" s="193"/>
      <c r="M335" s="622">
        <f t="shared" si="547"/>
        <v>6.48</v>
      </c>
      <c r="N335" s="194">
        <f>'3.4.3.12'!R19</f>
        <v>4</v>
      </c>
      <c r="O335" s="622">
        <f t="shared" si="529"/>
        <v>6.48</v>
      </c>
      <c r="P335" s="194">
        <f>'3.4.3.12'!R20</f>
        <v>0</v>
      </c>
      <c r="Q335" s="622">
        <f t="shared" si="530"/>
        <v>0</v>
      </c>
      <c r="R335" s="194">
        <f t="shared" si="531"/>
        <v>4</v>
      </c>
      <c r="S335" s="630">
        <f t="shared" si="532"/>
        <v>6.48</v>
      </c>
      <c r="T335" s="194">
        <f t="shared" si="476"/>
        <v>0</v>
      </c>
      <c r="U335" s="630">
        <f>T335*E335</f>
        <v>0</v>
      </c>
    </row>
    <row r="336" spans="1:21" s="659" customFormat="1" ht="25.5">
      <c r="A336" s="555" t="s">
        <v>494</v>
      </c>
      <c r="B336" s="556" t="s">
        <v>303</v>
      </c>
      <c r="C336" s="660" t="s">
        <v>313</v>
      </c>
      <c r="D336" s="557" t="s">
        <v>72</v>
      </c>
      <c r="E336" s="558">
        <v>5793.75</v>
      </c>
      <c r="F336" s="559">
        <v>2</v>
      </c>
      <c r="G336" s="559"/>
      <c r="H336" s="559">
        <f>F336</f>
        <v>2</v>
      </c>
      <c r="I336" s="558">
        <f t="shared" ref="I336:I341" si="549">F336+G336-H336</f>
        <v>0</v>
      </c>
      <c r="J336" s="558">
        <f t="shared" ref="J336:J341" si="550">F336*E336</f>
        <v>11587.5</v>
      </c>
      <c r="K336" s="558">
        <f t="shared" ref="K336:K341" si="551">G336*E336</f>
        <v>0</v>
      </c>
      <c r="L336" s="558">
        <f t="shared" ref="L336:L341" si="552">H336*E336</f>
        <v>11587.5</v>
      </c>
      <c r="M336" s="626">
        <f t="shared" ref="M336:M341" si="553">I336*E336</f>
        <v>0</v>
      </c>
      <c r="N336" s="559">
        <v>0</v>
      </c>
      <c r="O336" s="626">
        <f t="shared" si="529"/>
        <v>0</v>
      </c>
      <c r="P336" s="559">
        <f>IFERROR(VLOOKUP(A336,#REF!,18,FALSE),)</f>
        <v>0</v>
      </c>
      <c r="Q336" s="626">
        <f t="shared" si="530"/>
        <v>0</v>
      </c>
      <c r="R336" s="559">
        <f t="shared" si="531"/>
        <v>0</v>
      </c>
      <c r="S336" s="632">
        <f t="shared" si="532"/>
        <v>0</v>
      </c>
      <c r="T336" s="559"/>
      <c r="U336" s="632"/>
    </row>
    <row r="337" spans="1:21" ht="25.5">
      <c r="A337" s="190" t="s">
        <v>495</v>
      </c>
      <c r="B337" s="191">
        <v>190418</v>
      </c>
      <c r="C337" s="657" t="s">
        <v>314</v>
      </c>
      <c r="D337" s="192" t="s">
        <v>57</v>
      </c>
      <c r="E337" s="193">
        <v>33.049999999999997</v>
      </c>
      <c r="F337" s="194">
        <v>36.71</v>
      </c>
      <c r="G337" s="194">
        <f>REPLANILHAMENTO!H297</f>
        <v>12.46</v>
      </c>
      <c r="H337" s="194"/>
      <c r="I337" s="193">
        <f t="shared" si="549"/>
        <v>49.17</v>
      </c>
      <c r="J337" s="193">
        <f t="shared" si="550"/>
        <v>1213.2655</v>
      </c>
      <c r="K337" s="193">
        <f t="shared" si="551"/>
        <v>411.803</v>
      </c>
      <c r="L337" s="193">
        <f t="shared" si="552"/>
        <v>0</v>
      </c>
      <c r="M337" s="622">
        <f t="shared" si="553"/>
        <v>1625.0684999999999</v>
      </c>
      <c r="N337" s="194">
        <v>49.17</v>
      </c>
      <c r="O337" s="622">
        <f t="shared" si="529"/>
        <v>1625.06</v>
      </c>
      <c r="P337" s="194">
        <v>0</v>
      </c>
      <c r="Q337" s="622">
        <f t="shared" si="530"/>
        <v>0</v>
      </c>
      <c r="R337" s="194">
        <f t="shared" si="531"/>
        <v>49.17</v>
      </c>
      <c r="S337" s="630">
        <f t="shared" si="532"/>
        <v>1625.06</v>
      </c>
      <c r="T337" s="194">
        <f>I337-R337</f>
        <v>0</v>
      </c>
      <c r="U337" s="630">
        <f>T337*E337</f>
        <v>0</v>
      </c>
    </row>
    <row r="338" spans="1:21" ht="25.5">
      <c r="A338" s="190" t="s">
        <v>1186</v>
      </c>
      <c r="B338" s="191" t="str">
        <f>REPLANILHAMENTO!B282</f>
        <v>COMP-A02</v>
      </c>
      <c r="C338" s="657" t="str">
        <f>REPLANILHAMENTO!D282</f>
        <v>Camisa metálica com espessura de 12.7 mm, D = 355 mm, cravada, exclusive escavação e concretagem</v>
      </c>
      <c r="D338" s="192" t="s">
        <v>51</v>
      </c>
      <c r="E338" s="193">
        <f>REPLANILHAMENTO!F282</f>
        <v>742.5</v>
      </c>
      <c r="F338" s="194">
        <v>0</v>
      </c>
      <c r="G338" s="194">
        <v>174</v>
      </c>
      <c r="H338" s="194">
        <v>0</v>
      </c>
      <c r="I338" s="193">
        <f>F338+G338-H338</f>
        <v>174</v>
      </c>
      <c r="J338" s="193">
        <f t="shared" si="550"/>
        <v>0</v>
      </c>
      <c r="K338" s="193">
        <f t="shared" si="551"/>
        <v>129195</v>
      </c>
      <c r="L338" s="193">
        <f t="shared" si="552"/>
        <v>0</v>
      </c>
      <c r="M338" s="622">
        <f t="shared" si="553"/>
        <v>129195</v>
      </c>
      <c r="N338" s="194">
        <f>'3.4.3.15'!R19</f>
        <v>174</v>
      </c>
      <c r="O338" s="622">
        <f>N338*E338</f>
        <v>129195</v>
      </c>
      <c r="P338" s="194">
        <f>'3.4.3.15'!R20</f>
        <v>0</v>
      </c>
      <c r="Q338" s="622">
        <f>P338*E338</f>
        <v>0</v>
      </c>
      <c r="R338" s="194">
        <f>N338+P338</f>
        <v>174</v>
      </c>
      <c r="S338" s="630">
        <f>R338*E338</f>
        <v>129195</v>
      </c>
      <c r="T338" s="194">
        <f>I338-R338</f>
        <v>0</v>
      </c>
      <c r="U338" s="630">
        <f>T338*E338</f>
        <v>0</v>
      </c>
    </row>
    <row r="339" spans="1:21" ht="25.5">
      <c r="A339" s="190" t="s">
        <v>1187</v>
      </c>
      <c r="B339" s="191" t="s">
        <v>1182</v>
      </c>
      <c r="C339" s="657" t="str">
        <f>REPLANILHAMENTO!D285</f>
        <v>Estaca raiz perfurada em solo, diâm. 410mm com injeção de arg. incl. fornecimento de todos materiais</v>
      </c>
      <c r="D339" s="192" t="s">
        <v>51</v>
      </c>
      <c r="E339" s="193">
        <f>REPLANILHAMENTO!F285</f>
        <v>578.87</v>
      </c>
      <c r="F339" s="194">
        <v>0</v>
      </c>
      <c r="G339" s="194">
        <f>REPLANILHAMENTO!H285</f>
        <v>174</v>
      </c>
      <c r="H339" s="194">
        <v>0</v>
      </c>
      <c r="I339" s="193">
        <f>F339+G339-H339</f>
        <v>174</v>
      </c>
      <c r="J339" s="193">
        <f t="shared" si="550"/>
        <v>0</v>
      </c>
      <c r="K339" s="193">
        <f t="shared" si="551"/>
        <v>100723.38</v>
      </c>
      <c r="L339" s="193">
        <f t="shared" si="552"/>
        <v>0</v>
      </c>
      <c r="M339" s="622">
        <f t="shared" si="553"/>
        <v>100723.38</v>
      </c>
      <c r="N339" s="194">
        <f>'3.4.3.16'!R28</f>
        <v>174</v>
      </c>
      <c r="O339" s="622">
        <f t="shared" ref="O339:O341" si="554">N339*E339</f>
        <v>100723.38</v>
      </c>
      <c r="P339" s="194">
        <f>'3.4.3.16'!R29</f>
        <v>0</v>
      </c>
      <c r="Q339" s="622">
        <f t="shared" ref="Q339:Q341" si="555">P339*E339</f>
        <v>0</v>
      </c>
      <c r="R339" s="194">
        <f t="shared" ref="R339:R341" si="556">N339+P339</f>
        <v>174</v>
      </c>
      <c r="S339" s="630">
        <f t="shared" ref="S339:S341" si="557">R339*E339</f>
        <v>100723.38</v>
      </c>
      <c r="T339" s="194">
        <f t="shared" ref="T339:T341" si="558">I339-R339</f>
        <v>0</v>
      </c>
      <c r="U339" s="630">
        <f>T339*E339</f>
        <v>0</v>
      </c>
    </row>
    <row r="340" spans="1:21" ht="24" customHeight="1">
      <c r="A340" s="190" t="s">
        <v>1189</v>
      </c>
      <c r="B340" s="191" t="s">
        <v>1184</v>
      </c>
      <c r="C340" s="657" t="str">
        <f>REPLANILHAMENTO!D288</f>
        <v>Estaca raiz perfurada em rocha, diâm. 310mm com injeção de arg. incl. fornecimento de todos materiais</v>
      </c>
      <c r="D340" s="192" t="s">
        <v>51</v>
      </c>
      <c r="E340" s="193">
        <f>REPLANILHAMENTO!F288</f>
        <v>1018.16</v>
      </c>
      <c r="F340" s="194"/>
      <c r="G340" s="194">
        <v>31.2</v>
      </c>
      <c r="H340" s="194"/>
      <c r="I340" s="193">
        <f t="shared" si="549"/>
        <v>31.2</v>
      </c>
      <c r="J340" s="193">
        <f t="shared" si="550"/>
        <v>0</v>
      </c>
      <c r="K340" s="193">
        <f t="shared" si="551"/>
        <v>31766.591999999997</v>
      </c>
      <c r="L340" s="193">
        <f t="shared" si="552"/>
        <v>0</v>
      </c>
      <c r="M340" s="622">
        <f t="shared" si="553"/>
        <v>31766.591999999997</v>
      </c>
      <c r="N340" s="194">
        <f>'3.4.3.17'!R25</f>
        <v>31.200000000000006</v>
      </c>
      <c r="O340" s="622">
        <f t="shared" si="554"/>
        <v>31766.592000000004</v>
      </c>
      <c r="P340" s="194">
        <f>'3.4.3.17'!R26</f>
        <v>0</v>
      </c>
      <c r="Q340" s="622">
        <f t="shared" si="555"/>
        <v>0</v>
      </c>
      <c r="R340" s="194">
        <f t="shared" si="556"/>
        <v>31.200000000000006</v>
      </c>
      <c r="S340" s="630">
        <f t="shared" si="557"/>
        <v>31766.592000000004</v>
      </c>
      <c r="T340" s="194">
        <f t="shared" si="558"/>
        <v>0</v>
      </c>
      <c r="U340" s="630">
        <f t="shared" ref="U340:U341" si="559">T340*E340</f>
        <v>0</v>
      </c>
    </row>
    <row r="341" spans="1:21" ht="24" customHeight="1">
      <c r="A341" s="190" t="s">
        <v>1191</v>
      </c>
      <c r="B341" s="191" t="s">
        <v>1188</v>
      </c>
      <c r="C341" s="657" t="str">
        <f>REPLANILHAMENTO!D296</f>
        <v>Tubo de travamento de 12,7 mm D = 300 mm L = 5,10 m - fornecimento e instalação</v>
      </c>
      <c r="D341" s="192" t="str">
        <f>REPLANILHAMENTO!E296</f>
        <v>un</v>
      </c>
      <c r="E341" s="193">
        <f>REPLANILHAMENTO!F296</f>
        <v>6550.59</v>
      </c>
      <c r="F341" s="194"/>
      <c r="G341" s="194">
        <v>2</v>
      </c>
      <c r="H341" s="194"/>
      <c r="I341" s="193">
        <f t="shared" si="549"/>
        <v>2</v>
      </c>
      <c r="J341" s="193">
        <f t="shared" si="550"/>
        <v>0</v>
      </c>
      <c r="K341" s="193">
        <f t="shared" si="551"/>
        <v>13101.18</v>
      </c>
      <c r="L341" s="193">
        <f t="shared" si="552"/>
        <v>0</v>
      </c>
      <c r="M341" s="622">
        <f t="shared" si="553"/>
        <v>13101.18</v>
      </c>
      <c r="N341" s="194">
        <v>2</v>
      </c>
      <c r="O341" s="622">
        <f t="shared" si="554"/>
        <v>13101.18</v>
      </c>
      <c r="P341" s="194">
        <v>0</v>
      </c>
      <c r="Q341" s="622">
        <f t="shared" si="555"/>
        <v>0</v>
      </c>
      <c r="R341" s="194">
        <f t="shared" si="556"/>
        <v>2</v>
      </c>
      <c r="S341" s="630">
        <f t="shared" si="557"/>
        <v>13101.18</v>
      </c>
      <c r="T341" s="194">
        <f t="shared" si="558"/>
        <v>0</v>
      </c>
      <c r="U341" s="630">
        <f t="shared" si="559"/>
        <v>0</v>
      </c>
    </row>
    <row r="342" spans="1:21">
      <c r="A342" s="138"/>
      <c r="B342" s="132"/>
      <c r="C342" s="123"/>
      <c r="D342" s="123"/>
      <c r="E342" s="123"/>
      <c r="F342" s="123"/>
      <c r="G342" s="123"/>
      <c r="H342" s="123"/>
      <c r="I342" s="123"/>
      <c r="J342" s="123"/>
      <c r="K342" s="123"/>
      <c r="L342" s="123"/>
      <c r="M342" s="623"/>
      <c r="N342" s="123"/>
      <c r="O342" s="623"/>
      <c r="P342" s="623"/>
      <c r="Q342" s="623"/>
      <c r="R342" s="123"/>
      <c r="S342" s="631"/>
      <c r="T342" s="123"/>
      <c r="U342" s="631"/>
    </row>
    <row r="343" spans="1:21" s="131" customFormat="1" ht="11.25" customHeight="1">
      <c r="A343" s="137" t="s">
        <v>502</v>
      </c>
      <c r="B343" s="133"/>
      <c r="C343" s="658" t="s">
        <v>212</v>
      </c>
      <c r="D343" s="126"/>
      <c r="E343" s="127"/>
      <c r="F343" s="128"/>
      <c r="G343" s="128"/>
      <c r="H343" s="128"/>
      <c r="I343" s="129"/>
      <c r="J343" s="129">
        <f>SUBTOTAL(9,J344:J344)</f>
        <v>8738.247800000001</v>
      </c>
      <c r="K343" s="129"/>
      <c r="L343" s="129"/>
      <c r="M343" s="624"/>
      <c r="N343" s="130"/>
      <c r="O343" s="624">
        <f>SUBTOTAL(9,O344:O344)</f>
        <v>8738.24</v>
      </c>
      <c r="P343" s="130"/>
      <c r="Q343" s="624">
        <f>SUBTOTAL(9,Q344:Q344)</f>
        <v>0</v>
      </c>
      <c r="R343" s="129"/>
      <c r="S343" s="624">
        <f>SUBTOTAL(9,S344:S344)</f>
        <v>8738.24</v>
      </c>
      <c r="T343" s="129">
        <f t="shared" si="476"/>
        <v>0</v>
      </c>
      <c r="U343" s="624">
        <f>SUBTOTAL(9,U344:U344)</f>
        <v>0</v>
      </c>
    </row>
    <row r="344" spans="1:21" ht="25.5">
      <c r="A344" s="190" t="s">
        <v>503</v>
      </c>
      <c r="B344" s="191" t="s">
        <v>227</v>
      </c>
      <c r="C344" s="657" t="s">
        <v>233</v>
      </c>
      <c r="D344" s="192" t="s">
        <v>51</v>
      </c>
      <c r="E344" s="193">
        <v>366.23</v>
      </c>
      <c r="F344" s="194">
        <v>23.86</v>
      </c>
      <c r="G344" s="194"/>
      <c r="H344" s="194"/>
      <c r="I344" s="193">
        <f t="shared" ref="I344" si="560">F344+G344-H344</f>
        <v>23.86</v>
      </c>
      <c r="J344" s="193">
        <f t="shared" ref="J344" si="561">I344*E344</f>
        <v>8738.247800000001</v>
      </c>
      <c r="K344" s="193"/>
      <c r="L344" s="193"/>
      <c r="M344" s="622">
        <f t="shared" ref="M344" si="562">I344*E344</f>
        <v>8738.247800000001</v>
      </c>
      <c r="N344" s="194">
        <v>23.86</v>
      </c>
      <c r="O344" s="622">
        <f t="shared" ref="O344" si="563">TRUNC(N344*E344,2)</f>
        <v>8738.24</v>
      </c>
      <c r="P344" s="560">
        <v>0</v>
      </c>
      <c r="Q344" s="622">
        <f t="shared" ref="Q344" si="564">S344-O344</f>
        <v>0</v>
      </c>
      <c r="R344" s="194">
        <f t="shared" ref="R344" si="565">P344+N344</f>
        <v>23.86</v>
      </c>
      <c r="S344" s="630">
        <f t="shared" ref="S344" si="566">TRUNC(R344*E344,2)</f>
        <v>8738.24</v>
      </c>
      <c r="T344" s="194">
        <f t="shared" si="476"/>
        <v>0</v>
      </c>
      <c r="U344" s="630">
        <f>T344*E344</f>
        <v>0</v>
      </c>
    </row>
    <row r="345" spans="1:21">
      <c r="A345" s="138"/>
      <c r="B345" s="132"/>
      <c r="C345" s="123"/>
      <c r="D345" s="123"/>
      <c r="E345" s="123"/>
      <c r="F345" s="123"/>
      <c r="G345" s="123"/>
      <c r="H345" s="123"/>
      <c r="I345" s="123"/>
      <c r="J345" s="123"/>
      <c r="K345" s="123"/>
      <c r="L345" s="123"/>
      <c r="M345" s="623"/>
      <c r="N345" s="123"/>
      <c r="O345" s="623"/>
      <c r="P345" s="123"/>
      <c r="Q345" s="623"/>
      <c r="R345" s="123"/>
      <c r="S345" s="631"/>
      <c r="T345" s="123"/>
      <c r="U345" s="631"/>
    </row>
    <row r="346" spans="1:21" s="213" customFormat="1">
      <c r="A346" s="210" t="s">
        <v>504</v>
      </c>
      <c r="B346" s="211"/>
      <c r="C346" s="655" t="s">
        <v>318</v>
      </c>
      <c r="D346" s="197"/>
      <c r="E346" s="198"/>
      <c r="F346" s="199"/>
      <c r="G346" s="199"/>
      <c r="H346" s="199"/>
      <c r="I346" s="200"/>
      <c r="J346" s="200">
        <f>SUBTOTAL(9,J347:J351)</f>
        <v>428979.5944</v>
      </c>
      <c r="K346" s="200"/>
      <c r="L346" s="200"/>
      <c r="M346" s="620"/>
      <c r="N346" s="201"/>
      <c r="O346" s="620">
        <f>SUBTOTAL(9,O347:O351)</f>
        <v>428979.58999999997</v>
      </c>
      <c r="P346" s="201"/>
      <c r="Q346" s="620">
        <f>SUBTOTAL(9,Q347:Q351)</f>
        <v>0</v>
      </c>
      <c r="R346" s="200"/>
      <c r="S346" s="620">
        <f>SUBTOTAL(9,S347:S351)</f>
        <v>428979.58999999997</v>
      </c>
      <c r="T346" s="200">
        <f t="shared" si="476"/>
        <v>0</v>
      </c>
      <c r="U346" s="620">
        <f>SUBTOTAL(9,U347:U351)</f>
        <v>0</v>
      </c>
    </row>
    <row r="347" spans="1:21" s="131" customFormat="1">
      <c r="A347" s="137" t="s">
        <v>505</v>
      </c>
      <c r="B347" s="133"/>
      <c r="C347" s="658" t="s">
        <v>318</v>
      </c>
      <c r="D347" s="126"/>
      <c r="E347" s="127"/>
      <c r="F347" s="128"/>
      <c r="G347" s="128"/>
      <c r="H347" s="128"/>
      <c r="I347" s="129"/>
      <c r="J347" s="129">
        <f>SUBTOTAL(9,J348:J351)</f>
        <v>428979.5944</v>
      </c>
      <c r="K347" s="129"/>
      <c r="L347" s="129"/>
      <c r="M347" s="624"/>
      <c r="N347" s="130"/>
      <c r="O347" s="624">
        <f>SUBTOTAL(9,O348:O351)</f>
        <v>428979.58999999997</v>
      </c>
      <c r="P347" s="130"/>
      <c r="Q347" s="624">
        <f>SUBTOTAL(9,Q348:Q351)</f>
        <v>0</v>
      </c>
      <c r="R347" s="129"/>
      <c r="S347" s="624">
        <f>SUBTOTAL(9,S348:S351)</f>
        <v>428979.58999999997</v>
      </c>
      <c r="T347" s="129">
        <f t="shared" si="476"/>
        <v>0</v>
      </c>
      <c r="U347" s="624">
        <f>SUBTOTAL(9,U348:U351)</f>
        <v>0</v>
      </c>
    </row>
    <row r="348" spans="1:21" ht="24" customHeight="1">
      <c r="A348" s="190" t="s">
        <v>506</v>
      </c>
      <c r="B348" s="191" t="s">
        <v>323</v>
      </c>
      <c r="C348" s="657" t="s">
        <v>326</v>
      </c>
      <c r="D348" s="192" t="s">
        <v>59</v>
      </c>
      <c r="E348" s="193">
        <v>409453.83</v>
      </c>
      <c r="F348" s="194">
        <v>1</v>
      </c>
      <c r="G348" s="194"/>
      <c r="H348" s="194"/>
      <c r="I348" s="193">
        <f t="shared" ref="I348" si="567">F348+G348-H348</f>
        <v>1</v>
      </c>
      <c r="J348" s="193">
        <f t="shared" ref="J348" si="568">I348*E348</f>
        <v>409453.83</v>
      </c>
      <c r="K348" s="193"/>
      <c r="L348" s="193"/>
      <c r="M348" s="622">
        <f t="shared" ref="M348" si="569">I348*E348</f>
        <v>409453.83</v>
      </c>
      <c r="N348" s="194">
        <f>'3.5.1.1'!R20</f>
        <v>0.99999999999999989</v>
      </c>
      <c r="O348" s="622">
        <f t="shared" ref="O348" si="570">TRUNC(N348*E348,2)</f>
        <v>409453.83</v>
      </c>
      <c r="P348" s="194">
        <f>'3.5.1.1'!R21</f>
        <v>0</v>
      </c>
      <c r="Q348" s="622">
        <f t="shared" ref="Q348" si="571">S348-O348</f>
        <v>0</v>
      </c>
      <c r="R348" s="194">
        <f t="shared" ref="R348" si="572">P348+N348</f>
        <v>0.99999999999999989</v>
      </c>
      <c r="S348" s="630">
        <f t="shared" ref="S348" si="573">TRUNC(R348*E348,2)</f>
        <v>409453.83</v>
      </c>
      <c r="T348" s="194">
        <f t="shared" si="476"/>
        <v>0</v>
      </c>
      <c r="U348" s="630">
        <f>T348*E348</f>
        <v>0</v>
      </c>
    </row>
    <row r="349" spans="1:21" ht="24" customHeight="1">
      <c r="A349" s="190" t="s">
        <v>507</v>
      </c>
      <c r="B349" s="191" t="s">
        <v>324</v>
      </c>
      <c r="C349" s="657" t="s">
        <v>327</v>
      </c>
      <c r="D349" s="192" t="s">
        <v>59</v>
      </c>
      <c r="E349" s="193">
        <v>3812.11</v>
      </c>
      <c r="F349" s="194">
        <v>1</v>
      </c>
      <c r="G349" s="194"/>
      <c r="H349" s="194"/>
      <c r="I349" s="193">
        <f t="shared" ref="I349:I351" si="574">F349+G349-H349</f>
        <v>1</v>
      </c>
      <c r="J349" s="193">
        <f t="shared" ref="J349:J351" si="575">I349*E349</f>
        <v>3812.11</v>
      </c>
      <c r="K349" s="193"/>
      <c r="L349" s="193"/>
      <c r="M349" s="622">
        <f t="shared" ref="M349:M351" si="576">I349*E349</f>
        <v>3812.11</v>
      </c>
      <c r="N349" s="194">
        <f>'3.5.1.2'!R20</f>
        <v>1</v>
      </c>
      <c r="O349" s="622">
        <f>TRUNC(N349*E349,2)</f>
        <v>3812.11</v>
      </c>
      <c r="P349" s="194">
        <f>'3.5.1.2'!R21</f>
        <v>0</v>
      </c>
      <c r="Q349" s="622">
        <f>S349-O349</f>
        <v>0</v>
      </c>
      <c r="R349" s="194">
        <f>P349+N349</f>
        <v>1</v>
      </c>
      <c r="S349" s="630">
        <f>TRUNC(R349*E349,2)</f>
        <v>3812.11</v>
      </c>
      <c r="T349" s="194">
        <f t="shared" si="476"/>
        <v>0</v>
      </c>
      <c r="U349" s="630">
        <f t="shared" ref="U349:U351" si="577">T349*E349</f>
        <v>0</v>
      </c>
    </row>
    <row r="350" spans="1:21" ht="24" customHeight="1">
      <c r="A350" s="190" t="s">
        <v>508</v>
      </c>
      <c r="B350" s="191" t="s">
        <v>510</v>
      </c>
      <c r="C350" s="657" t="s">
        <v>548</v>
      </c>
      <c r="D350" s="192" t="s">
        <v>72</v>
      </c>
      <c r="E350" s="193">
        <v>1735.29</v>
      </c>
      <c r="F350" s="194">
        <v>1</v>
      </c>
      <c r="G350" s="194"/>
      <c r="H350" s="194"/>
      <c r="I350" s="193">
        <f t="shared" si="574"/>
        <v>1</v>
      </c>
      <c r="J350" s="193">
        <f t="shared" si="575"/>
        <v>1735.29</v>
      </c>
      <c r="K350" s="193"/>
      <c r="L350" s="193"/>
      <c r="M350" s="622">
        <f t="shared" si="576"/>
        <v>1735.29</v>
      </c>
      <c r="N350" s="194">
        <f>'3.5.1.3'!R20</f>
        <v>1</v>
      </c>
      <c r="O350" s="622">
        <f>TRUNC(N350*E350,2)</f>
        <v>1735.29</v>
      </c>
      <c r="P350" s="194">
        <f>'3.5.1.3'!R21</f>
        <v>0</v>
      </c>
      <c r="Q350" s="622">
        <f>S350-O350</f>
        <v>0</v>
      </c>
      <c r="R350" s="194">
        <f>P350+N350</f>
        <v>1</v>
      </c>
      <c r="S350" s="630">
        <f>TRUNC(R350*E350,2)</f>
        <v>1735.29</v>
      </c>
      <c r="T350" s="194">
        <f t="shared" ref="T350" si="578">F350-R350</f>
        <v>0</v>
      </c>
      <c r="U350" s="630">
        <f t="shared" si="577"/>
        <v>0</v>
      </c>
    </row>
    <row r="351" spans="1:21" ht="24" customHeight="1">
      <c r="A351" s="190" t="s">
        <v>509</v>
      </c>
      <c r="B351" s="191" t="s">
        <v>325</v>
      </c>
      <c r="C351" s="657" t="s">
        <v>328</v>
      </c>
      <c r="D351" s="192" t="s">
        <v>50</v>
      </c>
      <c r="E351" s="193">
        <v>115.83</v>
      </c>
      <c r="F351" s="194">
        <v>120.68</v>
      </c>
      <c r="G351" s="194"/>
      <c r="H351" s="194"/>
      <c r="I351" s="193">
        <f t="shared" si="574"/>
        <v>120.68</v>
      </c>
      <c r="J351" s="193">
        <f t="shared" si="575"/>
        <v>13978.3644</v>
      </c>
      <c r="K351" s="193"/>
      <c r="L351" s="193"/>
      <c r="M351" s="622">
        <f t="shared" si="576"/>
        <v>13978.3644</v>
      </c>
      <c r="N351" s="194">
        <f>'3.5.1.4'!R19</f>
        <v>120.68</v>
      </c>
      <c r="O351" s="622">
        <f t="shared" ref="O351" si="579">TRUNC(N351*E351,2)</f>
        <v>13978.36</v>
      </c>
      <c r="P351" s="194">
        <f>'3.5.1.4'!R20</f>
        <v>0</v>
      </c>
      <c r="Q351" s="622">
        <f t="shared" ref="Q351" si="580">S351-O351</f>
        <v>0</v>
      </c>
      <c r="R351" s="194">
        <f t="shared" ref="R351" si="581">P351+N351</f>
        <v>120.68</v>
      </c>
      <c r="S351" s="630">
        <f t="shared" ref="S351" si="582">TRUNC(R351*E351,2)</f>
        <v>13978.36</v>
      </c>
      <c r="T351" s="194">
        <f t="shared" si="476"/>
        <v>0</v>
      </c>
      <c r="U351" s="630">
        <f t="shared" si="577"/>
        <v>0</v>
      </c>
    </row>
    <row r="352" spans="1:21">
      <c r="A352" s="138"/>
      <c r="B352" s="132"/>
      <c r="C352" s="123"/>
      <c r="D352" s="123"/>
      <c r="E352" s="123"/>
      <c r="F352" s="123"/>
      <c r="G352" s="123"/>
      <c r="H352" s="123"/>
      <c r="I352" s="123"/>
      <c r="J352" s="123"/>
      <c r="K352" s="123"/>
      <c r="L352" s="123"/>
      <c r="M352" s="623"/>
      <c r="N352" s="123"/>
      <c r="O352" s="623"/>
      <c r="P352" s="123"/>
      <c r="Q352" s="623"/>
      <c r="R352" s="123"/>
      <c r="S352" s="631"/>
      <c r="T352" s="123"/>
      <c r="U352" s="631"/>
    </row>
    <row r="353" spans="1:21" s="213" customFormat="1">
      <c r="A353" s="210" t="s">
        <v>511</v>
      </c>
      <c r="B353" s="211"/>
      <c r="C353" s="655" t="s">
        <v>329</v>
      </c>
      <c r="D353" s="197"/>
      <c r="E353" s="198"/>
      <c r="F353" s="199"/>
      <c r="G353" s="199"/>
      <c r="H353" s="199"/>
      <c r="I353" s="200"/>
      <c r="J353" s="200">
        <f>SUBTOTAL(9,J354:J379)</f>
        <v>42442.573000000004</v>
      </c>
      <c r="K353" s="200"/>
      <c r="L353" s="200"/>
      <c r="M353" s="620"/>
      <c r="N353" s="201"/>
      <c r="O353" s="620">
        <f>SUBTOTAL(9,O354:O379)</f>
        <v>37465.890000000007</v>
      </c>
      <c r="P353" s="201"/>
      <c r="Q353" s="620">
        <f>SUBTOTAL(9,Q354:Q379)</f>
        <v>0</v>
      </c>
      <c r="R353" s="200"/>
      <c r="S353" s="620">
        <f>SUBTOTAL(9,S354:S379)</f>
        <v>37465.890000000007</v>
      </c>
      <c r="T353" s="200">
        <f t="shared" si="476"/>
        <v>0</v>
      </c>
      <c r="U353" s="620">
        <f>SUBTOTAL(9,U354:U379)</f>
        <v>4976.67</v>
      </c>
    </row>
    <row r="354" spans="1:21" s="131" customFormat="1">
      <c r="A354" s="137" t="s">
        <v>512</v>
      </c>
      <c r="B354" s="133"/>
      <c r="C354" s="658" t="s">
        <v>329</v>
      </c>
      <c r="D354" s="126"/>
      <c r="E354" s="127"/>
      <c r="F354" s="128"/>
      <c r="G354" s="128"/>
      <c r="H354" s="128"/>
      <c r="I354" s="129"/>
      <c r="J354" s="129">
        <f>SUBTOTAL(9,J355:J373)</f>
        <v>39130.33</v>
      </c>
      <c r="K354" s="129"/>
      <c r="L354" s="129"/>
      <c r="M354" s="624"/>
      <c r="N354" s="130"/>
      <c r="O354" s="624">
        <f>SUBTOTAL(9,O355:O373)</f>
        <v>34153.65</v>
      </c>
      <c r="P354" s="130"/>
      <c r="Q354" s="624">
        <f>SUBTOTAL(9,Q355:Q373)</f>
        <v>0</v>
      </c>
      <c r="R354" s="129"/>
      <c r="S354" s="624">
        <f>SUBTOTAL(9,S355:S373)</f>
        <v>34153.65</v>
      </c>
      <c r="T354" s="129">
        <f t="shared" ref="T354:T387" si="583">F354-R354</f>
        <v>0</v>
      </c>
      <c r="U354" s="624">
        <f>SUBTOTAL(9,U355:U373)</f>
        <v>4976.67</v>
      </c>
    </row>
    <row r="355" spans="1:21" ht="25.5">
      <c r="A355" s="190" t="s">
        <v>513</v>
      </c>
      <c r="B355" s="191">
        <v>151701</v>
      </c>
      <c r="C355" s="657" t="s">
        <v>685</v>
      </c>
      <c r="D355" s="192" t="s">
        <v>59</v>
      </c>
      <c r="E355" s="193">
        <v>1510.64</v>
      </c>
      <c r="F355" s="194">
        <v>1</v>
      </c>
      <c r="G355" s="194"/>
      <c r="H355" s="194"/>
      <c r="I355" s="193">
        <f t="shared" ref="I355" si="584">F355+G355-H355</f>
        <v>1</v>
      </c>
      <c r="J355" s="193">
        <f t="shared" ref="J355" si="585">I355*E355</f>
        <v>1510.64</v>
      </c>
      <c r="K355" s="193"/>
      <c r="L355" s="193"/>
      <c r="M355" s="622">
        <f t="shared" ref="M355" si="586">I355*E355</f>
        <v>1510.64</v>
      </c>
      <c r="N355" s="194">
        <v>1</v>
      </c>
      <c r="O355" s="622">
        <f t="shared" ref="O355:O373" si="587">TRUNC(N355*E355,2)</f>
        <v>1510.64</v>
      </c>
      <c r="P355" s="194"/>
      <c r="Q355" s="622">
        <f t="shared" ref="Q355:Q373" si="588">S355-O355</f>
        <v>0</v>
      </c>
      <c r="R355" s="194">
        <f t="shared" ref="R355:R373" si="589">P355+N355</f>
        <v>1</v>
      </c>
      <c r="S355" s="630">
        <f t="shared" ref="S355:S373" si="590">TRUNC(R355*E355,2)</f>
        <v>1510.64</v>
      </c>
      <c r="T355" s="194">
        <f t="shared" si="583"/>
        <v>0</v>
      </c>
      <c r="U355" s="630">
        <f t="shared" ref="U355" si="591">T355*E355</f>
        <v>0</v>
      </c>
    </row>
    <row r="356" spans="1:21" ht="25.5">
      <c r="A356" s="190" t="s">
        <v>514</v>
      </c>
      <c r="B356" s="191">
        <v>150312</v>
      </c>
      <c r="C356" s="657" t="s">
        <v>350</v>
      </c>
      <c r="D356" s="192" t="s">
        <v>59</v>
      </c>
      <c r="E356" s="193">
        <v>103.79</v>
      </c>
      <c r="F356" s="194">
        <v>1</v>
      </c>
      <c r="G356" s="194"/>
      <c r="H356" s="194"/>
      <c r="I356" s="193">
        <f t="shared" ref="I356:I373" si="592">F356+G356-H356</f>
        <v>1</v>
      </c>
      <c r="J356" s="193">
        <f t="shared" ref="J356:J373" si="593">I356*E356</f>
        <v>103.79</v>
      </c>
      <c r="K356" s="193"/>
      <c r="L356" s="193"/>
      <c r="M356" s="622">
        <f t="shared" ref="M356:M373" si="594">I356*E356</f>
        <v>103.79</v>
      </c>
      <c r="N356" s="194">
        <v>1</v>
      </c>
      <c r="O356" s="622">
        <f t="shared" si="587"/>
        <v>103.79</v>
      </c>
      <c r="P356" s="194"/>
      <c r="Q356" s="622">
        <f t="shared" si="588"/>
        <v>0</v>
      </c>
      <c r="R356" s="194">
        <f t="shared" si="589"/>
        <v>1</v>
      </c>
      <c r="S356" s="630">
        <f t="shared" si="590"/>
        <v>103.79</v>
      </c>
      <c r="T356" s="194">
        <f t="shared" si="583"/>
        <v>0</v>
      </c>
      <c r="U356" s="630">
        <v>0</v>
      </c>
    </row>
    <row r="357" spans="1:21">
      <c r="A357" s="190" t="s">
        <v>515</v>
      </c>
      <c r="B357" s="191">
        <v>150628</v>
      </c>
      <c r="C357" s="657" t="s">
        <v>351</v>
      </c>
      <c r="D357" s="192" t="s">
        <v>59</v>
      </c>
      <c r="E357" s="193">
        <v>7.47</v>
      </c>
      <c r="F357" s="194">
        <v>19</v>
      </c>
      <c r="G357" s="194"/>
      <c r="H357" s="194"/>
      <c r="I357" s="193">
        <f t="shared" si="592"/>
        <v>19</v>
      </c>
      <c r="J357" s="193">
        <f t="shared" si="593"/>
        <v>141.93</v>
      </c>
      <c r="K357" s="193"/>
      <c r="L357" s="193"/>
      <c r="M357" s="622">
        <f t="shared" si="594"/>
        <v>141.93</v>
      </c>
      <c r="N357" s="194">
        <v>19</v>
      </c>
      <c r="O357" s="622">
        <f t="shared" si="587"/>
        <v>141.93</v>
      </c>
      <c r="P357" s="194"/>
      <c r="Q357" s="622">
        <f t="shared" si="588"/>
        <v>0</v>
      </c>
      <c r="R357" s="194">
        <f t="shared" si="589"/>
        <v>19</v>
      </c>
      <c r="S357" s="630">
        <f t="shared" si="590"/>
        <v>141.93</v>
      </c>
      <c r="T357" s="194">
        <f t="shared" si="583"/>
        <v>0</v>
      </c>
      <c r="U357" s="630">
        <v>0</v>
      </c>
    </row>
    <row r="358" spans="1:21" ht="25.5">
      <c r="A358" s="190" t="s">
        <v>516</v>
      </c>
      <c r="B358" s="191">
        <v>151417</v>
      </c>
      <c r="C358" s="657" t="s">
        <v>352</v>
      </c>
      <c r="D358" s="192" t="s">
        <v>51</v>
      </c>
      <c r="E358" s="193">
        <v>5.86</v>
      </c>
      <c r="F358" s="194">
        <v>147.4</v>
      </c>
      <c r="G358" s="194"/>
      <c r="H358" s="194"/>
      <c r="I358" s="193">
        <f t="shared" si="592"/>
        <v>147.4</v>
      </c>
      <c r="J358" s="193">
        <f t="shared" si="593"/>
        <v>863.76400000000012</v>
      </c>
      <c r="K358" s="193"/>
      <c r="L358" s="193"/>
      <c r="M358" s="622">
        <f t="shared" si="594"/>
        <v>863.76400000000012</v>
      </c>
      <c r="N358" s="194">
        <v>147.4</v>
      </c>
      <c r="O358" s="622">
        <f t="shared" si="587"/>
        <v>863.76</v>
      </c>
      <c r="P358" s="194"/>
      <c r="Q358" s="622">
        <f t="shared" si="588"/>
        <v>0</v>
      </c>
      <c r="R358" s="194">
        <f t="shared" si="589"/>
        <v>147.4</v>
      </c>
      <c r="S358" s="630">
        <f t="shared" si="590"/>
        <v>863.76</v>
      </c>
      <c r="T358" s="194">
        <f t="shared" si="583"/>
        <v>0</v>
      </c>
      <c r="U358" s="630">
        <v>0</v>
      </c>
    </row>
    <row r="359" spans="1:21" ht="25.5">
      <c r="A359" s="190" t="s">
        <v>517</v>
      </c>
      <c r="B359" s="191">
        <v>151418</v>
      </c>
      <c r="C359" s="657" t="s">
        <v>353</v>
      </c>
      <c r="D359" s="192" t="s">
        <v>51</v>
      </c>
      <c r="E359" s="193">
        <v>6.74</v>
      </c>
      <c r="F359" s="194">
        <v>315.39999999999998</v>
      </c>
      <c r="G359" s="194"/>
      <c r="H359" s="194"/>
      <c r="I359" s="193">
        <f t="shared" si="592"/>
        <v>315.39999999999998</v>
      </c>
      <c r="J359" s="193">
        <f t="shared" si="593"/>
        <v>2125.7959999999998</v>
      </c>
      <c r="K359" s="193"/>
      <c r="L359" s="193"/>
      <c r="M359" s="622">
        <f t="shared" si="594"/>
        <v>2125.7959999999998</v>
      </c>
      <c r="N359" s="194">
        <v>315.39999999999998</v>
      </c>
      <c r="O359" s="622">
        <f t="shared" si="587"/>
        <v>2125.79</v>
      </c>
      <c r="P359" s="194"/>
      <c r="Q359" s="622">
        <f t="shared" si="588"/>
        <v>0</v>
      </c>
      <c r="R359" s="194">
        <f t="shared" si="589"/>
        <v>315.39999999999998</v>
      </c>
      <c r="S359" s="630">
        <f t="shared" si="590"/>
        <v>2125.79</v>
      </c>
      <c r="T359" s="194">
        <f t="shared" si="583"/>
        <v>0</v>
      </c>
      <c r="U359" s="630">
        <v>0</v>
      </c>
    </row>
    <row r="360" spans="1:21" ht="25.5">
      <c r="A360" s="190" t="s">
        <v>518</v>
      </c>
      <c r="B360" s="191">
        <v>151420</v>
      </c>
      <c r="C360" s="657" t="s">
        <v>354</v>
      </c>
      <c r="D360" s="192" t="s">
        <v>51</v>
      </c>
      <c r="E360" s="193">
        <v>10.63</v>
      </c>
      <c r="F360" s="194">
        <v>60</v>
      </c>
      <c r="G360" s="194"/>
      <c r="H360" s="194"/>
      <c r="I360" s="193">
        <f t="shared" si="592"/>
        <v>60</v>
      </c>
      <c r="J360" s="193">
        <f t="shared" si="593"/>
        <v>637.80000000000007</v>
      </c>
      <c r="K360" s="193"/>
      <c r="L360" s="193"/>
      <c r="M360" s="622">
        <f t="shared" si="594"/>
        <v>637.80000000000007</v>
      </c>
      <c r="N360" s="194">
        <v>60</v>
      </c>
      <c r="O360" s="622">
        <f t="shared" si="587"/>
        <v>637.79999999999995</v>
      </c>
      <c r="P360" s="194"/>
      <c r="Q360" s="622">
        <f t="shared" si="588"/>
        <v>0</v>
      </c>
      <c r="R360" s="194">
        <f t="shared" si="589"/>
        <v>60</v>
      </c>
      <c r="S360" s="630">
        <f t="shared" si="590"/>
        <v>637.79999999999995</v>
      </c>
      <c r="T360" s="194">
        <f t="shared" si="583"/>
        <v>0</v>
      </c>
      <c r="U360" s="630">
        <v>0</v>
      </c>
    </row>
    <row r="361" spans="1:21" ht="38.25">
      <c r="A361" s="190" t="s">
        <v>519</v>
      </c>
      <c r="B361" s="191">
        <v>151809</v>
      </c>
      <c r="C361" s="657" t="s">
        <v>355</v>
      </c>
      <c r="D361" s="192" t="s">
        <v>59</v>
      </c>
      <c r="E361" s="193">
        <v>150.13</v>
      </c>
      <c r="F361" s="194">
        <v>1</v>
      </c>
      <c r="G361" s="194"/>
      <c r="H361" s="194"/>
      <c r="I361" s="193">
        <f t="shared" si="592"/>
        <v>1</v>
      </c>
      <c r="J361" s="193">
        <f t="shared" si="593"/>
        <v>150.13</v>
      </c>
      <c r="K361" s="193"/>
      <c r="L361" s="193"/>
      <c r="M361" s="622">
        <f t="shared" si="594"/>
        <v>150.13</v>
      </c>
      <c r="N361" s="194">
        <v>1</v>
      </c>
      <c r="O361" s="622">
        <f t="shared" si="587"/>
        <v>150.13</v>
      </c>
      <c r="P361" s="194"/>
      <c r="Q361" s="622">
        <f t="shared" si="588"/>
        <v>0</v>
      </c>
      <c r="R361" s="194">
        <f t="shared" si="589"/>
        <v>1</v>
      </c>
      <c r="S361" s="630">
        <f t="shared" si="590"/>
        <v>150.13</v>
      </c>
      <c r="T361" s="194">
        <f t="shared" si="583"/>
        <v>0</v>
      </c>
      <c r="U361" s="630">
        <v>0</v>
      </c>
    </row>
    <row r="362" spans="1:21" ht="38.25">
      <c r="A362" s="190" t="s">
        <v>520</v>
      </c>
      <c r="B362" s="191">
        <v>151803</v>
      </c>
      <c r="C362" s="657" t="s">
        <v>356</v>
      </c>
      <c r="D362" s="192" t="s">
        <v>59</v>
      </c>
      <c r="E362" s="193">
        <v>170.86</v>
      </c>
      <c r="F362" s="194">
        <v>10</v>
      </c>
      <c r="G362" s="194"/>
      <c r="H362" s="194"/>
      <c r="I362" s="193">
        <f t="shared" si="592"/>
        <v>10</v>
      </c>
      <c r="J362" s="193">
        <f t="shared" si="593"/>
        <v>1708.6000000000001</v>
      </c>
      <c r="K362" s="193"/>
      <c r="L362" s="193"/>
      <c r="M362" s="622">
        <f t="shared" si="594"/>
        <v>1708.6000000000001</v>
      </c>
      <c r="N362" s="194">
        <v>10</v>
      </c>
      <c r="O362" s="622">
        <f t="shared" si="587"/>
        <v>1708.6</v>
      </c>
      <c r="P362" s="194"/>
      <c r="Q362" s="622">
        <f t="shared" si="588"/>
        <v>0</v>
      </c>
      <c r="R362" s="194">
        <f t="shared" si="589"/>
        <v>10</v>
      </c>
      <c r="S362" s="630">
        <f t="shared" si="590"/>
        <v>1708.6</v>
      </c>
      <c r="T362" s="194">
        <f t="shared" si="583"/>
        <v>0</v>
      </c>
      <c r="U362" s="630">
        <v>0</v>
      </c>
    </row>
    <row r="363" spans="1:21" ht="25.5">
      <c r="A363" s="190" t="s">
        <v>521</v>
      </c>
      <c r="B363" s="191">
        <v>151338</v>
      </c>
      <c r="C363" s="657" t="s">
        <v>357</v>
      </c>
      <c r="D363" s="192" t="s">
        <v>59</v>
      </c>
      <c r="E363" s="193">
        <v>18.14</v>
      </c>
      <c r="F363" s="194">
        <v>1</v>
      </c>
      <c r="G363" s="194"/>
      <c r="H363" s="194"/>
      <c r="I363" s="193">
        <f t="shared" si="592"/>
        <v>1</v>
      </c>
      <c r="J363" s="193">
        <f t="shared" si="593"/>
        <v>18.14</v>
      </c>
      <c r="K363" s="193"/>
      <c r="L363" s="193"/>
      <c r="M363" s="622">
        <f t="shared" si="594"/>
        <v>18.14</v>
      </c>
      <c r="N363" s="194">
        <v>1</v>
      </c>
      <c r="O363" s="622">
        <f t="shared" si="587"/>
        <v>18.14</v>
      </c>
      <c r="P363" s="194">
        <v>0</v>
      </c>
      <c r="Q363" s="622">
        <f t="shared" si="588"/>
        <v>0</v>
      </c>
      <c r="R363" s="194">
        <f t="shared" si="589"/>
        <v>1</v>
      </c>
      <c r="S363" s="630">
        <f t="shared" si="590"/>
        <v>18.14</v>
      </c>
      <c r="T363" s="194">
        <f t="shared" si="583"/>
        <v>0</v>
      </c>
      <c r="U363" s="630">
        <v>0</v>
      </c>
    </row>
    <row r="364" spans="1:21" ht="25.5">
      <c r="A364" s="190" t="s">
        <v>522</v>
      </c>
      <c r="B364" s="191">
        <v>151301</v>
      </c>
      <c r="C364" s="657" t="s">
        <v>358</v>
      </c>
      <c r="D364" s="192" t="s">
        <v>59</v>
      </c>
      <c r="E364" s="193">
        <v>18.14</v>
      </c>
      <c r="F364" s="194">
        <v>1</v>
      </c>
      <c r="G364" s="194"/>
      <c r="H364" s="194"/>
      <c r="I364" s="193">
        <f t="shared" si="592"/>
        <v>1</v>
      </c>
      <c r="J364" s="193">
        <f t="shared" si="593"/>
        <v>18.14</v>
      </c>
      <c r="K364" s="193"/>
      <c r="L364" s="193"/>
      <c r="M364" s="622">
        <f t="shared" si="594"/>
        <v>18.14</v>
      </c>
      <c r="N364" s="194">
        <v>1</v>
      </c>
      <c r="O364" s="622">
        <f t="shared" si="587"/>
        <v>18.14</v>
      </c>
      <c r="P364" s="194">
        <v>0</v>
      </c>
      <c r="Q364" s="622">
        <f t="shared" si="588"/>
        <v>0</v>
      </c>
      <c r="R364" s="194">
        <f t="shared" si="589"/>
        <v>1</v>
      </c>
      <c r="S364" s="630">
        <f t="shared" si="590"/>
        <v>18.14</v>
      </c>
      <c r="T364" s="194">
        <f t="shared" si="583"/>
        <v>0</v>
      </c>
      <c r="U364" s="630">
        <v>0</v>
      </c>
    </row>
    <row r="365" spans="1:21" ht="25.5">
      <c r="A365" s="190" t="s">
        <v>523</v>
      </c>
      <c r="B365" s="191">
        <v>151303</v>
      </c>
      <c r="C365" s="657" t="s">
        <v>359</v>
      </c>
      <c r="D365" s="192" t="s">
        <v>59</v>
      </c>
      <c r="E365" s="193">
        <v>18.14</v>
      </c>
      <c r="F365" s="194">
        <v>1</v>
      </c>
      <c r="G365" s="194"/>
      <c r="H365" s="194"/>
      <c r="I365" s="193">
        <f t="shared" si="592"/>
        <v>1</v>
      </c>
      <c r="J365" s="193">
        <f t="shared" si="593"/>
        <v>18.14</v>
      </c>
      <c r="K365" s="193"/>
      <c r="L365" s="193"/>
      <c r="M365" s="622">
        <f t="shared" si="594"/>
        <v>18.14</v>
      </c>
      <c r="N365" s="194">
        <v>1</v>
      </c>
      <c r="O365" s="622">
        <f t="shared" si="587"/>
        <v>18.14</v>
      </c>
      <c r="P365" s="194">
        <v>0</v>
      </c>
      <c r="Q365" s="622">
        <f t="shared" si="588"/>
        <v>0</v>
      </c>
      <c r="R365" s="194">
        <f t="shared" si="589"/>
        <v>1</v>
      </c>
      <c r="S365" s="630">
        <f t="shared" si="590"/>
        <v>18.14</v>
      </c>
      <c r="T365" s="194">
        <f t="shared" si="583"/>
        <v>0</v>
      </c>
      <c r="U365" s="630">
        <v>0</v>
      </c>
    </row>
    <row r="366" spans="1:21" ht="25.5">
      <c r="A366" s="190" t="s">
        <v>524</v>
      </c>
      <c r="B366" s="191">
        <v>151318</v>
      </c>
      <c r="C366" s="657" t="s">
        <v>547</v>
      </c>
      <c r="D366" s="192" t="s">
        <v>59</v>
      </c>
      <c r="E366" s="193">
        <v>22.63</v>
      </c>
      <c r="F366" s="194">
        <v>1</v>
      </c>
      <c r="G366" s="194"/>
      <c r="H366" s="194"/>
      <c r="I366" s="193">
        <f t="shared" si="592"/>
        <v>1</v>
      </c>
      <c r="J366" s="193">
        <f t="shared" si="593"/>
        <v>22.63</v>
      </c>
      <c r="K366" s="193"/>
      <c r="L366" s="193"/>
      <c r="M366" s="622">
        <f t="shared" si="594"/>
        <v>22.63</v>
      </c>
      <c r="N366" s="194">
        <v>1</v>
      </c>
      <c r="O366" s="622">
        <f t="shared" si="587"/>
        <v>22.63</v>
      </c>
      <c r="P366" s="194">
        <v>0</v>
      </c>
      <c r="Q366" s="622">
        <f t="shared" si="588"/>
        <v>0</v>
      </c>
      <c r="R366" s="194">
        <f t="shared" si="589"/>
        <v>1</v>
      </c>
      <c r="S366" s="630">
        <f t="shared" si="590"/>
        <v>22.63</v>
      </c>
      <c r="T366" s="194">
        <f t="shared" si="583"/>
        <v>0</v>
      </c>
      <c r="U366" s="630">
        <v>0</v>
      </c>
    </row>
    <row r="367" spans="1:21">
      <c r="A367" s="190" t="s">
        <v>525</v>
      </c>
      <c r="B367" s="191">
        <v>151350</v>
      </c>
      <c r="C367" s="657" t="s">
        <v>360</v>
      </c>
      <c r="D367" s="192" t="s">
        <v>59</v>
      </c>
      <c r="E367" s="193">
        <v>133.04</v>
      </c>
      <c r="F367" s="194">
        <v>1</v>
      </c>
      <c r="G367" s="194"/>
      <c r="H367" s="194"/>
      <c r="I367" s="193">
        <f t="shared" si="592"/>
        <v>1</v>
      </c>
      <c r="J367" s="193">
        <f t="shared" si="593"/>
        <v>133.04</v>
      </c>
      <c r="K367" s="193"/>
      <c r="L367" s="193"/>
      <c r="M367" s="622">
        <f t="shared" si="594"/>
        <v>133.04</v>
      </c>
      <c r="N367" s="194">
        <v>1</v>
      </c>
      <c r="O367" s="622">
        <f t="shared" si="587"/>
        <v>133.04</v>
      </c>
      <c r="P367" s="194">
        <f>IFERROR(VLOOKUP(A367,#REF!,18,FALSE),)</f>
        <v>0</v>
      </c>
      <c r="Q367" s="622">
        <f t="shared" si="588"/>
        <v>0</v>
      </c>
      <c r="R367" s="194">
        <f t="shared" si="589"/>
        <v>1</v>
      </c>
      <c r="S367" s="630">
        <f t="shared" si="590"/>
        <v>133.04</v>
      </c>
      <c r="T367" s="194">
        <f t="shared" si="583"/>
        <v>0</v>
      </c>
      <c r="U367" s="630">
        <v>0</v>
      </c>
    </row>
    <row r="368" spans="1:21">
      <c r="A368" s="190" t="s">
        <v>526</v>
      </c>
      <c r="B368" s="191">
        <v>151132</v>
      </c>
      <c r="C368" s="657" t="s">
        <v>361</v>
      </c>
      <c r="D368" s="192" t="s">
        <v>51</v>
      </c>
      <c r="E368" s="193">
        <v>7.5</v>
      </c>
      <c r="F368" s="194">
        <v>75.7</v>
      </c>
      <c r="G368" s="194"/>
      <c r="H368" s="194"/>
      <c r="I368" s="193">
        <f t="shared" si="592"/>
        <v>75.7</v>
      </c>
      <c r="J368" s="193">
        <f t="shared" si="593"/>
        <v>567.75</v>
      </c>
      <c r="K368" s="193"/>
      <c r="L368" s="193"/>
      <c r="M368" s="622">
        <f t="shared" si="594"/>
        <v>567.75</v>
      </c>
      <c r="N368" s="194">
        <v>75.7</v>
      </c>
      <c r="O368" s="622">
        <f t="shared" si="587"/>
        <v>567.75</v>
      </c>
      <c r="P368" s="194">
        <f>IFERROR(VLOOKUP(A368,#REF!,18,FALSE),)</f>
        <v>0</v>
      </c>
      <c r="Q368" s="622">
        <f t="shared" si="588"/>
        <v>0</v>
      </c>
      <c r="R368" s="194">
        <f t="shared" si="589"/>
        <v>75.7</v>
      </c>
      <c r="S368" s="630">
        <f t="shared" si="590"/>
        <v>567.75</v>
      </c>
      <c r="T368" s="194">
        <f t="shared" si="583"/>
        <v>0</v>
      </c>
      <c r="U368" s="630">
        <v>0</v>
      </c>
    </row>
    <row r="369" spans="1:21" ht="25.5">
      <c r="A369" s="190" t="s">
        <v>527</v>
      </c>
      <c r="B369" s="191">
        <v>150801</v>
      </c>
      <c r="C369" s="657" t="s">
        <v>362</v>
      </c>
      <c r="D369" s="192" t="s">
        <v>51</v>
      </c>
      <c r="E369" s="193">
        <v>12.67</v>
      </c>
      <c r="F369" s="194">
        <v>66</v>
      </c>
      <c r="G369" s="194"/>
      <c r="H369" s="194"/>
      <c r="I369" s="193">
        <f t="shared" si="592"/>
        <v>66</v>
      </c>
      <c r="J369" s="193">
        <f t="shared" si="593"/>
        <v>836.22</v>
      </c>
      <c r="K369" s="193"/>
      <c r="L369" s="193"/>
      <c r="M369" s="622">
        <f t="shared" si="594"/>
        <v>836.22</v>
      </c>
      <c r="N369" s="194">
        <v>66</v>
      </c>
      <c r="O369" s="622">
        <f t="shared" si="587"/>
        <v>836.22</v>
      </c>
      <c r="P369" s="194">
        <f>IFERROR(VLOOKUP(A369,#REF!,18,FALSE),)</f>
        <v>0</v>
      </c>
      <c r="Q369" s="622">
        <f t="shared" si="588"/>
        <v>0</v>
      </c>
      <c r="R369" s="194">
        <f t="shared" si="589"/>
        <v>66</v>
      </c>
      <c r="S369" s="630">
        <f t="shared" si="590"/>
        <v>836.22</v>
      </c>
      <c r="T369" s="194">
        <f t="shared" si="583"/>
        <v>0</v>
      </c>
      <c r="U369" s="630">
        <v>0</v>
      </c>
    </row>
    <row r="370" spans="1:21">
      <c r="A370" s="190" t="s">
        <v>528</v>
      </c>
      <c r="B370" s="191">
        <v>180110</v>
      </c>
      <c r="C370" s="657" t="s">
        <v>363</v>
      </c>
      <c r="D370" s="192" t="s">
        <v>59</v>
      </c>
      <c r="E370" s="193">
        <v>106.15</v>
      </c>
      <c r="F370" s="194">
        <v>5</v>
      </c>
      <c r="G370" s="194"/>
      <c r="H370" s="194"/>
      <c r="I370" s="193">
        <f t="shared" si="592"/>
        <v>5</v>
      </c>
      <c r="J370" s="193">
        <f t="shared" si="593"/>
        <v>530.75</v>
      </c>
      <c r="K370" s="193"/>
      <c r="L370" s="193"/>
      <c r="M370" s="622">
        <f t="shared" si="594"/>
        <v>530.75</v>
      </c>
      <c r="N370" s="194">
        <v>5</v>
      </c>
      <c r="O370" s="622">
        <f t="shared" si="587"/>
        <v>530.75</v>
      </c>
      <c r="P370" s="194">
        <v>0</v>
      </c>
      <c r="Q370" s="622">
        <f t="shared" si="588"/>
        <v>0</v>
      </c>
      <c r="R370" s="194">
        <f t="shared" si="589"/>
        <v>5</v>
      </c>
      <c r="S370" s="630">
        <f t="shared" si="590"/>
        <v>530.75</v>
      </c>
      <c r="T370" s="194">
        <f t="shared" si="583"/>
        <v>0</v>
      </c>
      <c r="U370" s="630">
        <v>0</v>
      </c>
    </row>
    <row r="371" spans="1:21" ht="14.25" customHeight="1">
      <c r="A371" s="190" t="s">
        <v>529</v>
      </c>
      <c r="B371" s="191" t="s">
        <v>367</v>
      </c>
      <c r="C371" s="657" t="s">
        <v>364</v>
      </c>
      <c r="D371" s="192" t="s">
        <v>72</v>
      </c>
      <c r="E371" s="193">
        <v>362.44</v>
      </c>
      <c r="F371" s="194">
        <v>19</v>
      </c>
      <c r="G371" s="194"/>
      <c r="H371" s="194"/>
      <c r="I371" s="193">
        <f t="shared" si="592"/>
        <v>19</v>
      </c>
      <c r="J371" s="193">
        <f t="shared" si="593"/>
        <v>6886.36</v>
      </c>
      <c r="K371" s="193"/>
      <c r="L371" s="193"/>
      <c r="M371" s="622">
        <f t="shared" si="594"/>
        <v>6886.36</v>
      </c>
      <c r="N371" s="194">
        <v>19</v>
      </c>
      <c r="O371" s="622">
        <f t="shared" si="587"/>
        <v>6886.36</v>
      </c>
      <c r="P371" s="194">
        <v>0</v>
      </c>
      <c r="Q371" s="622">
        <f t="shared" si="588"/>
        <v>0</v>
      </c>
      <c r="R371" s="194">
        <f t="shared" si="589"/>
        <v>19</v>
      </c>
      <c r="S371" s="630">
        <f t="shared" si="590"/>
        <v>6886.36</v>
      </c>
      <c r="T371" s="194">
        <f t="shared" si="583"/>
        <v>0</v>
      </c>
      <c r="U371" s="630">
        <v>0</v>
      </c>
    </row>
    <row r="372" spans="1:21" ht="25.5">
      <c r="A372" s="190" t="s">
        <v>530</v>
      </c>
      <c r="B372" s="191" t="s">
        <v>368</v>
      </c>
      <c r="C372" s="657" t="s">
        <v>365</v>
      </c>
      <c r="D372" s="192" t="s">
        <v>72</v>
      </c>
      <c r="E372" s="193">
        <v>4976.67</v>
      </c>
      <c r="F372" s="194">
        <v>2</v>
      </c>
      <c r="G372" s="194"/>
      <c r="H372" s="194"/>
      <c r="I372" s="193">
        <f t="shared" si="592"/>
        <v>2</v>
      </c>
      <c r="J372" s="193">
        <f t="shared" si="593"/>
        <v>9953.34</v>
      </c>
      <c r="K372" s="193"/>
      <c r="L372" s="193"/>
      <c r="M372" s="622">
        <f t="shared" si="594"/>
        <v>9953.34</v>
      </c>
      <c r="N372" s="194">
        <v>1</v>
      </c>
      <c r="O372" s="622">
        <f t="shared" si="587"/>
        <v>4976.67</v>
      </c>
      <c r="P372" s="560">
        <v>0</v>
      </c>
      <c r="Q372" s="622">
        <f t="shared" si="588"/>
        <v>0</v>
      </c>
      <c r="R372" s="194">
        <f t="shared" si="589"/>
        <v>1</v>
      </c>
      <c r="S372" s="630">
        <f t="shared" si="590"/>
        <v>4976.67</v>
      </c>
      <c r="T372" s="194">
        <f>F372-R372</f>
        <v>1</v>
      </c>
      <c r="U372" s="630">
        <f>T372*E372</f>
        <v>4976.67</v>
      </c>
    </row>
    <row r="373" spans="1:21" ht="25.5">
      <c r="A373" s="190" t="s">
        <v>531</v>
      </c>
      <c r="B373" s="191" t="s">
        <v>369</v>
      </c>
      <c r="C373" s="657" t="s">
        <v>366</v>
      </c>
      <c r="D373" s="192" t="s">
        <v>10</v>
      </c>
      <c r="E373" s="193">
        <v>12903.37</v>
      </c>
      <c r="F373" s="194">
        <v>1</v>
      </c>
      <c r="G373" s="194"/>
      <c r="H373" s="194"/>
      <c r="I373" s="193">
        <f t="shared" si="592"/>
        <v>1</v>
      </c>
      <c r="J373" s="193">
        <f t="shared" si="593"/>
        <v>12903.37</v>
      </c>
      <c r="K373" s="193"/>
      <c r="L373" s="193"/>
      <c r="M373" s="622">
        <f t="shared" si="594"/>
        <v>12903.37</v>
      </c>
      <c r="N373" s="194">
        <v>1</v>
      </c>
      <c r="O373" s="622">
        <f t="shared" si="587"/>
        <v>12903.37</v>
      </c>
      <c r="P373" s="194">
        <v>0</v>
      </c>
      <c r="Q373" s="622">
        <f t="shared" si="588"/>
        <v>0</v>
      </c>
      <c r="R373" s="194">
        <f t="shared" si="589"/>
        <v>1</v>
      </c>
      <c r="S373" s="630">
        <f t="shared" si="590"/>
        <v>12903.37</v>
      </c>
      <c r="T373" s="194">
        <f t="shared" si="583"/>
        <v>0</v>
      </c>
      <c r="U373" s="630">
        <f>T373*E373</f>
        <v>0</v>
      </c>
    </row>
    <row r="374" spans="1:21">
      <c r="A374" s="138"/>
      <c r="B374" s="132"/>
      <c r="C374" s="123"/>
      <c r="D374" s="123"/>
      <c r="E374" s="123"/>
      <c r="F374" s="123"/>
      <c r="G374" s="123"/>
      <c r="H374" s="123"/>
      <c r="I374" s="123"/>
      <c r="J374" s="123"/>
      <c r="K374" s="123"/>
      <c r="L374" s="123"/>
      <c r="M374" s="623"/>
      <c r="N374" s="123"/>
      <c r="O374" s="623"/>
      <c r="P374" s="123"/>
      <c r="Q374" s="623"/>
      <c r="R374" s="123"/>
      <c r="S374" s="631"/>
      <c r="T374" s="123"/>
      <c r="U374" s="631"/>
    </row>
    <row r="375" spans="1:21" s="131" customFormat="1">
      <c r="A375" s="137" t="s">
        <v>532</v>
      </c>
      <c r="B375" s="133"/>
      <c r="C375" s="658" t="s">
        <v>371</v>
      </c>
      <c r="D375" s="126"/>
      <c r="E375" s="127"/>
      <c r="F375" s="128"/>
      <c r="G375" s="128"/>
      <c r="H375" s="128"/>
      <c r="I375" s="129"/>
      <c r="J375" s="129">
        <f>SUBTOTAL(9,J376:J379)</f>
        <v>3312.2430000000004</v>
      </c>
      <c r="K375" s="129"/>
      <c r="L375" s="129"/>
      <c r="M375" s="624"/>
      <c r="N375" s="130"/>
      <c r="O375" s="624">
        <f>SUBTOTAL(9,O376:O379)</f>
        <v>3312.2400000000002</v>
      </c>
      <c r="P375" s="130"/>
      <c r="Q375" s="624">
        <f>SUBTOTAL(9,Q376:Q379)</f>
        <v>0</v>
      </c>
      <c r="R375" s="129"/>
      <c r="S375" s="624">
        <f>SUBTOTAL(9,S376:S379)</f>
        <v>3312.2400000000002</v>
      </c>
      <c r="T375" s="129">
        <f t="shared" si="583"/>
        <v>0</v>
      </c>
      <c r="U375" s="624">
        <f>SUBTOTAL(9,U376:U379)</f>
        <v>0</v>
      </c>
    </row>
    <row r="376" spans="1:21" ht="38.25">
      <c r="A376" s="190" t="s">
        <v>533</v>
      </c>
      <c r="B376" s="191">
        <v>150610</v>
      </c>
      <c r="C376" s="657" t="s">
        <v>376</v>
      </c>
      <c r="D376" s="192" t="s">
        <v>59</v>
      </c>
      <c r="E376" s="193">
        <v>188.46</v>
      </c>
      <c r="F376" s="194">
        <v>4</v>
      </c>
      <c r="G376" s="194"/>
      <c r="H376" s="194"/>
      <c r="I376" s="193">
        <f t="shared" ref="I376" si="595">F376+G376-H376</f>
        <v>4</v>
      </c>
      <c r="J376" s="193">
        <f t="shared" ref="J376" si="596">I376*E376</f>
        <v>753.84</v>
      </c>
      <c r="K376" s="193"/>
      <c r="L376" s="193"/>
      <c r="M376" s="622">
        <f t="shared" ref="M376" si="597">I376*E376</f>
        <v>753.84</v>
      </c>
      <c r="N376" s="194">
        <v>4</v>
      </c>
      <c r="O376" s="622">
        <f t="shared" ref="O376" si="598">TRUNC(N376*E376,2)</f>
        <v>753.84</v>
      </c>
      <c r="P376" s="194">
        <v>0</v>
      </c>
      <c r="Q376" s="622">
        <f t="shared" ref="Q376" si="599">S376-O376</f>
        <v>0</v>
      </c>
      <c r="R376" s="194">
        <f t="shared" ref="R376" si="600">P376+N376</f>
        <v>4</v>
      </c>
      <c r="S376" s="630">
        <f t="shared" ref="S376" si="601">TRUNC(R376*E376,2)</f>
        <v>753.84</v>
      </c>
      <c r="T376" s="194">
        <f t="shared" si="583"/>
        <v>0</v>
      </c>
      <c r="U376" s="630">
        <v>0</v>
      </c>
    </row>
    <row r="377" spans="1:21" ht="38.25">
      <c r="A377" s="190" t="s">
        <v>534</v>
      </c>
      <c r="B377" s="191">
        <v>160324</v>
      </c>
      <c r="C377" s="657" t="s">
        <v>546</v>
      </c>
      <c r="D377" s="192" t="s">
        <v>59</v>
      </c>
      <c r="E377" s="193">
        <v>199.91</v>
      </c>
      <c r="F377" s="194">
        <v>1</v>
      </c>
      <c r="G377" s="194"/>
      <c r="H377" s="194"/>
      <c r="I377" s="193">
        <f t="shared" ref="I377:I379" si="602">F377+G377-H377</f>
        <v>1</v>
      </c>
      <c r="J377" s="193">
        <f t="shared" ref="J377:J379" si="603">I377*E377</f>
        <v>199.91</v>
      </c>
      <c r="K377" s="193"/>
      <c r="L377" s="193"/>
      <c r="M377" s="622">
        <f t="shared" ref="M377:M379" si="604">I377*E377</f>
        <v>199.91</v>
      </c>
      <c r="N377" s="194">
        <v>1</v>
      </c>
      <c r="O377" s="622">
        <f>TRUNC(N377*E377,2)</f>
        <v>199.91</v>
      </c>
      <c r="P377" s="194">
        <v>0</v>
      </c>
      <c r="Q377" s="622">
        <f>S377-O377</f>
        <v>0</v>
      </c>
      <c r="R377" s="194">
        <f>P377+N377</f>
        <v>1</v>
      </c>
      <c r="S377" s="630">
        <f>TRUNC(R377*E377,2)</f>
        <v>199.91</v>
      </c>
      <c r="T377" s="194">
        <f t="shared" si="583"/>
        <v>0</v>
      </c>
      <c r="U377" s="630">
        <v>0</v>
      </c>
    </row>
    <row r="378" spans="1:21" ht="25.5">
      <c r="A378" s="190" t="s">
        <v>535</v>
      </c>
      <c r="B378" s="191">
        <v>160317</v>
      </c>
      <c r="C378" s="657" t="s">
        <v>377</v>
      </c>
      <c r="D378" s="192" t="s">
        <v>51</v>
      </c>
      <c r="E378" s="193">
        <v>33.369999999999997</v>
      </c>
      <c r="F378" s="194">
        <v>68.900000000000006</v>
      </c>
      <c r="G378" s="194"/>
      <c r="H378" s="194"/>
      <c r="I378" s="193">
        <f t="shared" si="602"/>
        <v>68.900000000000006</v>
      </c>
      <c r="J378" s="193">
        <f t="shared" si="603"/>
        <v>2299.1930000000002</v>
      </c>
      <c r="K378" s="193"/>
      <c r="L378" s="193"/>
      <c r="M378" s="622">
        <f t="shared" si="604"/>
        <v>2299.1930000000002</v>
      </c>
      <c r="N378" s="194">
        <v>68.900000000000006</v>
      </c>
      <c r="O378" s="622">
        <f t="shared" ref="O378:O379" si="605">TRUNC(N378*E378,2)</f>
        <v>2299.19</v>
      </c>
      <c r="P378" s="194">
        <v>0</v>
      </c>
      <c r="Q378" s="622">
        <f t="shared" ref="Q378:Q379" si="606">S378-O378</f>
        <v>0</v>
      </c>
      <c r="R378" s="194">
        <f t="shared" ref="R378:R379" si="607">P378+N378</f>
        <v>68.900000000000006</v>
      </c>
      <c r="S378" s="630">
        <f t="shared" ref="S378:S379" si="608">TRUNC(R378*E378,2)</f>
        <v>2299.19</v>
      </c>
      <c r="T378" s="194">
        <f t="shared" si="583"/>
        <v>0</v>
      </c>
      <c r="U378" s="630">
        <v>0</v>
      </c>
    </row>
    <row r="379" spans="1:21" ht="25.5">
      <c r="A379" s="190" t="s">
        <v>536</v>
      </c>
      <c r="B379" s="191">
        <v>160334</v>
      </c>
      <c r="C379" s="657" t="s">
        <v>378</v>
      </c>
      <c r="D379" s="192" t="s">
        <v>59</v>
      </c>
      <c r="E379" s="193">
        <v>29.65</v>
      </c>
      <c r="F379" s="194">
        <v>2</v>
      </c>
      <c r="G379" s="194"/>
      <c r="H379" s="194"/>
      <c r="I379" s="193">
        <f t="shared" si="602"/>
        <v>2</v>
      </c>
      <c r="J379" s="193">
        <f t="shared" si="603"/>
        <v>59.3</v>
      </c>
      <c r="K379" s="193"/>
      <c r="L379" s="193"/>
      <c r="M379" s="622">
        <f t="shared" si="604"/>
        <v>59.3</v>
      </c>
      <c r="N379" s="194">
        <v>2</v>
      </c>
      <c r="O379" s="622">
        <f t="shared" si="605"/>
        <v>59.3</v>
      </c>
      <c r="P379" s="194">
        <v>0</v>
      </c>
      <c r="Q379" s="622">
        <f t="shared" si="606"/>
        <v>0</v>
      </c>
      <c r="R379" s="194">
        <f t="shared" si="607"/>
        <v>2</v>
      </c>
      <c r="S379" s="630">
        <f t="shared" si="608"/>
        <v>59.3</v>
      </c>
      <c r="T379" s="194">
        <f t="shared" si="583"/>
        <v>0</v>
      </c>
      <c r="U379" s="630">
        <v>0</v>
      </c>
    </row>
    <row r="380" spans="1:21">
      <c r="A380" s="138"/>
      <c r="B380" s="132"/>
      <c r="C380" s="123"/>
      <c r="D380" s="123"/>
      <c r="E380" s="123"/>
      <c r="F380" s="123"/>
      <c r="G380" s="123"/>
      <c r="H380" s="123"/>
      <c r="I380" s="123"/>
      <c r="J380" s="123"/>
      <c r="K380" s="123"/>
      <c r="L380" s="123"/>
      <c r="M380" s="623"/>
      <c r="N380" s="123"/>
      <c r="O380" s="623"/>
      <c r="P380" s="123"/>
      <c r="Q380" s="623"/>
      <c r="R380" s="123"/>
      <c r="S380" s="631"/>
      <c r="T380" s="123"/>
      <c r="U380" s="631"/>
    </row>
    <row r="381" spans="1:21" s="213" customFormat="1">
      <c r="A381" s="210" t="s">
        <v>537</v>
      </c>
      <c r="B381" s="211"/>
      <c r="C381" s="655" t="s">
        <v>380</v>
      </c>
      <c r="D381" s="197"/>
      <c r="E381" s="198"/>
      <c r="F381" s="199"/>
      <c r="G381" s="199"/>
      <c r="H381" s="199"/>
      <c r="I381" s="200"/>
      <c r="J381" s="200">
        <f>SUBTOTAL(9,J382:J387)</f>
        <v>2061.3539999999998</v>
      </c>
      <c r="K381" s="200"/>
      <c r="L381" s="200"/>
      <c r="M381" s="620"/>
      <c r="N381" s="201"/>
      <c r="O381" s="620">
        <f>SUBTOTAL(9,O382:O387)</f>
        <v>1704.3899999999999</v>
      </c>
      <c r="P381" s="201"/>
      <c r="Q381" s="620">
        <f>SUBTOTAL(9,Q382:Q387)</f>
        <v>356.96</v>
      </c>
      <c r="R381" s="200"/>
      <c r="S381" s="620">
        <f>SUBTOTAL(9,S382:S387)</f>
        <v>2061.35</v>
      </c>
      <c r="T381" s="200">
        <f t="shared" si="583"/>
        <v>0</v>
      </c>
      <c r="U381" s="620">
        <f>SUBTOTAL(9,U382:U387)</f>
        <v>0</v>
      </c>
    </row>
    <row r="382" spans="1:21" s="131" customFormat="1">
      <c r="A382" s="137" t="s">
        <v>538</v>
      </c>
      <c r="B382" s="133"/>
      <c r="C382" s="658" t="s">
        <v>380</v>
      </c>
      <c r="D382" s="126"/>
      <c r="E382" s="127"/>
      <c r="F382" s="128"/>
      <c r="G382" s="128"/>
      <c r="H382" s="128"/>
      <c r="I382" s="129"/>
      <c r="J382" s="129">
        <f>SUBTOTAL(9,J383:J387)</f>
        <v>2061.3539999999998</v>
      </c>
      <c r="K382" s="129"/>
      <c r="L382" s="129"/>
      <c r="M382" s="624"/>
      <c r="N382" s="130"/>
      <c r="O382" s="624">
        <f>SUBTOTAL(9,O383:O387)</f>
        <v>1704.3899999999999</v>
      </c>
      <c r="P382" s="130"/>
      <c r="Q382" s="624">
        <f>SUBTOTAL(9,Q383:Q387)</f>
        <v>356.96</v>
      </c>
      <c r="R382" s="129"/>
      <c r="S382" s="624">
        <f>SUBTOTAL(9,S383:S387)</f>
        <v>2061.35</v>
      </c>
      <c r="T382" s="129">
        <f t="shared" si="583"/>
        <v>0</v>
      </c>
      <c r="U382" s="624">
        <f>SUBTOTAL(9,U383:U387)</f>
        <v>0</v>
      </c>
    </row>
    <row r="383" spans="1:21" ht="25.5">
      <c r="A383" s="190" t="s">
        <v>539</v>
      </c>
      <c r="B383" s="191">
        <v>160612</v>
      </c>
      <c r="C383" s="657" t="s">
        <v>387</v>
      </c>
      <c r="D383" s="192" t="s">
        <v>59</v>
      </c>
      <c r="E383" s="193">
        <v>29.96</v>
      </c>
      <c r="F383" s="194">
        <v>2</v>
      </c>
      <c r="G383" s="194"/>
      <c r="H383" s="194"/>
      <c r="I383" s="193">
        <f t="shared" ref="I383" si="609">F383+G383-H383</f>
        <v>2</v>
      </c>
      <c r="J383" s="193">
        <f t="shared" ref="J383" si="610">I383*E383</f>
        <v>59.92</v>
      </c>
      <c r="K383" s="193"/>
      <c r="L383" s="193"/>
      <c r="M383" s="622">
        <f t="shared" ref="M383" si="611">I383*E383</f>
        <v>59.92</v>
      </c>
      <c r="N383" s="194">
        <v>2</v>
      </c>
      <c r="O383" s="622">
        <f t="shared" ref="O383" si="612">TRUNC(N383*E383,2)</f>
        <v>59.92</v>
      </c>
      <c r="P383" s="560">
        <v>0</v>
      </c>
      <c r="Q383" s="622">
        <f t="shared" ref="Q383" si="613">S383-O383</f>
        <v>0</v>
      </c>
      <c r="R383" s="194">
        <f t="shared" ref="R383" si="614">P383+N383</f>
        <v>2</v>
      </c>
      <c r="S383" s="630">
        <f t="shared" ref="S383" si="615">TRUNC(R383*E383,2)</f>
        <v>59.92</v>
      </c>
      <c r="T383" s="194">
        <f t="shared" si="583"/>
        <v>0</v>
      </c>
      <c r="U383" s="630">
        <f>T383*E383</f>
        <v>0</v>
      </c>
    </row>
    <row r="384" spans="1:21" ht="38.25">
      <c r="A384" s="190" t="s">
        <v>540</v>
      </c>
      <c r="B384" s="191">
        <v>160608</v>
      </c>
      <c r="C384" s="657" t="s">
        <v>545</v>
      </c>
      <c r="D384" s="192" t="s">
        <v>59</v>
      </c>
      <c r="E384" s="193">
        <v>320.60000000000002</v>
      </c>
      <c r="F384" s="194">
        <v>3</v>
      </c>
      <c r="G384" s="194"/>
      <c r="H384" s="194"/>
      <c r="I384" s="193">
        <f t="shared" ref="I384:I387" si="616">F384+G384-H384</f>
        <v>3</v>
      </c>
      <c r="J384" s="193">
        <f t="shared" ref="J384:J387" si="617">I384*E384</f>
        <v>961.80000000000007</v>
      </c>
      <c r="K384" s="193"/>
      <c r="L384" s="193"/>
      <c r="M384" s="622">
        <f t="shared" ref="M384:M387" si="618">I384*E384</f>
        <v>961.80000000000007</v>
      </c>
      <c r="N384" s="194">
        <v>3</v>
      </c>
      <c r="O384" s="622">
        <f>TRUNC(N384*E384,2)</f>
        <v>961.8</v>
      </c>
      <c r="P384" s="560">
        <v>0</v>
      </c>
      <c r="Q384" s="622">
        <f>S384-O384</f>
        <v>0</v>
      </c>
      <c r="R384" s="194">
        <f>P384+N384</f>
        <v>3</v>
      </c>
      <c r="S384" s="630">
        <f>TRUNC(R384*E384,2)</f>
        <v>961.8</v>
      </c>
      <c r="T384" s="194">
        <f t="shared" si="583"/>
        <v>0</v>
      </c>
      <c r="U384" s="630">
        <f t="shared" ref="U384:U387" si="619">T384*E384</f>
        <v>0</v>
      </c>
    </row>
    <row r="385" spans="1:22" ht="25.5">
      <c r="A385" s="190" t="s">
        <v>541</v>
      </c>
      <c r="B385" s="191">
        <v>160613</v>
      </c>
      <c r="C385" s="657" t="s">
        <v>389</v>
      </c>
      <c r="D385" s="192" t="s">
        <v>59</v>
      </c>
      <c r="E385" s="193">
        <v>197.45</v>
      </c>
      <c r="F385" s="194">
        <v>3</v>
      </c>
      <c r="G385" s="194"/>
      <c r="H385" s="194"/>
      <c r="I385" s="193">
        <f t="shared" si="616"/>
        <v>3</v>
      </c>
      <c r="J385" s="193">
        <f t="shared" si="617"/>
        <v>592.34999999999991</v>
      </c>
      <c r="K385" s="193"/>
      <c r="L385" s="193"/>
      <c r="M385" s="622">
        <f t="shared" si="618"/>
        <v>592.34999999999991</v>
      </c>
      <c r="N385" s="194">
        <v>3</v>
      </c>
      <c r="O385" s="622">
        <f t="shared" ref="O385:O387" si="620">TRUNC(N385*E385,2)</f>
        <v>592.35</v>
      </c>
      <c r="P385" s="560">
        <v>0</v>
      </c>
      <c r="Q385" s="622">
        <f t="shared" ref="Q385:Q387" si="621">S385-O385</f>
        <v>0</v>
      </c>
      <c r="R385" s="194">
        <f t="shared" ref="R385:R387" si="622">P385+N385</f>
        <v>3</v>
      </c>
      <c r="S385" s="630">
        <f t="shared" ref="S385:S387" si="623">TRUNC(R385*E385,2)</f>
        <v>592.35</v>
      </c>
      <c r="T385" s="194">
        <f t="shared" si="583"/>
        <v>0</v>
      </c>
      <c r="U385" s="630">
        <f t="shared" si="619"/>
        <v>0</v>
      </c>
    </row>
    <row r="386" spans="1:22" s="725" customFormat="1" ht="38.25">
      <c r="A386" s="577" t="s">
        <v>542</v>
      </c>
      <c r="B386" s="578">
        <v>160607</v>
      </c>
      <c r="C386" s="722" t="s">
        <v>390</v>
      </c>
      <c r="D386" s="580" t="s">
        <v>59</v>
      </c>
      <c r="E386" s="581">
        <v>178.48</v>
      </c>
      <c r="F386" s="582">
        <v>2</v>
      </c>
      <c r="G386" s="582"/>
      <c r="H386" s="582"/>
      <c r="I386" s="581">
        <f t="shared" si="616"/>
        <v>2</v>
      </c>
      <c r="J386" s="581">
        <f t="shared" si="617"/>
        <v>356.96</v>
      </c>
      <c r="K386" s="581"/>
      <c r="L386" s="581"/>
      <c r="M386" s="723">
        <f t="shared" si="618"/>
        <v>356.96</v>
      </c>
      <c r="N386" s="582">
        <v>0</v>
      </c>
      <c r="O386" s="723">
        <f t="shared" si="620"/>
        <v>0</v>
      </c>
      <c r="P386" s="731">
        <v>2</v>
      </c>
      <c r="Q386" s="723">
        <f t="shared" si="621"/>
        <v>356.96</v>
      </c>
      <c r="R386" s="582">
        <f t="shared" si="622"/>
        <v>2</v>
      </c>
      <c r="S386" s="724">
        <f t="shared" si="623"/>
        <v>356.96</v>
      </c>
      <c r="T386" s="582">
        <f t="shared" si="583"/>
        <v>0</v>
      </c>
      <c r="U386" s="724">
        <f t="shared" si="619"/>
        <v>0</v>
      </c>
      <c r="V386" s="640"/>
    </row>
    <row r="387" spans="1:22" ht="38.25">
      <c r="A387" s="190" t="s">
        <v>543</v>
      </c>
      <c r="B387" s="191">
        <v>190605</v>
      </c>
      <c r="C387" s="657" t="s">
        <v>544</v>
      </c>
      <c r="D387" s="192" t="s">
        <v>57</v>
      </c>
      <c r="E387" s="193">
        <v>50.18</v>
      </c>
      <c r="F387" s="194">
        <v>1.8</v>
      </c>
      <c r="G387" s="194"/>
      <c r="H387" s="194"/>
      <c r="I387" s="193">
        <f t="shared" si="616"/>
        <v>1.8</v>
      </c>
      <c r="J387" s="193">
        <f t="shared" si="617"/>
        <v>90.323999999999998</v>
      </c>
      <c r="K387" s="193"/>
      <c r="L387" s="193"/>
      <c r="M387" s="622">
        <f t="shared" si="618"/>
        <v>90.323999999999998</v>
      </c>
      <c r="N387" s="194">
        <v>1.8</v>
      </c>
      <c r="O387" s="622">
        <f t="shared" si="620"/>
        <v>90.32</v>
      </c>
      <c r="P387" s="560">
        <v>0</v>
      </c>
      <c r="Q387" s="622">
        <f t="shared" si="621"/>
        <v>0</v>
      </c>
      <c r="R387" s="194">
        <f t="shared" si="622"/>
        <v>1.8</v>
      </c>
      <c r="S387" s="630">
        <f t="shared" si="623"/>
        <v>90.32</v>
      </c>
      <c r="T387" s="194">
        <f t="shared" si="583"/>
        <v>0</v>
      </c>
      <c r="U387" s="630">
        <f t="shared" si="619"/>
        <v>0</v>
      </c>
    </row>
    <row r="388" spans="1:22">
      <c r="A388" s="138"/>
      <c r="B388" s="132"/>
      <c r="C388" s="123"/>
      <c r="D388" s="123"/>
      <c r="E388" s="123"/>
      <c r="F388" s="123"/>
      <c r="G388" s="123"/>
      <c r="H388" s="123"/>
      <c r="I388" s="123"/>
      <c r="J388" s="123"/>
      <c r="K388" s="123"/>
      <c r="L388" s="123"/>
      <c r="M388" s="623"/>
      <c r="N388" s="123"/>
      <c r="O388" s="623"/>
      <c r="P388" s="123"/>
      <c r="Q388" s="623"/>
      <c r="R388" s="123"/>
      <c r="S388" s="631"/>
      <c r="T388" s="123"/>
      <c r="U388" s="631"/>
    </row>
    <row r="389" spans="1:22" s="654" customFormat="1">
      <c r="A389" s="202">
        <v>4</v>
      </c>
      <c r="B389" s="653" t="s">
        <v>549</v>
      </c>
      <c r="C389" s="654" t="s">
        <v>549</v>
      </c>
      <c r="D389" s="204"/>
      <c r="E389" s="205"/>
      <c r="F389" s="206"/>
      <c r="G389" s="206"/>
      <c r="H389" s="206"/>
      <c r="I389" s="207"/>
      <c r="J389" s="207">
        <f>SUBTOTAL(9,J390:J555)</f>
        <v>1468117.0323999999</v>
      </c>
      <c r="K389" s="207"/>
      <c r="L389" s="207"/>
      <c r="M389" s="619"/>
      <c r="N389" s="208"/>
      <c r="O389" s="619">
        <f>SUBTOTAL(9,O390:O555)</f>
        <v>519675.74999999994</v>
      </c>
      <c r="P389" s="208"/>
      <c r="Q389" s="619">
        <f>SUBTOTAL(9,Q390:Q555)</f>
        <v>0</v>
      </c>
      <c r="R389" s="207"/>
      <c r="S389" s="619">
        <f>SUBTOTAL(9,S390:S555)</f>
        <v>532971.20000000007</v>
      </c>
      <c r="T389" s="207">
        <f>F389-R389</f>
        <v>0</v>
      </c>
      <c r="U389" s="619">
        <f>SUBTOTAL(9,U390:U555)</f>
        <v>943844.02580000029</v>
      </c>
    </row>
    <row r="390" spans="1:22" s="213" customFormat="1">
      <c r="A390" s="210" t="s">
        <v>1</v>
      </c>
      <c r="B390" s="211"/>
      <c r="C390" s="655" t="s">
        <v>65</v>
      </c>
      <c r="D390" s="197"/>
      <c r="E390" s="198"/>
      <c r="F390" s="199"/>
      <c r="G390" s="199"/>
      <c r="H390" s="199"/>
      <c r="I390" s="200"/>
      <c r="J390" s="200">
        <f>SUBTOTAL(9,J391:J397)</f>
        <v>7682.7566999999999</v>
      </c>
      <c r="K390" s="200"/>
      <c r="L390" s="200"/>
      <c r="M390" s="620"/>
      <c r="N390" s="201"/>
      <c r="O390" s="620">
        <f>SUBTOTAL(9,O391:O397)</f>
        <v>0</v>
      </c>
      <c r="P390" s="201"/>
      <c r="Q390" s="620">
        <f>SUBTOTAL(9,Q391:Q397)</f>
        <v>0</v>
      </c>
      <c r="R390" s="200"/>
      <c r="S390" s="620">
        <f>SUBTOTAL(9,S391:S397)</f>
        <v>0</v>
      </c>
      <c r="T390" s="200">
        <f t="shared" ref="T390:T455" si="624">F390-R390</f>
        <v>0</v>
      </c>
      <c r="U390" s="620">
        <f>SUBTOTAL(9,U391:U397)</f>
        <v>7682.7566999999999</v>
      </c>
    </row>
    <row r="391" spans="1:22" s="131" customFormat="1">
      <c r="A391" s="137" t="s">
        <v>37</v>
      </c>
      <c r="B391" s="133"/>
      <c r="C391" s="658" t="s">
        <v>101</v>
      </c>
      <c r="D391" s="126"/>
      <c r="E391" s="127"/>
      <c r="F391" s="128"/>
      <c r="G391" s="128"/>
      <c r="H391" s="128"/>
      <c r="I391" s="129"/>
      <c r="J391" s="129">
        <f>SUBTOTAL(9,J392:J392)</f>
        <v>1783.68</v>
      </c>
      <c r="K391" s="129"/>
      <c r="L391" s="129"/>
      <c r="M391" s="624"/>
      <c r="N391" s="130"/>
      <c r="O391" s="624">
        <f>SUBTOTAL(9,O392:O392)</f>
        <v>0</v>
      </c>
      <c r="P391" s="130"/>
      <c r="Q391" s="624">
        <f>SUBTOTAL(9,Q392:Q392)</f>
        <v>0</v>
      </c>
      <c r="R391" s="129"/>
      <c r="S391" s="624">
        <f>SUBTOTAL(9,S392:S392)</f>
        <v>0</v>
      </c>
      <c r="T391" s="129">
        <f t="shared" si="624"/>
        <v>0</v>
      </c>
      <c r="U391" s="624">
        <f>SUBTOTAL(9,U392:U392)</f>
        <v>1783.68</v>
      </c>
    </row>
    <row r="392" spans="1:22">
      <c r="A392" s="190" t="s">
        <v>550</v>
      </c>
      <c r="B392" s="191">
        <v>20305</v>
      </c>
      <c r="C392" s="657" t="s">
        <v>103</v>
      </c>
      <c r="D392" s="192" t="s">
        <v>57</v>
      </c>
      <c r="E392" s="193">
        <v>222.96</v>
      </c>
      <c r="F392" s="194">
        <v>8</v>
      </c>
      <c r="G392" s="194"/>
      <c r="H392" s="194"/>
      <c r="I392" s="193">
        <f t="shared" ref="I392" si="625">F392+G392-H392</f>
        <v>8</v>
      </c>
      <c r="J392" s="193">
        <f t="shared" ref="J392" si="626">I392*E392</f>
        <v>1783.68</v>
      </c>
      <c r="K392" s="193"/>
      <c r="L392" s="193"/>
      <c r="M392" s="622">
        <f t="shared" ref="M392" si="627">I392*E392</f>
        <v>1783.68</v>
      </c>
      <c r="N392" s="194">
        <v>0</v>
      </c>
      <c r="O392" s="622">
        <f>TRUNC(N392*E392,2)</f>
        <v>0</v>
      </c>
      <c r="P392" s="194">
        <v>0</v>
      </c>
      <c r="Q392" s="622">
        <f t="shared" ref="Q392" si="628">S392-O392</f>
        <v>0</v>
      </c>
      <c r="R392" s="194">
        <f>P392+N392</f>
        <v>0</v>
      </c>
      <c r="S392" s="630">
        <f>TRUNC(R392*E392,2)</f>
        <v>0</v>
      </c>
      <c r="T392" s="194">
        <f t="shared" si="624"/>
        <v>8</v>
      </c>
      <c r="U392" s="630">
        <f t="shared" ref="U392" si="629">T392*E392</f>
        <v>1783.68</v>
      </c>
    </row>
    <row r="393" spans="1:22">
      <c r="A393" s="138"/>
      <c r="B393" s="132"/>
      <c r="C393" s="123"/>
      <c r="D393" s="123"/>
      <c r="E393" s="123"/>
      <c r="F393" s="123"/>
      <c r="G393" s="123"/>
      <c r="H393" s="123"/>
      <c r="I393" s="123"/>
      <c r="J393" s="123"/>
      <c r="K393" s="123"/>
      <c r="L393" s="123"/>
      <c r="M393" s="623"/>
      <c r="N393" s="123"/>
      <c r="O393" s="623"/>
      <c r="P393" s="123"/>
      <c r="Q393" s="623"/>
      <c r="R393" s="123"/>
      <c r="S393" s="631"/>
      <c r="T393" s="123"/>
      <c r="U393" s="631"/>
    </row>
    <row r="394" spans="1:22" s="131" customFormat="1">
      <c r="A394" s="137" t="s">
        <v>38</v>
      </c>
      <c r="B394" s="133"/>
      <c r="C394" s="658" t="s">
        <v>105</v>
      </c>
      <c r="D394" s="126"/>
      <c r="E394" s="127"/>
      <c r="F394" s="128"/>
      <c r="G394" s="128"/>
      <c r="H394" s="128"/>
      <c r="I394" s="129"/>
      <c r="J394" s="129">
        <f>SUBTOTAL(9,J395:J397)</f>
        <v>5899.0766999999996</v>
      </c>
      <c r="K394" s="129"/>
      <c r="L394" s="129"/>
      <c r="M394" s="624"/>
      <c r="N394" s="130"/>
      <c r="O394" s="624">
        <f>SUBTOTAL(9,O395:O397)</f>
        <v>0</v>
      </c>
      <c r="P394" s="130"/>
      <c r="Q394" s="624">
        <f>SUBTOTAL(9,Q395:Q397)</f>
        <v>0</v>
      </c>
      <c r="R394" s="129"/>
      <c r="S394" s="624">
        <f>SUBTOTAL(9,S395:S397)</f>
        <v>0</v>
      </c>
      <c r="T394" s="129">
        <f t="shared" si="624"/>
        <v>0</v>
      </c>
      <c r="U394" s="624">
        <f>SUBTOTAL(9,U395:U397)</f>
        <v>5899.0766999999996</v>
      </c>
    </row>
    <row r="395" spans="1:22">
      <c r="A395" s="190" t="s">
        <v>551</v>
      </c>
      <c r="B395" s="191">
        <v>10201</v>
      </c>
      <c r="C395" s="657" t="s">
        <v>397</v>
      </c>
      <c r="D395" s="192" t="s">
        <v>57</v>
      </c>
      <c r="E395" s="193">
        <v>22.08</v>
      </c>
      <c r="F395" s="194">
        <v>175.68</v>
      </c>
      <c r="G395" s="194"/>
      <c r="H395" s="194"/>
      <c r="I395" s="193">
        <f t="shared" ref="I395" si="630">F395+G395-H395</f>
        <v>175.68</v>
      </c>
      <c r="J395" s="193">
        <f t="shared" ref="J395" si="631">I395*E395</f>
        <v>3879.0144</v>
      </c>
      <c r="K395" s="193"/>
      <c r="L395" s="193"/>
      <c r="M395" s="622">
        <f t="shared" ref="M395" si="632">I395*E395</f>
        <v>3879.0144</v>
      </c>
      <c r="N395" s="195">
        <v>0</v>
      </c>
      <c r="O395" s="622">
        <f>TRUNC(N395*E395,2)</f>
        <v>0</v>
      </c>
      <c r="P395" s="194">
        <f>IFERROR(VLOOKUP(A395,'1.1.1.1'!A:U,18,FALSE),)</f>
        <v>0</v>
      </c>
      <c r="Q395" s="622">
        <f t="shared" ref="Q395:Q397" si="633">S395-O395</f>
        <v>0</v>
      </c>
      <c r="R395" s="194">
        <f>P395+N395</f>
        <v>0</v>
      </c>
      <c r="S395" s="630">
        <f>TRUNC(R395*E395,2)</f>
        <v>0</v>
      </c>
      <c r="T395" s="194">
        <f t="shared" si="624"/>
        <v>175.68</v>
      </c>
      <c r="U395" s="630">
        <f t="shared" ref="U395:U397" si="634">T395*E395</f>
        <v>3879.0144</v>
      </c>
    </row>
    <row r="396" spans="1:22">
      <c r="A396" s="190" t="s">
        <v>552</v>
      </c>
      <c r="B396" s="191">
        <v>10209</v>
      </c>
      <c r="C396" s="657" t="s">
        <v>554</v>
      </c>
      <c r="D396" s="192" t="s">
        <v>58</v>
      </c>
      <c r="E396" s="193">
        <v>50.93</v>
      </c>
      <c r="F396" s="194">
        <v>4.96</v>
      </c>
      <c r="G396" s="194"/>
      <c r="H396" s="194"/>
      <c r="I396" s="193">
        <f t="shared" ref="I396:I397" si="635">F396+G396-H396</f>
        <v>4.96</v>
      </c>
      <c r="J396" s="193">
        <f t="shared" ref="J396:J397" si="636">I396*E396</f>
        <v>252.61279999999999</v>
      </c>
      <c r="K396" s="193"/>
      <c r="L396" s="193"/>
      <c r="M396" s="622">
        <f t="shared" ref="M396:M397" si="637">I396*E396</f>
        <v>252.61279999999999</v>
      </c>
      <c r="N396" s="195">
        <v>0</v>
      </c>
      <c r="O396" s="622">
        <f t="shared" ref="O396" si="638">TRUNC(N396*E396,2)</f>
        <v>0</v>
      </c>
      <c r="P396" s="194">
        <f>IFERROR(VLOOKUP(A396,#REF!,18,FALSE),)</f>
        <v>0</v>
      </c>
      <c r="Q396" s="622">
        <f t="shared" ref="Q396" si="639">S396-O396</f>
        <v>0</v>
      </c>
      <c r="R396" s="194">
        <f t="shared" ref="R396" si="640">P396+N396</f>
        <v>0</v>
      </c>
      <c r="S396" s="630">
        <f t="shared" ref="S396" si="641">TRUNC(R396*E396,2)</f>
        <v>0</v>
      </c>
      <c r="T396" s="194">
        <f t="shared" ref="T396" si="642">F396-R396</f>
        <v>4.96</v>
      </c>
      <c r="U396" s="630">
        <f t="shared" si="634"/>
        <v>252.61279999999999</v>
      </c>
    </row>
    <row r="397" spans="1:22" ht="38.25">
      <c r="A397" s="190" t="s">
        <v>553</v>
      </c>
      <c r="B397" s="191">
        <v>30304</v>
      </c>
      <c r="C397" s="657" t="s">
        <v>109</v>
      </c>
      <c r="D397" s="192" t="s">
        <v>58</v>
      </c>
      <c r="E397" s="193">
        <v>56.45</v>
      </c>
      <c r="F397" s="194">
        <v>31.31</v>
      </c>
      <c r="G397" s="194"/>
      <c r="H397" s="194"/>
      <c r="I397" s="193">
        <f t="shared" si="635"/>
        <v>31.31</v>
      </c>
      <c r="J397" s="193">
        <f t="shared" si="636"/>
        <v>1767.4494999999999</v>
      </c>
      <c r="K397" s="193"/>
      <c r="L397" s="193"/>
      <c r="M397" s="622">
        <f t="shared" si="637"/>
        <v>1767.4494999999999</v>
      </c>
      <c r="N397" s="195">
        <v>0</v>
      </c>
      <c r="O397" s="622">
        <f t="shared" ref="O397" si="643">TRUNC(N397*E397,2)</f>
        <v>0</v>
      </c>
      <c r="P397" s="194">
        <f>IFERROR(VLOOKUP(A397,#REF!,18,FALSE),)</f>
        <v>0</v>
      </c>
      <c r="Q397" s="622">
        <f t="shared" si="633"/>
        <v>0</v>
      </c>
      <c r="R397" s="194">
        <f t="shared" ref="R397" si="644">P397+N397</f>
        <v>0</v>
      </c>
      <c r="S397" s="630">
        <f t="shared" ref="S397" si="645">TRUNC(R397*E397,2)</f>
        <v>0</v>
      </c>
      <c r="T397" s="194">
        <f t="shared" si="624"/>
        <v>31.31</v>
      </c>
      <c r="U397" s="630">
        <f t="shared" si="634"/>
        <v>1767.4494999999999</v>
      </c>
    </row>
    <row r="398" spans="1:22">
      <c r="A398" s="138"/>
      <c r="B398" s="132"/>
      <c r="C398" s="123"/>
      <c r="D398" s="123"/>
      <c r="E398" s="123"/>
      <c r="F398" s="123"/>
      <c r="G398" s="123"/>
      <c r="H398" s="123"/>
      <c r="I398" s="123"/>
      <c r="J398" s="123"/>
      <c r="K398" s="123"/>
      <c r="L398" s="123"/>
      <c r="M398" s="623"/>
      <c r="N398" s="123"/>
      <c r="O398" s="623"/>
      <c r="P398" s="123"/>
      <c r="Q398" s="623"/>
      <c r="R398" s="123"/>
      <c r="S398" s="631"/>
      <c r="T398" s="123"/>
      <c r="U398" s="631"/>
    </row>
    <row r="399" spans="1:22" s="213" customFormat="1">
      <c r="A399" s="210" t="s">
        <v>27</v>
      </c>
      <c r="B399" s="211"/>
      <c r="C399" s="655" t="s">
        <v>56</v>
      </c>
      <c r="D399" s="197"/>
      <c r="E399" s="198"/>
      <c r="F399" s="199"/>
      <c r="G399" s="199"/>
      <c r="H399" s="199"/>
      <c r="I399" s="200"/>
      <c r="J399" s="200">
        <f>SUBTOTAL(9,J400:J402)</f>
        <v>4745.5412000000006</v>
      </c>
      <c r="K399" s="200"/>
      <c r="L399" s="200"/>
      <c r="M399" s="620"/>
      <c r="N399" s="201"/>
      <c r="O399" s="620">
        <f>SUBTOTAL(9,O400:O402)</f>
        <v>0</v>
      </c>
      <c r="P399" s="201"/>
      <c r="Q399" s="620">
        <f>SUBTOTAL(9,Q400:Q402)</f>
        <v>0</v>
      </c>
      <c r="R399" s="200"/>
      <c r="S399" s="620">
        <f>SUBTOTAL(9,S400:S402)</f>
        <v>0</v>
      </c>
      <c r="T399" s="200">
        <f t="shared" si="624"/>
        <v>0</v>
      </c>
      <c r="U399" s="620">
        <f>SUBTOTAL(9,U400:U402)</f>
        <v>4745.5412000000006</v>
      </c>
    </row>
    <row r="400" spans="1:22" s="131" customFormat="1">
      <c r="A400" s="137" t="s">
        <v>39</v>
      </c>
      <c r="B400" s="133"/>
      <c r="C400" s="658" t="s">
        <v>111</v>
      </c>
      <c r="D400" s="126"/>
      <c r="E400" s="127"/>
      <c r="F400" s="128"/>
      <c r="G400" s="128"/>
      <c r="H400" s="128"/>
      <c r="I400" s="129"/>
      <c r="J400" s="129">
        <f>SUBTOTAL(9,J401:J402)</f>
        <v>4745.5412000000006</v>
      </c>
      <c r="K400" s="129"/>
      <c r="L400" s="129"/>
      <c r="M400" s="624"/>
      <c r="N400" s="130"/>
      <c r="O400" s="624">
        <f>SUBTOTAL(9,O401:O402)</f>
        <v>0</v>
      </c>
      <c r="P400" s="130"/>
      <c r="Q400" s="624">
        <f>SUBTOTAL(9,Q401:Q402)</f>
        <v>0</v>
      </c>
      <c r="R400" s="129"/>
      <c r="S400" s="624">
        <f>SUBTOTAL(9,S401:S402)</f>
        <v>0</v>
      </c>
      <c r="T400" s="129">
        <f t="shared" si="624"/>
        <v>0</v>
      </c>
      <c r="U400" s="624">
        <f>SUBTOTAL(9,U401:U402)</f>
        <v>4745.5412000000006</v>
      </c>
    </row>
    <row r="401" spans="1:21">
      <c r="A401" s="190" t="s">
        <v>555</v>
      </c>
      <c r="B401" s="191">
        <v>30103</v>
      </c>
      <c r="C401" s="657" t="s">
        <v>116</v>
      </c>
      <c r="D401" s="192" t="s">
        <v>58</v>
      </c>
      <c r="E401" s="193">
        <v>9.81</v>
      </c>
      <c r="F401" s="194">
        <v>71.62</v>
      </c>
      <c r="G401" s="194"/>
      <c r="H401" s="194"/>
      <c r="I401" s="193">
        <f t="shared" ref="I401" si="646">F401+G401-H401</f>
        <v>71.62</v>
      </c>
      <c r="J401" s="193">
        <f t="shared" ref="J401" si="647">I401*E401</f>
        <v>702.59220000000005</v>
      </c>
      <c r="K401" s="193"/>
      <c r="L401" s="193"/>
      <c r="M401" s="622">
        <f t="shared" ref="M401" si="648">I401*E401</f>
        <v>702.59220000000005</v>
      </c>
      <c r="N401" s="194">
        <v>0</v>
      </c>
      <c r="O401" s="622">
        <f t="shared" ref="O401" si="649">TRUNC(N401*E401,2)</f>
        <v>0</v>
      </c>
      <c r="P401" s="194">
        <f>IFERROR(VLOOKUP(A401,'3.2.1.1'!A:U,18,FALSE),)</f>
        <v>0</v>
      </c>
      <c r="Q401" s="622">
        <f t="shared" ref="Q401" si="650">S401-O401</f>
        <v>0</v>
      </c>
      <c r="R401" s="194">
        <f t="shared" ref="R401" si="651">P401+N401</f>
        <v>0</v>
      </c>
      <c r="S401" s="630">
        <f t="shared" ref="S401" si="652">TRUNC(R401*E401,2)</f>
        <v>0</v>
      </c>
      <c r="T401" s="194">
        <f t="shared" si="624"/>
        <v>71.62</v>
      </c>
      <c r="U401" s="630">
        <f t="shared" ref="U401:U402" si="653">T401*E401</f>
        <v>702.59220000000005</v>
      </c>
    </row>
    <row r="402" spans="1:21" ht="38.25">
      <c r="A402" s="190" t="s">
        <v>556</v>
      </c>
      <c r="B402" s="191">
        <v>30304</v>
      </c>
      <c r="C402" s="657" t="s">
        <v>109</v>
      </c>
      <c r="D402" s="192" t="s">
        <v>58</v>
      </c>
      <c r="E402" s="193">
        <v>56.45</v>
      </c>
      <c r="F402" s="194">
        <v>71.62</v>
      </c>
      <c r="G402" s="194"/>
      <c r="H402" s="194"/>
      <c r="I402" s="193">
        <f t="shared" ref="I402" si="654">F402+G402-H402</f>
        <v>71.62</v>
      </c>
      <c r="J402" s="193">
        <f t="shared" ref="J402" si="655">I402*E402</f>
        <v>4042.9490000000005</v>
      </c>
      <c r="K402" s="193"/>
      <c r="L402" s="193"/>
      <c r="M402" s="622">
        <f t="shared" ref="M402" si="656">I402*E402</f>
        <v>4042.9490000000005</v>
      </c>
      <c r="N402" s="194">
        <v>0</v>
      </c>
      <c r="O402" s="622">
        <f>TRUNC(N402*E402,2)</f>
        <v>0</v>
      </c>
      <c r="P402" s="194">
        <f>IFERROR(VLOOKUP(A402,'3.2.1.2'!A:U,18,FALSE),)</f>
        <v>0</v>
      </c>
      <c r="Q402" s="622">
        <f>S402-O402</f>
        <v>0</v>
      </c>
      <c r="R402" s="194">
        <f>P402+N402</f>
        <v>0</v>
      </c>
      <c r="S402" s="630">
        <f>TRUNC(R402*E402,2)</f>
        <v>0</v>
      </c>
      <c r="T402" s="194">
        <f t="shared" si="624"/>
        <v>71.62</v>
      </c>
      <c r="U402" s="630">
        <f t="shared" si="653"/>
        <v>4042.9490000000005</v>
      </c>
    </row>
    <row r="403" spans="1:21" s="213" customFormat="1">
      <c r="A403" s="210" t="s">
        <v>557</v>
      </c>
      <c r="B403" s="211"/>
      <c r="C403" s="655" t="s">
        <v>119</v>
      </c>
      <c r="D403" s="197"/>
      <c r="E403" s="198"/>
      <c r="F403" s="199"/>
      <c r="G403" s="199"/>
      <c r="H403" s="199"/>
      <c r="I403" s="200"/>
      <c r="J403" s="200">
        <f>SUBTOTAL(9,J404:J474)</f>
        <v>365305.14220000006</v>
      </c>
      <c r="K403" s="200"/>
      <c r="L403" s="200"/>
      <c r="M403" s="620"/>
      <c r="N403" s="201"/>
      <c r="O403" s="620">
        <f>SUBTOTAL(9,O404:O474)</f>
        <v>39351.599999999999</v>
      </c>
      <c r="P403" s="201"/>
      <c r="Q403" s="620">
        <f>SUBTOTAL(9,Q404:Q474)</f>
        <v>0</v>
      </c>
      <c r="R403" s="200"/>
      <c r="S403" s="620">
        <f>SUBTOTAL(9,S404:S474)</f>
        <v>39351.599999999999</v>
      </c>
      <c r="T403" s="200">
        <f t="shared" si="624"/>
        <v>0</v>
      </c>
      <c r="U403" s="620">
        <f>SUBTOTAL(9,U404:U474)</f>
        <v>313586.62120000005</v>
      </c>
    </row>
    <row r="404" spans="1:21" s="131" customFormat="1">
      <c r="A404" s="137" t="s">
        <v>558</v>
      </c>
      <c r="B404" s="133"/>
      <c r="C404" s="658" t="s">
        <v>98</v>
      </c>
      <c r="D404" s="126"/>
      <c r="E404" s="127"/>
      <c r="F404" s="128"/>
      <c r="G404" s="128"/>
      <c r="H404" s="128"/>
      <c r="I404" s="129"/>
      <c r="J404" s="129">
        <f>SUBTOTAL(9,J405:J406)</f>
        <v>1390.9672</v>
      </c>
      <c r="K404" s="129"/>
      <c r="L404" s="129"/>
      <c r="M404" s="624"/>
      <c r="N404" s="130"/>
      <c r="O404" s="624">
        <f>SUBTOTAL(9,O405)</f>
        <v>0</v>
      </c>
      <c r="P404" s="130"/>
      <c r="Q404" s="624">
        <f>SUBTOTAL(9,Q405)</f>
        <v>0</v>
      </c>
      <c r="R404" s="129"/>
      <c r="S404" s="624">
        <f>SUBTOTAL(9,S405:S406)</f>
        <v>0</v>
      </c>
      <c r="T404" s="129">
        <f t="shared" si="624"/>
        <v>0</v>
      </c>
      <c r="U404" s="624">
        <f>SUBTOTAL(9,U405)</f>
        <v>1390.9672</v>
      </c>
    </row>
    <row r="405" spans="1:21">
      <c r="A405" s="190" t="s">
        <v>559</v>
      </c>
      <c r="B405" s="191">
        <v>10501</v>
      </c>
      <c r="C405" s="657" t="s">
        <v>122</v>
      </c>
      <c r="D405" s="192" t="s">
        <v>57</v>
      </c>
      <c r="E405" s="193">
        <v>7.69</v>
      </c>
      <c r="F405" s="194">
        <v>180.88</v>
      </c>
      <c r="G405" s="194"/>
      <c r="H405" s="194"/>
      <c r="I405" s="193">
        <f t="shared" ref="I405" si="657">F405+G405-H405</f>
        <v>180.88</v>
      </c>
      <c r="J405" s="193">
        <f t="shared" ref="J405" si="658">I405*E405</f>
        <v>1390.9672</v>
      </c>
      <c r="K405" s="193"/>
      <c r="L405" s="193"/>
      <c r="M405" s="622">
        <f t="shared" ref="M405" si="659">I405*E405</f>
        <v>1390.9672</v>
      </c>
      <c r="N405" s="194">
        <v>0</v>
      </c>
      <c r="O405" s="622">
        <f t="shared" ref="O405" si="660">TRUNC(N405*E405,2)</f>
        <v>0</v>
      </c>
      <c r="P405" s="194">
        <f>IFERROR(VLOOKUP(A405,#REF!,18,FALSE),)</f>
        <v>0</v>
      </c>
      <c r="Q405" s="622">
        <f t="shared" ref="Q405" si="661">S405-O405</f>
        <v>0</v>
      </c>
      <c r="R405" s="194">
        <f t="shared" ref="R405" si="662">P405+N405</f>
        <v>0</v>
      </c>
      <c r="S405" s="630">
        <f t="shared" ref="S405" si="663">TRUNC(R405*E405,2)</f>
        <v>0</v>
      </c>
      <c r="T405" s="194">
        <f t="shared" si="624"/>
        <v>180.88</v>
      </c>
      <c r="U405" s="630">
        <f t="shared" ref="U405" si="664">T405*E405</f>
        <v>1390.9672</v>
      </c>
    </row>
    <row r="406" spans="1:21">
      <c r="A406" s="190" t="s">
        <v>1198</v>
      </c>
      <c r="B406" s="191" t="s">
        <v>1093</v>
      </c>
      <c r="C406" s="657" t="str">
        <f>REPLANILHAMENTO!D354</f>
        <v>Locação de andaime metálico para fachada - tipo torre (aluguel mensal)</v>
      </c>
      <c r="D406" s="192" t="s">
        <v>51</v>
      </c>
      <c r="E406" s="193">
        <f>REPLANILHAMENTO!F354</f>
        <v>8.0299999999999994</v>
      </c>
      <c r="F406" s="194"/>
      <c r="G406" s="194">
        <f>REPLANILHAMENTO!H354</f>
        <v>109.2</v>
      </c>
      <c r="H406" s="194"/>
      <c r="I406" s="193">
        <f>F406+G406-H406</f>
        <v>109.2</v>
      </c>
      <c r="J406" s="193">
        <f>F406*E406</f>
        <v>0</v>
      </c>
      <c r="K406" s="193">
        <f>G406*E406</f>
        <v>876.87599999999998</v>
      </c>
      <c r="L406" s="193">
        <f>H406*E406</f>
        <v>0</v>
      </c>
      <c r="M406" s="622">
        <f>I406*E406</f>
        <v>876.87599999999998</v>
      </c>
      <c r="N406" s="194"/>
      <c r="O406" s="622"/>
      <c r="P406" s="194"/>
      <c r="Q406" s="622"/>
      <c r="R406" s="194"/>
      <c r="S406" s="630"/>
      <c r="T406" s="194"/>
      <c r="U406" s="630"/>
    </row>
    <row r="407" spans="1:21">
      <c r="A407" s="138"/>
      <c r="B407" s="132"/>
      <c r="C407" s="123"/>
      <c r="D407" s="123"/>
      <c r="E407" s="123"/>
      <c r="F407" s="123"/>
      <c r="G407" s="123"/>
      <c r="H407" s="123"/>
      <c r="I407" s="123"/>
      <c r="J407" s="123"/>
      <c r="K407" s="123"/>
      <c r="L407" s="123"/>
      <c r="M407" s="623"/>
      <c r="N407" s="123"/>
      <c r="O407" s="623"/>
      <c r="P407" s="123"/>
      <c r="Q407" s="623"/>
      <c r="R407" s="123"/>
      <c r="S407" s="631"/>
      <c r="T407" s="123">
        <f t="shared" si="624"/>
        <v>0</v>
      </c>
      <c r="U407" s="631">
        <f t="shared" ref="U407:U443" si="665">I407-S407</f>
        <v>0</v>
      </c>
    </row>
    <row r="408" spans="1:21" s="131" customFormat="1">
      <c r="A408" s="137" t="s">
        <v>560</v>
      </c>
      <c r="B408" s="133"/>
      <c r="C408" s="658" t="s">
        <v>124</v>
      </c>
      <c r="D408" s="126"/>
      <c r="E408" s="127"/>
      <c r="F408" s="128"/>
      <c r="G408" s="128"/>
      <c r="H408" s="128"/>
      <c r="I408" s="129"/>
      <c r="J408" s="129">
        <f>SUBTOTAL(9,J409:J419)</f>
        <v>130072.26519999999</v>
      </c>
      <c r="K408" s="129"/>
      <c r="L408" s="129"/>
      <c r="M408" s="624"/>
      <c r="N408" s="130"/>
      <c r="O408" s="624">
        <f>SUBTOTAL(9,O409:O419)</f>
        <v>39351.599999999999</v>
      </c>
      <c r="P408" s="130"/>
      <c r="Q408" s="624">
        <f>SUBTOTAL(9,Q409:Q419)</f>
        <v>0</v>
      </c>
      <c r="R408" s="129"/>
      <c r="S408" s="624">
        <f>SUBTOTAL(9,S409:S419)</f>
        <v>39351.599999999999</v>
      </c>
      <c r="T408" s="129">
        <f t="shared" si="624"/>
        <v>0</v>
      </c>
      <c r="U408" s="624">
        <f>SUBTOTAL(9,U409:U419)</f>
        <v>78353.744200000001</v>
      </c>
    </row>
    <row r="409" spans="1:21" ht="25.5">
      <c r="A409" s="190" t="s">
        <v>561</v>
      </c>
      <c r="B409" s="191" t="s">
        <v>136</v>
      </c>
      <c r="C409" s="657" t="s">
        <v>141</v>
      </c>
      <c r="D409" s="192" t="s">
        <v>60</v>
      </c>
      <c r="E409" s="193">
        <v>462.96</v>
      </c>
      <c r="F409" s="194">
        <v>85</v>
      </c>
      <c r="G409" s="194"/>
      <c r="H409" s="194"/>
      <c r="I409" s="193">
        <f t="shared" ref="I409" si="666">F409+G409-H409</f>
        <v>85</v>
      </c>
      <c r="J409" s="193">
        <f t="shared" ref="J409" si="667">I409*E409</f>
        <v>39351.599999999999</v>
      </c>
      <c r="K409" s="193"/>
      <c r="L409" s="193"/>
      <c r="M409" s="622">
        <f t="shared" ref="M409" si="668">I409*E409</f>
        <v>39351.599999999999</v>
      </c>
      <c r="N409" s="194">
        <v>85</v>
      </c>
      <c r="O409" s="622">
        <f t="shared" ref="O409" si="669">TRUNC(N409*E409,2)</f>
        <v>39351.599999999999</v>
      </c>
      <c r="P409" s="194">
        <v>0</v>
      </c>
      <c r="Q409" s="622">
        <f t="shared" ref="Q409" si="670">S409-O409</f>
        <v>0</v>
      </c>
      <c r="R409" s="194">
        <f t="shared" ref="R409" si="671">P409+N409</f>
        <v>85</v>
      </c>
      <c r="S409" s="630">
        <f t="shared" ref="S409" si="672">TRUNC(R409*E409,2)</f>
        <v>39351.599999999999</v>
      </c>
      <c r="T409" s="194">
        <f t="shared" si="624"/>
        <v>0</v>
      </c>
      <c r="U409" s="630">
        <v>0</v>
      </c>
    </row>
    <row r="410" spans="1:21">
      <c r="A410" s="190" t="s">
        <v>562</v>
      </c>
      <c r="B410" s="191" t="s">
        <v>137</v>
      </c>
      <c r="C410" s="657" t="s">
        <v>142</v>
      </c>
      <c r="D410" s="192" t="s">
        <v>49</v>
      </c>
      <c r="E410" s="193">
        <v>596.34</v>
      </c>
      <c r="F410" s="194">
        <v>36.83</v>
      </c>
      <c r="G410" s="194"/>
      <c r="H410" s="194"/>
      <c r="I410" s="193">
        <f t="shared" ref="I410:I419" si="673">F410+G410-H410</f>
        <v>36.83</v>
      </c>
      <c r="J410" s="193">
        <f t="shared" ref="J410:J419" si="674">I410*E410</f>
        <v>21963.2022</v>
      </c>
      <c r="K410" s="193"/>
      <c r="L410" s="193"/>
      <c r="M410" s="622">
        <f t="shared" ref="M410:M419" si="675">I410*E410</f>
        <v>21963.2022</v>
      </c>
      <c r="N410" s="194">
        <v>0</v>
      </c>
      <c r="O410" s="622">
        <f>TRUNC(N410*E410,2)</f>
        <v>0</v>
      </c>
      <c r="P410" s="194">
        <f>IFERROR(VLOOKUP(A410,#REF!,18,FALSE),)</f>
        <v>0</v>
      </c>
      <c r="Q410" s="622">
        <f>S410-O410</f>
        <v>0</v>
      </c>
      <c r="R410" s="194">
        <f>P410+N410</f>
        <v>0</v>
      </c>
      <c r="S410" s="630">
        <f>TRUNC(R410*E410,2)</f>
        <v>0</v>
      </c>
      <c r="T410" s="194">
        <f t="shared" si="624"/>
        <v>36.83</v>
      </c>
      <c r="U410" s="630">
        <f t="shared" ref="U410:U418" si="676">T410*E410</f>
        <v>21963.2022</v>
      </c>
    </row>
    <row r="411" spans="1:21" ht="25.5">
      <c r="A411" s="190" t="s">
        <v>563</v>
      </c>
      <c r="B411" s="191" t="s">
        <v>138</v>
      </c>
      <c r="C411" s="657" t="s">
        <v>143</v>
      </c>
      <c r="D411" s="192" t="s">
        <v>29</v>
      </c>
      <c r="E411" s="193">
        <v>4.82</v>
      </c>
      <c r="F411" s="194">
        <v>528</v>
      </c>
      <c r="G411" s="194"/>
      <c r="H411" s="194"/>
      <c r="I411" s="193">
        <f t="shared" si="673"/>
        <v>528</v>
      </c>
      <c r="J411" s="193">
        <f t="shared" si="674"/>
        <v>2544.96</v>
      </c>
      <c r="K411" s="193"/>
      <c r="L411" s="193"/>
      <c r="M411" s="622">
        <f t="shared" si="675"/>
        <v>2544.96</v>
      </c>
      <c r="N411" s="194">
        <v>0</v>
      </c>
      <c r="O411" s="622">
        <f t="shared" ref="O411:O417" si="677">TRUNC(N411*E411,2)</f>
        <v>0</v>
      </c>
      <c r="P411" s="194">
        <f>IFERROR(VLOOKUP(A411,#REF!,18,FALSE),)</f>
        <v>0</v>
      </c>
      <c r="Q411" s="622">
        <f t="shared" ref="Q411:Q417" si="678">S411-O411</f>
        <v>0</v>
      </c>
      <c r="R411" s="194">
        <f t="shared" ref="R411:R417" si="679">P411+N411</f>
        <v>0</v>
      </c>
      <c r="S411" s="630">
        <f t="shared" ref="S411:S417" si="680">TRUNC(R411*E411,2)</f>
        <v>0</v>
      </c>
      <c r="T411" s="194">
        <f t="shared" si="624"/>
        <v>528</v>
      </c>
      <c r="U411" s="630">
        <f t="shared" si="676"/>
        <v>2544.96</v>
      </c>
    </row>
    <row r="412" spans="1:21" ht="25.5">
      <c r="A412" s="190" t="s">
        <v>564</v>
      </c>
      <c r="B412" s="191" t="s">
        <v>139</v>
      </c>
      <c r="C412" s="657" t="s">
        <v>144</v>
      </c>
      <c r="D412" s="192" t="s">
        <v>29</v>
      </c>
      <c r="E412" s="193">
        <v>6.12</v>
      </c>
      <c r="F412" s="194">
        <v>4554</v>
      </c>
      <c r="G412" s="194"/>
      <c r="H412" s="194"/>
      <c r="I412" s="193">
        <f t="shared" si="673"/>
        <v>4554</v>
      </c>
      <c r="J412" s="193">
        <f t="shared" si="674"/>
        <v>27870.48</v>
      </c>
      <c r="K412" s="193"/>
      <c r="L412" s="193"/>
      <c r="M412" s="622">
        <f t="shared" si="675"/>
        <v>27870.48</v>
      </c>
      <c r="N412" s="194">
        <v>0</v>
      </c>
      <c r="O412" s="622">
        <f t="shared" si="677"/>
        <v>0</v>
      </c>
      <c r="P412" s="194">
        <f>IFERROR(VLOOKUP(A412,#REF!,18,FALSE),)</f>
        <v>0</v>
      </c>
      <c r="Q412" s="622">
        <f t="shared" si="678"/>
        <v>0</v>
      </c>
      <c r="R412" s="194">
        <f t="shared" si="679"/>
        <v>0</v>
      </c>
      <c r="S412" s="630">
        <f t="shared" si="680"/>
        <v>0</v>
      </c>
      <c r="T412" s="194">
        <f t="shared" si="624"/>
        <v>4554</v>
      </c>
      <c r="U412" s="630">
        <f t="shared" si="676"/>
        <v>27870.48</v>
      </c>
    </row>
    <row r="413" spans="1:21" ht="25.5">
      <c r="A413" s="190" t="s">
        <v>565</v>
      </c>
      <c r="B413" s="191">
        <v>30101</v>
      </c>
      <c r="C413" s="657" t="s">
        <v>145</v>
      </c>
      <c r="D413" s="192" t="s">
        <v>58</v>
      </c>
      <c r="E413" s="193">
        <v>48.58</v>
      </c>
      <c r="F413" s="194">
        <v>5.8</v>
      </c>
      <c r="G413" s="194"/>
      <c r="H413" s="194"/>
      <c r="I413" s="193">
        <f t="shared" si="673"/>
        <v>5.8</v>
      </c>
      <c r="J413" s="193">
        <f t="shared" si="674"/>
        <v>281.76399999999995</v>
      </c>
      <c r="K413" s="193"/>
      <c r="L413" s="193"/>
      <c r="M413" s="622">
        <f t="shared" si="675"/>
        <v>281.76399999999995</v>
      </c>
      <c r="N413" s="194">
        <v>0</v>
      </c>
      <c r="O413" s="622">
        <f t="shared" si="677"/>
        <v>0</v>
      </c>
      <c r="P413" s="194">
        <f>IFERROR(VLOOKUP(A413,#REF!,18,FALSE),)</f>
        <v>0</v>
      </c>
      <c r="Q413" s="622">
        <f t="shared" si="678"/>
        <v>0</v>
      </c>
      <c r="R413" s="194">
        <f t="shared" si="679"/>
        <v>0</v>
      </c>
      <c r="S413" s="630">
        <f t="shared" si="680"/>
        <v>0</v>
      </c>
      <c r="T413" s="194">
        <f t="shared" si="624"/>
        <v>5.8</v>
      </c>
      <c r="U413" s="630">
        <f t="shared" si="676"/>
        <v>281.76399999999995</v>
      </c>
    </row>
    <row r="414" spans="1:21" ht="51">
      <c r="A414" s="190" t="s">
        <v>566</v>
      </c>
      <c r="B414" s="191">
        <v>40339</v>
      </c>
      <c r="C414" s="657" t="s">
        <v>146</v>
      </c>
      <c r="D414" s="192" t="s">
        <v>57</v>
      </c>
      <c r="E414" s="193">
        <v>91.04</v>
      </c>
      <c r="F414" s="194">
        <v>122.6</v>
      </c>
      <c r="G414" s="194"/>
      <c r="H414" s="194"/>
      <c r="I414" s="193">
        <f t="shared" si="673"/>
        <v>122.6</v>
      </c>
      <c r="J414" s="193">
        <f t="shared" si="674"/>
        <v>11161.504000000001</v>
      </c>
      <c r="K414" s="193"/>
      <c r="L414" s="193"/>
      <c r="M414" s="622">
        <f t="shared" si="675"/>
        <v>11161.504000000001</v>
      </c>
      <c r="N414" s="194">
        <v>0</v>
      </c>
      <c r="O414" s="622">
        <f t="shared" si="677"/>
        <v>0</v>
      </c>
      <c r="P414" s="194">
        <f>IFERROR(VLOOKUP(A414,#REF!,18,FALSE),)</f>
        <v>0</v>
      </c>
      <c r="Q414" s="622">
        <f t="shared" si="678"/>
        <v>0</v>
      </c>
      <c r="R414" s="194">
        <f t="shared" si="679"/>
        <v>0</v>
      </c>
      <c r="S414" s="630">
        <f t="shared" si="680"/>
        <v>0</v>
      </c>
      <c r="T414" s="194">
        <f t="shared" si="624"/>
        <v>122.6</v>
      </c>
      <c r="U414" s="630">
        <f t="shared" si="676"/>
        <v>11161.504000000001</v>
      </c>
    </row>
    <row r="415" spans="1:21" ht="25.5">
      <c r="A415" s="190" t="s">
        <v>567</v>
      </c>
      <c r="B415" s="191">
        <v>40328</v>
      </c>
      <c r="C415" s="657" t="s">
        <v>147</v>
      </c>
      <c r="D415" s="192" t="s">
        <v>29</v>
      </c>
      <c r="E415" s="193">
        <v>7.98</v>
      </c>
      <c r="F415" s="194">
        <v>584</v>
      </c>
      <c r="G415" s="194"/>
      <c r="H415" s="194"/>
      <c r="I415" s="193">
        <f t="shared" si="673"/>
        <v>584</v>
      </c>
      <c r="J415" s="193">
        <f t="shared" si="674"/>
        <v>4660.3200000000006</v>
      </c>
      <c r="K415" s="193"/>
      <c r="L415" s="193"/>
      <c r="M415" s="622">
        <f t="shared" si="675"/>
        <v>4660.3200000000006</v>
      </c>
      <c r="N415" s="194">
        <v>0</v>
      </c>
      <c r="O415" s="622">
        <f t="shared" si="677"/>
        <v>0</v>
      </c>
      <c r="P415" s="194">
        <f>IFERROR(VLOOKUP(A415,#REF!,18,FALSE),)</f>
        <v>0</v>
      </c>
      <c r="Q415" s="622">
        <f t="shared" si="678"/>
        <v>0</v>
      </c>
      <c r="R415" s="194">
        <f t="shared" si="679"/>
        <v>0</v>
      </c>
      <c r="S415" s="630">
        <f t="shared" si="680"/>
        <v>0</v>
      </c>
      <c r="T415" s="194">
        <f t="shared" si="624"/>
        <v>584</v>
      </c>
      <c r="U415" s="630">
        <f t="shared" si="676"/>
        <v>4660.3200000000006</v>
      </c>
    </row>
    <row r="416" spans="1:21" ht="25.5">
      <c r="A416" s="190" t="s">
        <v>568</v>
      </c>
      <c r="B416" s="191">
        <v>40245</v>
      </c>
      <c r="C416" s="657" t="s">
        <v>148</v>
      </c>
      <c r="D416" s="192" t="s">
        <v>29</v>
      </c>
      <c r="E416" s="193">
        <v>8.41</v>
      </c>
      <c r="F416" s="194">
        <v>144</v>
      </c>
      <c r="G416" s="194"/>
      <c r="H416" s="194"/>
      <c r="I416" s="193">
        <f t="shared" si="673"/>
        <v>144</v>
      </c>
      <c r="J416" s="193">
        <f t="shared" si="674"/>
        <v>1211.04</v>
      </c>
      <c r="K416" s="193"/>
      <c r="L416" s="193"/>
      <c r="M416" s="622">
        <f t="shared" si="675"/>
        <v>1211.04</v>
      </c>
      <c r="N416" s="194">
        <v>0</v>
      </c>
      <c r="O416" s="622">
        <f t="shared" si="677"/>
        <v>0</v>
      </c>
      <c r="P416" s="194">
        <f>IFERROR(VLOOKUP(A416,#REF!,18,FALSE),)</f>
        <v>0</v>
      </c>
      <c r="Q416" s="622">
        <f t="shared" si="678"/>
        <v>0</v>
      </c>
      <c r="R416" s="194">
        <f t="shared" si="679"/>
        <v>0</v>
      </c>
      <c r="S416" s="630">
        <f t="shared" si="680"/>
        <v>0</v>
      </c>
      <c r="T416" s="194">
        <f t="shared" si="624"/>
        <v>144</v>
      </c>
      <c r="U416" s="630">
        <f t="shared" si="676"/>
        <v>1211.04</v>
      </c>
    </row>
    <row r="417" spans="1:21" ht="25.5">
      <c r="A417" s="190" t="s">
        <v>569</v>
      </c>
      <c r="B417" s="191">
        <v>40246</v>
      </c>
      <c r="C417" s="657" t="s">
        <v>149</v>
      </c>
      <c r="D417" s="192" t="s">
        <v>29</v>
      </c>
      <c r="E417" s="193">
        <v>8.08</v>
      </c>
      <c r="F417" s="194">
        <v>37</v>
      </c>
      <c r="G417" s="194"/>
      <c r="H417" s="194"/>
      <c r="I417" s="193">
        <f t="shared" si="673"/>
        <v>37</v>
      </c>
      <c r="J417" s="193">
        <f t="shared" si="674"/>
        <v>298.95999999999998</v>
      </c>
      <c r="K417" s="193"/>
      <c r="L417" s="193"/>
      <c r="M417" s="622">
        <f t="shared" si="675"/>
        <v>298.95999999999998</v>
      </c>
      <c r="N417" s="194">
        <v>0</v>
      </c>
      <c r="O417" s="622">
        <f t="shared" si="677"/>
        <v>0</v>
      </c>
      <c r="P417" s="194">
        <f>IFERROR(VLOOKUP(A417,#REF!,18,FALSE),)</f>
        <v>0</v>
      </c>
      <c r="Q417" s="622">
        <f t="shared" si="678"/>
        <v>0</v>
      </c>
      <c r="R417" s="194">
        <f t="shared" si="679"/>
        <v>0</v>
      </c>
      <c r="S417" s="630">
        <f t="shared" si="680"/>
        <v>0</v>
      </c>
      <c r="T417" s="194">
        <f t="shared" si="624"/>
        <v>37</v>
      </c>
      <c r="U417" s="630">
        <f t="shared" si="676"/>
        <v>298.95999999999998</v>
      </c>
    </row>
    <row r="418" spans="1:21" ht="51">
      <c r="A418" s="190" t="s">
        <v>570</v>
      </c>
      <c r="B418" s="191" t="s">
        <v>140</v>
      </c>
      <c r="C418" s="657" t="s">
        <v>177</v>
      </c>
      <c r="D418" s="192" t="s">
        <v>58</v>
      </c>
      <c r="E418" s="193">
        <v>486.08</v>
      </c>
      <c r="F418" s="194">
        <v>16.8</v>
      </c>
      <c r="G418" s="194"/>
      <c r="H418" s="194"/>
      <c r="I418" s="193">
        <f t="shared" si="673"/>
        <v>16.8</v>
      </c>
      <c r="J418" s="193">
        <f t="shared" si="674"/>
        <v>8166.1440000000002</v>
      </c>
      <c r="K418" s="193"/>
      <c r="L418" s="193"/>
      <c r="M418" s="622">
        <f t="shared" si="675"/>
        <v>8166.1440000000002</v>
      </c>
      <c r="N418" s="194">
        <v>0</v>
      </c>
      <c r="O418" s="622">
        <f>TRUNC(N418*E418,2)</f>
        <v>0</v>
      </c>
      <c r="P418" s="194">
        <f>IFERROR(VLOOKUP(A418,#REF!,18,FALSE),)</f>
        <v>0</v>
      </c>
      <c r="Q418" s="622">
        <f>S418-O418</f>
        <v>0</v>
      </c>
      <c r="R418" s="194">
        <f>P418+N418</f>
        <v>0</v>
      </c>
      <c r="S418" s="630">
        <f>TRUNC(R418*E418,2)</f>
        <v>0</v>
      </c>
      <c r="T418" s="194">
        <f t="shared" si="624"/>
        <v>16.8</v>
      </c>
      <c r="U418" s="630">
        <f t="shared" si="676"/>
        <v>8166.1440000000002</v>
      </c>
    </row>
    <row r="419" spans="1:21">
      <c r="A419" s="190" t="s">
        <v>571</v>
      </c>
      <c r="B419" s="191">
        <v>40813</v>
      </c>
      <c r="C419" s="657" t="s">
        <v>151</v>
      </c>
      <c r="D419" s="192" t="s">
        <v>57</v>
      </c>
      <c r="E419" s="193">
        <v>64.3</v>
      </c>
      <c r="F419" s="194">
        <v>195.37</v>
      </c>
      <c r="G419" s="194"/>
      <c r="H419" s="194"/>
      <c r="I419" s="193">
        <f t="shared" si="673"/>
        <v>195.37</v>
      </c>
      <c r="J419" s="193">
        <f t="shared" si="674"/>
        <v>12562.290999999999</v>
      </c>
      <c r="K419" s="193"/>
      <c r="L419" s="193"/>
      <c r="M419" s="622">
        <f t="shared" si="675"/>
        <v>12562.290999999999</v>
      </c>
      <c r="N419" s="194">
        <v>0</v>
      </c>
      <c r="O419" s="622">
        <f>TRUNC(N419*E419,2)</f>
        <v>0</v>
      </c>
      <c r="P419" s="194">
        <f>IFERROR(VLOOKUP(A419,#REF!,18,FALSE),)</f>
        <v>0</v>
      </c>
      <c r="Q419" s="622">
        <f>S419-O419</f>
        <v>0</v>
      </c>
      <c r="R419" s="194">
        <f>P419+N419</f>
        <v>0</v>
      </c>
      <c r="S419" s="630">
        <f>TRUNC(R419*E419,2)</f>
        <v>0</v>
      </c>
      <c r="T419" s="194">
        <f t="shared" si="624"/>
        <v>195.37</v>
      </c>
      <c r="U419" s="630">
        <f t="shared" si="665"/>
        <v>195.37</v>
      </c>
    </row>
    <row r="420" spans="1:21">
      <c r="A420" s="138"/>
      <c r="B420" s="132"/>
      <c r="C420" s="123"/>
      <c r="D420" s="123"/>
      <c r="E420" s="123"/>
      <c r="F420" s="123"/>
      <c r="G420" s="123"/>
      <c r="H420" s="123"/>
      <c r="I420" s="123"/>
      <c r="J420" s="123"/>
      <c r="K420" s="123"/>
      <c r="L420" s="123"/>
      <c r="M420" s="623"/>
      <c r="N420" s="123"/>
      <c r="O420" s="623"/>
      <c r="P420" s="123"/>
      <c r="Q420" s="623"/>
      <c r="R420" s="123"/>
      <c r="S420" s="631"/>
      <c r="T420" s="123"/>
      <c r="U420" s="631"/>
    </row>
    <row r="421" spans="1:21" s="131" customFormat="1">
      <c r="A421" s="137" t="s">
        <v>572</v>
      </c>
      <c r="B421" s="133"/>
      <c r="C421" s="658" t="s">
        <v>153</v>
      </c>
      <c r="D421" s="126"/>
      <c r="E421" s="127"/>
      <c r="F421" s="128"/>
      <c r="G421" s="128"/>
      <c r="H421" s="128"/>
      <c r="I421" s="129"/>
      <c r="J421" s="129">
        <f>SUBTOTAL(9,J422)</f>
        <v>13844.9586</v>
      </c>
      <c r="K421" s="129"/>
      <c r="L421" s="129"/>
      <c r="M421" s="624"/>
      <c r="N421" s="130"/>
      <c r="O421" s="624">
        <f>SUBTOTAL(9,O422)</f>
        <v>0</v>
      </c>
      <c r="P421" s="130"/>
      <c r="Q421" s="624">
        <f>SUBTOTAL(9,Q422)</f>
        <v>0</v>
      </c>
      <c r="R421" s="129"/>
      <c r="S421" s="624">
        <f>SUBTOTAL(9,S422)</f>
        <v>0</v>
      </c>
      <c r="T421" s="129">
        <f t="shared" si="624"/>
        <v>0</v>
      </c>
      <c r="U421" s="624">
        <f>SUBTOTAL(9,U422)</f>
        <v>13844.9586</v>
      </c>
    </row>
    <row r="422" spans="1:21" s="725" customFormat="1" ht="25.5">
      <c r="A422" s="577" t="s">
        <v>573</v>
      </c>
      <c r="B422" s="578" t="s">
        <v>155</v>
      </c>
      <c r="C422" s="737" t="s">
        <v>156</v>
      </c>
      <c r="D422" s="580" t="s">
        <v>50</v>
      </c>
      <c r="E422" s="581">
        <v>91.41</v>
      </c>
      <c r="F422" s="582">
        <v>151.46</v>
      </c>
      <c r="G422" s="582"/>
      <c r="H422" s="582"/>
      <c r="I422" s="581">
        <f t="shared" ref="I422" si="681">F422+G422-H422</f>
        <v>151.46</v>
      </c>
      <c r="J422" s="581">
        <f t="shared" ref="J422" si="682">I422*E422</f>
        <v>13844.9586</v>
      </c>
      <c r="K422" s="581"/>
      <c r="L422" s="581"/>
      <c r="M422" s="723">
        <f t="shared" ref="M422" si="683">I422*E422</f>
        <v>13844.9586</v>
      </c>
      <c r="N422" s="582">
        <v>0</v>
      </c>
      <c r="O422" s="723">
        <f t="shared" ref="O422" si="684">TRUNC(N422*E422,2)</f>
        <v>0</v>
      </c>
      <c r="P422" s="582">
        <f>'4.3.3.1 '!R22</f>
        <v>0</v>
      </c>
      <c r="Q422" s="723">
        <f t="shared" ref="Q422" si="685">S422-O422</f>
        <v>0</v>
      </c>
      <c r="R422" s="582">
        <f t="shared" ref="R422" si="686">P422+N422</f>
        <v>0</v>
      </c>
      <c r="S422" s="724">
        <f t="shared" ref="S422" si="687">TRUNC(R422*E422,2)</f>
        <v>0</v>
      </c>
      <c r="T422" s="582">
        <f t="shared" si="624"/>
        <v>151.46</v>
      </c>
      <c r="U422" s="724">
        <f t="shared" ref="U422" si="688">T422*E422</f>
        <v>13844.9586</v>
      </c>
    </row>
    <row r="423" spans="1:21">
      <c r="A423" s="138"/>
      <c r="B423" s="132"/>
      <c r="C423" s="123"/>
      <c r="D423" s="123"/>
      <c r="E423" s="123"/>
      <c r="F423" s="123"/>
      <c r="G423" s="123"/>
      <c r="H423" s="123"/>
      <c r="I423" s="123"/>
      <c r="J423" s="123"/>
      <c r="K423" s="123"/>
      <c r="L423" s="123"/>
      <c r="M423" s="623"/>
      <c r="N423" s="123"/>
      <c r="O423" s="623"/>
      <c r="P423" s="123"/>
      <c r="Q423" s="623"/>
      <c r="R423" s="123"/>
      <c r="S423" s="631"/>
      <c r="T423" s="123">
        <f t="shared" si="624"/>
        <v>0</v>
      </c>
      <c r="U423" s="631">
        <f t="shared" si="665"/>
        <v>0</v>
      </c>
    </row>
    <row r="424" spans="1:21" s="131" customFormat="1">
      <c r="A424" s="137" t="s">
        <v>574</v>
      </c>
      <c r="B424" s="133"/>
      <c r="C424" s="658" t="s">
        <v>158</v>
      </c>
      <c r="D424" s="126"/>
      <c r="E424" s="127"/>
      <c r="F424" s="128"/>
      <c r="G424" s="128"/>
      <c r="H424" s="128"/>
      <c r="I424" s="129"/>
      <c r="J424" s="129">
        <f>SUBTOTAL(9,J425:J427)</f>
        <v>2958.9223000000002</v>
      </c>
      <c r="K424" s="129"/>
      <c r="L424" s="129"/>
      <c r="M424" s="624"/>
      <c r="N424" s="130"/>
      <c r="O424" s="624">
        <f>SUBTOTAL(9,O425:O427)</f>
        <v>0</v>
      </c>
      <c r="P424" s="130"/>
      <c r="Q424" s="624">
        <f>SUBTOTAL(9,Q425:Q427)</f>
        <v>0</v>
      </c>
      <c r="R424" s="129"/>
      <c r="S424" s="624">
        <f>SUBTOTAL(9,S425:S427)</f>
        <v>0</v>
      </c>
      <c r="T424" s="129">
        <f t="shared" si="624"/>
        <v>0</v>
      </c>
      <c r="U424" s="624">
        <f>SUBTOTAL(9,U425:U427)</f>
        <v>2958.9223000000002</v>
      </c>
    </row>
    <row r="425" spans="1:21" ht="25.5">
      <c r="A425" s="190" t="s">
        <v>575</v>
      </c>
      <c r="B425" s="191" t="s">
        <v>155</v>
      </c>
      <c r="C425" s="657" t="s">
        <v>156</v>
      </c>
      <c r="D425" s="192" t="s">
        <v>50</v>
      </c>
      <c r="E425" s="193">
        <v>91.41</v>
      </c>
      <c r="F425" s="194">
        <v>23.59</v>
      </c>
      <c r="G425" s="194"/>
      <c r="H425" s="194"/>
      <c r="I425" s="193">
        <f t="shared" ref="I425" si="689">F425+G425-H425</f>
        <v>23.59</v>
      </c>
      <c r="J425" s="193">
        <f t="shared" ref="J425" si="690">I425*E425</f>
        <v>2156.3618999999999</v>
      </c>
      <c r="K425" s="193"/>
      <c r="L425" s="193"/>
      <c r="M425" s="622">
        <f t="shared" ref="M425" si="691">I425*E425</f>
        <v>2156.3618999999999</v>
      </c>
      <c r="N425" s="194">
        <v>0</v>
      </c>
      <c r="O425" s="622">
        <f t="shared" ref="O425" si="692">TRUNC(N425*E425,2)</f>
        <v>0</v>
      </c>
      <c r="P425" s="194">
        <f>IFERROR(VLOOKUP(A425,#REF!,18,FALSE),)</f>
        <v>0</v>
      </c>
      <c r="Q425" s="622">
        <f t="shared" ref="Q425" si="693">S425-O425</f>
        <v>0</v>
      </c>
      <c r="R425" s="194">
        <f t="shared" ref="R425" si="694">P425+N425</f>
        <v>0</v>
      </c>
      <c r="S425" s="630">
        <f t="shared" ref="S425" si="695">TRUNC(R425*E425,2)</f>
        <v>0</v>
      </c>
      <c r="T425" s="194">
        <f t="shared" si="624"/>
        <v>23.59</v>
      </c>
      <c r="U425" s="630">
        <f t="shared" ref="U425:U427" si="696">T425*E425</f>
        <v>2156.3618999999999</v>
      </c>
    </row>
    <row r="426" spans="1:21">
      <c r="A426" s="190" t="s">
        <v>576</v>
      </c>
      <c r="B426" s="191">
        <v>200323</v>
      </c>
      <c r="C426" s="657" t="s">
        <v>162</v>
      </c>
      <c r="D426" s="192" t="s">
        <v>58</v>
      </c>
      <c r="E426" s="193">
        <v>125.94</v>
      </c>
      <c r="F426" s="194">
        <v>4.76</v>
      </c>
      <c r="G426" s="194"/>
      <c r="H426" s="194"/>
      <c r="I426" s="193">
        <f t="shared" ref="I426:I427" si="697">F426+G426-H426</f>
        <v>4.76</v>
      </c>
      <c r="J426" s="193">
        <f t="shared" ref="J426:J427" si="698">I426*E426</f>
        <v>599.47439999999995</v>
      </c>
      <c r="K426" s="193"/>
      <c r="L426" s="193"/>
      <c r="M426" s="622">
        <f t="shared" ref="M426:M427" si="699">I426*E426</f>
        <v>599.47439999999995</v>
      </c>
      <c r="N426" s="194">
        <v>0</v>
      </c>
      <c r="O426" s="622">
        <f>TRUNC(N426*E426,2)</f>
        <v>0</v>
      </c>
      <c r="P426" s="194">
        <f>IFERROR(VLOOKUP(A426,#REF!,18,FALSE),)</f>
        <v>0</v>
      </c>
      <c r="Q426" s="622">
        <f>S426-O426</f>
        <v>0</v>
      </c>
      <c r="R426" s="194">
        <f>P426+N426</f>
        <v>0</v>
      </c>
      <c r="S426" s="630">
        <f>TRUNC(R426*E426,2)</f>
        <v>0</v>
      </c>
      <c r="T426" s="194">
        <f t="shared" si="624"/>
        <v>4.76</v>
      </c>
      <c r="U426" s="630">
        <f t="shared" si="696"/>
        <v>599.47439999999995</v>
      </c>
    </row>
    <row r="427" spans="1:21" ht="38.25">
      <c r="A427" s="190" t="s">
        <v>577</v>
      </c>
      <c r="B427" s="191">
        <v>50501</v>
      </c>
      <c r="C427" s="657" t="s">
        <v>916</v>
      </c>
      <c r="D427" s="192" t="s">
        <v>57</v>
      </c>
      <c r="E427" s="193">
        <v>94.9</v>
      </c>
      <c r="F427" s="194">
        <v>2.14</v>
      </c>
      <c r="G427" s="194"/>
      <c r="H427" s="194"/>
      <c r="I427" s="193">
        <f t="shared" si="697"/>
        <v>2.14</v>
      </c>
      <c r="J427" s="193">
        <f t="shared" si="698"/>
        <v>203.08600000000001</v>
      </c>
      <c r="K427" s="193"/>
      <c r="L427" s="193"/>
      <c r="M427" s="622">
        <f t="shared" si="699"/>
        <v>203.08600000000001</v>
      </c>
      <c r="N427" s="194">
        <v>0</v>
      </c>
      <c r="O427" s="622">
        <f t="shared" ref="O427" si="700">TRUNC(N427*E427,2)</f>
        <v>0</v>
      </c>
      <c r="P427" s="194">
        <f>IFERROR(VLOOKUP(A427,#REF!,18,FALSE),)</f>
        <v>0</v>
      </c>
      <c r="Q427" s="622">
        <f t="shared" ref="Q427" si="701">S427-O427</f>
        <v>0</v>
      </c>
      <c r="R427" s="194">
        <f t="shared" ref="R427" si="702">P427+N427</f>
        <v>0</v>
      </c>
      <c r="S427" s="630">
        <f t="shared" ref="S427" si="703">TRUNC(R427*E427,2)</f>
        <v>0</v>
      </c>
      <c r="T427" s="194">
        <f t="shared" si="624"/>
        <v>2.14</v>
      </c>
      <c r="U427" s="630">
        <f t="shared" si="696"/>
        <v>203.08600000000001</v>
      </c>
    </row>
    <row r="428" spans="1:21">
      <c r="A428" s="138"/>
      <c r="B428" s="132"/>
      <c r="C428" s="123"/>
      <c r="D428" s="123"/>
      <c r="E428" s="123"/>
      <c r="F428" s="123"/>
      <c r="G428" s="123"/>
      <c r="H428" s="123"/>
      <c r="I428" s="123"/>
      <c r="J428" s="123"/>
      <c r="K428" s="123"/>
      <c r="L428" s="123"/>
      <c r="M428" s="623"/>
      <c r="N428" s="123"/>
      <c r="O428" s="623"/>
      <c r="P428" s="123"/>
      <c r="Q428" s="623"/>
      <c r="R428" s="123"/>
      <c r="S428" s="631"/>
      <c r="T428" s="123">
        <f t="shared" si="624"/>
        <v>0</v>
      </c>
      <c r="U428" s="631">
        <f t="shared" si="665"/>
        <v>0</v>
      </c>
    </row>
    <row r="429" spans="1:21" s="131" customFormat="1">
      <c r="A429" s="137" t="s">
        <v>578</v>
      </c>
      <c r="B429" s="133"/>
      <c r="C429" s="658" t="s">
        <v>164</v>
      </c>
      <c r="D429" s="126"/>
      <c r="E429" s="127"/>
      <c r="F429" s="128"/>
      <c r="G429" s="128"/>
      <c r="H429" s="128"/>
      <c r="I429" s="129"/>
      <c r="J429" s="129">
        <f>SUBTOTAL(9,J430:J434)</f>
        <v>9240.366</v>
      </c>
      <c r="K429" s="129"/>
      <c r="L429" s="129"/>
      <c r="M429" s="624"/>
      <c r="N429" s="130"/>
      <c r="O429" s="624">
        <f>SUBTOTAL(9,O430:O434)</f>
        <v>0</v>
      </c>
      <c r="P429" s="130"/>
      <c r="Q429" s="624">
        <f>SUBTOTAL(9,Q430:Q434)</f>
        <v>0</v>
      </c>
      <c r="R429" s="129"/>
      <c r="S429" s="624">
        <f>SUBTOTAL(9,S430:S434)</f>
        <v>0</v>
      </c>
      <c r="T429" s="129">
        <f t="shared" si="624"/>
        <v>0</v>
      </c>
      <c r="U429" s="624">
        <f>SUBTOTAL(9,U430:U434)</f>
        <v>9240.366</v>
      </c>
    </row>
    <row r="430" spans="1:21" ht="51">
      <c r="A430" s="190" t="s">
        <v>579</v>
      </c>
      <c r="B430" s="191">
        <v>40339</v>
      </c>
      <c r="C430" s="657" t="s">
        <v>146</v>
      </c>
      <c r="D430" s="192" t="s">
        <v>57</v>
      </c>
      <c r="E430" s="193">
        <v>91.04</v>
      </c>
      <c r="F430" s="194">
        <v>52.4</v>
      </c>
      <c r="G430" s="194"/>
      <c r="H430" s="194"/>
      <c r="I430" s="193">
        <f t="shared" ref="I430" si="704">F430+G430-H430</f>
        <v>52.4</v>
      </c>
      <c r="J430" s="193">
        <f t="shared" ref="J430" si="705">I430*E430</f>
        <v>4770.4960000000001</v>
      </c>
      <c r="K430" s="193"/>
      <c r="L430" s="193"/>
      <c r="M430" s="622">
        <f t="shared" ref="M430" si="706">I430*E430</f>
        <v>4770.4960000000001</v>
      </c>
      <c r="N430" s="194">
        <v>0</v>
      </c>
      <c r="O430" s="622">
        <f t="shared" ref="O430" si="707">TRUNC(N430*E430,2)</f>
        <v>0</v>
      </c>
      <c r="P430" s="194">
        <f>IFERROR(VLOOKUP(A430,#REF!,18,FALSE),)</f>
        <v>0</v>
      </c>
      <c r="Q430" s="622">
        <f t="shared" ref="Q430" si="708">S430-O430</f>
        <v>0</v>
      </c>
      <c r="R430" s="194">
        <f t="shared" ref="R430" si="709">P430+N430</f>
        <v>0</v>
      </c>
      <c r="S430" s="630">
        <f t="shared" ref="S430" si="710">TRUNC(R430*E430,2)</f>
        <v>0</v>
      </c>
      <c r="T430" s="194">
        <f t="shared" si="624"/>
        <v>52.4</v>
      </c>
      <c r="U430" s="630">
        <f t="shared" ref="U430:U434" si="711">T430*E430</f>
        <v>4770.4960000000001</v>
      </c>
    </row>
    <row r="431" spans="1:21" ht="25.5">
      <c r="A431" s="190" t="s">
        <v>580</v>
      </c>
      <c r="B431" s="191">
        <v>40328</v>
      </c>
      <c r="C431" s="657" t="s">
        <v>147</v>
      </c>
      <c r="D431" s="192" t="s">
        <v>29</v>
      </c>
      <c r="E431" s="193">
        <v>7.98</v>
      </c>
      <c r="F431" s="194">
        <v>210</v>
      </c>
      <c r="G431" s="194"/>
      <c r="H431" s="194"/>
      <c r="I431" s="193">
        <f t="shared" ref="I431:I434" si="712">F431+G431-H431</f>
        <v>210</v>
      </c>
      <c r="J431" s="193">
        <f t="shared" ref="J431:J434" si="713">I431*E431</f>
        <v>1675.8000000000002</v>
      </c>
      <c r="K431" s="193"/>
      <c r="L431" s="193"/>
      <c r="M431" s="622">
        <f t="shared" ref="M431:M434" si="714">I431*E431</f>
        <v>1675.8000000000002</v>
      </c>
      <c r="N431" s="194">
        <v>0</v>
      </c>
      <c r="O431" s="622">
        <f>TRUNC(N431*E431,2)</f>
        <v>0</v>
      </c>
      <c r="P431" s="194">
        <f>IFERROR(VLOOKUP(A431,#REF!,18,FALSE),)</f>
        <v>0</v>
      </c>
      <c r="Q431" s="622">
        <f>S431-O431</f>
        <v>0</v>
      </c>
      <c r="R431" s="194">
        <f>P431+N431</f>
        <v>0</v>
      </c>
      <c r="S431" s="630">
        <f>TRUNC(R431*E431,2)</f>
        <v>0</v>
      </c>
      <c r="T431" s="194">
        <f t="shared" si="624"/>
        <v>210</v>
      </c>
      <c r="U431" s="630">
        <f t="shared" si="711"/>
        <v>1675.8000000000002</v>
      </c>
    </row>
    <row r="432" spans="1:21" ht="25.5">
      <c r="A432" s="190" t="s">
        <v>581</v>
      </c>
      <c r="B432" s="191">
        <v>40245</v>
      </c>
      <c r="C432" s="657" t="s">
        <v>148</v>
      </c>
      <c r="D432" s="192" t="s">
        <v>29</v>
      </c>
      <c r="E432" s="193">
        <v>8.41</v>
      </c>
      <c r="F432" s="194">
        <v>55</v>
      </c>
      <c r="G432" s="194"/>
      <c r="H432" s="194"/>
      <c r="I432" s="193">
        <f t="shared" si="712"/>
        <v>55</v>
      </c>
      <c r="J432" s="193">
        <f t="shared" si="713"/>
        <v>462.55</v>
      </c>
      <c r="K432" s="193"/>
      <c r="L432" s="193"/>
      <c r="M432" s="622">
        <f t="shared" si="714"/>
        <v>462.55</v>
      </c>
      <c r="N432" s="194">
        <v>0</v>
      </c>
      <c r="O432" s="622">
        <f t="shared" ref="O432:O434" si="715">TRUNC(N432*E432,2)</f>
        <v>0</v>
      </c>
      <c r="P432" s="194">
        <f>IFERROR(VLOOKUP(A432,#REF!,18,FALSE),)</f>
        <v>0</v>
      </c>
      <c r="Q432" s="622">
        <f t="shared" ref="Q432:Q434" si="716">S432-O432</f>
        <v>0</v>
      </c>
      <c r="R432" s="194">
        <f t="shared" ref="R432:R434" si="717">P432+N432</f>
        <v>0</v>
      </c>
      <c r="S432" s="630">
        <f t="shared" ref="S432:S434" si="718">TRUNC(R432*E432,2)</f>
        <v>0</v>
      </c>
      <c r="T432" s="194">
        <f t="shared" si="624"/>
        <v>55</v>
      </c>
      <c r="U432" s="630">
        <f t="shared" si="711"/>
        <v>462.55</v>
      </c>
    </row>
    <row r="433" spans="1:21" ht="25.5">
      <c r="A433" s="190" t="s">
        <v>582</v>
      </c>
      <c r="B433" s="191">
        <v>40246</v>
      </c>
      <c r="C433" s="657" t="s">
        <v>149</v>
      </c>
      <c r="D433" s="192" t="s">
        <v>29</v>
      </c>
      <c r="E433" s="193">
        <v>8.08</v>
      </c>
      <c r="F433" s="194">
        <v>78</v>
      </c>
      <c r="G433" s="194"/>
      <c r="H433" s="194"/>
      <c r="I433" s="193">
        <f t="shared" si="712"/>
        <v>78</v>
      </c>
      <c r="J433" s="193">
        <f t="shared" si="713"/>
        <v>630.24</v>
      </c>
      <c r="K433" s="193"/>
      <c r="L433" s="193"/>
      <c r="M433" s="622">
        <f t="shared" si="714"/>
        <v>630.24</v>
      </c>
      <c r="N433" s="194">
        <v>0</v>
      </c>
      <c r="O433" s="622">
        <f t="shared" si="715"/>
        <v>0</v>
      </c>
      <c r="P433" s="194">
        <f>IFERROR(VLOOKUP(A433,#REF!,18,FALSE),)</f>
        <v>0</v>
      </c>
      <c r="Q433" s="622">
        <f t="shared" si="716"/>
        <v>0</v>
      </c>
      <c r="R433" s="194">
        <f t="shared" si="717"/>
        <v>0</v>
      </c>
      <c r="S433" s="630">
        <f t="shared" si="718"/>
        <v>0</v>
      </c>
      <c r="T433" s="194">
        <f t="shared" si="624"/>
        <v>78</v>
      </c>
      <c r="U433" s="630">
        <f t="shared" si="711"/>
        <v>630.24</v>
      </c>
    </row>
    <row r="434" spans="1:21" ht="38.25">
      <c r="A434" s="190" t="s">
        <v>583</v>
      </c>
      <c r="B434" s="191" t="s">
        <v>140</v>
      </c>
      <c r="C434" s="657" t="s">
        <v>150</v>
      </c>
      <c r="D434" s="192" t="s">
        <v>58</v>
      </c>
      <c r="E434" s="193">
        <v>486.08</v>
      </c>
      <c r="F434" s="194">
        <v>3.5</v>
      </c>
      <c r="G434" s="194"/>
      <c r="H434" s="194"/>
      <c r="I434" s="193">
        <f t="shared" si="712"/>
        <v>3.5</v>
      </c>
      <c r="J434" s="193">
        <f t="shared" si="713"/>
        <v>1701.28</v>
      </c>
      <c r="K434" s="193"/>
      <c r="L434" s="193"/>
      <c r="M434" s="622">
        <f t="shared" si="714"/>
        <v>1701.28</v>
      </c>
      <c r="N434" s="194">
        <v>0</v>
      </c>
      <c r="O434" s="622">
        <f t="shared" si="715"/>
        <v>0</v>
      </c>
      <c r="P434" s="194">
        <f>IFERROR(VLOOKUP(A434,#REF!,18,FALSE),)</f>
        <v>0</v>
      </c>
      <c r="Q434" s="622">
        <f t="shared" si="716"/>
        <v>0</v>
      </c>
      <c r="R434" s="194">
        <f t="shared" si="717"/>
        <v>0</v>
      </c>
      <c r="S434" s="630">
        <f t="shared" si="718"/>
        <v>0</v>
      </c>
      <c r="T434" s="194">
        <f t="shared" si="624"/>
        <v>3.5</v>
      </c>
      <c r="U434" s="630">
        <f t="shared" si="711"/>
        <v>1701.28</v>
      </c>
    </row>
    <row r="435" spans="1:21">
      <c r="A435" s="138"/>
      <c r="B435" s="132"/>
      <c r="C435" s="123"/>
      <c r="D435" s="123"/>
      <c r="E435" s="123"/>
      <c r="F435" s="123"/>
      <c r="G435" s="123"/>
      <c r="H435" s="123"/>
      <c r="I435" s="123"/>
      <c r="J435" s="123"/>
      <c r="K435" s="123"/>
      <c r="L435" s="123"/>
      <c r="M435" s="623"/>
      <c r="N435" s="123"/>
      <c r="O435" s="623"/>
      <c r="P435" s="123"/>
      <c r="Q435" s="623"/>
      <c r="R435" s="123"/>
      <c r="S435" s="631"/>
      <c r="T435" s="123">
        <f t="shared" si="624"/>
        <v>0</v>
      </c>
      <c r="U435" s="631">
        <f t="shared" si="665"/>
        <v>0</v>
      </c>
    </row>
    <row r="436" spans="1:21" s="131" customFormat="1">
      <c r="A436" s="137" t="s">
        <v>584</v>
      </c>
      <c r="B436" s="133"/>
      <c r="C436" s="658" t="s">
        <v>171</v>
      </c>
      <c r="D436" s="126"/>
      <c r="E436" s="127"/>
      <c r="F436" s="128"/>
      <c r="G436" s="128"/>
      <c r="H436" s="128"/>
      <c r="I436" s="129"/>
      <c r="J436" s="129">
        <f>SUBTOTAL(9,J437:J441)</f>
        <v>18264.59</v>
      </c>
      <c r="K436" s="129"/>
      <c r="L436" s="129"/>
      <c r="M436" s="624"/>
      <c r="N436" s="130"/>
      <c r="O436" s="624">
        <f>SUBTOTAL(9,O437:O441)</f>
        <v>0</v>
      </c>
      <c r="P436" s="130"/>
      <c r="Q436" s="624">
        <f>SUBTOTAL(9,Q437:Q441)</f>
        <v>0</v>
      </c>
      <c r="R436" s="129"/>
      <c r="S436" s="624">
        <f>SUBTOTAL(9,S437:S441)</f>
        <v>0</v>
      </c>
      <c r="T436" s="129">
        <f t="shared" si="624"/>
        <v>0</v>
      </c>
      <c r="U436" s="624">
        <f>SUBTOTAL(9,U437:U441)</f>
        <v>18264.59</v>
      </c>
    </row>
    <row r="437" spans="1:21" ht="51">
      <c r="A437" s="190" t="s">
        <v>585</v>
      </c>
      <c r="B437" s="191">
        <v>40339</v>
      </c>
      <c r="C437" s="657" t="s">
        <v>146</v>
      </c>
      <c r="D437" s="192" t="s">
        <v>57</v>
      </c>
      <c r="E437" s="193">
        <v>91.04</v>
      </c>
      <c r="F437" s="194">
        <v>87.7</v>
      </c>
      <c r="G437" s="194"/>
      <c r="H437" s="194"/>
      <c r="I437" s="193">
        <f t="shared" ref="I437" si="719">F437+G437-H437</f>
        <v>87.7</v>
      </c>
      <c r="J437" s="193">
        <f t="shared" ref="J437" si="720">I437*E437</f>
        <v>7984.2080000000005</v>
      </c>
      <c r="K437" s="193"/>
      <c r="L437" s="193"/>
      <c r="M437" s="622">
        <f t="shared" ref="M437" si="721">I437*E437</f>
        <v>7984.2080000000005</v>
      </c>
      <c r="N437" s="194">
        <v>0</v>
      </c>
      <c r="O437" s="622">
        <f t="shared" ref="O437" si="722">TRUNC(N437*E437,2)</f>
        <v>0</v>
      </c>
      <c r="P437" s="194">
        <f>IFERROR(VLOOKUP(A437,#REF!,18,FALSE),)</f>
        <v>0</v>
      </c>
      <c r="Q437" s="622">
        <f t="shared" ref="Q437" si="723">S437-O437</f>
        <v>0</v>
      </c>
      <c r="R437" s="194">
        <f t="shared" ref="R437" si="724">P437+N437</f>
        <v>0</v>
      </c>
      <c r="S437" s="630">
        <f t="shared" ref="S437" si="725">TRUNC(R437*E437,2)</f>
        <v>0</v>
      </c>
      <c r="T437" s="194">
        <f t="shared" si="624"/>
        <v>87.7</v>
      </c>
      <c r="U437" s="630">
        <f t="shared" ref="U437:U441" si="726">T437*E437</f>
        <v>7984.2080000000005</v>
      </c>
    </row>
    <row r="438" spans="1:21" ht="25.5">
      <c r="A438" s="190" t="s">
        <v>586</v>
      </c>
      <c r="B438" s="191">
        <v>40328</v>
      </c>
      <c r="C438" s="657" t="s">
        <v>147</v>
      </c>
      <c r="D438" s="192" t="s">
        <v>29</v>
      </c>
      <c r="E438" s="193">
        <v>7.98</v>
      </c>
      <c r="F438" s="194">
        <v>502</v>
      </c>
      <c r="G438" s="194"/>
      <c r="H438" s="194"/>
      <c r="I438" s="193">
        <f t="shared" ref="I438:I441" si="727">F438+G438-H438</f>
        <v>502</v>
      </c>
      <c r="J438" s="193">
        <f t="shared" ref="J438:J441" si="728">I438*E438</f>
        <v>4005.96</v>
      </c>
      <c r="K438" s="193"/>
      <c r="L438" s="193"/>
      <c r="M438" s="622">
        <f t="shared" ref="M438:M441" si="729">I438*E438</f>
        <v>4005.96</v>
      </c>
      <c r="N438" s="194">
        <v>0</v>
      </c>
      <c r="O438" s="622">
        <f>TRUNC(N438*E438,2)</f>
        <v>0</v>
      </c>
      <c r="P438" s="194">
        <f>IFERROR(VLOOKUP(A438,#REF!,18,FALSE),)</f>
        <v>0</v>
      </c>
      <c r="Q438" s="622">
        <f>S438-O438</f>
        <v>0</v>
      </c>
      <c r="R438" s="194">
        <f>P438+N438</f>
        <v>0</v>
      </c>
      <c r="S438" s="630">
        <f>TRUNC(R438*E438,2)</f>
        <v>0</v>
      </c>
      <c r="T438" s="194">
        <f t="shared" si="624"/>
        <v>502</v>
      </c>
      <c r="U438" s="630">
        <f t="shared" si="726"/>
        <v>4005.96</v>
      </c>
    </row>
    <row r="439" spans="1:21" ht="25.5">
      <c r="A439" s="190" t="s">
        <v>587</v>
      </c>
      <c r="B439" s="191">
        <v>40245</v>
      </c>
      <c r="C439" s="657" t="s">
        <v>148</v>
      </c>
      <c r="D439" s="192" t="s">
        <v>29</v>
      </c>
      <c r="E439" s="193">
        <v>8.41</v>
      </c>
      <c r="F439" s="194">
        <v>199</v>
      </c>
      <c r="G439" s="194"/>
      <c r="H439" s="194"/>
      <c r="I439" s="193">
        <f t="shared" si="727"/>
        <v>199</v>
      </c>
      <c r="J439" s="193">
        <f t="shared" si="728"/>
        <v>1673.59</v>
      </c>
      <c r="K439" s="193"/>
      <c r="L439" s="193"/>
      <c r="M439" s="622">
        <f t="shared" si="729"/>
        <v>1673.59</v>
      </c>
      <c r="N439" s="194">
        <v>0</v>
      </c>
      <c r="O439" s="622">
        <f t="shared" ref="O439:O441" si="730">TRUNC(N439*E439,2)</f>
        <v>0</v>
      </c>
      <c r="P439" s="194">
        <f>IFERROR(VLOOKUP(A439,#REF!,18,FALSE),)</f>
        <v>0</v>
      </c>
      <c r="Q439" s="622">
        <f t="shared" ref="Q439:Q441" si="731">S439-O439</f>
        <v>0</v>
      </c>
      <c r="R439" s="194">
        <f t="shared" ref="R439:R441" si="732">P439+N439</f>
        <v>0</v>
      </c>
      <c r="S439" s="630">
        <f t="shared" ref="S439:S441" si="733">TRUNC(R439*E439,2)</f>
        <v>0</v>
      </c>
      <c r="T439" s="194">
        <f t="shared" si="624"/>
        <v>199</v>
      </c>
      <c r="U439" s="630">
        <f t="shared" si="726"/>
        <v>1673.59</v>
      </c>
    </row>
    <row r="440" spans="1:21" ht="25.5">
      <c r="A440" s="190" t="s">
        <v>588</v>
      </c>
      <c r="B440" s="191">
        <v>40246</v>
      </c>
      <c r="C440" s="657" t="s">
        <v>149</v>
      </c>
      <c r="D440" s="192" t="s">
        <v>29</v>
      </c>
      <c r="E440" s="193">
        <v>8.08</v>
      </c>
      <c r="F440" s="194">
        <v>34</v>
      </c>
      <c r="G440" s="194"/>
      <c r="H440" s="194"/>
      <c r="I440" s="193">
        <f t="shared" si="727"/>
        <v>34</v>
      </c>
      <c r="J440" s="193">
        <f t="shared" si="728"/>
        <v>274.72000000000003</v>
      </c>
      <c r="K440" s="193"/>
      <c r="L440" s="193"/>
      <c r="M440" s="622">
        <f t="shared" si="729"/>
        <v>274.72000000000003</v>
      </c>
      <c r="N440" s="194">
        <v>0</v>
      </c>
      <c r="O440" s="622">
        <f t="shared" si="730"/>
        <v>0</v>
      </c>
      <c r="P440" s="194">
        <f>IFERROR(VLOOKUP(A440,#REF!,18,FALSE),)</f>
        <v>0</v>
      </c>
      <c r="Q440" s="622">
        <f t="shared" si="731"/>
        <v>0</v>
      </c>
      <c r="R440" s="194">
        <f t="shared" si="732"/>
        <v>0</v>
      </c>
      <c r="S440" s="630">
        <f t="shared" si="733"/>
        <v>0</v>
      </c>
      <c r="T440" s="194">
        <f t="shared" si="624"/>
        <v>34</v>
      </c>
      <c r="U440" s="630">
        <f t="shared" si="726"/>
        <v>274.72000000000003</v>
      </c>
    </row>
    <row r="441" spans="1:21" ht="51">
      <c r="A441" s="190" t="s">
        <v>589</v>
      </c>
      <c r="B441" s="191" t="s">
        <v>140</v>
      </c>
      <c r="C441" s="657" t="s">
        <v>177</v>
      </c>
      <c r="D441" s="192" t="s">
        <v>58</v>
      </c>
      <c r="E441" s="193">
        <v>486.08</v>
      </c>
      <c r="F441" s="194">
        <v>8.9</v>
      </c>
      <c r="G441" s="194"/>
      <c r="H441" s="194"/>
      <c r="I441" s="193">
        <f t="shared" si="727"/>
        <v>8.9</v>
      </c>
      <c r="J441" s="193">
        <f t="shared" si="728"/>
        <v>4326.1120000000001</v>
      </c>
      <c r="K441" s="193"/>
      <c r="L441" s="193"/>
      <c r="M441" s="622">
        <f t="shared" si="729"/>
        <v>4326.1120000000001</v>
      </c>
      <c r="N441" s="194">
        <v>0</v>
      </c>
      <c r="O441" s="622">
        <f t="shared" si="730"/>
        <v>0</v>
      </c>
      <c r="P441" s="194">
        <f>IFERROR(VLOOKUP(A441,#REF!,18,FALSE),)</f>
        <v>0</v>
      </c>
      <c r="Q441" s="622">
        <f t="shared" si="731"/>
        <v>0</v>
      </c>
      <c r="R441" s="194">
        <f t="shared" si="732"/>
        <v>0</v>
      </c>
      <c r="S441" s="630">
        <f t="shared" si="733"/>
        <v>0</v>
      </c>
      <c r="T441" s="194">
        <f t="shared" si="624"/>
        <v>8.9</v>
      </c>
      <c r="U441" s="630">
        <f t="shared" si="726"/>
        <v>4326.1120000000001</v>
      </c>
    </row>
    <row r="442" spans="1:21">
      <c r="A442" s="138"/>
      <c r="B442" s="132"/>
      <c r="C442" s="123"/>
      <c r="D442" s="123"/>
      <c r="E442" s="123"/>
      <c r="F442" s="123"/>
      <c r="G442" s="123"/>
      <c r="H442" s="123"/>
      <c r="I442" s="123"/>
      <c r="J442" s="123"/>
      <c r="K442" s="123"/>
      <c r="L442" s="123"/>
      <c r="M442" s="623"/>
      <c r="N442" s="123"/>
      <c r="O442" s="623"/>
      <c r="P442" s="123"/>
      <c r="Q442" s="623"/>
      <c r="R442" s="123"/>
      <c r="S442" s="631"/>
      <c r="T442" s="123"/>
      <c r="U442" s="631"/>
    </row>
    <row r="443" spans="1:21" s="131" customFormat="1">
      <c r="A443" s="137" t="s">
        <v>590</v>
      </c>
      <c r="B443" s="133"/>
      <c r="C443" s="658" t="s">
        <v>179</v>
      </c>
      <c r="D443" s="126"/>
      <c r="E443" s="127"/>
      <c r="F443" s="128"/>
      <c r="G443" s="128"/>
      <c r="H443" s="128"/>
      <c r="I443" s="129"/>
      <c r="J443" s="129">
        <f>SUBTOTAL(9,J444:J447)</f>
        <v>22658.711199999998</v>
      </c>
      <c r="K443" s="129"/>
      <c r="L443" s="129"/>
      <c r="M443" s="624"/>
      <c r="N443" s="130"/>
      <c r="O443" s="624">
        <f>SUBTOTAL(9,O444:O447)</f>
        <v>0</v>
      </c>
      <c r="P443" s="130"/>
      <c r="Q443" s="624">
        <f>SUBTOTAL(9,Q444:Q447)</f>
        <v>0</v>
      </c>
      <c r="R443" s="129"/>
      <c r="S443" s="624">
        <f>SUBTOTAL(9,S444:S447)</f>
        <v>0</v>
      </c>
      <c r="T443" s="129">
        <f t="shared" si="624"/>
        <v>0</v>
      </c>
      <c r="U443" s="624">
        <f t="shared" si="665"/>
        <v>0</v>
      </c>
    </row>
    <row r="444" spans="1:21" ht="51">
      <c r="A444" s="190" t="s">
        <v>591</v>
      </c>
      <c r="B444" s="191">
        <v>40339</v>
      </c>
      <c r="C444" s="657" t="s">
        <v>184</v>
      </c>
      <c r="D444" s="192" t="s">
        <v>57</v>
      </c>
      <c r="E444" s="193">
        <v>91.04</v>
      </c>
      <c r="F444" s="194">
        <v>34.1</v>
      </c>
      <c r="G444" s="194"/>
      <c r="H444" s="194"/>
      <c r="I444" s="193">
        <f t="shared" ref="I444" si="734">F444+G444-H444</f>
        <v>34.1</v>
      </c>
      <c r="J444" s="193">
        <f t="shared" ref="J444" si="735">I444*E444</f>
        <v>3104.4640000000004</v>
      </c>
      <c r="K444" s="193"/>
      <c r="L444" s="193"/>
      <c r="M444" s="622">
        <f t="shared" ref="M444" si="736">I444*E444</f>
        <v>3104.4640000000004</v>
      </c>
      <c r="N444" s="194">
        <v>0</v>
      </c>
      <c r="O444" s="622">
        <f t="shared" ref="O444" si="737">TRUNC(N444*E444,2)</f>
        <v>0</v>
      </c>
      <c r="P444" s="194">
        <f>IFERROR(VLOOKUP(A444,#REF!,18,FALSE),)</f>
        <v>0</v>
      </c>
      <c r="Q444" s="622">
        <f t="shared" ref="Q444" si="738">S444-O444</f>
        <v>0</v>
      </c>
      <c r="R444" s="194">
        <f t="shared" ref="R444" si="739">P444+N444</f>
        <v>0</v>
      </c>
      <c r="S444" s="630">
        <f t="shared" ref="S444" si="740">TRUNC(R444*E444,2)</f>
        <v>0</v>
      </c>
      <c r="T444" s="194">
        <f t="shared" si="624"/>
        <v>34.1</v>
      </c>
      <c r="U444" s="630">
        <f t="shared" ref="U444:U447" si="741">T444*E444</f>
        <v>3104.4640000000004</v>
      </c>
    </row>
    <row r="445" spans="1:21" ht="25.5">
      <c r="A445" s="190" t="s">
        <v>592</v>
      </c>
      <c r="B445" s="191">
        <v>40328</v>
      </c>
      <c r="C445" s="657" t="s">
        <v>147</v>
      </c>
      <c r="D445" s="192" t="s">
        <v>29</v>
      </c>
      <c r="E445" s="193">
        <v>7.98</v>
      </c>
      <c r="F445" s="194">
        <v>370.3</v>
      </c>
      <c r="G445" s="194"/>
      <c r="H445" s="194"/>
      <c r="I445" s="193">
        <f t="shared" ref="I445:I447" si="742">F445+G445-H445</f>
        <v>370.3</v>
      </c>
      <c r="J445" s="193">
        <f t="shared" ref="J445:J447" si="743">I445*E445</f>
        <v>2954.9940000000001</v>
      </c>
      <c r="K445" s="193"/>
      <c r="L445" s="193"/>
      <c r="M445" s="622">
        <f t="shared" ref="M445:M447" si="744">I445*E445</f>
        <v>2954.9940000000001</v>
      </c>
      <c r="N445" s="194">
        <v>0</v>
      </c>
      <c r="O445" s="622">
        <f>TRUNC(N445*E445,2)</f>
        <v>0</v>
      </c>
      <c r="P445" s="194">
        <f>IFERROR(VLOOKUP(A445,#REF!,18,FALSE),)</f>
        <v>0</v>
      </c>
      <c r="Q445" s="622">
        <f>S445-O445</f>
        <v>0</v>
      </c>
      <c r="R445" s="194">
        <f>P445+N445</f>
        <v>0</v>
      </c>
      <c r="S445" s="630">
        <f>TRUNC(R445*E445,2)</f>
        <v>0</v>
      </c>
      <c r="T445" s="194">
        <f t="shared" si="624"/>
        <v>370.3</v>
      </c>
      <c r="U445" s="630">
        <f t="shared" si="741"/>
        <v>2954.9940000000001</v>
      </c>
    </row>
    <row r="446" spans="1:21" ht="51">
      <c r="A446" s="190" t="s">
        <v>593</v>
      </c>
      <c r="B446" s="191" t="s">
        <v>140</v>
      </c>
      <c r="C446" s="657" t="s">
        <v>177</v>
      </c>
      <c r="D446" s="192" t="s">
        <v>58</v>
      </c>
      <c r="E446" s="193">
        <v>486.08</v>
      </c>
      <c r="F446" s="194">
        <v>6.54</v>
      </c>
      <c r="G446" s="194"/>
      <c r="H446" s="194"/>
      <c r="I446" s="193">
        <f t="shared" si="742"/>
        <v>6.54</v>
      </c>
      <c r="J446" s="193">
        <f t="shared" si="743"/>
        <v>3178.9631999999997</v>
      </c>
      <c r="K446" s="193"/>
      <c r="L446" s="193"/>
      <c r="M446" s="622">
        <f t="shared" si="744"/>
        <v>3178.9631999999997</v>
      </c>
      <c r="N446" s="194">
        <v>0</v>
      </c>
      <c r="O446" s="622">
        <f t="shared" ref="O446:O447" si="745">TRUNC(N446*E446,2)</f>
        <v>0</v>
      </c>
      <c r="P446" s="194">
        <f>IFERROR(VLOOKUP(A446,#REF!,18,FALSE),)</f>
        <v>0</v>
      </c>
      <c r="Q446" s="622">
        <f t="shared" ref="Q446:Q447" si="746">S446-O446</f>
        <v>0</v>
      </c>
      <c r="R446" s="194">
        <f t="shared" ref="R446:R447" si="747">P446+N446</f>
        <v>0</v>
      </c>
      <c r="S446" s="630">
        <f t="shared" ref="S446:S447" si="748">TRUNC(R446*E446,2)</f>
        <v>0</v>
      </c>
      <c r="T446" s="194">
        <f t="shared" si="624"/>
        <v>6.54</v>
      </c>
      <c r="U446" s="630">
        <f t="shared" si="741"/>
        <v>3178.9631999999997</v>
      </c>
    </row>
    <row r="447" spans="1:21" ht="25.5">
      <c r="A447" s="190" t="s">
        <v>594</v>
      </c>
      <c r="B447" s="191">
        <v>40602</v>
      </c>
      <c r="C447" s="657" t="s">
        <v>185</v>
      </c>
      <c r="D447" s="192" t="s">
        <v>57</v>
      </c>
      <c r="E447" s="193">
        <v>79.41</v>
      </c>
      <c r="F447" s="194">
        <v>169</v>
      </c>
      <c r="G447" s="194"/>
      <c r="H447" s="194"/>
      <c r="I447" s="193">
        <f t="shared" si="742"/>
        <v>169</v>
      </c>
      <c r="J447" s="193">
        <f t="shared" si="743"/>
        <v>13420.289999999999</v>
      </c>
      <c r="K447" s="193"/>
      <c r="L447" s="193"/>
      <c r="M447" s="622">
        <f t="shared" si="744"/>
        <v>13420.289999999999</v>
      </c>
      <c r="N447" s="194">
        <v>0</v>
      </c>
      <c r="O447" s="622">
        <f t="shared" si="745"/>
        <v>0</v>
      </c>
      <c r="P447" s="194">
        <f>IFERROR(VLOOKUP(A447,#REF!,18,FALSE),)</f>
        <v>0</v>
      </c>
      <c r="Q447" s="622">
        <f t="shared" si="746"/>
        <v>0</v>
      </c>
      <c r="R447" s="194">
        <f t="shared" si="747"/>
        <v>0</v>
      </c>
      <c r="S447" s="630">
        <f t="shared" si="748"/>
        <v>0</v>
      </c>
      <c r="T447" s="194">
        <f t="shared" si="624"/>
        <v>169</v>
      </c>
      <c r="U447" s="630">
        <f t="shared" si="741"/>
        <v>13420.289999999999</v>
      </c>
    </row>
    <row r="448" spans="1:21">
      <c r="A448" s="138"/>
      <c r="B448" s="132"/>
      <c r="C448" s="123"/>
      <c r="D448" s="123"/>
      <c r="E448" s="123"/>
      <c r="F448" s="123"/>
      <c r="G448" s="123"/>
      <c r="H448" s="123"/>
      <c r="I448" s="123"/>
      <c r="J448" s="123"/>
      <c r="K448" s="123"/>
      <c r="L448" s="123"/>
      <c r="M448" s="623"/>
      <c r="N448" s="123"/>
      <c r="O448" s="623"/>
      <c r="P448" s="123"/>
      <c r="Q448" s="623"/>
      <c r="R448" s="123"/>
      <c r="S448" s="631"/>
      <c r="T448" s="123"/>
      <c r="U448" s="631"/>
    </row>
    <row r="449" spans="1:21" s="131" customFormat="1">
      <c r="A449" s="137" t="s">
        <v>595</v>
      </c>
      <c r="B449" s="133"/>
      <c r="C449" s="658" t="s">
        <v>187</v>
      </c>
      <c r="D449" s="126"/>
      <c r="E449" s="127"/>
      <c r="F449" s="128"/>
      <c r="G449" s="128"/>
      <c r="H449" s="128"/>
      <c r="I449" s="129"/>
      <c r="J449" s="129">
        <f>SUBTOTAL(9,J450:J455)</f>
        <v>49946.759399999988</v>
      </c>
      <c r="K449" s="129"/>
      <c r="L449" s="129"/>
      <c r="M449" s="624"/>
      <c r="N449" s="130"/>
      <c r="O449" s="624">
        <f>SUBTOTAL(9,O450:O455)</f>
        <v>0</v>
      </c>
      <c r="P449" s="130"/>
      <c r="Q449" s="624">
        <f>SUBTOTAL(9,Q450:Q455)</f>
        <v>0</v>
      </c>
      <c r="R449" s="129"/>
      <c r="S449" s="624">
        <f>SUBTOTAL(9,S450:S455)</f>
        <v>0</v>
      </c>
      <c r="T449" s="129">
        <f t="shared" si="624"/>
        <v>0</v>
      </c>
      <c r="U449" s="624">
        <f>SUBTOTAL(9,U450:U455)</f>
        <v>49946.759399999988</v>
      </c>
    </row>
    <row r="450" spans="1:21" ht="51">
      <c r="A450" s="190" t="s">
        <v>596</v>
      </c>
      <c r="B450" s="191">
        <v>90102</v>
      </c>
      <c r="C450" s="657" t="s">
        <v>194</v>
      </c>
      <c r="D450" s="192" t="s">
        <v>57</v>
      </c>
      <c r="E450" s="193">
        <v>89.99</v>
      </c>
      <c r="F450" s="194">
        <v>191.8</v>
      </c>
      <c r="G450" s="194"/>
      <c r="H450" s="194"/>
      <c r="I450" s="193">
        <f t="shared" ref="I450" si="749">F450+G450-H450</f>
        <v>191.8</v>
      </c>
      <c r="J450" s="193">
        <f t="shared" ref="J450" si="750">I450*E450</f>
        <v>17260.081999999999</v>
      </c>
      <c r="K450" s="193"/>
      <c r="L450" s="193"/>
      <c r="M450" s="622">
        <f t="shared" ref="M450" si="751">I450*E450</f>
        <v>17260.081999999999</v>
      </c>
      <c r="N450" s="194">
        <v>0</v>
      </c>
      <c r="O450" s="622">
        <f t="shared" ref="O450" si="752">TRUNC(N450*E450,2)</f>
        <v>0</v>
      </c>
      <c r="P450" s="194">
        <f>IFERROR(VLOOKUP(A450,#REF!,18,FALSE),)</f>
        <v>0</v>
      </c>
      <c r="Q450" s="622">
        <f t="shared" ref="Q450" si="753">S450-O450</f>
        <v>0</v>
      </c>
      <c r="R450" s="194">
        <f t="shared" ref="R450" si="754">P450+N450</f>
        <v>0</v>
      </c>
      <c r="S450" s="630">
        <f t="shared" ref="S450" si="755">TRUNC(R450*E450,2)</f>
        <v>0</v>
      </c>
      <c r="T450" s="194">
        <f t="shared" si="624"/>
        <v>191.8</v>
      </c>
      <c r="U450" s="630">
        <f t="shared" ref="U450:U455" si="756">T450*E450</f>
        <v>17260.081999999999</v>
      </c>
    </row>
    <row r="451" spans="1:21" ht="51">
      <c r="A451" s="190" t="s">
        <v>597</v>
      </c>
      <c r="B451" s="191">
        <v>90223</v>
      </c>
      <c r="C451" s="657" t="s">
        <v>195</v>
      </c>
      <c r="D451" s="192" t="s">
        <v>57</v>
      </c>
      <c r="E451" s="193">
        <v>124.46</v>
      </c>
      <c r="F451" s="194">
        <v>200.69</v>
      </c>
      <c r="G451" s="194"/>
      <c r="H451" s="194"/>
      <c r="I451" s="193">
        <f t="shared" ref="I451:I455" si="757">F451+G451-H451</f>
        <v>200.69</v>
      </c>
      <c r="J451" s="193">
        <f t="shared" ref="J451:J455" si="758">I451*E451</f>
        <v>24977.877399999998</v>
      </c>
      <c r="K451" s="193"/>
      <c r="L451" s="193"/>
      <c r="M451" s="622">
        <f t="shared" ref="M451:M455" si="759">I451*E451</f>
        <v>24977.877399999998</v>
      </c>
      <c r="N451" s="194">
        <v>0</v>
      </c>
      <c r="O451" s="622">
        <f>TRUNC(N451*E451,2)</f>
        <v>0</v>
      </c>
      <c r="P451" s="194">
        <f>IFERROR(VLOOKUP(A451,#REF!,18,FALSE),)</f>
        <v>0</v>
      </c>
      <c r="Q451" s="622">
        <f>S451-O451</f>
        <v>0</v>
      </c>
      <c r="R451" s="194">
        <f>P451+N451</f>
        <v>0</v>
      </c>
      <c r="S451" s="630">
        <f>TRUNC(R451*E451,2)</f>
        <v>0</v>
      </c>
      <c r="T451" s="194">
        <f t="shared" si="624"/>
        <v>200.69</v>
      </c>
      <c r="U451" s="630">
        <f t="shared" si="756"/>
        <v>24977.877399999998</v>
      </c>
    </row>
    <row r="452" spans="1:21" ht="51">
      <c r="A452" s="190" t="s">
        <v>598</v>
      </c>
      <c r="B452" s="191">
        <v>40339</v>
      </c>
      <c r="C452" s="657" t="s">
        <v>196</v>
      </c>
      <c r="D452" s="192" t="s">
        <v>57</v>
      </c>
      <c r="E452" s="193">
        <v>91.04</v>
      </c>
      <c r="F452" s="194">
        <v>25.2</v>
      </c>
      <c r="G452" s="194"/>
      <c r="H452" s="194"/>
      <c r="I452" s="193">
        <f t="shared" si="757"/>
        <v>25.2</v>
      </c>
      <c r="J452" s="193">
        <f t="shared" si="758"/>
        <v>2294.2080000000001</v>
      </c>
      <c r="K452" s="193"/>
      <c r="L452" s="193"/>
      <c r="M452" s="622">
        <f t="shared" si="759"/>
        <v>2294.2080000000001</v>
      </c>
      <c r="N452" s="194">
        <v>0</v>
      </c>
      <c r="O452" s="622">
        <f t="shared" ref="O452:O455" si="760">TRUNC(N452*E452,2)</f>
        <v>0</v>
      </c>
      <c r="P452" s="194">
        <f>IFERROR(VLOOKUP(A452,#REF!,18,FALSE),)</f>
        <v>0</v>
      </c>
      <c r="Q452" s="622">
        <f t="shared" ref="Q452:Q455" si="761">S452-O452</f>
        <v>0</v>
      </c>
      <c r="R452" s="194">
        <f t="shared" ref="R452:R455" si="762">P452+N452</f>
        <v>0</v>
      </c>
      <c r="S452" s="630">
        <f t="shared" ref="S452:S455" si="763">TRUNC(R452*E452,2)</f>
        <v>0</v>
      </c>
      <c r="T452" s="194">
        <f t="shared" si="624"/>
        <v>25.2</v>
      </c>
      <c r="U452" s="630">
        <f t="shared" si="756"/>
        <v>2294.2080000000001</v>
      </c>
    </row>
    <row r="453" spans="1:21" ht="25.5">
      <c r="A453" s="190" t="s">
        <v>599</v>
      </c>
      <c r="B453" s="191">
        <v>40328</v>
      </c>
      <c r="C453" s="657" t="s">
        <v>197</v>
      </c>
      <c r="D453" s="192" t="s">
        <v>29</v>
      </c>
      <c r="E453" s="193">
        <v>7.98</v>
      </c>
      <c r="F453" s="194">
        <v>122</v>
      </c>
      <c r="G453" s="194"/>
      <c r="H453" s="194"/>
      <c r="I453" s="193">
        <f t="shared" si="757"/>
        <v>122</v>
      </c>
      <c r="J453" s="193">
        <f t="shared" si="758"/>
        <v>973.56000000000006</v>
      </c>
      <c r="K453" s="193"/>
      <c r="L453" s="193"/>
      <c r="M453" s="622">
        <f t="shared" si="759"/>
        <v>973.56000000000006</v>
      </c>
      <c r="N453" s="194">
        <v>0</v>
      </c>
      <c r="O453" s="622">
        <f t="shared" si="760"/>
        <v>0</v>
      </c>
      <c r="P453" s="194">
        <f>IFERROR(VLOOKUP(A453,#REF!,18,FALSE),)</f>
        <v>0</v>
      </c>
      <c r="Q453" s="622">
        <f t="shared" si="761"/>
        <v>0</v>
      </c>
      <c r="R453" s="194">
        <f t="shared" si="762"/>
        <v>0</v>
      </c>
      <c r="S453" s="630">
        <f t="shared" si="763"/>
        <v>0</v>
      </c>
      <c r="T453" s="194">
        <f t="shared" si="624"/>
        <v>122</v>
      </c>
      <c r="U453" s="630">
        <f t="shared" si="756"/>
        <v>973.56000000000006</v>
      </c>
    </row>
    <row r="454" spans="1:21" ht="51">
      <c r="A454" s="190" t="s">
        <v>600</v>
      </c>
      <c r="B454" s="191" t="s">
        <v>140</v>
      </c>
      <c r="C454" s="657" t="s">
        <v>198</v>
      </c>
      <c r="D454" s="192" t="s">
        <v>58</v>
      </c>
      <c r="E454" s="193">
        <v>486.08</v>
      </c>
      <c r="F454" s="194">
        <v>1.3</v>
      </c>
      <c r="G454" s="194"/>
      <c r="H454" s="194"/>
      <c r="I454" s="193">
        <f t="shared" si="757"/>
        <v>1.3</v>
      </c>
      <c r="J454" s="193">
        <f t="shared" si="758"/>
        <v>631.904</v>
      </c>
      <c r="K454" s="193"/>
      <c r="L454" s="193"/>
      <c r="M454" s="622">
        <f t="shared" si="759"/>
        <v>631.904</v>
      </c>
      <c r="N454" s="194">
        <v>0</v>
      </c>
      <c r="O454" s="622">
        <f t="shared" si="760"/>
        <v>0</v>
      </c>
      <c r="P454" s="194">
        <f>IFERROR(VLOOKUP(A454,#REF!,18,FALSE),)</f>
        <v>0</v>
      </c>
      <c r="Q454" s="622">
        <f t="shared" si="761"/>
        <v>0</v>
      </c>
      <c r="R454" s="194">
        <f t="shared" si="762"/>
        <v>0</v>
      </c>
      <c r="S454" s="630">
        <f t="shared" si="763"/>
        <v>0</v>
      </c>
      <c r="T454" s="194">
        <f t="shared" si="624"/>
        <v>1.3</v>
      </c>
      <c r="U454" s="630">
        <f t="shared" si="756"/>
        <v>631.904</v>
      </c>
    </row>
    <row r="455" spans="1:21" ht="51">
      <c r="A455" s="190" t="s">
        <v>601</v>
      </c>
      <c r="B455" s="191">
        <v>50602</v>
      </c>
      <c r="C455" s="657" t="s">
        <v>199</v>
      </c>
      <c r="D455" s="192" t="s">
        <v>57</v>
      </c>
      <c r="E455" s="193">
        <v>62.2</v>
      </c>
      <c r="F455" s="194">
        <v>61.24</v>
      </c>
      <c r="G455" s="194"/>
      <c r="H455" s="194"/>
      <c r="I455" s="193">
        <f t="shared" si="757"/>
        <v>61.24</v>
      </c>
      <c r="J455" s="193">
        <f t="shared" si="758"/>
        <v>3809.1280000000002</v>
      </c>
      <c r="K455" s="193"/>
      <c r="L455" s="193"/>
      <c r="M455" s="622">
        <f t="shared" si="759"/>
        <v>3809.1280000000002</v>
      </c>
      <c r="N455" s="194">
        <v>0</v>
      </c>
      <c r="O455" s="622">
        <f t="shared" si="760"/>
        <v>0</v>
      </c>
      <c r="P455" s="194">
        <f>IFERROR(VLOOKUP(A455,#REF!,18,FALSE),)</f>
        <v>0</v>
      </c>
      <c r="Q455" s="622">
        <f t="shared" si="761"/>
        <v>0</v>
      </c>
      <c r="R455" s="194">
        <f t="shared" si="762"/>
        <v>0</v>
      </c>
      <c r="S455" s="630">
        <f t="shared" si="763"/>
        <v>0</v>
      </c>
      <c r="T455" s="194">
        <f t="shared" si="624"/>
        <v>61.24</v>
      </c>
      <c r="U455" s="630">
        <f t="shared" si="756"/>
        <v>3809.1280000000002</v>
      </c>
    </row>
    <row r="456" spans="1:21">
      <c r="A456" s="138"/>
      <c r="B456" s="132"/>
      <c r="C456" s="123"/>
      <c r="D456" s="123"/>
      <c r="E456" s="123"/>
      <c r="F456" s="123"/>
      <c r="G456" s="123"/>
      <c r="H456" s="123"/>
      <c r="I456" s="123"/>
      <c r="J456" s="123"/>
      <c r="K456" s="123"/>
      <c r="L456" s="123"/>
      <c r="M456" s="623"/>
      <c r="N456" s="123"/>
      <c r="O456" s="623"/>
      <c r="P456" s="123"/>
      <c r="Q456" s="623"/>
      <c r="R456" s="123"/>
      <c r="S456" s="631"/>
      <c r="T456" s="123"/>
      <c r="U456" s="631"/>
    </row>
    <row r="457" spans="1:21" s="131" customFormat="1">
      <c r="A457" s="137" t="s">
        <v>602</v>
      </c>
      <c r="B457" s="133"/>
      <c r="C457" s="658" t="s">
        <v>201</v>
      </c>
      <c r="D457" s="126"/>
      <c r="E457" s="127"/>
      <c r="F457" s="128"/>
      <c r="G457" s="128"/>
      <c r="H457" s="128"/>
      <c r="I457" s="129"/>
      <c r="J457" s="129">
        <f>SUBTOTAL(9,J458:J461)</f>
        <v>6322.5289000000002</v>
      </c>
      <c r="K457" s="129"/>
      <c r="L457" s="129"/>
      <c r="M457" s="624"/>
      <c r="N457" s="130"/>
      <c r="O457" s="624">
        <f>SUBTOTAL(9,O458:O461)</f>
        <v>0</v>
      </c>
      <c r="P457" s="130"/>
      <c r="Q457" s="624">
        <f>SUBTOTAL(9,Q458:Q461)</f>
        <v>0</v>
      </c>
      <c r="R457" s="129"/>
      <c r="S457" s="624">
        <f>SUBTOTAL(9,S458:S461)</f>
        <v>0</v>
      </c>
      <c r="T457" s="129">
        <f t="shared" ref="T457:T523" si="764">F457-R457</f>
        <v>0</v>
      </c>
      <c r="U457" s="624">
        <f>SUBTOTAL(9,U458:U461)</f>
        <v>6322.5289000000002</v>
      </c>
    </row>
    <row r="458" spans="1:21" ht="25.5">
      <c r="A458" s="190" t="s">
        <v>603</v>
      </c>
      <c r="B458" s="191" t="s">
        <v>206</v>
      </c>
      <c r="C458" s="657" t="s">
        <v>207</v>
      </c>
      <c r="D458" s="192" t="s">
        <v>60</v>
      </c>
      <c r="E458" s="193">
        <v>72.83</v>
      </c>
      <c r="F458" s="194">
        <v>44.2</v>
      </c>
      <c r="G458" s="194"/>
      <c r="H458" s="194"/>
      <c r="I458" s="193">
        <f t="shared" ref="I458" si="765">F458+G458-H458</f>
        <v>44.2</v>
      </c>
      <c r="J458" s="193">
        <f t="shared" ref="J458" si="766">I458*E458</f>
        <v>3219.0860000000002</v>
      </c>
      <c r="K458" s="193"/>
      <c r="L458" s="193"/>
      <c r="M458" s="622">
        <f t="shared" ref="M458" si="767">I458*E458</f>
        <v>3219.0860000000002</v>
      </c>
      <c r="N458" s="194">
        <v>0</v>
      </c>
      <c r="O458" s="622">
        <f t="shared" ref="O458" si="768">TRUNC(N458*E458,2)</f>
        <v>0</v>
      </c>
      <c r="P458" s="194">
        <f>IFERROR(VLOOKUP(A458,#REF!,18,FALSE),)</f>
        <v>0</v>
      </c>
      <c r="Q458" s="622">
        <f t="shared" ref="Q458" si="769">S458-O458</f>
        <v>0</v>
      </c>
      <c r="R458" s="194">
        <f t="shared" ref="R458" si="770">P458+N458</f>
        <v>0</v>
      </c>
      <c r="S458" s="630">
        <f t="shared" ref="S458" si="771">TRUNC(R458*E458,2)</f>
        <v>0</v>
      </c>
      <c r="T458" s="194">
        <f t="shared" si="764"/>
        <v>44.2</v>
      </c>
      <c r="U458" s="630">
        <f t="shared" ref="U458:U461" si="772">T458*E458</f>
        <v>3219.0860000000002</v>
      </c>
    </row>
    <row r="459" spans="1:21">
      <c r="A459" s="190" t="s">
        <v>604</v>
      </c>
      <c r="B459" s="191">
        <v>90302</v>
      </c>
      <c r="C459" s="657" t="s">
        <v>208</v>
      </c>
      <c r="D459" s="192" t="s">
        <v>51</v>
      </c>
      <c r="E459" s="193">
        <v>31.38</v>
      </c>
      <c r="F459" s="194">
        <v>64.14</v>
      </c>
      <c r="G459" s="194"/>
      <c r="H459" s="194"/>
      <c r="I459" s="193">
        <f t="shared" ref="I459:I461" si="773">F459+G459-H459</f>
        <v>64.14</v>
      </c>
      <c r="J459" s="193">
        <f t="shared" ref="J459:J461" si="774">I459*E459</f>
        <v>2012.7131999999999</v>
      </c>
      <c r="K459" s="193"/>
      <c r="L459" s="193"/>
      <c r="M459" s="622">
        <f t="shared" ref="M459:M461" si="775">I459*E459</f>
        <v>2012.7131999999999</v>
      </c>
      <c r="N459" s="194">
        <v>0</v>
      </c>
      <c r="O459" s="622">
        <f>TRUNC(N459*E459,2)</f>
        <v>0</v>
      </c>
      <c r="P459" s="194">
        <f>IFERROR(VLOOKUP(A459,#REF!,18,FALSE),)</f>
        <v>0</v>
      </c>
      <c r="Q459" s="622">
        <f>S459-O459</f>
        <v>0</v>
      </c>
      <c r="R459" s="194">
        <f>P459+N459</f>
        <v>0</v>
      </c>
      <c r="S459" s="630">
        <f>TRUNC(R459*E459,2)</f>
        <v>0</v>
      </c>
      <c r="T459" s="194">
        <f t="shared" si="764"/>
        <v>64.14</v>
      </c>
      <c r="U459" s="630">
        <f t="shared" si="772"/>
        <v>2012.7131999999999</v>
      </c>
    </row>
    <row r="460" spans="1:21" ht="25.5">
      <c r="A460" s="190" t="s">
        <v>605</v>
      </c>
      <c r="B460" s="191">
        <v>141909</v>
      </c>
      <c r="C460" s="657" t="s">
        <v>209</v>
      </c>
      <c r="D460" s="192" t="s">
        <v>51</v>
      </c>
      <c r="E460" s="193">
        <v>61.57</v>
      </c>
      <c r="F460" s="194">
        <v>9.27</v>
      </c>
      <c r="G460" s="194"/>
      <c r="H460" s="194"/>
      <c r="I460" s="193">
        <f t="shared" si="773"/>
        <v>9.27</v>
      </c>
      <c r="J460" s="193">
        <f t="shared" si="774"/>
        <v>570.75389999999993</v>
      </c>
      <c r="K460" s="193"/>
      <c r="L460" s="193"/>
      <c r="M460" s="622">
        <f t="shared" si="775"/>
        <v>570.75389999999993</v>
      </c>
      <c r="N460" s="194">
        <v>0</v>
      </c>
      <c r="O460" s="622">
        <f t="shared" ref="O460:O461" si="776">TRUNC(N460*E460,2)</f>
        <v>0</v>
      </c>
      <c r="P460" s="194">
        <f>IFERROR(VLOOKUP(A460,#REF!,18,FALSE),)</f>
        <v>0</v>
      </c>
      <c r="Q460" s="622">
        <f t="shared" ref="Q460:Q461" si="777">S460-O460</f>
        <v>0</v>
      </c>
      <c r="R460" s="194">
        <f t="shared" ref="R460:R461" si="778">P460+N460</f>
        <v>0</v>
      </c>
      <c r="S460" s="630">
        <f t="shared" ref="S460:S461" si="779">TRUNC(R460*E460,2)</f>
        <v>0</v>
      </c>
      <c r="T460" s="194">
        <f t="shared" si="764"/>
        <v>9.27</v>
      </c>
      <c r="U460" s="630">
        <f t="shared" si="772"/>
        <v>570.75389999999993</v>
      </c>
    </row>
    <row r="461" spans="1:21" ht="25.5">
      <c r="A461" s="190" t="s">
        <v>606</v>
      </c>
      <c r="B461" s="191">
        <v>140903</v>
      </c>
      <c r="C461" s="657" t="s">
        <v>607</v>
      </c>
      <c r="D461" s="192" t="s">
        <v>51</v>
      </c>
      <c r="E461" s="193">
        <v>48.46</v>
      </c>
      <c r="F461" s="194">
        <v>10.73</v>
      </c>
      <c r="G461" s="194"/>
      <c r="H461" s="194"/>
      <c r="I461" s="193">
        <f t="shared" si="773"/>
        <v>10.73</v>
      </c>
      <c r="J461" s="193">
        <f t="shared" si="774"/>
        <v>519.97580000000005</v>
      </c>
      <c r="K461" s="193"/>
      <c r="L461" s="193"/>
      <c r="M461" s="622">
        <f t="shared" si="775"/>
        <v>519.97580000000005</v>
      </c>
      <c r="N461" s="194">
        <v>0</v>
      </c>
      <c r="O461" s="622">
        <f t="shared" si="776"/>
        <v>0</v>
      </c>
      <c r="P461" s="194">
        <f>IFERROR(VLOOKUP(A461,#REF!,18,FALSE),)</f>
        <v>0</v>
      </c>
      <c r="Q461" s="622">
        <f t="shared" si="777"/>
        <v>0</v>
      </c>
      <c r="R461" s="194">
        <f t="shared" si="778"/>
        <v>0</v>
      </c>
      <c r="S461" s="630">
        <f t="shared" si="779"/>
        <v>0</v>
      </c>
      <c r="T461" s="194">
        <f t="shared" si="764"/>
        <v>10.73</v>
      </c>
      <c r="U461" s="630">
        <f t="shared" si="772"/>
        <v>519.97580000000005</v>
      </c>
    </row>
    <row r="462" spans="1:21">
      <c r="A462" s="138"/>
      <c r="B462" s="132"/>
      <c r="C462" s="123"/>
      <c r="D462" s="123"/>
      <c r="E462" s="123"/>
      <c r="F462" s="123"/>
      <c r="G462" s="123"/>
      <c r="H462" s="123"/>
      <c r="I462" s="123"/>
      <c r="J462" s="123"/>
      <c r="K462" s="123"/>
      <c r="L462" s="123"/>
      <c r="M462" s="623"/>
      <c r="N462" s="123"/>
      <c r="O462" s="623"/>
      <c r="P462" s="123"/>
      <c r="Q462" s="623"/>
      <c r="R462" s="123"/>
      <c r="S462" s="631"/>
      <c r="T462" s="123"/>
      <c r="U462" s="631"/>
    </row>
    <row r="463" spans="1:21" s="131" customFormat="1">
      <c r="A463" s="137" t="s">
        <v>849</v>
      </c>
      <c r="B463" s="133"/>
      <c r="C463" s="658" t="s">
        <v>212</v>
      </c>
      <c r="D463" s="126"/>
      <c r="E463" s="127"/>
      <c r="F463" s="128"/>
      <c r="G463" s="128"/>
      <c r="H463" s="128"/>
      <c r="I463" s="129"/>
      <c r="J463" s="129">
        <f>SUBTOTAL(9,J464:J474)</f>
        <v>110605.07340000001</v>
      </c>
      <c r="K463" s="129"/>
      <c r="L463" s="129"/>
      <c r="M463" s="624"/>
      <c r="N463" s="130"/>
      <c r="O463" s="624">
        <f>SUBTOTAL(9,O464:O474)</f>
        <v>0</v>
      </c>
      <c r="P463" s="130"/>
      <c r="Q463" s="624">
        <f>SUBTOTAL(9,Q464:Q474)</f>
        <v>0</v>
      </c>
      <c r="R463" s="129"/>
      <c r="S463" s="624">
        <f>SUBTOTAL(9,S464:S474)</f>
        <v>0</v>
      </c>
      <c r="T463" s="129">
        <f t="shared" si="764"/>
        <v>0</v>
      </c>
      <c r="U463" s="624">
        <f>SUBTOTAL(9,U464:U474)</f>
        <v>110605.07340000001</v>
      </c>
    </row>
    <row r="464" spans="1:21">
      <c r="A464" s="190" t="s">
        <v>608</v>
      </c>
      <c r="B464" s="191" t="s">
        <v>224</v>
      </c>
      <c r="C464" s="657" t="s">
        <v>229</v>
      </c>
      <c r="D464" s="192" t="s">
        <v>50</v>
      </c>
      <c r="E464" s="193">
        <v>280.31</v>
      </c>
      <c r="F464" s="194">
        <v>111.39</v>
      </c>
      <c r="G464" s="194"/>
      <c r="H464" s="194"/>
      <c r="I464" s="193">
        <f t="shared" ref="I464" si="780">F464+G464-H464</f>
        <v>111.39</v>
      </c>
      <c r="J464" s="193">
        <f t="shared" ref="J464" si="781">I464*E464</f>
        <v>31223.730899999999</v>
      </c>
      <c r="K464" s="193"/>
      <c r="L464" s="193"/>
      <c r="M464" s="622">
        <f t="shared" ref="M464" si="782">I464*E464</f>
        <v>31223.730899999999</v>
      </c>
      <c r="N464" s="194">
        <v>0</v>
      </c>
      <c r="O464" s="622">
        <f t="shared" ref="O464" si="783">TRUNC(N464*E464,2)</f>
        <v>0</v>
      </c>
      <c r="P464" s="194">
        <f>IFERROR(VLOOKUP(A464,#REF!,18,FALSE),)</f>
        <v>0</v>
      </c>
      <c r="Q464" s="622">
        <f t="shared" ref="Q464" si="784">S464-O464</f>
        <v>0</v>
      </c>
      <c r="R464" s="194">
        <f t="shared" ref="R464" si="785">P464+N464</f>
        <v>0</v>
      </c>
      <c r="S464" s="630">
        <f t="shared" ref="S464" si="786">TRUNC(R464*E464,2)</f>
        <v>0</v>
      </c>
      <c r="T464" s="194">
        <f t="shared" si="764"/>
        <v>111.39</v>
      </c>
      <c r="U464" s="630">
        <f t="shared" ref="U464:U474" si="787">T464*E464</f>
        <v>31223.730899999999</v>
      </c>
    </row>
    <row r="465" spans="1:21">
      <c r="A465" s="190" t="s">
        <v>609</v>
      </c>
      <c r="B465" s="191" t="s">
        <v>225</v>
      </c>
      <c r="C465" s="657" t="s">
        <v>230</v>
      </c>
      <c r="D465" s="192" t="s">
        <v>50</v>
      </c>
      <c r="E465" s="193">
        <v>645.84</v>
      </c>
      <c r="F465" s="194">
        <v>15.3</v>
      </c>
      <c r="G465" s="194"/>
      <c r="H465" s="194"/>
      <c r="I465" s="193">
        <f t="shared" ref="I465:I474" si="788">F465+G465-H465</f>
        <v>15.3</v>
      </c>
      <c r="J465" s="193">
        <f t="shared" ref="J465:J474" si="789">I465*E465</f>
        <v>9881.3520000000008</v>
      </c>
      <c r="K465" s="193"/>
      <c r="L465" s="193"/>
      <c r="M465" s="622">
        <f t="shared" ref="M465:M474" si="790">I465*E465</f>
        <v>9881.3520000000008</v>
      </c>
      <c r="N465" s="194">
        <v>0</v>
      </c>
      <c r="O465" s="622">
        <f>TRUNC(N465*E465,2)</f>
        <v>0</v>
      </c>
      <c r="P465" s="194">
        <f>IFERROR(VLOOKUP(A465,#REF!,18,FALSE),)</f>
        <v>0</v>
      </c>
      <c r="Q465" s="622">
        <f>S465-O465</f>
        <v>0</v>
      </c>
      <c r="R465" s="194">
        <f>P465+N465</f>
        <v>0</v>
      </c>
      <c r="S465" s="630">
        <f>TRUNC(R465*E465,2)</f>
        <v>0</v>
      </c>
      <c r="T465" s="194">
        <f t="shared" si="764"/>
        <v>15.3</v>
      </c>
      <c r="U465" s="630">
        <f t="shared" si="787"/>
        <v>9881.3520000000008</v>
      </c>
    </row>
    <row r="466" spans="1:21" ht="25.5">
      <c r="A466" s="190" t="s">
        <v>610</v>
      </c>
      <c r="B466" s="191" t="s">
        <v>226</v>
      </c>
      <c r="C466" s="657" t="s">
        <v>231</v>
      </c>
      <c r="D466" s="192" t="s">
        <v>50</v>
      </c>
      <c r="E466" s="193">
        <v>651.87</v>
      </c>
      <c r="F466" s="194">
        <v>5.63</v>
      </c>
      <c r="G466" s="194"/>
      <c r="H466" s="194"/>
      <c r="I466" s="193">
        <f t="shared" si="788"/>
        <v>5.63</v>
      </c>
      <c r="J466" s="193">
        <f t="shared" si="789"/>
        <v>3670.0281</v>
      </c>
      <c r="K466" s="193"/>
      <c r="L466" s="193"/>
      <c r="M466" s="622">
        <f t="shared" si="790"/>
        <v>3670.0281</v>
      </c>
      <c r="N466" s="194">
        <v>0</v>
      </c>
      <c r="O466" s="622">
        <f t="shared" ref="O466:O474" si="791">TRUNC(N466*E466,2)</f>
        <v>0</v>
      </c>
      <c r="P466" s="194">
        <f>IFERROR(VLOOKUP(A466,#REF!,18,FALSE),)</f>
        <v>0</v>
      </c>
      <c r="Q466" s="622">
        <f t="shared" ref="Q466:Q474" si="792">S466-O466</f>
        <v>0</v>
      </c>
      <c r="R466" s="194">
        <f t="shared" ref="R466:R474" si="793">P466+N466</f>
        <v>0</v>
      </c>
      <c r="S466" s="630">
        <f t="shared" ref="S466:S474" si="794">TRUNC(R466*E466,2)</f>
        <v>0</v>
      </c>
      <c r="T466" s="194">
        <f t="shared" si="764"/>
        <v>5.63</v>
      </c>
      <c r="U466" s="630">
        <f t="shared" si="787"/>
        <v>3670.0281</v>
      </c>
    </row>
    <row r="467" spans="1:21" ht="25.5">
      <c r="A467" s="190" t="s">
        <v>611</v>
      </c>
      <c r="B467" s="191">
        <v>210322</v>
      </c>
      <c r="C467" s="657" t="s">
        <v>232</v>
      </c>
      <c r="D467" s="192" t="s">
        <v>51</v>
      </c>
      <c r="E467" s="193">
        <v>91.5</v>
      </c>
      <c r="F467" s="194">
        <v>13.65</v>
      </c>
      <c r="G467" s="194"/>
      <c r="H467" s="194"/>
      <c r="I467" s="193">
        <f t="shared" si="788"/>
        <v>13.65</v>
      </c>
      <c r="J467" s="193">
        <f t="shared" si="789"/>
        <v>1248.9750000000001</v>
      </c>
      <c r="K467" s="193"/>
      <c r="L467" s="193"/>
      <c r="M467" s="622">
        <f t="shared" si="790"/>
        <v>1248.9750000000001</v>
      </c>
      <c r="N467" s="194">
        <v>0</v>
      </c>
      <c r="O467" s="622">
        <f t="shared" si="791"/>
        <v>0</v>
      </c>
      <c r="P467" s="194">
        <f>IFERROR(VLOOKUP(A467,#REF!,18,FALSE),)</f>
        <v>0</v>
      </c>
      <c r="Q467" s="622">
        <f t="shared" si="792"/>
        <v>0</v>
      </c>
      <c r="R467" s="194">
        <f t="shared" si="793"/>
        <v>0</v>
      </c>
      <c r="S467" s="630">
        <f t="shared" si="794"/>
        <v>0</v>
      </c>
      <c r="T467" s="194">
        <f t="shared" si="764"/>
        <v>13.65</v>
      </c>
      <c r="U467" s="630">
        <f t="shared" si="787"/>
        <v>1248.9750000000001</v>
      </c>
    </row>
    <row r="468" spans="1:21" ht="25.5">
      <c r="A468" s="190" t="s">
        <v>612</v>
      </c>
      <c r="B468" s="191" t="s">
        <v>227</v>
      </c>
      <c r="C468" s="657" t="s">
        <v>233</v>
      </c>
      <c r="D468" s="192" t="s">
        <v>51</v>
      </c>
      <c r="E468" s="193">
        <v>366.23</v>
      </c>
      <c r="F468" s="194">
        <v>4.1500000000000004</v>
      </c>
      <c r="G468" s="194"/>
      <c r="H468" s="194"/>
      <c r="I468" s="193">
        <f t="shared" si="788"/>
        <v>4.1500000000000004</v>
      </c>
      <c r="J468" s="193">
        <f t="shared" si="789"/>
        <v>1519.8545000000001</v>
      </c>
      <c r="K468" s="193"/>
      <c r="L468" s="193"/>
      <c r="M468" s="622">
        <f t="shared" si="790"/>
        <v>1519.8545000000001</v>
      </c>
      <c r="N468" s="194">
        <v>0</v>
      </c>
      <c r="O468" s="622">
        <f t="shared" si="791"/>
        <v>0</v>
      </c>
      <c r="P468" s="194">
        <f>IFERROR(VLOOKUP(A468,#REF!,18,FALSE),)</f>
        <v>0</v>
      </c>
      <c r="Q468" s="622">
        <f t="shared" si="792"/>
        <v>0</v>
      </c>
      <c r="R468" s="194">
        <f t="shared" si="793"/>
        <v>0</v>
      </c>
      <c r="S468" s="630">
        <f t="shared" si="794"/>
        <v>0</v>
      </c>
      <c r="T468" s="194">
        <f t="shared" si="764"/>
        <v>4.1500000000000004</v>
      </c>
      <c r="U468" s="630">
        <f t="shared" si="787"/>
        <v>1519.8545000000001</v>
      </c>
    </row>
    <row r="469" spans="1:21" ht="51">
      <c r="A469" s="190" t="s">
        <v>613</v>
      </c>
      <c r="B469" s="191">
        <v>50608</v>
      </c>
      <c r="C469" s="657" t="s">
        <v>234</v>
      </c>
      <c r="D469" s="192" t="s">
        <v>57</v>
      </c>
      <c r="E469" s="193">
        <v>88.68</v>
      </c>
      <c r="F469" s="194">
        <v>8.32</v>
      </c>
      <c r="G469" s="194"/>
      <c r="H469" s="194"/>
      <c r="I469" s="193">
        <f t="shared" si="788"/>
        <v>8.32</v>
      </c>
      <c r="J469" s="193">
        <f t="shared" si="789"/>
        <v>737.81760000000008</v>
      </c>
      <c r="K469" s="193"/>
      <c r="L469" s="193"/>
      <c r="M469" s="622">
        <f t="shared" si="790"/>
        <v>737.81760000000008</v>
      </c>
      <c r="N469" s="194">
        <v>0</v>
      </c>
      <c r="O469" s="622">
        <f t="shared" si="791"/>
        <v>0</v>
      </c>
      <c r="P469" s="194">
        <f>IFERROR(VLOOKUP(A469,#REF!,18,FALSE),)</f>
        <v>0</v>
      </c>
      <c r="Q469" s="622">
        <f t="shared" si="792"/>
        <v>0</v>
      </c>
      <c r="R469" s="194">
        <f t="shared" si="793"/>
        <v>0</v>
      </c>
      <c r="S469" s="630">
        <f t="shared" si="794"/>
        <v>0</v>
      </c>
      <c r="T469" s="194">
        <f t="shared" si="764"/>
        <v>8.32</v>
      </c>
      <c r="U469" s="630">
        <f t="shared" si="787"/>
        <v>737.81760000000008</v>
      </c>
    </row>
    <row r="470" spans="1:21" ht="25.5">
      <c r="A470" s="190" t="s">
        <v>614</v>
      </c>
      <c r="B470" s="191">
        <v>120101</v>
      </c>
      <c r="C470" s="657" t="s">
        <v>235</v>
      </c>
      <c r="D470" s="192" t="s">
        <v>57</v>
      </c>
      <c r="E470" s="193">
        <v>5.64</v>
      </c>
      <c r="F470" s="194">
        <v>531.42999999999995</v>
      </c>
      <c r="G470" s="194"/>
      <c r="H470" s="194"/>
      <c r="I470" s="193">
        <f t="shared" si="788"/>
        <v>531.42999999999995</v>
      </c>
      <c r="J470" s="193">
        <f t="shared" si="789"/>
        <v>2997.2651999999994</v>
      </c>
      <c r="K470" s="193"/>
      <c r="L470" s="193"/>
      <c r="M470" s="622">
        <f t="shared" si="790"/>
        <v>2997.2651999999994</v>
      </c>
      <c r="N470" s="194">
        <v>0</v>
      </c>
      <c r="O470" s="622">
        <f t="shared" si="791"/>
        <v>0</v>
      </c>
      <c r="P470" s="194">
        <f>IFERROR(VLOOKUP(A470,#REF!,18,FALSE),)</f>
        <v>0</v>
      </c>
      <c r="Q470" s="622">
        <f t="shared" si="792"/>
        <v>0</v>
      </c>
      <c r="R470" s="194">
        <f t="shared" si="793"/>
        <v>0</v>
      </c>
      <c r="S470" s="630">
        <f t="shared" si="794"/>
        <v>0</v>
      </c>
      <c r="T470" s="194">
        <f t="shared" si="764"/>
        <v>531.42999999999995</v>
      </c>
      <c r="U470" s="630">
        <f t="shared" si="787"/>
        <v>2997.2651999999994</v>
      </c>
    </row>
    <row r="471" spans="1:21" ht="25.5">
      <c r="A471" s="190" t="s">
        <v>615</v>
      </c>
      <c r="B471" s="191">
        <v>120303</v>
      </c>
      <c r="C471" s="657" t="s">
        <v>236</v>
      </c>
      <c r="D471" s="192" t="s">
        <v>57</v>
      </c>
      <c r="E471" s="193">
        <v>49.24</v>
      </c>
      <c r="F471" s="194">
        <v>531.42999999999995</v>
      </c>
      <c r="G471" s="194"/>
      <c r="H471" s="194"/>
      <c r="I471" s="193">
        <f t="shared" si="788"/>
        <v>531.42999999999995</v>
      </c>
      <c r="J471" s="193">
        <f t="shared" si="789"/>
        <v>26167.6132</v>
      </c>
      <c r="K471" s="193"/>
      <c r="L471" s="193"/>
      <c r="M471" s="622">
        <f t="shared" si="790"/>
        <v>26167.6132</v>
      </c>
      <c r="N471" s="194">
        <v>0</v>
      </c>
      <c r="O471" s="622">
        <f t="shared" si="791"/>
        <v>0</v>
      </c>
      <c r="P471" s="194">
        <f>IFERROR(VLOOKUP(A471,#REF!,18,FALSE),)</f>
        <v>0</v>
      </c>
      <c r="Q471" s="622">
        <f t="shared" si="792"/>
        <v>0</v>
      </c>
      <c r="R471" s="194">
        <f t="shared" si="793"/>
        <v>0</v>
      </c>
      <c r="S471" s="630">
        <f t="shared" si="794"/>
        <v>0</v>
      </c>
      <c r="T471" s="194">
        <f t="shared" si="764"/>
        <v>531.42999999999995</v>
      </c>
      <c r="U471" s="630">
        <f t="shared" si="787"/>
        <v>26167.6132</v>
      </c>
    </row>
    <row r="472" spans="1:21" ht="25.5">
      <c r="A472" s="190" t="s">
        <v>616</v>
      </c>
      <c r="B472" s="191">
        <v>190117</v>
      </c>
      <c r="C472" s="657" t="s">
        <v>237</v>
      </c>
      <c r="D472" s="192" t="s">
        <v>57</v>
      </c>
      <c r="E472" s="193">
        <v>18.27</v>
      </c>
      <c r="F472" s="194">
        <v>531.42999999999995</v>
      </c>
      <c r="G472" s="194"/>
      <c r="H472" s="194"/>
      <c r="I472" s="193">
        <f t="shared" si="788"/>
        <v>531.42999999999995</v>
      </c>
      <c r="J472" s="193">
        <f t="shared" si="789"/>
        <v>9709.226099999998</v>
      </c>
      <c r="K472" s="193"/>
      <c r="L472" s="193"/>
      <c r="M472" s="622">
        <f t="shared" si="790"/>
        <v>9709.226099999998</v>
      </c>
      <c r="N472" s="194">
        <v>0</v>
      </c>
      <c r="O472" s="622">
        <f t="shared" si="791"/>
        <v>0</v>
      </c>
      <c r="P472" s="194">
        <f>IFERROR(VLOOKUP(A472,#REF!,18,FALSE),)</f>
        <v>0</v>
      </c>
      <c r="Q472" s="622">
        <f t="shared" si="792"/>
        <v>0</v>
      </c>
      <c r="R472" s="194">
        <f t="shared" si="793"/>
        <v>0</v>
      </c>
      <c r="S472" s="630">
        <f t="shared" si="794"/>
        <v>0</v>
      </c>
      <c r="T472" s="194">
        <f t="shared" si="764"/>
        <v>531.42999999999995</v>
      </c>
      <c r="U472" s="630">
        <f t="shared" si="787"/>
        <v>9709.226099999998</v>
      </c>
    </row>
    <row r="473" spans="1:21" ht="51">
      <c r="A473" s="190" t="s">
        <v>617</v>
      </c>
      <c r="B473" s="191">
        <v>130230</v>
      </c>
      <c r="C473" s="657" t="s">
        <v>238</v>
      </c>
      <c r="D473" s="192" t="s">
        <v>57</v>
      </c>
      <c r="E473" s="193">
        <v>106.19</v>
      </c>
      <c r="F473" s="194">
        <v>142.32</v>
      </c>
      <c r="G473" s="194"/>
      <c r="H473" s="194"/>
      <c r="I473" s="193">
        <f t="shared" si="788"/>
        <v>142.32</v>
      </c>
      <c r="J473" s="193">
        <f t="shared" si="789"/>
        <v>15112.960799999999</v>
      </c>
      <c r="K473" s="193"/>
      <c r="L473" s="193"/>
      <c r="M473" s="622">
        <f t="shared" si="790"/>
        <v>15112.960799999999</v>
      </c>
      <c r="N473" s="194">
        <v>0</v>
      </c>
      <c r="O473" s="622">
        <f t="shared" si="791"/>
        <v>0</v>
      </c>
      <c r="P473" s="194">
        <f>IFERROR(VLOOKUP(A473,#REF!,18,FALSE),)</f>
        <v>0</v>
      </c>
      <c r="Q473" s="622">
        <f t="shared" si="792"/>
        <v>0</v>
      </c>
      <c r="R473" s="194">
        <f t="shared" si="793"/>
        <v>0</v>
      </c>
      <c r="S473" s="630">
        <f t="shared" si="794"/>
        <v>0</v>
      </c>
      <c r="T473" s="194">
        <f t="shared" si="764"/>
        <v>142.32</v>
      </c>
      <c r="U473" s="630">
        <f t="shared" si="787"/>
        <v>15112.960799999999</v>
      </c>
    </row>
    <row r="474" spans="1:21" ht="25.5">
      <c r="A474" s="190" t="s">
        <v>618</v>
      </c>
      <c r="B474" s="191" t="s">
        <v>228</v>
      </c>
      <c r="C474" s="657" t="s">
        <v>239</v>
      </c>
      <c r="D474" s="192" t="s">
        <v>72</v>
      </c>
      <c r="E474" s="193">
        <v>333.45</v>
      </c>
      <c r="F474" s="194">
        <v>25</v>
      </c>
      <c r="G474" s="194"/>
      <c r="H474" s="194"/>
      <c r="I474" s="193">
        <f t="shared" si="788"/>
        <v>25</v>
      </c>
      <c r="J474" s="193">
        <f t="shared" si="789"/>
        <v>8336.25</v>
      </c>
      <c r="K474" s="193"/>
      <c r="L474" s="193"/>
      <c r="M474" s="622">
        <f t="shared" si="790"/>
        <v>8336.25</v>
      </c>
      <c r="N474" s="194">
        <v>0</v>
      </c>
      <c r="O474" s="622">
        <f t="shared" si="791"/>
        <v>0</v>
      </c>
      <c r="P474" s="194">
        <f>IFERROR(VLOOKUP(A474,#REF!,18,FALSE),)</f>
        <v>0</v>
      </c>
      <c r="Q474" s="622">
        <f t="shared" si="792"/>
        <v>0</v>
      </c>
      <c r="R474" s="194">
        <f t="shared" si="793"/>
        <v>0</v>
      </c>
      <c r="S474" s="630">
        <f t="shared" si="794"/>
        <v>0</v>
      </c>
      <c r="T474" s="194">
        <f t="shared" si="764"/>
        <v>25</v>
      </c>
      <c r="U474" s="630">
        <f t="shared" si="787"/>
        <v>8336.25</v>
      </c>
    </row>
    <row r="475" spans="1:21">
      <c r="A475" s="138"/>
      <c r="B475" s="132"/>
      <c r="C475" s="123"/>
      <c r="D475" s="123"/>
      <c r="E475" s="123"/>
      <c r="F475" s="123"/>
      <c r="G475" s="123"/>
      <c r="H475" s="123"/>
      <c r="I475" s="123"/>
      <c r="J475" s="123"/>
      <c r="K475" s="123"/>
      <c r="L475" s="123"/>
      <c r="M475" s="623"/>
      <c r="N475" s="123"/>
      <c r="O475" s="623"/>
      <c r="P475" s="123"/>
      <c r="Q475" s="623"/>
      <c r="R475" s="123"/>
      <c r="S475" s="631"/>
      <c r="T475" s="123"/>
      <c r="U475" s="631"/>
    </row>
    <row r="476" spans="1:21" s="213" customFormat="1">
      <c r="A476" s="210" t="s">
        <v>619</v>
      </c>
      <c r="B476" s="211"/>
      <c r="C476" s="655" t="s">
        <v>240</v>
      </c>
      <c r="D476" s="197"/>
      <c r="E476" s="198"/>
      <c r="F476" s="199"/>
      <c r="G476" s="199"/>
      <c r="H476" s="199"/>
      <c r="I476" s="200"/>
      <c r="J476" s="200">
        <f>SUBTOTAL(9,J477:J512)</f>
        <v>616385.40690000006</v>
      </c>
      <c r="K476" s="200"/>
      <c r="L476" s="200"/>
      <c r="M476" s="620"/>
      <c r="N476" s="201"/>
      <c r="O476" s="620">
        <f>SUBTOTAL(9,O477:O512)</f>
        <v>480324.14999999991</v>
      </c>
      <c r="P476" s="201"/>
      <c r="Q476" s="620">
        <f>SUBTOTAL(9,Q477:Q512)</f>
        <v>0</v>
      </c>
      <c r="R476" s="200"/>
      <c r="S476" s="620">
        <f>SUBTOTAL(9,S477:S512)</f>
        <v>493619.6</v>
      </c>
      <c r="T476" s="200">
        <f t="shared" si="764"/>
        <v>0</v>
      </c>
      <c r="U476" s="620">
        <f>SUBTOTAL(9,U477:U512)</f>
        <v>143830.92130000002</v>
      </c>
    </row>
    <row r="477" spans="1:21" s="131" customFormat="1">
      <c r="A477" s="137" t="s">
        <v>620</v>
      </c>
      <c r="B477" s="133"/>
      <c r="C477" s="658" t="s">
        <v>242</v>
      </c>
      <c r="D477" s="126"/>
      <c r="E477" s="127"/>
      <c r="F477" s="128"/>
      <c r="G477" s="128"/>
      <c r="H477" s="128"/>
      <c r="I477" s="129"/>
      <c r="J477" s="129">
        <f>SUBTOTAL(9,J478:J489)</f>
        <v>296584.22210000007</v>
      </c>
      <c r="K477" s="129"/>
      <c r="L477" s="129"/>
      <c r="M477" s="624"/>
      <c r="N477" s="130"/>
      <c r="O477" s="624">
        <f>SUBTOTAL(9,O478:O489)</f>
        <v>188530.49</v>
      </c>
      <c r="P477" s="130"/>
      <c r="Q477" s="624">
        <f>SUBTOTAL(9,Q478:Q489)</f>
        <v>0</v>
      </c>
      <c r="R477" s="129"/>
      <c r="S477" s="624">
        <f>SUBTOTAL(9,S478:S490)</f>
        <v>201825.94</v>
      </c>
      <c r="T477" s="129">
        <f t="shared" si="764"/>
        <v>0</v>
      </c>
      <c r="U477" s="624">
        <f>SUBTOTAL(9,U478:U489)</f>
        <v>115823.41800000001</v>
      </c>
    </row>
    <row r="478" spans="1:21" ht="25.5">
      <c r="A478" s="190" t="s">
        <v>621</v>
      </c>
      <c r="B478" s="191">
        <v>40405</v>
      </c>
      <c r="C478" s="657" t="s">
        <v>264</v>
      </c>
      <c r="D478" s="192" t="s">
        <v>57</v>
      </c>
      <c r="E478" s="193">
        <v>86.33</v>
      </c>
      <c r="F478" s="194">
        <v>341</v>
      </c>
      <c r="G478" s="194">
        <f>REPLANILHAMENTO!H416</f>
        <v>90</v>
      </c>
      <c r="H478" s="194"/>
      <c r="I478" s="193">
        <f>F478+G478-H478</f>
        <v>431</v>
      </c>
      <c r="J478" s="193">
        <f>F478*E478</f>
        <v>29438.53</v>
      </c>
      <c r="K478" s="193">
        <f>G478*E478</f>
        <v>7769.7</v>
      </c>
      <c r="L478" s="193"/>
      <c r="M478" s="622">
        <f>I478*E478</f>
        <v>37208.229999999996</v>
      </c>
      <c r="N478" s="194">
        <f>'4.4.1.1'!R21</f>
        <v>431</v>
      </c>
      <c r="O478" s="622">
        <f t="shared" ref="O478:O489" si="795">TRUNC(N478*E478,2)</f>
        <v>37208.230000000003</v>
      </c>
      <c r="P478" s="560">
        <f>'4.4.1.1'!R22</f>
        <v>0</v>
      </c>
      <c r="Q478" s="622">
        <f t="shared" ref="Q478:Q489" si="796">S478-O478</f>
        <v>0</v>
      </c>
      <c r="R478" s="194">
        <f>P478+N478</f>
        <v>431</v>
      </c>
      <c r="S478" s="630">
        <f t="shared" ref="S478:S490" si="797">TRUNC(R478*E478,2)</f>
        <v>37208.230000000003</v>
      </c>
      <c r="T478" s="194">
        <f>I478-R478</f>
        <v>0</v>
      </c>
      <c r="U478" s="630">
        <v>0</v>
      </c>
    </row>
    <row r="479" spans="1:21" ht="25.5">
      <c r="A479" s="190" t="s">
        <v>622</v>
      </c>
      <c r="B479" s="191" t="s">
        <v>255</v>
      </c>
      <c r="C479" s="657" t="s">
        <v>265</v>
      </c>
      <c r="D479" s="192" t="s">
        <v>29</v>
      </c>
      <c r="E479" s="193">
        <v>7.33</v>
      </c>
      <c r="F479" s="194">
        <v>3966.02</v>
      </c>
      <c r="G479" s="194"/>
      <c r="H479" s="194"/>
      <c r="I479" s="193">
        <f t="shared" ref="I479" si="798">F479+G479-H479</f>
        <v>3966.02</v>
      </c>
      <c r="J479" s="193">
        <f>I479*E479</f>
        <v>29070.926599999999</v>
      </c>
      <c r="K479" s="193"/>
      <c r="L479" s="193"/>
      <c r="M479" s="622">
        <f t="shared" ref="M479" si="799">I479*E479</f>
        <v>29070.926599999999</v>
      </c>
      <c r="N479" s="194">
        <f>'4.4.1.2'!R24</f>
        <v>3966.02</v>
      </c>
      <c r="O479" s="622">
        <f t="shared" si="795"/>
        <v>29070.92</v>
      </c>
      <c r="P479" s="560">
        <f>'4.4.1.2'!R25</f>
        <v>0</v>
      </c>
      <c r="Q479" s="622">
        <f t="shared" si="796"/>
        <v>0</v>
      </c>
      <c r="R479" s="194">
        <f>P479+N479</f>
        <v>3966.02</v>
      </c>
      <c r="S479" s="630">
        <f t="shared" si="797"/>
        <v>29070.92</v>
      </c>
      <c r="T479" s="194">
        <f t="shared" si="764"/>
        <v>0</v>
      </c>
      <c r="U479" s="630">
        <f t="shared" ref="U479:U490" si="800">T479*E479</f>
        <v>0</v>
      </c>
    </row>
    <row r="480" spans="1:21" ht="25.5">
      <c r="A480" s="190" t="s">
        <v>623</v>
      </c>
      <c r="B480" s="191">
        <v>40328</v>
      </c>
      <c r="C480" s="657" t="s">
        <v>147</v>
      </c>
      <c r="D480" s="192" t="s">
        <v>29</v>
      </c>
      <c r="E480" s="193">
        <v>7.98</v>
      </c>
      <c r="F480" s="194">
        <v>1880</v>
      </c>
      <c r="G480" s="194"/>
      <c r="H480" s="194"/>
      <c r="I480" s="193">
        <f t="shared" ref="I480:I489" si="801">F480+G480-H480</f>
        <v>1880</v>
      </c>
      <c r="J480" s="193">
        <f t="shared" ref="J480:J489" si="802">I480*E480</f>
        <v>15002.400000000001</v>
      </c>
      <c r="K480" s="193"/>
      <c r="L480" s="193"/>
      <c r="M480" s="622">
        <f t="shared" ref="M480:M489" si="803">I480*E480</f>
        <v>15002.400000000001</v>
      </c>
      <c r="N480" s="194">
        <f>'4.4.1.3'!R24</f>
        <v>1880</v>
      </c>
      <c r="O480" s="622">
        <f>TRUNC(N480*E480,2)</f>
        <v>15002.4</v>
      </c>
      <c r="P480" s="560">
        <f>'4.4.1.3'!R25</f>
        <v>0</v>
      </c>
      <c r="Q480" s="622">
        <f t="shared" si="796"/>
        <v>0</v>
      </c>
      <c r="R480" s="194">
        <f t="shared" ref="R480:R488" si="804">P480+N480</f>
        <v>1880</v>
      </c>
      <c r="S480" s="630">
        <f t="shared" si="797"/>
        <v>15002.4</v>
      </c>
      <c r="T480" s="194">
        <f t="shared" si="764"/>
        <v>0</v>
      </c>
      <c r="U480" s="630">
        <f t="shared" si="800"/>
        <v>0</v>
      </c>
    </row>
    <row r="481" spans="1:21">
      <c r="A481" s="190" t="s">
        <v>624</v>
      </c>
      <c r="B481" s="191" t="s">
        <v>256</v>
      </c>
      <c r="C481" s="657" t="s">
        <v>266</v>
      </c>
      <c r="D481" s="192" t="s">
        <v>29</v>
      </c>
      <c r="E481" s="193">
        <v>11.02</v>
      </c>
      <c r="F481" s="194">
        <v>73</v>
      </c>
      <c r="G481" s="194"/>
      <c r="H481" s="194"/>
      <c r="I481" s="193">
        <f t="shared" si="801"/>
        <v>73</v>
      </c>
      <c r="J481" s="193">
        <f t="shared" si="802"/>
        <v>804.45999999999992</v>
      </c>
      <c r="K481" s="193"/>
      <c r="L481" s="193"/>
      <c r="M481" s="622">
        <f t="shared" si="803"/>
        <v>804.45999999999992</v>
      </c>
      <c r="N481" s="194">
        <v>73</v>
      </c>
      <c r="O481" s="622">
        <f t="shared" si="795"/>
        <v>804.46</v>
      </c>
      <c r="P481" s="560">
        <v>0</v>
      </c>
      <c r="Q481" s="622">
        <f t="shared" si="796"/>
        <v>0</v>
      </c>
      <c r="R481" s="194">
        <f>P481+N481</f>
        <v>73</v>
      </c>
      <c r="S481" s="630">
        <f t="shared" si="797"/>
        <v>804.46</v>
      </c>
      <c r="T481" s="194">
        <f t="shared" si="764"/>
        <v>0</v>
      </c>
      <c r="U481" s="630">
        <f t="shared" si="800"/>
        <v>0</v>
      </c>
    </row>
    <row r="482" spans="1:21" ht="51">
      <c r="A482" s="190" t="s">
        <v>625</v>
      </c>
      <c r="B482" s="191" t="s">
        <v>257</v>
      </c>
      <c r="C482" s="657" t="s">
        <v>267</v>
      </c>
      <c r="D482" s="192" t="s">
        <v>58</v>
      </c>
      <c r="E482" s="193">
        <v>777.83</v>
      </c>
      <c r="F482" s="194">
        <v>28.05</v>
      </c>
      <c r="G482" s="194"/>
      <c r="H482" s="194"/>
      <c r="I482" s="193">
        <f t="shared" si="801"/>
        <v>28.05</v>
      </c>
      <c r="J482" s="193">
        <f t="shared" si="802"/>
        <v>21818.131500000003</v>
      </c>
      <c r="K482" s="193"/>
      <c r="L482" s="193"/>
      <c r="M482" s="622">
        <f t="shared" si="803"/>
        <v>21818.131500000003</v>
      </c>
      <c r="N482" s="194">
        <f>'4.4.1.5'!R20</f>
        <v>28.05</v>
      </c>
      <c r="O482" s="622">
        <f>TRUNC(N482*E482,2)</f>
        <v>21818.13</v>
      </c>
      <c r="P482" s="560">
        <f>'4.4.1.5'!R21</f>
        <v>0</v>
      </c>
      <c r="Q482" s="622">
        <f t="shared" ref="Q482:Q483" si="805">S482-O482</f>
        <v>0</v>
      </c>
      <c r="R482" s="194">
        <f>P482+N482</f>
        <v>28.05</v>
      </c>
      <c r="S482" s="630">
        <f t="shared" si="797"/>
        <v>21818.13</v>
      </c>
      <c r="T482" s="194">
        <f t="shared" si="764"/>
        <v>0</v>
      </c>
      <c r="U482" s="630">
        <f t="shared" si="800"/>
        <v>0</v>
      </c>
    </row>
    <row r="483" spans="1:21" ht="25.5">
      <c r="A483" s="190" t="s">
        <v>626</v>
      </c>
      <c r="B483" s="191" t="s">
        <v>258</v>
      </c>
      <c r="C483" s="657" t="s">
        <v>268</v>
      </c>
      <c r="D483" s="192" t="s">
        <v>49</v>
      </c>
      <c r="E483" s="193">
        <v>641.15</v>
      </c>
      <c r="F483" s="194">
        <v>113.84</v>
      </c>
      <c r="G483" s="194"/>
      <c r="H483" s="194"/>
      <c r="I483" s="193">
        <f t="shared" si="801"/>
        <v>113.84</v>
      </c>
      <c r="J483" s="193">
        <f t="shared" si="802"/>
        <v>72988.516000000003</v>
      </c>
      <c r="K483" s="193"/>
      <c r="L483" s="193"/>
      <c r="M483" s="622">
        <f t="shared" si="803"/>
        <v>72988.516000000003</v>
      </c>
      <c r="N483" s="194">
        <f>'4.4.1.6'!R23</f>
        <v>113.84</v>
      </c>
      <c r="O483" s="622">
        <f t="shared" si="795"/>
        <v>72988.509999999995</v>
      </c>
      <c r="P483" s="560">
        <f>'4.4.1.6'!R24</f>
        <v>0</v>
      </c>
      <c r="Q483" s="622">
        <f t="shared" si="805"/>
        <v>0</v>
      </c>
      <c r="R483" s="194">
        <f t="shared" si="804"/>
        <v>113.84</v>
      </c>
      <c r="S483" s="630">
        <f t="shared" si="797"/>
        <v>72988.509999999995</v>
      </c>
      <c r="T483" s="194">
        <f t="shared" si="764"/>
        <v>0</v>
      </c>
      <c r="U483" s="630">
        <f t="shared" si="800"/>
        <v>0</v>
      </c>
    </row>
    <row r="484" spans="1:21" ht="24" customHeight="1">
      <c r="A484" s="190" t="s">
        <v>627</v>
      </c>
      <c r="B484" s="191" t="s">
        <v>259</v>
      </c>
      <c r="C484" s="657" t="s">
        <v>269</v>
      </c>
      <c r="D484" s="192" t="s">
        <v>72</v>
      </c>
      <c r="E484" s="193">
        <v>14345.61</v>
      </c>
      <c r="F484" s="194">
        <v>4</v>
      </c>
      <c r="G484" s="194"/>
      <c r="H484" s="194"/>
      <c r="I484" s="193">
        <f t="shared" si="801"/>
        <v>4</v>
      </c>
      <c r="J484" s="193">
        <f t="shared" si="802"/>
        <v>57382.44</v>
      </c>
      <c r="K484" s="193"/>
      <c r="L484" s="193"/>
      <c r="M484" s="622">
        <f t="shared" si="803"/>
        <v>57382.44</v>
      </c>
      <c r="N484" s="194">
        <v>0</v>
      </c>
      <c r="O484" s="622">
        <f t="shared" si="795"/>
        <v>0</v>
      </c>
      <c r="P484" s="194">
        <f>IFERROR(VLOOKUP(A484,#REF!,18,FALSE),)</f>
        <v>0</v>
      </c>
      <c r="Q484" s="622">
        <f t="shared" si="796"/>
        <v>0</v>
      </c>
      <c r="R484" s="194">
        <f t="shared" si="804"/>
        <v>0</v>
      </c>
      <c r="S484" s="630">
        <f t="shared" si="797"/>
        <v>0</v>
      </c>
      <c r="T484" s="194">
        <f t="shared" si="764"/>
        <v>4</v>
      </c>
      <c r="U484" s="630">
        <f t="shared" si="800"/>
        <v>57382.44</v>
      </c>
    </row>
    <row r="485" spans="1:21" ht="25.5">
      <c r="A485" s="190" t="s">
        <v>628</v>
      </c>
      <c r="B485" s="191" t="s">
        <v>260</v>
      </c>
      <c r="C485" s="657" t="s">
        <v>270</v>
      </c>
      <c r="D485" s="192" t="s">
        <v>72</v>
      </c>
      <c r="E485" s="193">
        <v>5478.19</v>
      </c>
      <c r="F485" s="194">
        <v>2</v>
      </c>
      <c r="G485" s="194"/>
      <c r="H485" s="194"/>
      <c r="I485" s="193">
        <f t="shared" si="801"/>
        <v>2</v>
      </c>
      <c r="J485" s="193">
        <f t="shared" si="802"/>
        <v>10956.38</v>
      </c>
      <c r="K485" s="193"/>
      <c r="L485" s="193"/>
      <c r="M485" s="622">
        <f t="shared" si="803"/>
        <v>10956.38</v>
      </c>
      <c r="N485" s="194">
        <f>'4.4.1.8'!R18</f>
        <v>2</v>
      </c>
      <c r="O485" s="622">
        <f t="shared" si="795"/>
        <v>10956.38</v>
      </c>
      <c r="P485" s="194">
        <f>'4.4.1.8'!R19</f>
        <v>0</v>
      </c>
      <c r="Q485" s="622">
        <f t="shared" si="796"/>
        <v>0</v>
      </c>
      <c r="R485" s="194">
        <f t="shared" si="804"/>
        <v>2</v>
      </c>
      <c r="S485" s="630">
        <f t="shared" si="797"/>
        <v>10956.38</v>
      </c>
      <c r="T485" s="194">
        <f t="shared" si="764"/>
        <v>0</v>
      </c>
      <c r="U485" s="630">
        <f t="shared" si="800"/>
        <v>0</v>
      </c>
    </row>
    <row r="486" spans="1:21" ht="38.25">
      <c r="A486" s="190" t="s">
        <v>629</v>
      </c>
      <c r="B486" s="191">
        <v>40817</v>
      </c>
      <c r="C486" s="657" t="s">
        <v>271</v>
      </c>
      <c r="D486" s="192" t="s">
        <v>58</v>
      </c>
      <c r="E486" s="193">
        <v>3001.6</v>
      </c>
      <c r="F486" s="194">
        <v>0.03</v>
      </c>
      <c r="G486" s="194"/>
      <c r="H486" s="194"/>
      <c r="I486" s="193">
        <f t="shared" si="801"/>
        <v>0.03</v>
      </c>
      <c r="J486" s="193">
        <f t="shared" si="802"/>
        <v>90.047999999999988</v>
      </c>
      <c r="K486" s="193"/>
      <c r="L486" s="193"/>
      <c r="M486" s="622">
        <f t="shared" si="803"/>
        <v>90.047999999999988</v>
      </c>
      <c r="N486" s="194">
        <v>0</v>
      </c>
      <c r="O486" s="622">
        <f t="shared" si="795"/>
        <v>0</v>
      </c>
      <c r="P486" s="194">
        <f>IFERROR(VLOOKUP(A486,#REF!,18,FALSE),)</f>
        <v>0</v>
      </c>
      <c r="Q486" s="622">
        <f t="shared" si="796"/>
        <v>0</v>
      </c>
      <c r="R486" s="194">
        <f t="shared" si="804"/>
        <v>0</v>
      </c>
      <c r="S486" s="630">
        <f t="shared" si="797"/>
        <v>0</v>
      </c>
      <c r="T486" s="194">
        <f t="shared" si="764"/>
        <v>0.03</v>
      </c>
      <c r="U486" s="630">
        <f t="shared" si="800"/>
        <v>90.047999999999988</v>
      </c>
    </row>
    <row r="487" spans="1:21">
      <c r="A487" s="190" t="s">
        <v>630</v>
      </c>
      <c r="B487" s="191" t="s">
        <v>261</v>
      </c>
      <c r="C487" s="657" t="s">
        <v>272</v>
      </c>
      <c r="D487" s="192" t="s">
        <v>72</v>
      </c>
      <c r="E487" s="193">
        <v>2011.04</v>
      </c>
      <c r="F487" s="194">
        <v>15</v>
      </c>
      <c r="G487" s="194"/>
      <c r="H487" s="194"/>
      <c r="I487" s="193">
        <f t="shared" si="801"/>
        <v>15</v>
      </c>
      <c r="J487" s="193">
        <f t="shared" si="802"/>
        <v>30165.599999999999</v>
      </c>
      <c r="K487" s="193"/>
      <c r="L487" s="193"/>
      <c r="M487" s="622">
        <f t="shared" si="803"/>
        <v>30165.599999999999</v>
      </c>
      <c r="N487" s="194">
        <v>0</v>
      </c>
      <c r="O487" s="622">
        <f t="shared" si="795"/>
        <v>0</v>
      </c>
      <c r="P487" s="194">
        <f>IFERROR(VLOOKUP(A487,#REF!,18,FALSE),)</f>
        <v>0</v>
      </c>
      <c r="Q487" s="622">
        <f t="shared" si="796"/>
        <v>0</v>
      </c>
      <c r="R487" s="194">
        <f t="shared" si="804"/>
        <v>0</v>
      </c>
      <c r="S487" s="630">
        <f t="shared" si="797"/>
        <v>0</v>
      </c>
      <c r="T487" s="194">
        <f t="shared" si="764"/>
        <v>15</v>
      </c>
      <c r="U487" s="630">
        <f t="shared" si="800"/>
        <v>30165.599999999999</v>
      </c>
    </row>
    <row r="488" spans="1:21" ht="25.5">
      <c r="A488" s="190" t="s">
        <v>631</v>
      </c>
      <c r="B488" s="191" t="s">
        <v>262</v>
      </c>
      <c r="C488" s="657" t="s">
        <v>273</v>
      </c>
      <c r="D488" s="192" t="s">
        <v>72</v>
      </c>
      <c r="E488" s="193">
        <v>28185.33</v>
      </c>
      <c r="F488" s="194">
        <v>1</v>
      </c>
      <c r="G488" s="194"/>
      <c r="H488" s="194"/>
      <c r="I488" s="193">
        <f t="shared" si="801"/>
        <v>1</v>
      </c>
      <c r="J488" s="193">
        <f t="shared" si="802"/>
        <v>28185.33</v>
      </c>
      <c r="K488" s="193"/>
      <c r="L488" s="193"/>
      <c r="M488" s="622">
        <f t="shared" si="803"/>
        <v>28185.33</v>
      </c>
      <c r="N488" s="194">
        <v>0</v>
      </c>
      <c r="O488" s="622">
        <f t="shared" si="795"/>
        <v>0</v>
      </c>
      <c r="P488" s="194">
        <f>IFERROR(VLOOKUP(A488,#REF!,18,FALSE),)</f>
        <v>0</v>
      </c>
      <c r="Q488" s="622">
        <f t="shared" si="796"/>
        <v>0</v>
      </c>
      <c r="R488" s="194">
        <f t="shared" si="804"/>
        <v>0</v>
      </c>
      <c r="S488" s="630">
        <f t="shared" si="797"/>
        <v>0</v>
      </c>
      <c r="T488" s="194">
        <f t="shared" si="764"/>
        <v>1</v>
      </c>
      <c r="U488" s="630">
        <f t="shared" si="800"/>
        <v>28185.33</v>
      </c>
    </row>
    <row r="489" spans="1:21">
      <c r="A489" s="190" t="s">
        <v>632</v>
      </c>
      <c r="B489" s="191" t="s">
        <v>263</v>
      </c>
      <c r="C489" s="657" t="s">
        <v>274</v>
      </c>
      <c r="D489" s="192" t="s">
        <v>72</v>
      </c>
      <c r="E489" s="193">
        <v>340.73</v>
      </c>
      <c r="F489" s="194">
        <v>2</v>
      </c>
      <c r="G489" s="194"/>
      <c r="H489" s="194"/>
      <c r="I489" s="193">
        <f t="shared" si="801"/>
        <v>2</v>
      </c>
      <c r="J489" s="193">
        <f t="shared" si="802"/>
        <v>681.46</v>
      </c>
      <c r="K489" s="193"/>
      <c r="L489" s="193"/>
      <c r="M489" s="622">
        <f t="shared" si="803"/>
        <v>681.46</v>
      </c>
      <c r="N489" s="194">
        <v>2</v>
      </c>
      <c r="O489" s="622">
        <f t="shared" si="795"/>
        <v>681.46</v>
      </c>
      <c r="P489" s="194">
        <v>0</v>
      </c>
      <c r="Q489" s="622">
        <f t="shared" si="796"/>
        <v>0</v>
      </c>
      <c r="R489" s="194">
        <f>P489+N489</f>
        <v>2</v>
      </c>
      <c r="S489" s="630">
        <f t="shared" si="797"/>
        <v>681.46</v>
      </c>
      <c r="T489" s="194">
        <f t="shared" si="764"/>
        <v>0</v>
      </c>
      <c r="U489" s="630">
        <f t="shared" si="800"/>
        <v>0</v>
      </c>
    </row>
    <row r="490" spans="1:21">
      <c r="A490" s="190" t="s">
        <v>1207</v>
      </c>
      <c r="B490" s="191" t="s">
        <v>1118</v>
      </c>
      <c r="C490" s="657" t="s">
        <v>1119</v>
      </c>
      <c r="D490" s="192" t="s">
        <v>59</v>
      </c>
      <c r="E490" s="193">
        <f>REPLANILHAMENTO!F417</f>
        <v>13295.45</v>
      </c>
      <c r="F490" s="194">
        <v>0</v>
      </c>
      <c r="G490" s="194">
        <v>1</v>
      </c>
      <c r="H490" s="194">
        <v>0</v>
      </c>
      <c r="I490" s="193">
        <f>F490+G490-H490</f>
        <v>1</v>
      </c>
      <c r="J490" s="193"/>
      <c r="K490" s="193">
        <f>G490*E490</f>
        <v>13295.45</v>
      </c>
      <c r="L490" s="193"/>
      <c r="M490" s="622">
        <f>I490*E490</f>
        <v>13295.45</v>
      </c>
      <c r="N490" s="194">
        <v>1</v>
      </c>
      <c r="O490" s="622">
        <v>0</v>
      </c>
      <c r="P490" s="194">
        <v>0</v>
      </c>
      <c r="Q490" s="622">
        <f>P490*E490</f>
        <v>0</v>
      </c>
      <c r="R490" s="194">
        <f>P490+N490</f>
        <v>1</v>
      </c>
      <c r="S490" s="630">
        <f t="shared" si="797"/>
        <v>13295.45</v>
      </c>
      <c r="T490" s="194">
        <f>I490-R490</f>
        <v>0</v>
      </c>
      <c r="U490" s="630">
        <f t="shared" si="800"/>
        <v>0</v>
      </c>
    </row>
    <row r="491" spans="1:21">
      <c r="A491" s="138"/>
      <c r="B491" s="132"/>
      <c r="C491" s="123"/>
      <c r="D491" s="123"/>
      <c r="E491" s="123"/>
      <c r="F491" s="123"/>
      <c r="G491" s="123"/>
      <c r="H491" s="123"/>
      <c r="I491" s="123"/>
      <c r="J491" s="123"/>
      <c r="K491" s="123"/>
      <c r="L491" s="123"/>
      <c r="M491" s="623"/>
      <c r="N491" s="123"/>
      <c r="O491" s="623"/>
      <c r="P491" s="123"/>
      <c r="Q491" s="623"/>
      <c r="R491" s="123"/>
      <c r="S491" s="631"/>
      <c r="T491" s="123"/>
      <c r="U491" s="631"/>
    </row>
    <row r="492" spans="1:21" s="131" customFormat="1">
      <c r="A492" s="137" t="s">
        <v>633</v>
      </c>
      <c r="B492" s="133"/>
      <c r="C492" s="658" t="s">
        <v>276</v>
      </c>
      <c r="D492" s="126"/>
      <c r="E492" s="127"/>
      <c r="F492" s="128"/>
      <c r="G492" s="128"/>
      <c r="H492" s="128"/>
      <c r="I492" s="129"/>
      <c r="J492" s="129">
        <f>SUBTOTAL(9,J493:J493)</f>
        <v>1770.61</v>
      </c>
      <c r="K492" s="129"/>
      <c r="L492" s="129"/>
      <c r="M492" s="624"/>
      <c r="N492" s="130"/>
      <c r="O492" s="624">
        <f>SUBTOTAL(9,O493:O493)</f>
        <v>0</v>
      </c>
      <c r="P492" s="130"/>
      <c r="Q492" s="624">
        <f>SUBTOTAL(9,Q493:Q493)</f>
        <v>0</v>
      </c>
      <c r="R492" s="129"/>
      <c r="S492" s="624">
        <f>SUBTOTAL(9,S493:S493)</f>
        <v>0</v>
      </c>
      <c r="T492" s="129">
        <f t="shared" si="764"/>
        <v>0</v>
      </c>
      <c r="U492" s="624">
        <f>SUBTOTAL(9,U493:U493)</f>
        <v>1770.61</v>
      </c>
    </row>
    <row r="493" spans="1:21" ht="25.5">
      <c r="A493" s="190" t="s">
        <v>634</v>
      </c>
      <c r="B493" s="191" t="s">
        <v>635</v>
      </c>
      <c r="C493" s="657" t="s">
        <v>636</v>
      </c>
      <c r="D493" s="192" t="s">
        <v>72</v>
      </c>
      <c r="E493" s="193">
        <v>1770.61</v>
      </c>
      <c r="F493" s="194">
        <v>1</v>
      </c>
      <c r="G493" s="194"/>
      <c r="H493" s="194"/>
      <c r="I493" s="193">
        <f t="shared" ref="I493" si="806">F493+G493-H493</f>
        <v>1</v>
      </c>
      <c r="J493" s="193">
        <f t="shared" ref="J493" si="807">I493*E493</f>
        <v>1770.61</v>
      </c>
      <c r="K493" s="193"/>
      <c r="L493" s="193"/>
      <c r="M493" s="622">
        <f t="shared" ref="M493" si="808">I493*E493</f>
        <v>1770.61</v>
      </c>
      <c r="N493" s="194">
        <v>0</v>
      </c>
      <c r="O493" s="622">
        <f t="shared" ref="O493" si="809">TRUNC(N493*E493,2)</f>
        <v>0</v>
      </c>
      <c r="P493" s="194">
        <f>IFERROR(VLOOKUP(A493,#REF!,18,FALSE),)</f>
        <v>0</v>
      </c>
      <c r="Q493" s="622">
        <f t="shared" ref="Q493" si="810">S493-O493</f>
        <v>0</v>
      </c>
      <c r="R493" s="194">
        <f t="shared" ref="R493" si="811">P493+N493</f>
        <v>0</v>
      </c>
      <c r="S493" s="630">
        <f t="shared" ref="S493" si="812">TRUNC(R493*E493,2)</f>
        <v>0</v>
      </c>
      <c r="T493" s="194">
        <f t="shared" si="764"/>
        <v>1</v>
      </c>
      <c r="U493" s="630">
        <f t="shared" ref="U493" si="813">T493*E493</f>
        <v>1770.61</v>
      </c>
    </row>
    <row r="494" spans="1:21">
      <c r="A494" s="138"/>
      <c r="B494" s="132"/>
      <c r="C494" s="123"/>
      <c r="D494" s="123"/>
      <c r="E494" s="123"/>
      <c r="F494" s="123"/>
      <c r="G494" s="123"/>
      <c r="H494" s="123"/>
      <c r="I494" s="123"/>
      <c r="J494" s="123"/>
      <c r="K494" s="123"/>
      <c r="L494" s="123"/>
      <c r="M494" s="623"/>
      <c r="N494" s="123"/>
      <c r="O494" s="623"/>
      <c r="P494" s="123"/>
      <c r="Q494" s="623"/>
      <c r="R494" s="123"/>
      <c r="S494" s="631"/>
      <c r="T494" s="123"/>
      <c r="U494" s="631"/>
    </row>
    <row r="495" spans="1:21" s="131" customFormat="1">
      <c r="A495" s="137" t="s">
        <v>637</v>
      </c>
      <c r="B495" s="133"/>
      <c r="C495" s="658" t="s">
        <v>281</v>
      </c>
      <c r="D495" s="126"/>
      <c r="E495" s="127"/>
      <c r="F495" s="128"/>
      <c r="G495" s="128"/>
      <c r="H495" s="128"/>
      <c r="I495" s="129"/>
      <c r="J495" s="129">
        <f>SUBTOTAL(9,J496:J509)</f>
        <v>309292.32699999993</v>
      </c>
      <c r="K495" s="129"/>
      <c r="L495" s="129"/>
      <c r="M495" s="624"/>
      <c r="N495" s="130"/>
      <c r="O495" s="624">
        <f>SUBTOTAL(9,O496:O509)</f>
        <v>291793.65999999992</v>
      </c>
      <c r="P495" s="130"/>
      <c r="Q495" s="624">
        <f>SUBTOTAL(9,Q496:Q509)</f>
        <v>0</v>
      </c>
      <c r="R495" s="129"/>
      <c r="S495" s="624">
        <f>SUBTOTAL(9,S496:S509)</f>
        <v>291793.65999999992</v>
      </c>
      <c r="T495" s="129">
        <f t="shared" si="764"/>
        <v>0</v>
      </c>
      <c r="U495" s="624">
        <f>SUBTOTAL(9,U496:U509)</f>
        <v>17498.645499999999</v>
      </c>
    </row>
    <row r="496" spans="1:21" ht="25.5">
      <c r="A496" s="190" t="s">
        <v>638</v>
      </c>
      <c r="B496" s="191" t="s">
        <v>652</v>
      </c>
      <c r="C496" s="657" t="s">
        <v>653</v>
      </c>
      <c r="D496" s="192" t="s">
        <v>315</v>
      </c>
      <c r="E496" s="193">
        <v>16620.009999999998</v>
      </c>
      <c r="F496" s="194">
        <v>2</v>
      </c>
      <c r="G496" s="194"/>
      <c r="H496" s="194"/>
      <c r="I496" s="193">
        <f t="shared" ref="I496" si="814">F496+G496-H496</f>
        <v>2</v>
      </c>
      <c r="J496" s="193">
        <f t="shared" ref="J496" si="815">I496*E496</f>
        <v>33240.019999999997</v>
      </c>
      <c r="K496" s="193"/>
      <c r="L496" s="193"/>
      <c r="M496" s="622">
        <f t="shared" ref="M496" si="816">I496*E496</f>
        <v>33240.019999999997</v>
      </c>
      <c r="N496" s="194">
        <v>2</v>
      </c>
      <c r="O496" s="622">
        <f t="shared" ref="O496:O509" si="817">TRUNC(N496*E496,2)</f>
        <v>33240.019999999997</v>
      </c>
      <c r="P496" s="194">
        <v>0</v>
      </c>
      <c r="Q496" s="622">
        <f t="shared" ref="Q496:Q509" si="818">S496-O496</f>
        <v>0</v>
      </c>
      <c r="R496" s="194">
        <f t="shared" ref="R496:R509" si="819">P496+N496</f>
        <v>2</v>
      </c>
      <c r="S496" s="630">
        <f t="shared" ref="S496:S509" si="820">TRUNC(R496*E496,2)</f>
        <v>33240.019999999997</v>
      </c>
      <c r="T496" s="194">
        <f t="shared" si="764"/>
        <v>0</v>
      </c>
      <c r="U496" s="630">
        <f t="shared" ref="U496:U509" si="821">T496*E496</f>
        <v>0</v>
      </c>
    </row>
    <row r="497" spans="1:21" ht="25.5">
      <c r="A497" s="190" t="s">
        <v>639</v>
      </c>
      <c r="B497" s="191" t="s">
        <v>295</v>
      </c>
      <c r="C497" s="657" t="s">
        <v>305</v>
      </c>
      <c r="D497" s="192" t="s">
        <v>51</v>
      </c>
      <c r="E497" s="193">
        <v>1268.83</v>
      </c>
      <c r="F497" s="194">
        <v>77.2</v>
      </c>
      <c r="G497" s="194"/>
      <c r="H497" s="194"/>
      <c r="I497" s="193">
        <f t="shared" ref="I497:I509" si="822">F497+G497-H497</f>
        <v>77.2</v>
      </c>
      <c r="J497" s="193">
        <f t="shared" ref="J497:J509" si="823">I497*E497</f>
        <v>97953.675999999992</v>
      </c>
      <c r="K497" s="193"/>
      <c r="L497" s="193"/>
      <c r="M497" s="622">
        <f t="shared" ref="M497:M509" si="824">I497*E497</f>
        <v>97953.675999999992</v>
      </c>
      <c r="N497" s="194">
        <v>74.2</v>
      </c>
      <c r="O497" s="622">
        <f t="shared" si="817"/>
        <v>94147.18</v>
      </c>
      <c r="P497" s="194"/>
      <c r="Q497" s="622">
        <f t="shared" si="818"/>
        <v>0</v>
      </c>
      <c r="R497" s="194">
        <f>P497+N497</f>
        <v>74.2</v>
      </c>
      <c r="S497" s="630">
        <f t="shared" si="820"/>
        <v>94147.18</v>
      </c>
      <c r="T497" s="194">
        <f>F497-R497</f>
        <v>3</v>
      </c>
      <c r="U497" s="630">
        <f t="shared" si="821"/>
        <v>3806.49</v>
      </c>
    </row>
    <row r="498" spans="1:21" ht="25.5">
      <c r="A498" s="190" t="s">
        <v>640</v>
      </c>
      <c r="B498" s="191" t="s">
        <v>296</v>
      </c>
      <c r="C498" s="657" t="s">
        <v>306</v>
      </c>
      <c r="D498" s="192" t="s">
        <v>51</v>
      </c>
      <c r="E498" s="193">
        <v>294.97000000000003</v>
      </c>
      <c r="F498" s="194">
        <v>77.2</v>
      </c>
      <c r="G498" s="194"/>
      <c r="H498" s="194"/>
      <c r="I498" s="193">
        <f t="shared" si="822"/>
        <v>77.2</v>
      </c>
      <c r="J498" s="193">
        <f t="shared" si="823"/>
        <v>22771.684000000005</v>
      </c>
      <c r="K498" s="193"/>
      <c r="L498" s="193"/>
      <c r="M498" s="622">
        <f t="shared" si="824"/>
        <v>22771.684000000005</v>
      </c>
      <c r="N498" s="194">
        <v>74.2</v>
      </c>
      <c r="O498" s="622">
        <f t="shared" si="817"/>
        <v>21886.77</v>
      </c>
      <c r="P498" s="194"/>
      <c r="Q498" s="622">
        <f t="shared" si="818"/>
        <v>0</v>
      </c>
      <c r="R498" s="194">
        <f t="shared" si="819"/>
        <v>74.2</v>
      </c>
      <c r="S498" s="630">
        <f t="shared" si="820"/>
        <v>21886.77</v>
      </c>
      <c r="T498" s="194">
        <f t="shared" si="764"/>
        <v>3</v>
      </c>
      <c r="U498" s="630">
        <f t="shared" si="821"/>
        <v>884.91000000000008</v>
      </c>
    </row>
    <row r="499" spans="1:21">
      <c r="A499" s="190" t="s">
        <v>641</v>
      </c>
      <c r="B499" s="191" t="s">
        <v>297</v>
      </c>
      <c r="C499" s="657" t="s">
        <v>307</v>
      </c>
      <c r="D499" s="192" t="s">
        <v>51</v>
      </c>
      <c r="E499" s="193">
        <v>309.62</v>
      </c>
      <c r="F499" s="194">
        <v>50.2</v>
      </c>
      <c r="G499" s="194"/>
      <c r="H499" s="194"/>
      <c r="I499" s="193">
        <f t="shared" si="822"/>
        <v>50.2</v>
      </c>
      <c r="J499" s="193">
        <f t="shared" si="823"/>
        <v>15542.924000000001</v>
      </c>
      <c r="K499" s="193"/>
      <c r="L499" s="193"/>
      <c r="M499" s="622">
        <f t="shared" si="824"/>
        <v>15542.924000000001</v>
      </c>
      <c r="N499" s="194">
        <v>50.2</v>
      </c>
      <c r="O499" s="622">
        <f t="shared" si="817"/>
        <v>15542.92</v>
      </c>
      <c r="P499" s="194"/>
      <c r="Q499" s="622">
        <f t="shared" si="818"/>
        <v>0</v>
      </c>
      <c r="R499" s="194">
        <f t="shared" si="819"/>
        <v>50.2</v>
      </c>
      <c r="S499" s="630">
        <f t="shared" si="820"/>
        <v>15542.92</v>
      </c>
      <c r="T499" s="194">
        <f t="shared" si="764"/>
        <v>0</v>
      </c>
      <c r="U499" s="630">
        <f t="shared" si="821"/>
        <v>0</v>
      </c>
    </row>
    <row r="500" spans="1:21" ht="25.5">
      <c r="A500" s="190" t="s">
        <v>642</v>
      </c>
      <c r="B500" s="191" t="s">
        <v>298</v>
      </c>
      <c r="C500" s="657" t="s">
        <v>308</v>
      </c>
      <c r="D500" s="192" t="s">
        <v>51</v>
      </c>
      <c r="E500" s="193">
        <v>358.26</v>
      </c>
      <c r="F500" s="194">
        <v>50.2</v>
      </c>
      <c r="G500" s="194"/>
      <c r="H500" s="194"/>
      <c r="I500" s="193">
        <f t="shared" si="822"/>
        <v>50.2</v>
      </c>
      <c r="J500" s="193">
        <f t="shared" si="823"/>
        <v>17984.652000000002</v>
      </c>
      <c r="K500" s="193"/>
      <c r="L500" s="193"/>
      <c r="M500" s="622">
        <f t="shared" si="824"/>
        <v>17984.652000000002</v>
      </c>
      <c r="N500" s="194">
        <v>50.2</v>
      </c>
      <c r="O500" s="622">
        <f t="shared" si="817"/>
        <v>17984.650000000001</v>
      </c>
      <c r="P500" s="194"/>
      <c r="Q500" s="622">
        <f t="shared" si="818"/>
        <v>0</v>
      </c>
      <c r="R500" s="194">
        <f t="shared" si="819"/>
        <v>50.2</v>
      </c>
      <c r="S500" s="630">
        <f t="shared" si="820"/>
        <v>17984.650000000001</v>
      </c>
      <c r="T500" s="194">
        <f t="shared" si="764"/>
        <v>0</v>
      </c>
      <c r="U500" s="630">
        <f t="shared" si="821"/>
        <v>0</v>
      </c>
    </row>
    <row r="501" spans="1:21" ht="25.5">
      <c r="A501" s="190" t="s">
        <v>643</v>
      </c>
      <c r="B501" s="191" t="s">
        <v>497</v>
      </c>
      <c r="C501" s="657" t="s">
        <v>500</v>
      </c>
      <c r="D501" s="192" t="s">
        <v>51</v>
      </c>
      <c r="E501" s="193">
        <v>3440.35</v>
      </c>
      <c r="F501" s="194">
        <v>8</v>
      </c>
      <c r="G501" s="194"/>
      <c r="H501" s="194"/>
      <c r="I501" s="193">
        <f t="shared" si="822"/>
        <v>8</v>
      </c>
      <c r="J501" s="193">
        <f t="shared" si="823"/>
        <v>27522.799999999999</v>
      </c>
      <c r="K501" s="193"/>
      <c r="L501" s="193"/>
      <c r="M501" s="622">
        <f t="shared" si="824"/>
        <v>27522.799999999999</v>
      </c>
      <c r="N501" s="194">
        <v>8</v>
      </c>
      <c r="O501" s="622">
        <f t="shared" si="817"/>
        <v>27522.799999999999</v>
      </c>
      <c r="P501" s="194"/>
      <c r="Q501" s="622">
        <f t="shared" si="818"/>
        <v>0</v>
      </c>
      <c r="R501" s="194">
        <f t="shared" si="819"/>
        <v>8</v>
      </c>
      <c r="S501" s="630">
        <f t="shared" si="820"/>
        <v>27522.799999999999</v>
      </c>
      <c r="T501" s="194">
        <f t="shared" si="764"/>
        <v>0</v>
      </c>
      <c r="U501" s="630">
        <f t="shared" si="821"/>
        <v>0</v>
      </c>
    </row>
    <row r="502" spans="1:21" ht="38.25">
      <c r="A502" s="190" t="s">
        <v>644</v>
      </c>
      <c r="B502" s="191" t="s">
        <v>498</v>
      </c>
      <c r="C502" s="657" t="s">
        <v>501</v>
      </c>
      <c r="D502" s="192" t="s">
        <v>51</v>
      </c>
      <c r="E502" s="193">
        <v>2019.23</v>
      </c>
      <c r="F502" s="194">
        <v>8</v>
      </c>
      <c r="G502" s="194"/>
      <c r="H502" s="194"/>
      <c r="I502" s="193">
        <f t="shared" si="822"/>
        <v>8</v>
      </c>
      <c r="J502" s="193">
        <f t="shared" si="823"/>
        <v>16153.84</v>
      </c>
      <c r="K502" s="193"/>
      <c r="L502" s="193"/>
      <c r="M502" s="622">
        <f t="shared" si="824"/>
        <v>16153.84</v>
      </c>
      <c r="N502" s="194">
        <v>8</v>
      </c>
      <c r="O502" s="622">
        <f t="shared" si="817"/>
        <v>16153.84</v>
      </c>
      <c r="P502" s="194"/>
      <c r="Q502" s="622">
        <f t="shared" si="818"/>
        <v>0</v>
      </c>
      <c r="R502" s="194">
        <f t="shared" si="819"/>
        <v>8</v>
      </c>
      <c r="S502" s="630">
        <f t="shared" si="820"/>
        <v>16153.84</v>
      </c>
      <c r="T502" s="194">
        <f t="shared" si="764"/>
        <v>0</v>
      </c>
      <c r="U502" s="630">
        <f t="shared" si="821"/>
        <v>0</v>
      </c>
    </row>
    <row r="503" spans="1:21" ht="25.5">
      <c r="A503" s="190" t="s">
        <v>645</v>
      </c>
      <c r="B503" s="191" t="s">
        <v>299</v>
      </c>
      <c r="C503" s="657" t="s">
        <v>309</v>
      </c>
      <c r="D503" s="192" t="s">
        <v>29</v>
      </c>
      <c r="E503" s="193">
        <v>8.1199999999999992</v>
      </c>
      <c r="F503" s="194">
        <v>5340</v>
      </c>
      <c r="G503" s="194"/>
      <c r="H503" s="194"/>
      <c r="I503" s="193">
        <f t="shared" si="822"/>
        <v>5340</v>
      </c>
      <c r="J503" s="193">
        <f t="shared" si="823"/>
        <v>43360.799999999996</v>
      </c>
      <c r="K503" s="193"/>
      <c r="L503" s="193"/>
      <c r="M503" s="622">
        <f t="shared" si="824"/>
        <v>43360.799999999996</v>
      </c>
      <c r="N503" s="194">
        <v>5340</v>
      </c>
      <c r="O503" s="622">
        <f t="shared" si="817"/>
        <v>43360.800000000003</v>
      </c>
      <c r="P503" s="194"/>
      <c r="Q503" s="622">
        <f t="shared" si="818"/>
        <v>0</v>
      </c>
      <c r="R503" s="194">
        <f t="shared" si="819"/>
        <v>5340</v>
      </c>
      <c r="S503" s="630">
        <f t="shared" si="820"/>
        <v>43360.800000000003</v>
      </c>
      <c r="T503" s="194">
        <f t="shared" si="764"/>
        <v>0</v>
      </c>
      <c r="U503" s="630">
        <f t="shared" si="821"/>
        <v>0</v>
      </c>
    </row>
    <row r="504" spans="1:21">
      <c r="A504" s="190" t="s">
        <v>646</v>
      </c>
      <c r="B504" s="191" t="s">
        <v>300</v>
      </c>
      <c r="C504" s="657" t="s">
        <v>310</v>
      </c>
      <c r="D504" s="192" t="s">
        <v>29</v>
      </c>
      <c r="E504" s="193">
        <v>0.64</v>
      </c>
      <c r="F504" s="194">
        <v>5340</v>
      </c>
      <c r="G504" s="194"/>
      <c r="H504" s="194"/>
      <c r="I504" s="193">
        <f t="shared" si="822"/>
        <v>5340</v>
      </c>
      <c r="J504" s="193">
        <f t="shared" si="823"/>
        <v>3417.6</v>
      </c>
      <c r="K504" s="193"/>
      <c r="L504" s="193"/>
      <c r="M504" s="622">
        <f t="shared" si="824"/>
        <v>3417.6</v>
      </c>
      <c r="N504" s="194">
        <v>5340</v>
      </c>
      <c r="O504" s="622">
        <f t="shared" si="817"/>
        <v>3417.6</v>
      </c>
      <c r="P504" s="194"/>
      <c r="Q504" s="622">
        <f t="shared" si="818"/>
        <v>0</v>
      </c>
      <c r="R504" s="194">
        <f t="shared" si="819"/>
        <v>5340</v>
      </c>
      <c r="S504" s="630">
        <f t="shared" si="820"/>
        <v>3417.6</v>
      </c>
      <c r="T504" s="194">
        <f t="shared" si="764"/>
        <v>0</v>
      </c>
      <c r="U504" s="630">
        <f t="shared" si="821"/>
        <v>0</v>
      </c>
    </row>
    <row r="505" spans="1:21" ht="51">
      <c r="A505" s="190" t="s">
        <v>647</v>
      </c>
      <c r="B505" s="191" t="s">
        <v>140</v>
      </c>
      <c r="C505" s="657" t="s">
        <v>177</v>
      </c>
      <c r="D505" s="192" t="s">
        <v>58</v>
      </c>
      <c r="E505" s="193">
        <v>486.08</v>
      </c>
      <c r="F505" s="194">
        <v>31.31</v>
      </c>
      <c r="G505" s="194"/>
      <c r="H505" s="194"/>
      <c r="I505" s="193">
        <f t="shared" si="822"/>
        <v>31.31</v>
      </c>
      <c r="J505" s="193">
        <f t="shared" si="823"/>
        <v>15219.164799999999</v>
      </c>
      <c r="K505" s="193"/>
      <c r="L505" s="193"/>
      <c r="M505" s="622">
        <f t="shared" si="824"/>
        <v>15219.164799999999</v>
      </c>
      <c r="N505" s="194">
        <v>31.31</v>
      </c>
      <c r="O505" s="622">
        <f t="shared" si="817"/>
        <v>15219.16</v>
      </c>
      <c r="P505" s="194"/>
      <c r="Q505" s="622">
        <f t="shared" si="818"/>
        <v>0</v>
      </c>
      <c r="R505" s="194">
        <f t="shared" si="819"/>
        <v>31.31</v>
      </c>
      <c r="S505" s="630">
        <f t="shared" si="820"/>
        <v>15219.16</v>
      </c>
      <c r="T505" s="194">
        <f t="shared" si="764"/>
        <v>0</v>
      </c>
      <c r="U505" s="630">
        <f t="shared" si="821"/>
        <v>0</v>
      </c>
    </row>
    <row r="506" spans="1:21">
      <c r="A506" s="190" t="s">
        <v>648</v>
      </c>
      <c r="B506" s="191" t="s">
        <v>301</v>
      </c>
      <c r="C506" s="657" t="s">
        <v>311</v>
      </c>
      <c r="D506" s="192" t="s">
        <v>49</v>
      </c>
      <c r="E506" s="193">
        <v>105.97</v>
      </c>
      <c r="F506" s="194">
        <v>31.31</v>
      </c>
      <c r="G506" s="194"/>
      <c r="H506" s="194"/>
      <c r="I506" s="193">
        <f t="shared" si="822"/>
        <v>31.31</v>
      </c>
      <c r="J506" s="193">
        <f t="shared" si="823"/>
        <v>3317.9206999999997</v>
      </c>
      <c r="K506" s="193"/>
      <c r="L506" s="193"/>
      <c r="M506" s="622">
        <f t="shared" si="824"/>
        <v>3317.9206999999997</v>
      </c>
      <c r="N506" s="194">
        <v>31.31</v>
      </c>
      <c r="O506" s="622">
        <f t="shared" si="817"/>
        <v>3317.92</v>
      </c>
      <c r="P506" s="194"/>
      <c r="Q506" s="622">
        <f t="shared" si="818"/>
        <v>0</v>
      </c>
      <c r="R506" s="194">
        <f t="shared" si="819"/>
        <v>31.31</v>
      </c>
      <c r="S506" s="630">
        <f t="shared" si="820"/>
        <v>3317.92</v>
      </c>
      <c r="T506" s="194">
        <f t="shared" si="764"/>
        <v>0</v>
      </c>
      <c r="U506" s="630">
        <f t="shared" si="821"/>
        <v>0</v>
      </c>
    </row>
    <row r="507" spans="1:21">
      <c r="A507" s="190" t="s">
        <v>649</v>
      </c>
      <c r="B507" s="191" t="s">
        <v>302</v>
      </c>
      <c r="C507" s="657" t="s">
        <v>312</v>
      </c>
      <c r="D507" s="192" t="s">
        <v>72</v>
      </c>
      <c r="E507" s="193">
        <v>1.62</v>
      </c>
      <c r="F507" s="194">
        <v>4</v>
      </c>
      <c r="G507" s="194"/>
      <c r="H507" s="194"/>
      <c r="I507" s="193">
        <f t="shared" si="822"/>
        <v>4</v>
      </c>
      <c r="J507" s="193">
        <f t="shared" si="823"/>
        <v>6.48</v>
      </c>
      <c r="K507" s="193"/>
      <c r="L507" s="193"/>
      <c r="M507" s="622">
        <f t="shared" si="824"/>
        <v>6.48</v>
      </c>
      <c r="N507" s="194">
        <v>0</v>
      </c>
      <c r="O507" s="622">
        <f t="shared" si="817"/>
        <v>0</v>
      </c>
      <c r="P507" s="194">
        <f>IFERROR(VLOOKUP(A507,#REF!,18,FALSE),)</f>
        <v>0</v>
      </c>
      <c r="Q507" s="622">
        <f t="shared" si="818"/>
        <v>0</v>
      </c>
      <c r="R507" s="194">
        <f t="shared" si="819"/>
        <v>0</v>
      </c>
      <c r="S507" s="630">
        <f t="shared" si="820"/>
        <v>0</v>
      </c>
      <c r="T507" s="194">
        <f t="shared" si="764"/>
        <v>4</v>
      </c>
      <c r="U507" s="630">
        <f t="shared" si="821"/>
        <v>6.48</v>
      </c>
    </row>
    <row r="508" spans="1:21" ht="25.5">
      <c r="A508" s="190" t="s">
        <v>650</v>
      </c>
      <c r="B508" s="191" t="s">
        <v>303</v>
      </c>
      <c r="C508" s="657" t="s">
        <v>313</v>
      </c>
      <c r="D508" s="192" t="s">
        <v>72</v>
      </c>
      <c r="E508" s="193">
        <v>5793.75</v>
      </c>
      <c r="F508" s="194">
        <v>2</v>
      </c>
      <c r="G508" s="194"/>
      <c r="H508" s="194"/>
      <c r="I508" s="193">
        <f t="shared" si="822"/>
        <v>2</v>
      </c>
      <c r="J508" s="193">
        <f t="shared" si="823"/>
        <v>11587.5</v>
      </c>
      <c r="K508" s="193"/>
      <c r="L508" s="193"/>
      <c r="M508" s="622">
        <f t="shared" si="824"/>
        <v>11587.5</v>
      </c>
      <c r="N508" s="194">
        <v>0</v>
      </c>
      <c r="O508" s="622">
        <f t="shared" si="817"/>
        <v>0</v>
      </c>
      <c r="P508" s="194">
        <f>IFERROR(VLOOKUP(A508,#REF!,18,FALSE),)</f>
        <v>0</v>
      </c>
      <c r="Q508" s="622">
        <f t="shared" si="818"/>
        <v>0</v>
      </c>
      <c r="R508" s="194">
        <f t="shared" si="819"/>
        <v>0</v>
      </c>
      <c r="S508" s="630">
        <f t="shared" si="820"/>
        <v>0</v>
      </c>
      <c r="T508" s="194">
        <f t="shared" si="764"/>
        <v>2</v>
      </c>
      <c r="U508" s="630">
        <f t="shared" si="821"/>
        <v>11587.5</v>
      </c>
    </row>
    <row r="509" spans="1:21" ht="25.5">
      <c r="A509" s="190" t="s">
        <v>651</v>
      </c>
      <c r="B509" s="191">
        <v>190418</v>
      </c>
      <c r="C509" s="657" t="s">
        <v>314</v>
      </c>
      <c r="D509" s="192" t="s">
        <v>57</v>
      </c>
      <c r="E509" s="193">
        <v>33.049999999999997</v>
      </c>
      <c r="F509" s="194">
        <v>36.71</v>
      </c>
      <c r="G509" s="194"/>
      <c r="H509" s="194"/>
      <c r="I509" s="193">
        <f t="shared" si="822"/>
        <v>36.71</v>
      </c>
      <c r="J509" s="193">
        <f t="shared" si="823"/>
        <v>1213.2655</v>
      </c>
      <c r="K509" s="193"/>
      <c r="L509" s="193"/>
      <c r="M509" s="622">
        <f t="shared" si="824"/>
        <v>1213.2655</v>
      </c>
      <c r="N509" s="194">
        <v>0</v>
      </c>
      <c r="O509" s="622">
        <f t="shared" si="817"/>
        <v>0</v>
      </c>
      <c r="P509" s="194">
        <f>IFERROR(VLOOKUP(A509,#REF!,18,FALSE),)</f>
        <v>0</v>
      </c>
      <c r="Q509" s="622">
        <f t="shared" si="818"/>
        <v>0</v>
      </c>
      <c r="R509" s="194">
        <f t="shared" si="819"/>
        <v>0</v>
      </c>
      <c r="S509" s="630">
        <f t="shared" si="820"/>
        <v>0</v>
      </c>
      <c r="T509" s="194">
        <f t="shared" si="764"/>
        <v>36.71</v>
      </c>
      <c r="U509" s="630">
        <f t="shared" si="821"/>
        <v>1213.2655</v>
      </c>
    </row>
    <row r="510" spans="1:21">
      <c r="A510" s="138"/>
      <c r="B510" s="132"/>
      <c r="C510" s="123"/>
      <c r="D510" s="123"/>
      <c r="E510" s="123"/>
      <c r="F510" s="123"/>
      <c r="G510" s="123"/>
      <c r="H510" s="123"/>
      <c r="I510" s="123"/>
      <c r="J510" s="123"/>
      <c r="K510" s="123"/>
      <c r="L510" s="123"/>
      <c r="M510" s="623"/>
      <c r="N510" s="123"/>
      <c r="O510" s="623"/>
      <c r="P510" s="123"/>
      <c r="Q510" s="623"/>
      <c r="R510" s="123"/>
      <c r="S510" s="631"/>
      <c r="T510" s="123"/>
      <c r="U510" s="631"/>
    </row>
    <row r="511" spans="1:21" s="131" customFormat="1">
      <c r="A511" s="137" t="s">
        <v>654</v>
      </c>
      <c r="B511" s="133"/>
      <c r="C511" s="658" t="s">
        <v>212</v>
      </c>
      <c r="D511" s="126"/>
      <c r="E511" s="127"/>
      <c r="F511" s="128"/>
      <c r="G511" s="128"/>
      <c r="H511" s="128"/>
      <c r="I511" s="129"/>
      <c r="J511" s="129">
        <f>SUBTOTAL(9,J512:J512)</f>
        <v>8738.247800000001</v>
      </c>
      <c r="K511" s="129"/>
      <c r="L511" s="129"/>
      <c r="M511" s="624"/>
      <c r="N511" s="130"/>
      <c r="O511" s="624">
        <f>SUBTOTAL(9,O512:O512)</f>
        <v>0</v>
      </c>
      <c r="P511" s="130"/>
      <c r="Q511" s="624">
        <f>SUBTOTAL(9,Q512:Q512)</f>
        <v>0</v>
      </c>
      <c r="R511" s="129"/>
      <c r="S511" s="624">
        <f>SUBTOTAL(9,S512:S512)</f>
        <v>0</v>
      </c>
      <c r="T511" s="129">
        <f t="shared" si="764"/>
        <v>0</v>
      </c>
      <c r="U511" s="624">
        <f>SUBTOTAL(9,U512:U512)</f>
        <v>8738.247800000001</v>
      </c>
    </row>
    <row r="512" spans="1:21" ht="25.5">
      <c r="A512" s="190" t="s">
        <v>655</v>
      </c>
      <c r="B512" s="191" t="s">
        <v>227</v>
      </c>
      <c r="C512" s="657" t="s">
        <v>233</v>
      </c>
      <c r="D512" s="192" t="s">
        <v>51</v>
      </c>
      <c r="E512" s="193">
        <v>366.23</v>
      </c>
      <c r="F512" s="194">
        <v>23.86</v>
      </c>
      <c r="G512" s="194"/>
      <c r="H512" s="194"/>
      <c r="I512" s="193">
        <f t="shared" ref="I512" si="825">F512+G512-H512</f>
        <v>23.86</v>
      </c>
      <c r="J512" s="193">
        <f t="shared" ref="J512" si="826">I512*E512</f>
        <v>8738.247800000001</v>
      </c>
      <c r="K512" s="193"/>
      <c r="L512" s="193"/>
      <c r="M512" s="622">
        <f t="shared" ref="M512" si="827">I512*E512</f>
        <v>8738.247800000001</v>
      </c>
      <c r="N512" s="194">
        <v>0</v>
      </c>
      <c r="O512" s="622">
        <f t="shared" ref="O512" si="828">TRUNC(N512*E512,2)</f>
        <v>0</v>
      </c>
      <c r="P512" s="194">
        <f>IFERROR(VLOOKUP(A512,#REF!,18,FALSE),)</f>
        <v>0</v>
      </c>
      <c r="Q512" s="622">
        <f t="shared" ref="Q512" si="829">S512-O512</f>
        <v>0</v>
      </c>
      <c r="R512" s="194">
        <f t="shared" ref="R512" si="830">P512+N512</f>
        <v>0</v>
      </c>
      <c r="S512" s="630">
        <f t="shared" ref="S512" si="831">TRUNC(R512*E512,2)</f>
        <v>0</v>
      </c>
      <c r="T512" s="194">
        <f t="shared" si="764"/>
        <v>23.86</v>
      </c>
      <c r="U512" s="630">
        <f t="shared" ref="U512" si="832">T512*E512</f>
        <v>8738.247800000001</v>
      </c>
    </row>
    <row r="513" spans="1:21">
      <c r="A513" s="138"/>
      <c r="B513" s="132"/>
      <c r="C513" s="123"/>
      <c r="D513" s="123"/>
      <c r="E513" s="123"/>
      <c r="F513" s="123"/>
      <c r="G513" s="123"/>
      <c r="H513" s="123"/>
      <c r="I513" s="123"/>
      <c r="J513" s="123"/>
      <c r="K513" s="123"/>
      <c r="L513" s="123"/>
      <c r="M513" s="623"/>
      <c r="N513" s="123"/>
      <c r="O513" s="623"/>
      <c r="P513" s="123"/>
      <c r="Q513" s="623"/>
      <c r="R513" s="123"/>
      <c r="S513" s="631"/>
      <c r="T513" s="123"/>
      <c r="U513" s="631"/>
    </row>
    <row r="514" spans="1:21" s="213" customFormat="1">
      <c r="A514" s="210" t="s">
        <v>656</v>
      </c>
      <c r="B514" s="211"/>
      <c r="C514" s="655" t="s">
        <v>318</v>
      </c>
      <c r="D514" s="197"/>
      <c r="E514" s="198"/>
      <c r="F514" s="199"/>
      <c r="G514" s="199"/>
      <c r="H514" s="199"/>
      <c r="I514" s="200"/>
      <c r="J514" s="200">
        <f>SUBTOTAL(9,J515:J519)</f>
        <v>428188.12440000003</v>
      </c>
      <c r="K514" s="200"/>
      <c r="L514" s="200"/>
      <c r="M514" s="620"/>
      <c r="N514" s="201"/>
      <c r="O514" s="620">
        <f>SUBTOTAL(9,O515:O519)</f>
        <v>0</v>
      </c>
      <c r="P514" s="201"/>
      <c r="Q514" s="620">
        <f>SUBTOTAL(9,Q515:Q519)</f>
        <v>0</v>
      </c>
      <c r="R514" s="200"/>
      <c r="S514" s="620">
        <f>SUBTOTAL(9,S515:S519)</f>
        <v>0</v>
      </c>
      <c r="T514" s="200">
        <f t="shared" si="764"/>
        <v>0</v>
      </c>
      <c r="U514" s="620">
        <f>SUBTOTAL(9,U515:U519)</f>
        <v>428188.12440000003</v>
      </c>
    </row>
    <row r="515" spans="1:21" s="131" customFormat="1">
      <c r="A515" s="137" t="s">
        <v>657</v>
      </c>
      <c r="B515" s="133"/>
      <c r="C515" s="658" t="s">
        <v>318</v>
      </c>
      <c r="D515" s="126"/>
      <c r="E515" s="127"/>
      <c r="F515" s="128"/>
      <c r="G515" s="128"/>
      <c r="H515" s="128"/>
      <c r="I515" s="129"/>
      <c r="J515" s="129">
        <f>SUBTOTAL(9,J516:J519)</f>
        <v>428188.12440000003</v>
      </c>
      <c r="K515" s="129"/>
      <c r="L515" s="129"/>
      <c r="M515" s="624"/>
      <c r="N515" s="130"/>
      <c r="O515" s="624">
        <f>SUBTOTAL(9,O516:O519)</f>
        <v>0</v>
      </c>
      <c r="P515" s="130"/>
      <c r="Q515" s="624">
        <f>SUBTOTAL(9,Q516:Q519)</f>
        <v>0</v>
      </c>
      <c r="R515" s="129"/>
      <c r="S515" s="624">
        <f>SUBTOTAL(9,S516:S519)</f>
        <v>0</v>
      </c>
      <c r="T515" s="129">
        <f t="shared" si="764"/>
        <v>0</v>
      </c>
      <c r="U515" s="624">
        <f>SUBTOTAL(9,U516:U519)</f>
        <v>428188.12440000003</v>
      </c>
    </row>
    <row r="516" spans="1:21" ht="25.5">
      <c r="A516" s="190" t="s">
        <v>658</v>
      </c>
      <c r="B516" s="191" t="s">
        <v>323</v>
      </c>
      <c r="C516" s="657" t="s">
        <v>326</v>
      </c>
      <c r="D516" s="192" t="s">
        <v>59</v>
      </c>
      <c r="E516" s="193">
        <v>409453.83</v>
      </c>
      <c r="F516" s="194">
        <v>1</v>
      </c>
      <c r="G516" s="194"/>
      <c r="H516" s="194"/>
      <c r="I516" s="193">
        <f t="shared" ref="I516" si="833">F516+G516-H516</f>
        <v>1</v>
      </c>
      <c r="J516" s="193">
        <f t="shared" ref="J516" si="834">I516*E516</f>
        <v>409453.83</v>
      </c>
      <c r="K516" s="193"/>
      <c r="L516" s="193"/>
      <c r="M516" s="622">
        <f t="shared" ref="M516" si="835">I516*E516</f>
        <v>409453.83</v>
      </c>
      <c r="N516" s="194">
        <v>0</v>
      </c>
      <c r="O516" s="622">
        <f t="shared" ref="O516" si="836">TRUNC(N516*E516,2)</f>
        <v>0</v>
      </c>
      <c r="P516" s="194">
        <f>'4.5.1.1'!R30</f>
        <v>0</v>
      </c>
      <c r="Q516" s="622">
        <f t="shared" ref="Q516" si="837">S516-O516</f>
        <v>0</v>
      </c>
      <c r="R516" s="194">
        <f t="shared" ref="R516" si="838">P516+N516</f>
        <v>0</v>
      </c>
      <c r="S516" s="630">
        <f t="shared" ref="S516" si="839">TRUNC(R516*E516,2)</f>
        <v>0</v>
      </c>
      <c r="T516" s="194">
        <f t="shared" si="764"/>
        <v>1</v>
      </c>
      <c r="U516" s="630">
        <f t="shared" ref="U516:U519" si="840">T516*E516</f>
        <v>409453.83</v>
      </c>
    </row>
    <row r="517" spans="1:21">
      <c r="A517" s="190" t="s">
        <v>659</v>
      </c>
      <c r="B517" s="191" t="s">
        <v>324</v>
      </c>
      <c r="C517" s="657" t="s">
        <v>327</v>
      </c>
      <c r="D517" s="192" t="s">
        <v>59</v>
      </c>
      <c r="E517" s="193">
        <v>3812.11</v>
      </c>
      <c r="F517" s="194">
        <v>1</v>
      </c>
      <c r="G517" s="194"/>
      <c r="H517" s="194"/>
      <c r="I517" s="193">
        <f t="shared" ref="I517:I519" si="841">F517+G517-H517</f>
        <v>1</v>
      </c>
      <c r="J517" s="193">
        <f t="shared" ref="J517:J519" si="842">I517*E517</f>
        <v>3812.11</v>
      </c>
      <c r="K517" s="193"/>
      <c r="L517" s="193"/>
      <c r="M517" s="622">
        <f t="shared" ref="M517:M519" si="843">I517*E517</f>
        <v>3812.11</v>
      </c>
      <c r="N517" s="194">
        <v>0</v>
      </c>
      <c r="O517" s="622">
        <f>TRUNC(N517*E517,2)</f>
        <v>0</v>
      </c>
      <c r="P517" s="194">
        <f>IFERROR(VLOOKUP(A517,#REF!,18,FALSE),)</f>
        <v>0</v>
      </c>
      <c r="Q517" s="622">
        <f>S517-O517</f>
        <v>0</v>
      </c>
      <c r="R517" s="194">
        <f>P517+N517</f>
        <v>0</v>
      </c>
      <c r="S517" s="630">
        <f>TRUNC(R517*E517,2)</f>
        <v>0</v>
      </c>
      <c r="T517" s="194">
        <f t="shared" si="764"/>
        <v>1</v>
      </c>
      <c r="U517" s="630">
        <f t="shared" si="840"/>
        <v>3812.11</v>
      </c>
    </row>
    <row r="518" spans="1:21" ht="25.5">
      <c r="A518" s="190" t="s">
        <v>660</v>
      </c>
      <c r="B518" s="191" t="s">
        <v>663</v>
      </c>
      <c r="C518" s="657" t="s">
        <v>662</v>
      </c>
      <c r="D518" s="192" t="s">
        <v>72</v>
      </c>
      <c r="E518" s="193">
        <v>943.82</v>
      </c>
      <c r="F518" s="194">
        <v>1</v>
      </c>
      <c r="G518" s="194"/>
      <c r="H518" s="194"/>
      <c r="I518" s="193">
        <f t="shared" si="841"/>
        <v>1</v>
      </c>
      <c r="J518" s="193">
        <f t="shared" si="842"/>
        <v>943.82</v>
      </c>
      <c r="K518" s="193"/>
      <c r="L518" s="193"/>
      <c r="M518" s="622">
        <f t="shared" si="843"/>
        <v>943.82</v>
      </c>
      <c r="N518" s="194">
        <v>0</v>
      </c>
      <c r="O518" s="622">
        <f>TRUNC(N518*E518,2)</f>
        <v>0</v>
      </c>
      <c r="P518" s="194">
        <f>IFERROR(VLOOKUP(A518,#REF!,18,FALSE),)</f>
        <v>0</v>
      </c>
      <c r="Q518" s="622">
        <f>S518-O518</f>
        <v>0</v>
      </c>
      <c r="R518" s="194">
        <f>P518+N518</f>
        <v>0</v>
      </c>
      <c r="S518" s="630">
        <f>TRUNC(R518*E518,2)</f>
        <v>0</v>
      </c>
      <c r="T518" s="194">
        <f t="shared" si="764"/>
        <v>1</v>
      </c>
      <c r="U518" s="630">
        <f t="shared" si="840"/>
        <v>943.82</v>
      </c>
    </row>
    <row r="519" spans="1:21" ht="25.5">
      <c r="A519" s="190" t="s">
        <v>661</v>
      </c>
      <c r="B519" s="191" t="s">
        <v>325</v>
      </c>
      <c r="C519" s="657" t="s">
        <v>328</v>
      </c>
      <c r="D519" s="192" t="s">
        <v>50</v>
      </c>
      <c r="E519" s="193">
        <v>115.83</v>
      </c>
      <c r="F519" s="194">
        <v>120.68</v>
      </c>
      <c r="G519" s="194"/>
      <c r="H519" s="194"/>
      <c r="I519" s="193">
        <f t="shared" si="841"/>
        <v>120.68</v>
      </c>
      <c r="J519" s="193">
        <f t="shared" si="842"/>
        <v>13978.3644</v>
      </c>
      <c r="K519" s="193"/>
      <c r="L519" s="193"/>
      <c r="M519" s="622">
        <f t="shared" si="843"/>
        <v>13978.3644</v>
      </c>
      <c r="N519" s="194">
        <v>0</v>
      </c>
      <c r="O519" s="622">
        <f t="shared" ref="O519" si="844">TRUNC(N519*E519,2)</f>
        <v>0</v>
      </c>
      <c r="P519" s="194"/>
      <c r="Q519" s="622">
        <f t="shared" ref="Q519" si="845">S519-O519</f>
        <v>0</v>
      </c>
      <c r="R519" s="194">
        <f t="shared" ref="R519" si="846">P519+N519</f>
        <v>0</v>
      </c>
      <c r="S519" s="630">
        <f t="shared" ref="S519" si="847">TRUNC(R519*E519,2)</f>
        <v>0</v>
      </c>
      <c r="T519" s="194">
        <f t="shared" si="764"/>
        <v>120.68</v>
      </c>
      <c r="U519" s="630">
        <f t="shared" si="840"/>
        <v>13978.3644</v>
      </c>
    </row>
    <row r="520" spans="1:21">
      <c r="A520" s="138"/>
      <c r="B520" s="132"/>
      <c r="C520" s="123"/>
      <c r="D520" s="123"/>
      <c r="E520" s="123"/>
      <c r="F520" s="123"/>
      <c r="G520" s="123"/>
      <c r="H520" s="123"/>
      <c r="I520" s="123"/>
      <c r="J520" s="123"/>
      <c r="K520" s="123"/>
      <c r="L520" s="123"/>
      <c r="M520" s="623"/>
      <c r="N520" s="123"/>
      <c r="O520" s="623"/>
      <c r="P520" s="123"/>
      <c r="Q520" s="623"/>
      <c r="R520" s="123"/>
      <c r="S520" s="631"/>
      <c r="T520" s="123"/>
      <c r="U520" s="631"/>
    </row>
    <row r="521" spans="1:21" s="213" customFormat="1">
      <c r="A521" s="210" t="s">
        <v>664</v>
      </c>
      <c r="B521" s="211"/>
      <c r="C521" s="655" t="s">
        <v>329</v>
      </c>
      <c r="D521" s="197"/>
      <c r="E521" s="198"/>
      <c r="F521" s="199"/>
      <c r="G521" s="199"/>
      <c r="H521" s="199"/>
      <c r="I521" s="200"/>
      <c r="J521" s="200">
        <f>SUBTOTAL(9,J522:J547)</f>
        <v>43372.777000000002</v>
      </c>
      <c r="K521" s="200"/>
      <c r="L521" s="200"/>
      <c r="M521" s="620"/>
      <c r="N521" s="201"/>
      <c r="O521" s="620">
        <f>SUBTOTAL(9,O522:O547)</f>
        <v>0</v>
      </c>
      <c r="P521" s="201"/>
      <c r="Q521" s="620">
        <f>SUBTOTAL(9,Q522:Q547)</f>
        <v>0</v>
      </c>
      <c r="R521" s="200"/>
      <c r="S521" s="620">
        <f>SUBTOTAL(9,S522:S547)</f>
        <v>0</v>
      </c>
      <c r="T521" s="200">
        <f t="shared" si="764"/>
        <v>0</v>
      </c>
      <c r="U521" s="620">
        <f>SUBTOTAL(9,U522:U547)</f>
        <v>43372.777000000002</v>
      </c>
    </row>
    <row r="522" spans="1:21" s="131" customFormat="1">
      <c r="A522" s="137" t="s">
        <v>665</v>
      </c>
      <c r="B522" s="133"/>
      <c r="C522" s="658" t="s">
        <v>329</v>
      </c>
      <c r="D522" s="126"/>
      <c r="E522" s="127"/>
      <c r="F522" s="128"/>
      <c r="G522" s="128"/>
      <c r="H522" s="128"/>
      <c r="I522" s="129"/>
      <c r="J522" s="129">
        <f>SUBTOTAL(9,J523:J541)</f>
        <v>39993.794000000002</v>
      </c>
      <c r="K522" s="129"/>
      <c r="L522" s="129"/>
      <c r="M522" s="624"/>
      <c r="N522" s="130"/>
      <c r="O522" s="624">
        <f>SUBTOTAL(9,O523:O541)</f>
        <v>0</v>
      </c>
      <c r="P522" s="130"/>
      <c r="Q522" s="624">
        <f>SUBTOTAL(9,Q523:Q541)</f>
        <v>0</v>
      </c>
      <c r="R522" s="129"/>
      <c r="S522" s="624">
        <f>SUBTOTAL(9,S523:S541)</f>
        <v>0</v>
      </c>
      <c r="T522" s="129">
        <f t="shared" si="764"/>
        <v>0</v>
      </c>
      <c r="U522" s="624">
        <f>SUBTOTAL(9,U523:U541)</f>
        <v>39993.794000000002</v>
      </c>
    </row>
    <row r="523" spans="1:21" ht="25.5">
      <c r="A523" s="190" t="s">
        <v>666</v>
      </c>
      <c r="B523" s="191">
        <v>151701</v>
      </c>
      <c r="C523" s="657" t="s">
        <v>685</v>
      </c>
      <c r="D523" s="192" t="s">
        <v>59</v>
      </c>
      <c r="E523" s="193">
        <v>1510.64</v>
      </c>
      <c r="F523" s="194">
        <v>1</v>
      </c>
      <c r="G523" s="194"/>
      <c r="H523" s="194"/>
      <c r="I523" s="193">
        <f t="shared" ref="I523" si="848">F523+G523-H523</f>
        <v>1</v>
      </c>
      <c r="J523" s="193">
        <f t="shared" ref="J523" si="849">I523*E523</f>
        <v>1510.64</v>
      </c>
      <c r="K523" s="193"/>
      <c r="L523" s="193"/>
      <c r="M523" s="622">
        <f t="shared" ref="M523" si="850">I523*E523</f>
        <v>1510.64</v>
      </c>
      <c r="N523" s="194">
        <v>0</v>
      </c>
      <c r="O523" s="622">
        <f t="shared" ref="O523:O541" si="851">TRUNC(N523*E523,2)</f>
        <v>0</v>
      </c>
      <c r="P523" s="194">
        <f>IFERROR(VLOOKUP(A523,#REF!,18,FALSE),)</f>
        <v>0</v>
      </c>
      <c r="Q523" s="622">
        <f t="shared" ref="Q523:Q541" si="852">S523-O523</f>
        <v>0</v>
      </c>
      <c r="R523" s="194">
        <f t="shared" ref="R523:R541" si="853">P523+N523</f>
        <v>0</v>
      </c>
      <c r="S523" s="630">
        <f t="shared" ref="S523:S541" si="854">TRUNC(R523*E523,2)</f>
        <v>0</v>
      </c>
      <c r="T523" s="194">
        <f t="shared" si="764"/>
        <v>1</v>
      </c>
      <c r="U523" s="630">
        <f t="shared" ref="U523:U541" si="855">T523*E523</f>
        <v>1510.64</v>
      </c>
    </row>
    <row r="524" spans="1:21" ht="25.5">
      <c r="A524" s="190" t="s">
        <v>667</v>
      </c>
      <c r="B524" s="191">
        <v>150312</v>
      </c>
      <c r="C524" s="657" t="s">
        <v>350</v>
      </c>
      <c r="D524" s="192" t="s">
        <v>59</v>
      </c>
      <c r="E524" s="193">
        <v>103.79</v>
      </c>
      <c r="F524" s="194">
        <v>1</v>
      </c>
      <c r="G524" s="194"/>
      <c r="H524" s="194"/>
      <c r="I524" s="193">
        <f t="shared" ref="I524:I541" si="856">F524+G524-H524</f>
        <v>1</v>
      </c>
      <c r="J524" s="193">
        <f t="shared" ref="J524:J541" si="857">I524*E524</f>
        <v>103.79</v>
      </c>
      <c r="K524" s="193"/>
      <c r="L524" s="193"/>
      <c r="M524" s="622">
        <f t="shared" ref="M524:M541" si="858">I524*E524</f>
        <v>103.79</v>
      </c>
      <c r="N524" s="194">
        <v>0</v>
      </c>
      <c r="O524" s="622">
        <f t="shared" si="851"/>
        <v>0</v>
      </c>
      <c r="P524" s="194">
        <f>IFERROR(VLOOKUP(A524,#REF!,18,FALSE),)</f>
        <v>0</v>
      </c>
      <c r="Q524" s="622">
        <f t="shared" si="852"/>
        <v>0</v>
      </c>
      <c r="R524" s="194">
        <f t="shared" si="853"/>
        <v>0</v>
      </c>
      <c r="S524" s="630">
        <f t="shared" si="854"/>
        <v>0</v>
      </c>
      <c r="T524" s="194">
        <f t="shared" ref="T524:T555" si="859">F524-R524</f>
        <v>1</v>
      </c>
      <c r="U524" s="630">
        <f t="shared" si="855"/>
        <v>103.79</v>
      </c>
    </row>
    <row r="525" spans="1:21">
      <c r="A525" s="190" t="s">
        <v>668</v>
      </c>
      <c r="B525" s="191">
        <v>150628</v>
      </c>
      <c r="C525" s="657" t="s">
        <v>351</v>
      </c>
      <c r="D525" s="192" t="s">
        <v>59</v>
      </c>
      <c r="E525" s="193">
        <v>7.47</v>
      </c>
      <c r="F525" s="194">
        <v>20</v>
      </c>
      <c r="G525" s="194"/>
      <c r="H525" s="194"/>
      <c r="I525" s="193">
        <f t="shared" si="856"/>
        <v>20</v>
      </c>
      <c r="J525" s="193">
        <f t="shared" si="857"/>
        <v>149.4</v>
      </c>
      <c r="K525" s="193"/>
      <c r="L525" s="193"/>
      <c r="M525" s="622">
        <f t="shared" si="858"/>
        <v>149.4</v>
      </c>
      <c r="N525" s="194">
        <v>0</v>
      </c>
      <c r="O525" s="622">
        <f t="shared" si="851"/>
        <v>0</v>
      </c>
      <c r="P525" s="194">
        <f>IFERROR(VLOOKUP(A525,#REF!,18,FALSE),)</f>
        <v>0</v>
      </c>
      <c r="Q525" s="622">
        <f t="shared" si="852"/>
        <v>0</v>
      </c>
      <c r="R525" s="194">
        <f t="shared" si="853"/>
        <v>0</v>
      </c>
      <c r="S525" s="630">
        <f t="shared" si="854"/>
        <v>0</v>
      </c>
      <c r="T525" s="194">
        <f t="shared" si="859"/>
        <v>20</v>
      </c>
      <c r="U525" s="630">
        <f t="shared" si="855"/>
        <v>149.4</v>
      </c>
    </row>
    <row r="526" spans="1:21" ht="25.5">
      <c r="A526" s="190" t="s">
        <v>669</v>
      </c>
      <c r="B526" s="191">
        <v>151417</v>
      </c>
      <c r="C526" s="657" t="s">
        <v>352</v>
      </c>
      <c r="D526" s="192" t="s">
        <v>51</v>
      </c>
      <c r="E526" s="193">
        <v>5.86</v>
      </c>
      <c r="F526" s="194">
        <v>169.2</v>
      </c>
      <c r="G526" s="194"/>
      <c r="H526" s="194"/>
      <c r="I526" s="193">
        <f t="shared" si="856"/>
        <v>169.2</v>
      </c>
      <c r="J526" s="193">
        <f t="shared" si="857"/>
        <v>991.51199999999994</v>
      </c>
      <c r="K526" s="193"/>
      <c r="L526" s="193"/>
      <c r="M526" s="622">
        <f t="shared" si="858"/>
        <v>991.51199999999994</v>
      </c>
      <c r="N526" s="194">
        <v>0</v>
      </c>
      <c r="O526" s="622">
        <f t="shared" si="851"/>
        <v>0</v>
      </c>
      <c r="P526" s="194">
        <f>IFERROR(VLOOKUP(A526,#REF!,18,FALSE),)</f>
        <v>0</v>
      </c>
      <c r="Q526" s="622">
        <f t="shared" si="852"/>
        <v>0</v>
      </c>
      <c r="R526" s="194">
        <f t="shared" si="853"/>
        <v>0</v>
      </c>
      <c r="S526" s="630">
        <f t="shared" si="854"/>
        <v>0</v>
      </c>
      <c r="T526" s="194">
        <f t="shared" si="859"/>
        <v>169.2</v>
      </c>
      <c r="U526" s="630">
        <f t="shared" si="855"/>
        <v>991.51199999999994</v>
      </c>
    </row>
    <row r="527" spans="1:21" ht="25.5">
      <c r="A527" s="190" t="s">
        <v>670</v>
      </c>
      <c r="B527" s="191">
        <v>151418</v>
      </c>
      <c r="C527" s="657" t="s">
        <v>353</v>
      </c>
      <c r="D527" s="192" t="s">
        <v>51</v>
      </c>
      <c r="E527" s="193">
        <v>6.74</v>
      </c>
      <c r="F527" s="194">
        <v>333.8</v>
      </c>
      <c r="G527" s="194"/>
      <c r="H527" s="194"/>
      <c r="I527" s="193">
        <f t="shared" si="856"/>
        <v>333.8</v>
      </c>
      <c r="J527" s="193">
        <f t="shared" si="857"/>
        <v>2249.8120000000004</v>
      </c>
      <c r="K527" s="193"/>
      <c r="L527" s="193"/>
      <c r="M527" s="622">
        <f t="shared" si="858"/>
        <v>2249.8120000000004</v>
      </c>
      <c r="N527" s="194">
        <v>0</v>
      </c>
      <c r="O527" s="622">
        <f t="shared" si="851"/>
        <v>0</v>
      </c>
      <c r="P527" s="194">
        <f>IFERROR(VLOOKUP(A527,#REF!,18,FALSE),)</f>
        <v>0</v>
      </c>
      <c r="Q527" s="622">
        <f t="shared" si="852"/>
        <v>0</v>
      </c>
      <c r="R527" s="194">
        <f t="shared" si="853"/>
        <v>0</v>
      </c>
      <c r="S527" s="630">
        <f t="shared" si="854"/>
        <v>0</v>
      </c>
      <c r="T527" s="194">
        <f t="shared" si="859"/>
        <v>333.8</v>
      </c>
      <c r="U527" s="630">
        <f t="shared" si="855"/>
        <v>2249.8120000000004</v>
      </c>
    </row>
    <row r="528" spans="1:21" ht="25.5">
      <c r="A528" s="190" t="s">
        <v>671</v>
      </c>
      <c r="B528" s="191">
        <v>151420</v>
      </c>
      <c r="C528" s="657" t="s">
        <v>354</v>
      </c>
      <c r="D528" s="192" t="s">
        <v>51</v>
      </c>
      <c r="E528" s="193">
        <v>10.63</v>
      </c>
      <c r="F528" s="194">
        <v>60</v>
      </c>
      <c r="G528" s="194"/>
      <c r="H528" s="194"/>
      <c r="I528" s="193">
        <f t="shared" si="856"/>
        <v>60</v>
      </c>
      <c r="J528" s="193">
        <f t="shared" si="857"/>
        <v>637.80000000000007</v>
      </c>
      <c r="K528" s="193"/>
      <c r="L528" s="193"/>
      <c r="M528" s="622">
        <f t="shared" si="858"/>
        <v>637.80000000000007</v>
      </c>
      <c r="N528" s="194">
        <v>0</v>
      </c>
      <c r="O528" s="622">
        <f t="shared" si="851"/>
        <v>0</v>
      </c>
      <c r="P528" s="194">
        <f>IFERROR(VLOOKUP(A528,#REF!,18,FALSE),)</f>
        <v>0</v>
      </c>
      <c r="Q528" s="622">
        <f t="shared" si="852"/>
        <v>0</v>
      </c>
      <c r="R528" s="194">
        <f t="shared" si="853"/>
        <v>0</v>
      </c>
      <c r="S528" s="630">
        <f t="shared" si="854"/>
        <v>0</v>
      </c>
      <c r="T528" s="194">
        <f t="shared" si="859"/>
        <v>60</v>
      </c>
      <c r="U528" s="630">
        <f t="shared" si="855"/>
        <v>637.80000000000007</v>
      </c>
    </row>
    <row r="529" spans="1:21" ht="38.25">
      <c r="A529" s="190" t="s">
        <v>672</v>
      </c>
      <c r="B529" s="191">
        <v>151809</v>
      </c>
      <c r="C529" s="657" t="s">
        <v>355</v>
      </c>
      <c r="D529" s="192" t="s">
        <v>59</v>
      </c>
      <c r="E529" s="193">
        <v>150.13</v>
      </c>
      <c r="F529" s="194">
        <v>1</v>
      </c>
      <c r="G529" s="194"/>
      <c r="H529" s="194"/>
      <c r="I529" s="193">
        <f t="shared" si="856"/>
        <v>1</v>
      </c>
      <c r="J529" s="193">
        <f t="shared" si="857"/>
        <v>150.13</v>
      </c>
      <c r="K529" s="193"/>
      <c r="L529" s="193"/>
      <c r="M529" s="622">
        <f t="shared" si="858"/>
        <v>150.13</v>
      </c>
      <c r="N529" s="194">
        <v>0</v>
      </c>
      <c r="O529" s="622">
        <f t="shared" si="851"/>
        <v>0</v>
      </c>
      <c r="P529" s="194">
        <f>IFERROR(VLOOKUP(A529,#REF!,18,FALSE),)</f>
        <v>0</v>
      </c>
      <c r="Q529" s="622">
        <f t="shared" si="852"/>
        <v>0</v>
      </c>
      <c r="R529" s="194">
        <f t="shared" si="853"/>
        <v>0</v>
      </c>
      <c r="S529" s="630">
        <f t="shared" si="854"/>
        <v>0</v>
      </c>
      <c r="T529" s="194">
        <f t="shared" si="859"/>
        <v>1</v>
      </c>
      <c r="U529" s="630">
        <f t="shared" si="855"/>
        <v>150.13</v>
      </c>
    </row>
    <row r="530" spans="1:21" ht="38.25">
      <c r="A530" s="190" t="s">
        <v>673</v>
      </c>
      <c r="B530" s="191">
        <v>151803</v>
      </c>
      <c r="C530" s="657" t="s">
        <v>356</v>
      </c>
      <c r="D530" s="192" t="s">
        <v>59</v>
      </c>
      <c r="E530" s="193">
        <v>170.86</v>
      </c>
      <c r="F530" s="194">
        <v>11</v>
      </c>
      <c r="G530" s="194"/>
      <c r="H530" s="194"/>
      <c r="I530" s="193">
        <f t="shared" si="856"/>
        <v>11</v>
      </c>
      <c r="J530" s="193">
        <f t="shared" si="857"/>
        <v>1879.46</v>
      </c>
      <c r="K530" s="193"/>
      <c r="L530" s="193"/>
      <c r="M530" s="622">
        <f t="shared" si="858"/>
        <v>1879.46</v>
      </c>
      <c r="N530" s="194">
        <v>0</v>
      </c>
      <c r="O530" s="622">
        <f t="shared" si="851"/>
        <v>0</v>
      </c>
      <c r="P530" s="194">
        <f>IFERROR(VLOOKUP(A530,#REF!,18,FALSE),)</f>
        <v>0</v>
      </c>
      <c r="Q530" s="622">
        <f t="shared" si="852"/>
        <v>0</v>
      </c>
      <c r="R530" s="194">
        <f t="shared" si="853"/>
        <v>0</v>
      </c>
      <c r="S530" s="630">
        <f t="shared" si="854"/>
        <v>0</v>
      </c>
      <c r="T530" s="194">
        <f t="shared" si="859"/>
        <v>11</v>
      </c>
      <c r="U530" s="630">
        <f t="shared" si="855"/>
        <v>1879.46</v>
      </c>
    </row>
    <row r="531" spans="1:21" ht="25.5">
      <c r="A531" s="190" t="s">
        <v>674</v>
      </c>
      <c r="B531" s="191">
        <v>151338</v>
      </c>
      <c r="C531" s="657" t="s">
        <v>357</v>
      </c>
      <c r="D531" s="192" t="s">
        <v>59</v>
      </c>
      <c r="E531" s="193">
        <v>18.14</v>
      </c>
      <c r="F531" s="194">
        <v>1</v>
      </c>
      <c r="G531" s="194"/>
      <c r="H531" s="194"/>
      <c r="I531" s="193">
        <f t="shared" si="856"/>
        <v>1</v>
      </c>
      <c r="J531" s="193">
        <f t="shared" si="857"/>
        <v>18.14</v>
      </c>
      <c r="K531" s="193"/>
      <c r="L531" s="193"/>
      <c r="M531" s="622">
        <f t="shared" si="858"/>
        <v>18.14</v>
      </c>
      <c r="N531" s="194">
        <v>0</v>
      </c>
      <c r="O531" s="622">
        <f t="shared" si="851"/>
        <v>0</v>
      </c>
      <c r="P531" s="194">
        <f>IFERROR(VLOOKUP(A531,#REF!,18,FALSE),)</f>
        <v>0</v>
      </c>
      <c r="Q531" s="622">
        <f t="shared" si="852"/>
        <v>0</v>
      </c>
      <c r="R531" s="194">
        <f t="shared" si="853"/>
        <v>0</v>
      </c>
      <c r="S531" s="630">
        <f t="shared" si="854"/>
        <v>0</v>
      </c>
      <c r="T531" s="194">
        <f t="shared" si="859"/>
        <v>1</v>
      </c>
      <c r="U531" s="630">
        <f t="shared" si="855"/>
        <v>18.14</v>
      </c>
    </row>
    <row r="532" spans="1:21" ht="25.5">
      <c r="A532" s="190" t="s">
        <v>675</v>
      </c>
      <c r="B532" s="191">
        <v>151301</v>
      </c>
      <c r="C532" s="657" t="s">
        <v>358</v>
      </c>
      <c r="D532" s="192" t="s">
        <v>59</v>
      </c>
      <c r="E532" s="193">
        <v>18.14</v>
      </c>
      <c r="F532" s="194">
        <v>1</v>
      </c>
      <c r="G532" s="194"/>
      <c r="H532" s="194"/>
      <c r="I532" s="193">
        <f t="shared" si="856"/>
        <v>1</v>
      </c>
      <c r="J532" s="193">
        <f t="shared" si="857"/>
        <v>18.14</v>
      </c>
      <c r="K532" s="193"/>
      <c r="L532" s="193"/>
      <c r="M532" s="622">
        <f t="shared" si="858"/>
        <v>18.14</v>
      </c>
      <c r="N532" s="194">
        <v>0</v>
      </c>
      <c r="O532" s="622">
        <f t="shared" si="851"/>
        <v>0</v>
      </c>
      <c r="P532" s="194">
        <f>IFERROR(VLOOKUP(A532,#REF!,18,FALSE),)</f>
        <v>0</v>
      </c>
      <c r="Q532" s="622">
        <f t="shared" si="852"/>
        <v>0</v>
      </c>
      <c r="R532" s="194">
        <f t="shared" si="853"/>
        <v>0</v>
      </c>
      <c r="S532" s="630">
        <f t="shared" si="854"/>
        <v>0</v>
      </c>
      <c r="T532" s="194">
        <f t="shared" si="859"/>
        <v>1</v>
      </c>
      <c r="U532" s="630">
        <f t="shared" si="855"/>
        <v>18.14</v>
      </c>
    </row>
    <row r="533" spans="1:21" ht="25.5">
      <c r="A533" s="190" t="s">
        <v>676</v>
      </c>
      <c r="B533" s="191">
        <v>151303</v>
      </c>
      <c r="C533" s="657" t="s">
        <v>359</v>
      </c>
      <c r="D533" s="192" t="s">
        <v>59</v>
      </c>
      <c r="E533" s="193">
        <v>18.14</v>
      </c>
      <c r="F533" s="194">
        <v>1</v>
      </c>
      <c r="G533" s="194"/>
      <c r="H533" s="194"/>
      <c r="I533" s="193">
        <f t="shared" si="856"/>
        <v>1</v>
      </c>
      <c r="J533" s="193">
        <f t="shared" si="857"/>
        <v>18.14</v>
      </c>
      <c r="K533" s="193"/>
      <c r="L533" s="193"/>
      <c r="M533" s="622">
        <f t="shared" si="858"/>
        <v>18.14</v>
      </c>
      <c r="N533" s="194">
        <v>0</v>
      </c>
      <c r="O533" s="622">
        <f t="shared" si="851"/>
        <v>0</v>
      </c>
      <c r="P533" s="194">
        <f>IFERROR(VLOOKUP(A533,#REF!,18,FALSE),)</f>
        <v>0</v>
      </c>
      <c r="Q533" s="622">
        <f t="shared" si="852"/>
        <v>0</v>
      </c>
      <c r="R533" s="194">
        <f t="shared" si="853"/>
        <v>0</v>
      </c>
      <c r="S533" s="630">
        <f t="shared" si="854"/>
        <v>0</v>
      </c>
      <c r="T533" s="194">
        <f t="shared" si="859"/>
        <v>1</v>
      </c>
      <c r="U533" s="630">
        <f t="shared" si="855"/>
        <v>18.14</v>
      </c>
    </row>
    <row r="534" spans="1:21" ht="25.5">
      <c r="A534" s="190" t="s">
        <v>677</v>
      </c>
      <c r="B534" s="191">
        <v>151318</v>
      </c>
      <c r="C534" s="657" t="s">
        <v>547</v>
      </c>
      <c r="D534" s="192" t="s">
        <v>59</v>
      </c>
      <c r="E534" s="193">
        <v>22.63</v>
      </c>
      <c r="F534" s="194">
        <v>1</v>
      </c>
      <c r="G534" s="194"/>
      <c r="H534" s="194"/>
      <c r="I534" s="193">
        <f t="shared" si="856"/>
        <v>1</v>
      </c>
      <c r="J534" s="193">
        <f t="shared" si="857"/>
        <v>22.63</v>
      </c>
      <c r="K534" s="193"/>
      <c r="L534" s="193"/>
      <c r="M534" s="622">
        <f t="shared" si="858"/>
        <v>22.63</v>
      </c>
      <c r="N534" s="194">
        <v>0</v>
      </c>
      <c r="O534" s="622">
        <f t="shared" si="851"/>
        <v>0</v>
      </c>
      <c r="P534" s="194">
        <f>IFERROR(VLOOKUP(A534,#REF!,18,FALSE),)</f>
        <v>0</v>
      </c>
      <c r="Q534" s="622">
        <f t="shared" si="852"/>
        <v>0</v>
      </c>
      <c r="R534" s="194">
        <f t="shared" si="853"/>
        <v>0</v>
      </c>
      <c r="S534" s="630">
        <f t="shared" si="854"/>
        <v>0</v>
      </c>
      <c r="T534" s="194">
        <f t="shared" si="859"/>
        <v>1</v>
      </c>
      <c r="U534" s="630">
        <f t="shared" si="855"/>
        <v>22.63</v>
      </c>
    </row>
    <row r="535" spans="1:21">
      <c r="A535" s="190" t="s">
        <v>678</v>
      </c>
      <c r="B535" s="191">
        <v>151350</v>
      </c>
      <c r="C535" s="657" t="s">
        <v>360</v>
      </c>
      <c r="D535" s="192" t="s">
        <v>59</v>
      </c>
      <c r="E535" s="193">
        <v>133.04</v>
      </c>
      <c r="F535" s="194">
        <v>1</v>
      </c>
      <c r="G535" s="194"/>
      <c r="H535" s="194"/>
      <c r="I535" s="193">
        <f t="shared" si="856"/>
        <v>1</v>
      </c>
      <c r="J535" s="193">
        <f t="shared" si="857"/>
        <v>133.04</v>
      </c>
      <c r="K535" s="193"/>
      <c r="L535" s="193"/>
      <c r="M535" s="622">
        <f t="shared" si="858"/>
        <v>133.04</v>
      </c>
      <c r="N535" s="194">
        <v>0</v>
      </c>
      <c r="O535" s="622">
        <f t="shared" si="851"/>
        <v>0</v>
      </c>
      <c r="P535" s="194">
        <f>IFERROR(VLOOKUP(A535,#REF!,18,FALSE),)</f>
        <v>0</v>
      </c>
      <c r="Q535" s="622">
        <f t="shared" si="852"/>
        <v>0</v>
      </c>
      <c r="R535" s="194">
        <f t="shared" si="853"/>
        <v>0</v>
      </c>
      <c r="S535" s="630">
        <f t="shared" si="854"/>
        <v>0</v>
      </c>
      <c r="T535" s="194">
        <f t="shared" si="859"/>
        <v>1</v>
      </c>
      <c r="U535" s="630">
        <f t="shared" si="855"/>
        <v>133.04</v>
      </c>
    </row>
    <row r="536" spans="1:21">
      <c r="A536" s="190" t="s">
        <v>679</v>
      </c>
      <c r="B536" s="191">
        <v>151132</v>
      </c>
      <c r="C536" s="657" t="s">
        <v>361</v>
      </c>
      <c r="D536" s="192" t="s">
        <v>51</v>
      </c>
      <c r="E536" s="193">
        <v>7.5</v>
      </c>
      <c r="F536" s="194">
        <v>78.400000000000006</v>
      </c>
      <c r="G536" s="194"/>
      <c r="H536" s="194"/>
      <c r="I536" s="193">
        <f t="shared" si="856"/>
        <v>78.400000000000006</v>
      </c>
      <c r="J536" s="193">
        <f t="shared" si="857"/>
        <v>588</v>
      </c>
      <c r="K536" s="193"/>
      <c r="L536" s="193"/>
      <c r="M536" s="622">
        <f t="shared" si="858"/>
        <v>588</v>
      </c>
      <c r="N536" s="194">
        <v>0</v>
      </c>
      <c r="O536" s="622">
        <f t="shared" si="851"/>
        <v>0</v>
      </c>
      <c r="P536" s="194">
        <f>IFERROR(VLOOKUP(A536,#REF!,18,FALSE),)</f>
        <v>0</v>
      </c>
      <c r="Q536" s="622">
        <f t="shared" si="852"/>
        <v>0</v>
      </c>
      <c r="R536" s="194">
        <f t="shared" si="853"/>
        <v>0</v>
      </c>
      <c r="S536" s="630">
        <f t="shared" si="854"/>
        <v>0</v>
      </c>
      <c r="T536" s="194">
        <f t="shared" si="859"/>
        <v>78.400000000000006</v>
      </c>
      <c r="U536" s="630">
        <f t="shared" si="855"/>
        <v>588</v>
      </c>
    </row>
    <row r="537" spans="1:21" ht="25.5">
      <c r="A537" s="190" t="s">
        <v>680</v>
      </c>
      <c r="B537" s="191">
        <v>150801</v>
      </c>
      <c r="C537" s="657" t="s">
        <v>362</v>
      </c>
      <c r="D537" s="192" t="s">
        <v>51</v>
      </c>
      <c r="E537" s="193">
        <v>12.67</v>
      </c>
      <c r="F537" s="194">
        <v>70</v>
      </c>
      <c r="G537" s="194"/>
      <c r="H537" s="194"/>
      <c r="I537" s="193">
        <f t="shared" si="856"/>
        <v>70</v>
      </c>
      <c r="J537" s="193">
        <f t="shared" si="857"/>
        <v>886.9</v>
      </c>
      <c r="K537" s="193"/>
      <c r="L537" s="193"/>
      <c r="M537" s="622">
        <f t="shared" si="858"/>
        <v>886.9</v>
      </c>
      <c r="N537" s="194">
        <v>0</v>
      </c>
      <c r="O537" s="622">
        <f t="shared" si="851"/>
        <v>0</v>
      </c>
      <c r="P537" s="194">
        <f>IFERROR(VLOOKUP(A537,#REF!,18,FALSE),)</f>
        <v>0</v>
      </c>
      <c r="Q537" s="622">
        <f t="shared" si="852"/>
        <v>0</v>
      </c>
      <c r="R537" s="194">
        <f t="shared" si="853"/>
        <v>0</v>
      </c>
      <c r="S537" s="630">
        <f t="shared" si="854"/>
        <v>0</v>
      </c>
      <c r="T537" s="194">
        <f t="shared" si="859"/>
        <v>70</v>
      </c>
      <c r="U537" s="630">
        <f t="shared" si="855"/>
        <v>886.9</v>
      </c>
    </row>
    <row r="538" spans="1:21">
      <c r="A538" s="190" t="s">
        <v>681</v>
      </c>
      <c r="B538" s="191">
        <v>180110</v>
      </c>
      <c r="C538" s="657" t="s">
        <v>363</v>
      </c>
      <c r="D538" s="192" t="s">
        <v>59</v>
      </c>
      <c r="E538" s="193">
        <v>106.15</v>
      </c>
      <c r="F538" s="194">
        <v>5</v>
      </c>
      <c r="G538" s="194"/>
      <c r="H538" s="194"/>
      <c r="I538" s="193">
        <f t="shared" si="856"/>
        <v>5</v>
      </c>
      <c r="J538" s="193">
        <f t="shared" si="857"/>
        <v>530.75</v>
      </c>
      <c r="K538" s="193"/>
      <c r="L538" s="193"/>
      <c r="M538" s="622">
        <f t="shared" si="858"/>
        <v>530.75</v>
      </c>
      <c r="N538" s="194">
        <v>0</v>
      </c>
      <c r="O538" s="622">
        <f t="shared" si="851"/>
        <v>0</v>
      </c>
      <c r="P538" s="194">
        <f>IFERROR(VLOOKUP(A538,#REF!,18,FALSE),)</f>
        <v>0</v>
      </c>
      <c r="Q538" s="622">
        <f t="shared" si="852"/>
        <v>0</v>
      </c>
      <c r="R538" s="194">
        <f t="shared" si="853"/>
        <v>0</v>
      </c>
      <c r="S538" s="630">
        <f t="shared" si="854"/>
        <v>0</v>
      </c>
      <c r="T538" s="194">
        <f t="shared" si="859"/>
        <v>5</v>
      </c>
      <c r="U538" s="630">
        <f t="shared" si="855"/>
        <v>530.75</v>
      </c>
    </row>
    <row r="539" spans="1:21">
      <c r="A539" s="190" t="s">
        <v>682</v>
      </c>
      <c r="B539" s="191" t="s">
        <v>367</v>
      </c>
      <c r="C539" s="657" t="s">
        <v>364</v>
      </c>
      <c r="D539" s="192" t="s">
        <v>72</v>
      </c>
      <c r="E539" s="193">
        <v>362.44</v>
      </c>
      <c r="F539" s="194">
        <v>20</v>
      </c>
      <c r="G539" s="194"/>
      <c r="H539" s="194"/>
      <c r="I539" s="193">
        <f t="shared" si="856"/>
        <v>20</v>
      </c>
      <c r="J539" s="193">
        <f t="shared" si="857"/>
        <v>7248.8</v>
      </c>
      <c r="K539" s="193"/>
      <c r="L539" s="193"/>
      <c r="M539" s="622">
        <f t="shared" si="858"/>
        <v>7248.8</v>
      </c>
      <c r="N539" s="194">
        <v>0</v>
      </c>
      <c r="O539" s="622">
        <f t="shared" si="851"/>
        <v>0</v>
      </c>
      <c r="P539" s="194">
        <f>IFERROR(VLOOKUP(A539,#REF!,18,FALSE),)</f>
        <v>0</v>
      </c>
      <c r="Q539" s="622">
        <f t="shared" si="852"/>
        <v>0</v>
      </c>
      <c r="R539" s="194">
        <f t="shared" si="853"/>
        <v>0</v>
      </c>
      <c r="S539" s="630">
        <f t="shared" si="854"/>
        <v>0</v>
      </c>
      <c r="T539" s="194">
        <f t="shared" si="859"/>
        <v>20</v>
      </c>
      <c r="U539" s="630">
        <f t="shared" si="855"/>
        <v>7248.8</v>
      </c>
    </row>
    <row r="540" spans="1:21" ht="25.5">
      <c r="A540" s="190" t="s">
        <v>683</v>
      </c>
      <c r="B540" s="191" t="s">
        <v>368</v>
      </c>
      <c r="C540" s="657" t="s">
        <v>365</v>
      </c>
      <c r="D540" s="192" t="s">
        <v>72</v>
      </c>
      <c r="E540" s="193">
        <v>4976.67</v>
      </c>
      <c r="F540" s="194">
        <v>2</v>
      </c>
      <c r="G540" s="194"/>
      <c r="H540" s="194"/>
      <c r="I540" s="193">
        <f t="shared" si="856"/>
        <v>2</v>
      </c>
      <c r="J540" s="193">
        <f t="shared" si="857"/>
        <v>9953.34</v>
      </c>
      <c r="K540" s="193"/>
      <c r="L540" s="193"/>
      <c r="M540" s="622">
        <f t="shared" si="858"/>
        <v>9953.34</v>
      </c>
      <c r="N540" s="194">
        <v>0</v>
      </c>
      <c r="O540" s="622">
        <f t="shared" si="851"/>
        <v>0</v>
      </c>
      <c r="P540" s="194">
        <f>IFERROR(VLOOKUP(A540,#REF!,18,FALSE),)</f>
        <v>0</v>
      </c>
      <c r="Q540" s="622">
        <f t="shared" si="852"/>
        <v>0</v>
      </c>
      <c r="R540" s="194">
        <f t="shared" si="853"/>
        <v>0</v>
      </c>
      <c r="S540" s="630">
        <f t="shared" si="854"/>
        <v>0</v>
      </c>
      <c r="T540" s="194">
        <f t="shared" si="859"/>
        <v>2</v>
      </c>
      <c r="U540" s="630">
        <f t="shared" si="855"/>
        <v>9953.34</v>
      </c>
    </row>
    <row r="541" spans="1:21" ht="25.5">
      <c r="A541" s="190" t="s">
        <v>684</v>
      </c>
      <c r="B541" s="191" t="s">
        <v>369</v>
      </c>
      <c r="C541" s="657" t="s">
        <v>366</v>
      </c>
      <c r="D541" s="192" t="s">
        <v>10</v>
      </c>
      <c r="E541" s="193">
        <v>12903.37</v>
      </c>
      <c r="F541" s="194">
        <v>1</v>
      </c>
      <c r="G541" s="194"/>
      <c r="H541" s="194"/>
      <c r="I541" s="193">
        <f t="shared" si="856"/>
        <v>1</v>
      </c>
      <c r="J541" s="193">
        <f t="shared" si="857"/>
        <v>12903.37</v>
      </c>
      <c r="K541" s="193"/>
      <c r="L541" s="193"/>
      <c r="M541" s="622">
        <f t="shared" si="858"/>
        <v>12903.37</v>
      </c>
      <c r="N541" s="194">
        <v>0</v>
      </c>
      <c r="O541" s="622">
        <f t="shared" si="851"/>
        <v>0</v>
      </c>
      <c r="P541" s="194">
        <f>IFERROR(VLOOKUP(A541,#REF!,18,FALSE),)</f>
        <v>0</v>
      </c>
      <c r="Q541" s="622">
        <f t="shared" si="852"/>
        <v>0</v>
      </c>
      <c r="R541" s="194">
        <f t="shared" si="853"/>
        <v>0</v>
      </c>
      <c r="S541" s="630">
        <f t="shared" si="854"/>
        <v>0</v>
      </c>
      <c r="T541" s="194">
        <f t="shared" si="859"/>
        <v>1</v>
      </c>
      <c r="U541" s="630">
        <f t="shared" si="855"/>
        <v>12903.37</v>
      </c>
    </row>
    <row r="542" spans="1:21">
      <c r="A542" s="138"/>
      <c r="B542" s="132"/>
      <c r="C542" s="123"/>
      <c r="D542" s="123"/>
      <c r="E542" s="123"/>
      <c r="F542" s="123"/>
      <c r="G542" s="123"/>
      <c r="H542" s="123"/>
      <c r="I542" s="123"/>
      <c r="J542" s="123"/>
      <c r="K542" s="123"/>
      <c r="L542" s="123"/>
      <c r="M542" s="623"/>
      <c r="N542" s="123"/>
      <c r="O542" s="623"/>
      <c r="P542" s="123"/>
      <c r="Q542" s="623"/>
      <c r="R542" s="123"/>
      <c r="S542" s="631"/>
      <c r="T542" s="123">
        <f t="shared" si="859"/>
        <v>0</v>
      </c>
      <c r="U542" s="631">
        <f t="shared" ref="U542" si="860">I542-S542</f>
        <v>0</v>
      </c>
    </row>
    <row r="543" spans="1:21" s="131" customFormat="1">
      <c r="A543" s="137" t="s">
        <v>686</v>
      </c>
      <c r="B543" s="133"/>
      <c r="C543" s="658" t="s">
        <v>371</v>
      </c>
      <c r="D543" s="126"/>
      <c r="E543" s="127"/>
      <c r="F543" s="128"/>
      <c r="G543" s="128"/>
      <c r="H543" s="128"/>
      <c r="I543" s="129"/>
      <c r="J543" s="129">
        <f>SUBTOTAL(9,J544:J547)</f>
        <v>3378.9830000000002</v>
      </c>
      <c r="K543" s="129"/>
      <c r="L543" s="129"/>
      <c r="M543" s="624"/>
      <c r="N543" s="130"/>
      <c r="O543" s="624">
        <f>SUBTOTAL(9,O544:O547)</f>
        <v>0</v>
      </c>
      <c r="P543" s="130"/>
      <c r="Q543" s="624">
        <f>SUBTOTAL(9,Q544:Q547)</f>
        <v>0</v>
      </c>
      <c r="R543" s="129"/>
      <c r="S543" s="624">
        <f>SUBTOTAL(9,S544:S547)</f>
        <v>0</v>
      </c>
      <c r="T543" s="129">
        <f t="shared" si="859"/>
        <v>0</v>
      </c>
      <c r="U543" s="624">
        <f>SUBTOTAL(9,U544:U547)</f>
        <v>3378.9830000000002</v>
      </c>
    </row>
    <row r="544" spans="1:21" ht="38.25">
      <c r="A544" s="190" t="s">
        <v>687</v>
      </c>
      <c r="B544" s="191">
        <v>150610</v>
      </c>
      <c r="C544" s="657" t="s">
        <v>376</v>
      </c>
      <c r="D544" s="192" t="s">
        <v>59</v>
      </c>
      <c r="E544" s="193">
        <v>188.46</v>
      </c>
      <c r="F544" s="194">
        <v>4</v>
      </c>
      <c r="G544" s="194"/>
      <c r="H544" s="194"/>
      <c r="I544" s="193">
        <f t="shared" ref="I544" si="861">F544+G544-H544</f>
        <v>4</v>
      </c>
      <c r="J544" s="193">
        <f t="shared" ref="J544" si="862">I544*E544</f>
        <v>753.84</v>
      </c>
      <c r="K544" s="193"/>
      <c r="L544" s="193"/>
      <c r="M544" s="622">
        <f t="shared" ref="M544" si="863">I544*E544</f>
        <v>753.84</v>
      </c>
      <c r="N544" s="194">
        <v>0</v>
      </c>
      <c r="O544" s="622">
        <f t="shared" ref="O544" si="864">TRUNC(N544*E544,2)</f>
        <v>0</v>
      </c>
      <c r="P544" s="194">
        <f>IFERROR(VLOOKUP(A544,#REF!,18,FALSE),)</f>
        <v>0</v>
      </c>
      <c r="Q544" s="622">
        <f t="shared" ref="Q544" si="865">S544-O544</f>
        <v>0</v>
      </c>
      <c r="R544" s="194">
        <f t="shared" ref="R544" si="866">P544+N544</f>
        <v>0</v>
      </c>
      <c r="S544" s="630">
        <f t="shared" ref="S544" si="867">TRUNC(R544*E544,2)</f>
        <v>0</v>
      </c>
      <c r="T544" s="194">
        <f t="shared" si="859"/>
        <v>4</v>
      </c>
      <c r="U544" s="630">
        <f t="shared" ref="U544:U547" si="868">T544*E544</f>
        <v>753.84</v>
      </c>
    </row>
    <row r="545" spans="1:21" ht="38.25">
      <c r="A545" s="190" t="s">
        <v>688</v>
      </c>
      <c r="B545" s="191">
        <v>160324</v>
      </c>
      <c r="C545" s="657" t="s">
        <v>546</v>
      </c>
      <c r="D545" s="192" t="s">
        <v>59</v>
      </c>
      <c r="E545" s="193">
        <v>199.91</v>
      </c>
      <c r="F545" s="194">
        <v>1</v>
      </c>
      <c r="G545" s="194"/>
      <c r="H545" s="194"/>
      <c r="I545" s="193">
        <f t="shared" ref="I545:I547" si="869">F545+G545-H545</f>
        <v>1</v>
      </c>
      <c r="J545" s="193">
        <f t="shared" ref="J545:J547" si="870">I545*E545</f>
        <v>199.91</v>
      </c>
      <c r="K545" s="193"/>
      <c r="L545" s="193"/>
      <c r="M545" s="622">
        <f t="shared" ref="M545:M547" si="871">I545*E545</f>
        <v>199.91</v>
      </c>
      <c r="N545" s="194">
        <v>0</v>
      </c>
      <c r="O545" s="622">
        <f>TRUNC(N545*E545,2)</f>
        <v>0</v>
      </c>
      <c r="P545" s="194">
        <f>IFERROR(VLOOKUP(A545,#REF!,18,FALSE),)</f>
        <v>0</v>
      </c>
      <c r="Q545" s="622">
        <f>S545-O545</f>
        <v>0</v>
      </c>
      <c r="R545" s="194">
        <f>P545+N545</f>
        <v>0</v>
      </c>
      <c r="S545" s="630">
        <f>TRUNC(R545*E545,2)</f>
        <v>0</v>
      </c>
      <c r="T545" s="194">
        <f t="shared" si="859"/>
        <v>1</v>
      </c>
      <c r="U545" s="630">
        <f t="shared" si="868"/>
        <v>199.91</v>
      </c>
    </row>
    <row r="546" spans="1:21" ht="25.5">
      <c r="A546" s="190" t="s">
        <v>689</v>
      </c>
      <c r="B546" s="191">
        <v>160317</v>
      </c>
      <c r="C546" s="657" t="s">
        <v>377</v>
      </c>
      <c r="D546" s="192" t="s">
        <v>51</v>
      </c>
      <c r="E546" s="193">
        <v>33.369999999999997</v>
      </c>
      <c r="F546" s="194">
        <v>70.900000000000006</v>
      </c>
      <c r="G546" s="194"/>
      <c r="H546" s="194"/>
      <c r="I546" s="193">
        <f t="shared" si="869"/>
        <v>70.900000000000006</v>
      </c>
      <c r="J546" s="193">
        <f t="shared" si="870"/>
        <v>2365.933</v>
      </c>
      <c r="K546" s="193"/>
      <c r="L546" s="193"/>
      <c r="M546" s="622">
        <f t="shared" si="871"/>
        <v>2365.933</v>
      </c>
      <c r="N546" s="194">
        <v>0</v>
      </c>
      <c r="O546" s="622">
        <f t="shared" ref="O546:O547" si="872">TRUNC(N546*E546,2)</f>
        <v>0</v>
      </c>
      <c r="P546" s="194">
        <f>IFERROR(VLOOKUP(A546,#REF!,18,FALSE),)</f>
        <v>0</v>
      </c>
      <c r="Q546" s="622">
        <f t="shared" ref="Q546:Q547" si="873">S546-O546</f>
        <v>0</v>
      </c>
      <c r="R546" s="194">
        <f t="shared" ref="R546:R547" si="874">P546+N546</f>
        <v>0</v>
      </c>
      <c r="S546" s="630">
        <f t="shared" ref="S546:S547" si="875">TRUNC(R546*E546,2)</f>
        <v>0</v>
      </c>
      <c r="T546" s="194">
        <f t="shared" si="859"/>
        <v>70.900000000000006</v>
      </c>
      <c r="U546" s="630">
        <f t="shared" si="868"/>
        <v>2365.933</v>
      </c>
    </row>
    <row r="547" spans="1:21" ht="25.5">
      <c r="A547" s="190" t="s">
        <v>690</v>
      </c>
      <c r="B547" s="191">
        <v>160334</v>
      </c>
      <c r="C547" s="657" t="s">
        <v>378</v>
      </c>
      <c r="D547" s="192" t="s">
        <v>59</v>
      </c>
      <c r="E547" s="193">
        <v>29.65</v>
      </c>
      <c r="F547" s="194">
        <v>2</v>
      </c>
      <c r="G547" s="194"/>
      <c r="H547" s="194"/>
      <c r="I547" s="193">
        <f t="shared" si="869"/>
        <v>2</v>
      </c>
      <c r="J547" s="193">
        <f t="shared" si="870"/>
        <v>59.3</v>
      </c>
      <c r="K547" s="193"/>
      <c r="L547" s="193"/>
      <c r="M547" s="622">
        <f t="shared" si="871"/>
        <v>59.3</v>
      </c>
      <c r="N547" s="194">
        <v>0</v>
      </c>
      <c r="O547" s="622">
        <f t="shared" si="872"/>
        <v>0</v>
      </c>
      <c r="P547" s="194">
        <f>IFERROR(VLOOKUP(A547,#REF!,18,FALSE),)</f>
        <v>0</v>
      </c>
      <c r="Q547" s="622">
        <f t="shared" si="873"/>
        <v>0</v>
      </c>
      <c r="R547" s="194">
        <f t="shared" si="874"/>
        <v>0</v>
      </c>
      <c r="S547" s="630">
        <f t="shared" si="875"/>
        <v>0</v>
      </c>
      <c r="T547" s="194">
        <f t="shared" si="859"/>
        <v>2</v>
      </c>
      <c r="U547" s="630">
        <f t="shared" si="868"/>
        <v>59.3</v>
      </c>
    </row>
    <row r="548" spans="1:21">
      <c r="A548" s="138"/>
      <c r="B548" s="132"/>
      <c r="C548" s="123"/>
      <c r="D548" s="123"/>
      <c r="E548" s="123"/>
      <c r="F548" s="123"/>
      <c r="G548" s="123"/>
      <c r="H548" s="123"/>
      <c r="I548" s="123"/>
      <c r="J548" s="123"/>
      <c r="K548" s="123"/>
      <c r="L548" s="123"/>
      <c r="M548" s="623"/>
      <c r="N548" s="123"/>
      <c r="O548" s="623"/>
      <c r="P548" s="123"/>
      <c r="Q548" s="623"/>
      <c r="R548" s="123"/>
      <c r="S548" s="631"/>
      <c r="T548" s="123"/>
      <c r="U548" s="631"/>
    </row>
    <row r="549" spans="1:21" s="213" customFormat="1">
      <c r="A549" s="210" t="s">
        <v>691</v>
      </c>
      <c r="B549" s="211"/>
      <c r="C549" s="655" t="s">
        <v>380</v>
      </c>
      <c r="D549" s="197"/>
      <c r="E549" s="198"/>
      <c r="F549" s="199"/>
      <c r="G549" s="199"/>
      <c r="H549" s="199"/>
      <c r="I549" s="200"/>
      <c r="J549" s="200">
        <f>SUBTOTAL(9,J550:J555)</f>
        <v>2437.2840000000001</v>
      </c>
      <c r="K549" s="200"/>
      <c r="L549" s="200"/>
      <c r="M549" s="620"/>
      <c r="N549" s="201"/>
      <c r="O549" s="620">
        <f>SUBTOTAL(9,O550:O555)</f>
        <v>0</v>
      </c>
      <c r="P549" s="201"/>
      <c r="Q549" s="620">
        <f>SUBTOTAL(9,Q550:Q555)</f>
        <v>0</v>
      </c>
      <c r="R549" s="200"/>
      <c r="S549" s="620">
        <f>SUBTOTAL(9,S550:S555)</f>
        <v>0</v>
      </c>
      <c r="T549" s="200">
        <f t="shared" si="859"/>
        <v>0</v>
      </c>
      <c r="U549" s="620">
        <f>SUBTOTAL(9,U550:U555)</f>
        <v>2437.2840000000001</v>
      </c>
    </row>
    <row r="550" spans="1:21" s="131" customFormat="1">
      <c r="A550" s="137" t="s">
        <v>692</v>
      </c>
      <c r="B550" s="133"/>
      <c r="C550" s="658" t="s">
        <v>380</v>
      </c>
      <c r="D550" s="126"/>
      <c r="E550" s="127"/>
      <c r="F550" s="128"/>
      <c r="G550" s="128"/>
      <c r="H550" s="128"/>
      <c r="I550" s="129"/>
      <c r="J550" s="129">
        <f>SUBTOTAL(9,J551:J555)</f>
        <v>2437.2840000000001</v>
      </c>
      <c r="K550" s="129"/>
      <c r="L550" s="129"/>
      <c r="M550" s="624"/>
      <c r="N550" s="130"/>
      <c r="O550" s="624">
        <f>SUBTOTAL(9,O551:O555)</f>
        <v>0</v>
      </c>
      <c r="P550" s="130"/>
      <c r="Q550" s="624">
        <f>SUBTOTAL(9,Q551:Q555)</f>
        <v>0</v>
      </c>
      <c r="R550" s="129"/>
      <c r="S550" s="624">
        <f>SUBTOTAL(9,S551:S555)</f>
        <v>0</v>
      </c>
      <c r="T550" s="129">
        <f t="shared" si="859"/>
        <v>0</v>
      </c>
      <c r="U550" s="624">
        <f>SUBTOTAL(9,U551:U555)</f>
        <v>2437.2840000000001</v>
      </c>
    </row>
    <row r="551" spans="1:21" ht="25.5">
      <c r="A551" s="190" t="s">
        <v>693</v>
      </c>
      <c r="B551" s="191">
        <v>160612</v>
      </c>
      <c r="C551" s="657" t="s">
        <v>387</v>
      </c>
      <c r="D551" s="192" t="s">
        <v>59</v>
      </c>
      <c r="E551" s="193">
        <v>29.96</v>
      </c>
      <c r="F551" s="194">
        <v>2</v>
      </c>
      <c r="G551" s="194"/>
      <c r="H551" s="194"/>
      <c r="I551" s="193">
        <f t="shared" ref="I551" si="876">F551+G551-H551</f>
        <v>2</v>
      </c>
      <c r="J551" s="193">
        <f t="shared" ref="J551" si="877">I551*E551</f>
        <v>59.92</v>
      </c>
      <c r="K551" s="193"/>
      <c r="L551" s="193"/>
      <c r="M551" s="622">
        <f t="shared" ref="M551" si="878">I551*E551</f>
        <v>59.92</v>
      </c>
      <c r="N551" s="194">
        <v>0</v>
      </c>
      <c r="O551" s="622">
        <f t="shared" ref="O551" si="879">TRUNC(N551*E551,2)</f>
        <v>0</v>
      </c>
      <c r="P551" s="194">
        <f>IFERROR(VLOOKUP(A551,#REF!,18,FALSE),)</f>
        <v>0</v>
      </c>
      <c r="Q551" s="622">
        <f t="shared" ref="Q551" si="880">S551-O551</f>
        <v>0</v>
      </c>
      <c r="R551" s="194">
        <f t="shared" ref="R551" si="881">P551+N551</f>
        <v>0</v>
      </c>
      <c r="S551" s="630">
        <f t="shared" ref="S551" si="882">TRUNC(R551*E551,2)</f>
        <v>0</v>
      </c>
      <c r="T551" s="194">
        <f t="shared" si="859"/>
        <v>2</v>
      </c>
      <c r="U551" s="630">
        <f t="shared" ref="U551:U555" si="883">T551*E551</f>
        <v>59.92</v>
      </c>
    </row>
    <row r="552" spans="1:21" ht="38.25">
      <c r="A552" s="190" t="s">
        <v>694</v>
      </c>
      <c r="B552" s="191">
        <v>160608</v>
      </c>
      <c r="C552" s="657" t="s">
        <v>545</v>
      </c>
      <c r="D552" s="192" t="s">
        <v>59</v>
      </c>
      <c r="E552" s="193">
        <v>320.60000000000002</v>
      </c>
      <c r="F552" s="194">
        <v>3</v>
      </c>
      <c r="G552" s="194"/>
      <c r="H552" s="194"/>
      <c r="I552" s="193">
        <f t="shared" ref="I552:I555" si="884">F552+G552-H552</f>
        <v>3</v>
      </c>
      <c r="J552" s="193">
        <f t="shared" ref="J552:J555" si="885">I552*E552</f>
        <v>961.80000000000007</v>
      </c>
      <c r="K552" s="193"/>
      <c r="L552" s="193"/>
      <c r="M552" s="622">
        <f t="shared" ref="M552:M555" si="886">I552*E552</f>
        <v>961.80000000000007</v>
      </c>
      <c r="N552" s="194">
        <v>0</v>
      </c>
      <c r="O552" s="622">
        <f>TRUNC(N552*E552,2)</f>
        <v>0</v>
      </c>
      <c r="P552" s="194">
        <f>IFERROR(VLOOKUP(A552,#REF!,18,FALSE),)</f>
        <v>0</v>
      </c>
      <c r="Q552" s="622">
        <f>S552-O552</f>
        <v>0</v>
      </c>
      <c r="R552" s="194">
        <f>P552+N552</f>
        <v>0</v>
      </c>
      <c r="S552" s="630">
        <f>TRUNC(R552*E552,2)</f>
        <v>0</v>
      </c>
      <c r="T552" s="194">
        <f t="shared" si="859"/>
        <v>3</v>
      </c>
      <c r="U552" s="630">
        <f t="shared" si="883"/>
        <v>961.80000000000007</v>
      </c>
    </row>
    <row r="553" spans="1:21" ht="25.5">
      <c r="A553" s="190" t="s">
        <v>695</v>
      </c>
      <c r="B553" s="191">
        <v>160613</v>
      </c>
      <c r="C553" s="657" t="s">
        <v>389</v>
      </c>
      <c r="D553" s="192" t="s">
        <v>59</v>
      </c>
      <c r="E553" s="193">
        <v>197.45</v>
      </c>
      <c r="F553" s="194">
        <v>4</v>
      </c>
      <c r="G553" s="194"/>
      <c r="H553" s="194"/>
      <c r="I553" s="193">
        <f t="shared" si="884"/>
        <v>4</v>
      </c>
      <c r="J553" s="193">
        <f t="shared" si="885"/>
        <v>789.8</v>
      </c>
      <c r="K553" s="193"/>
      <c r="L553" s="193"/>
      <c r="M553" s="622">
        <f t="shared" si="886"/>
        <v>789.8</v>
      </c>
      <c r="N553" s="194">
        <v>0</v>
      </c>
      <c r="O553" s="622">
        <f t="shared" ref="O553:O555" si="887">TRUNC(N553*E553,2)</f>
        <v>0</v>
      </c>
      <c r="P553" s="194">
        <f>IFERROR(VLOOKUP(A553,#REF!,18,FALSE),)</f>
        <v>0</v>
      </c>
      <c r="Q553" s="622">
        <f t="shared" ref="Q553:Q555" si="888">S553-O553</f>
        <v>0</v>
      </c>
      <c r="R553" s="194">
        <f t="shared" ref="R553:R555" si="889">P553+N553</f>
        <v>0</v>
      </c>
      <c r="S553" s="630">
        <f t="shared" ref="S553:S555" si="890">TRUNC(R553*E553,2)</f>
        <v>0</v>
      </c>
      <c r="T553" s="194">
        <f t="shared" si="859"/>
        <v>4</v>
      </c>
      <c r="U553" s="630">
        <f t="shared" si="883"/>
        <v>789.8</v>
      </c>
    </row>
    <row r="554" spans="1:21" ht="38.25">
      <c r="A554" s="190" t="s">
        <v>696</v>
      </c>
      <c r="B554" s="191">
        <v>160607</v>
      </c>
      <c r="C554" s="657" t="s">
        <v>390</v>
      </c>
      <c r="D554" s="192" t="s">
        <v>59</v>
      </c>
      <c r="E554" s="193">
        <v>178.48</v>
      </c>
      <c r="F554" s="194">
        <v>3</v>
      </c>
      <c r="G554" s="194"/>
      <c r="H554" s="194"/>
      <c r="I554" s="193">
        <f t="shared" si="884"/>
        <v>3</v>
      </c>
      <c r="J554" s="193">
        <f t="shared" si="885"/>
        <v>535.43999999999994</v>
      </c>
      <c r="K554" s="193"/>
      <c r="L554" s="193"/>
      <c r="M554" s="622">
        <f t="shared" si="886"/>
        <v>535.43999999999994</v>
      </c>
      <c r="N554" s="194">
        <v>0</v>
      </c>
      <c r="O554" s="622">
        <f t="shared" si="887"/>
        <v>0</v>
      </c>
      <c r="P554" s="194">
        <f>IFERROR(VLOOKUP(A554,#REF!,18,FALSE),)</f>
        <v>0</v>
      </c>
      <c r="Q554" s="622">
        <f t="shared" si="888"/>
        <v>0</v>
      </c>
      <c r="R554" s="194">
        <f t="shared" si="889"/>
        <v>0</v>
      </c>
      <c r="S554" s="630">
        <f t="shared" si="890"/>
        <v>0</v>
      </c>
      <c r="T554" s="194">
        <f t="shared" si="859"/>
        <v>3</v>
      </c>
      <c r="U554" s="630">
        <f t="shared" si="883"/>
        <v>535.43999999999994</v>
      </c>
    </row>
    <row r="555" spans="1:21" ht="38.25">
      <c r="A555" s="190" t="s">
        <v>697</v>
      </c>
      <c r="B555" s="191">
        <v>190605</v>
      </c>
      <c r="C555" s="657" t="s">
        <v>544</v>
      </c>
      <c r="D555" s="192" t="s">
        <v>57</v>
      </c>
      <c r="E555" s="193">
        <v>50.18</v>
      </c>
      <c r="F555" s="194">
        <v>1.8</v>
      </c>
      <c r="G555" s="194"/>
      <c r="H555" s="194"/>
      <c r="I555" s="193">
        <f t="shared" si="884"/>
        <v>1.8</v>
      </c>
      <c r="J555" s="193">
        <f t="shared" si="885"/>
        <v>90.323999999999998</v>
      </c>
      <c r="K555" s="193"/>
      <c r="L555" s="193"/>
      <c r="M555" s="622">
        <f t="shared" si="886"/>
        <v>90.323999999999998</v>
      </c>
      <c r="N555" s="194">
        <v>0</v>
      </c>
      <c r="O555" s="622">
        <f t="shared" si="887"/>
        <v>0</v>
      </c>
      <c r="P555" s="194">
        <f>IFERROR(VLOOKUP(A555,#REF!,18,FALSE),)</f>
        <v>0</v>
      </c>
      <c r="Q555" s="622">
        <f t="shared" si="888"/>
        <v>0</v>
      </c>
      <c r="R555" s="194">
        <f t="shared" si="889"/>
        <v>0</v>
      </c>
      <c r="S555" s="630">
        <f t="shared" si="890"/>
        <v>0</v>
      </c>
      <c r="T555" s="194">
        <f t="shared" si="859"/>
        <v>1.8</v>
      </c>
      <c r="U555" s="630">
        <f t="shared" si="883"/>
        <v>90.323999999999998</v>
      </c>
    </row>
    <row r="556" spans="1:21">
      <c r="A556" s="138"/>
      <c r="B556" s="132"/>
      <c r="C556" s="123"/>
      <c r="D556" s="123"/>
      <c r="E556" s="123"/>
      <c r="F556" s="123"/>
      <c r="G556" s="123"/>
      <c r="H556" s="123"/>
      <c r="I556" s="123"/>
      <c r="J556" s="123"/>
      <c r="K556" s="123"/>
      <c r="L556" s="123"/>
      <c r="M556" s="623"/>
      <c r="N556" s="123"/>
      <c r="O556" s="623"/>
      <c r="P556" s="123"/>
      <c r="Q556" s="623"/>
      <c r="R556" s="123"/>
      <c r="S556" s="631"/>
      <c r="T556" s="123"/>
      <c r="U556" s="631"/>
    </row>
    <row r="557" spans="1:21" s="654" customFormat="1" ht="26.25" customHeight="1">
      <c r="A557" s="202">
        <v>5</v>
      </c>
      <c r="B557" s="653" t="s">
        <v>864</v>
      </c>
      <c r="C557" s="654" t="s">
        <v>989</v>
      </c>
      <c r="D557" s="204"/>
      <c r="E557" s="205"/>
      <c r="F557" s="206"/>
      <c r="G557" s="206"/>
      <c r="H557" s="206"/>
      <c r="I557" s="207"/>
      <c r="J557" s="207">
        <f>SUBTOTAL(9,J558:J728)</f>
        <v>1519531.8925999999</v>
      </c>
      <c r="K557" s="207"/>
      <c r="L557" s="207"/>
      <c r="M557" s="619"/>
      <c r="N557" s="208"/>
      <c r="O557" s="619">
        <f>SUBTOTAL(9,O558:O728)</f>
        <v>1374812.3799999994</v>
      </c>
      <c r="P557" s="208"/>
      <c r="Q557" s="619">
        <f>SUBTOTAL(9,Q558:Q728)</f>
        <v>67750.600000000006</v>
      </c>
      <c r="R557" s="207"/>
      <c r="S557" s="619">
        <f>SUBTOTAL(9,S558:S728)</f>
        <v>1714801.9427999998</v>
      </c>
      <c r="T557" s="207">
        <f>F557-R557</f>
        <v>0</v>
      </c>
      <c r="U557" s="619">
        <f>SUBTOTAL(9,U558:U728)</f>
        <v>186912.33569999997</v>
      </c>
    </row>
    <row r="558" spans="1:21" s="213" customFormat="1">
      <c r="A558" s="210" t="s">
        <v>28</v>
      </c>
      <c r="B558" s="211"/>
      <c r="C558" s="655" t="s">
        <v>65</v>
      </c>
      <c r="D558" s="197"/>
      <c r="E558" s="198"/>
      <c r="F558" s="199"/>
      <c r="G558" s="199"/>
      <c r="H558" s="199"/>
      <c r="I558" s="200"/>
      <c r="J558" s="200">
        <f>SUBTOTAL(9,J559:J565)</f>
        <v>4103.1496999999999</v>
      </c>
      <c r="K558" s="200"/>
      <c r="L558" s="200"/>
      <c r="M558" s="620"/>
      <c r="N558" s="201"/>
      <c r="O558" s="620">
        <f>SUBTOTAL(9,O559:O565)</f>
        <v>4103.1399999999994</v>
      </c>
      <c r="P558" s="201"/>
      <c r="Q558" s="620">
        <f>SUBTOTAL(9,Q559:Q565)</f>
        <v>0</v>
      </c>
      <c r="R558" s="200"/>
      <c r="S558" s="620">
        <f>SUBTOTAL(9,S559:S565)</f>
        <v>4103.1399999999994</v>
      </c>
      <c r="T558" s="200">
        <f t="shared" ref="T558:T625" si="891">F558-R558</f>
        <v>0</v>
      </c>
      <c r="U558" s="620">
        <f>SUBTOTAL(9,U559:U565)</f>
        <v>0</v>
      </c>
    </row>
    <row r="559" spans="1:21" s="131" customFormat="1">
      <c r="A559" s="137" t="s">
        <v>698</v>
      </c>
      <c r="B559" s="133"/>
      <c r="C559" s="658" t="s">
        <v>101</v>
      </c>
      <c r="D559" s="126"/>
      <c r="E559" s="127"/>
      <c r="F559" s="128"/>
      <c r="G559" s="128"/>
      <c r="H559" s="128"/>
      <c r="I559" s="129"/>
      <c r="J559" s="129">
        <f>SUBTOTAL(9,J560:J560)</f>
        <v>1783.68</v>
      </c>
      <c r="K559" s="129"/>
      <c r="L559" s="129"/>
      <c r="M559" s="624"/>
      <c r="N559" s="130"/>
      <c r="O559" s="624">
        <f>SUBTOTAL(9,O560:O560)</f>
        <v>1783.68</v>
      </c>
      <c r="P559" s="130"/>
      <c r="Q559" s="624">
        <f>SUBTOTAL(9,Q560:Q560)</f>
        <v>0</v>
      </c>
      <c r="R559" s="129"/>
      <c r="S559" s="624">
        <f>SUBTOTAL(9,S560:S560)</f>
        <v>1783.68</v>
      </c>
      <c r="T559" s="129">
        <f t="shared" si="891"/>
        <v>0</v>
      </c>
      <c r="U559" s="624">
        <f>SUBTOTAL(9,U560:U560)</f>
        <v>0</v>
      </c>
    </row>
    <row r="560" spans="1:21">
      <c r="A560" s="190" t="s">
        <v>699</v>
      </c>
      <c r="B560" s="191">
        <v>20305</v>
      </c>
      <c r="C560" s="657" t="s">
        <v>103</v>
      </c>
      <c r="D560" s="192" t="s">
        <v>57</v>
      </c>
      <c r="E560" s="193">
        <v>222.96</v>
      </c>
      <c r="F560" s="194">
        <v>8</v>
      </c>
      <c r="G560" s="194"/>
      <c r="H560" s="194"/>
      <c r="I560" s="193">
        <f t="shared" ref="I560" si="892">F560+G560-H560</f>
        <v>8</v>
      </c>
      <c r="J560" s="193">
        <f t="shared" ref="J560" si="893">I560*E560</f>
        <v>1783.68</v>
      </c>
      <c r="K560" s="193"/>
      <c r="L560" s="193"/>
      <c r="M560" s="622">
        <f t="shared" ref="M560" si="894">I560*E560</f>
        <v>1783.68</v>
      </c>
      <c r="N560" s="195">
        <v>8</v>
      </c>
      <c r="O560" s="622">
        <f>TRUNC(N560*E560,2)</f>
        <v>1783.68</v>
      </c>
      <c r="P560" s="194">
        <v>0</v>
      </c>
      <c r="Q560" s="622">
        <f t="shared" ref="Q560" si="895">S560-O560</f>
        <v>0</v>
      </c>
      <c r="R560" s="194">
        <f>P560+N560</f>
        <v>8</v>
      </c>
      <c r="S560" s="630">
        <f>TRUNC(R560*E560,2)</f>
        <v>1783.68</v>
      </c>
      <c r="T560" s="194">
        <f t="shared" si="891"/>
        <v>0</v>
      </c>
      <c r="U560" s="630">
        <f t="shared" ref="U560" si="896">T560*E560</f>
        <v>0</v>
      </c>
    </row>
    <row r="561" spans="1:21">
      <c r="A561" s="138"/>
      <c r="B561" s="132"/>
      <c r="C561" s="123"/>
      <c r="D561" s="123"/>
      <c r="E561" s="123"/>
      <c r="F561" s="123"/>
      <c r="G561" s="123"/>
      <c r="H561" s="123"/>
      <c r="I561" s="123"/>
      <c r="J561" s="123"/>
      <c r="K561" s="123"/>
      <c r="L561" s="123"/>
      <c r="M561" s="623"/>
      <c r="N561" s="123"/>
      <c r="O561" s="623"/>
      <c r="P561" s="123"/>
      <c r="Q561" s="623"/>
      <c r="R561" s="123"/>
      <c r="S561" s="631"/>
      <c r="T561" s="194"/>
      <c r="U561" s="631"/>
    </row>
    <row r="562" spans="1:21" s="131" customFormat="1">
      <c r="A562" s="137" t="s">
        <v>700</v>
      </c>
      <c r="B562" s="133"/>
      <c r="C562" s="658" t="s">
        <v>105</v>
      </c>
      <c r="D562" s="126"/>
      <c r="E562" s="127"/>
      <c r="F562" s="128"/>
      <c r="G562" s="128"/>
      <c r="H562" s="128"/>
      <c r="I562" s="129"/>
      <c r="J562" s="129">
        <f>SUBTOTAL(9,J563:J565)</f>
        <v>2319.4697000000001</v>
      </c>
      <c r="K562" s="129"/>
      <c r="L562" s="129"/>
      <c r="M562" s="624"/>
      <c r="N562" s="130"/>
      <c r="O562" s="624">
        <f>SUBTOTAL(9,O563:O565)</f>
        <v>2319.46</v>
      </c>
      <c r="P562" s="130"/>
      <c r="Q562" s="624">
        <f>SUBTOTAL(9,Q563:Q565)</f>
        <v>0</v>
      </c>
      <c r="R562" s="129"/>
      <c r="S562" s="624">
        <f>SUBTOTAL(9,S563:S565)</f>
        <v>2319.46</v>
      </c>
      <c r="T562" s="129">
        <f t="shared" si="891"/>
        <v>0</v>
      </c>
      <c r="U562" s="624">
        <f>SUBTOTAL(9,U563:U565)</f>
        <v>0</v>
      </c>
    </row>
    <row r="563" spans="1:21">
      <c r="A563" s="190" t="s">
        <v>701</v>
      </c>
      <c r="B563" s="191">
        <v>10402</v>
      </c>
      <c r="C563" s="657" t="s">
        <v>108</v>
      </c>
      <c r="D563" s="192" t="s">
        <v>57</v>
      </c>
      <c r="E563" s="193">
        <v>3.74</v>
      </c>
      <c r="F563" s="194">
        <v>180.88</v>
      </c>
      <c r="G563" s="194"/>
      <c r="H563" s="194"/>
      <c r="I563" s="193">
        <f t="shared" ref="I563" si="897">F563+G563-H563</f>
        <v>180.88</v>
      </c>
      <c r="J563" s="193">
        <f t="shared" ref="J563" si="898">I563*E563</f>
        <v>676.49120000000005</v>
      </c>
      <c r="K563" s="193"/>
      <c r="L563" s="193"/>
      <c r="M563" s="622">
        <f t="shared" ref="M563" si="899">I563*E563</f>
        <v>676.49120000000005</v>
      </c>
      <c r="N563" s="194">
        <f>'5.1.2.1 '!R24</f>
        <v>180.88</v>
      </c>
      <c r="O563" s="622">
        <f>TRUNC(N563*E563,2)</f>
        <v>676.49</v>
      </c>
      <c r="P563" s="264">
        <f>'5.1.2.1 '!R25</f>
        <v>0</v>
      </c>
      <c r="Q563" s="625">
        <f t="shared" ref="Q563:Q565" si="900">S563-O563</f>
        <v>0</v>
      </c>
      <c r="R563" s="194">
        <f>P563+N563</f>
        <v>180.88</v>
      </c>
      <c r="S563" s="630">
        <f>TRUNC(R563*E563,2)</f>
        <v>676.49</v>
      </c>
      <c r="T563" s="194">
        <f t="shared" si="891"/>
        <v>0</v>
      </c>
      <c r="U563" s="630">
        <f t="shared" ref="U563:U565" si="901">T563*E563</f>
        <v>0</v>
      </c>
    </row>
    <row r="564" spans="1:21">
      <c r="A564" s="190" t="s">
        <v>702</v>
      </c>
      <c r="B564" s="191">
        <v>10404</v>
      </c>
      <c r="C564" s="657" t="s">
        <v>118</v>
      </c>
      <c r="D564" s="192" t="s">
        <v>59</v>
      </c>
      <c r="E564" s="193">
        <v>111.49</v>
      </c>
      <c r="F564" s="194">
        <v>1</v>
      </c>
      <c r="G564" s="194"/>
      <c r="H564" s="194"/>
      <c r="I564" s="193">
        <f t="shared" ref="I564:I565" si="902">F564+G564-H564</f>
        <v>1</v>
      </c>
      <c r="J564" s="193">
        <f t="shared" ref="J564:J565" si="903">I564*E564</f>
        <v>111.49</v>
      </c>
      <c r="K564" s="193"/>
      <c r="L564" s="193"/>
      <c r="M564" s="622">
        <f t="shared" ref="M564:M565" si="904">I564*E564</f>
        <v>111.49</v>
      </c>
      <c r="N564" s="194">
        <f>'5.1.2.2'!R24</f>
        <v>1</v>
      </c>
      <c r="O564" s="622">
        <f t="shared" ref="O564:O565" si="905">TRUNC(N564*E564,2)</f>
        <v>111.49</v>
      </c>
      <c r="P564" s="264">
        <f>'5.1.2.2'!R25</f>
        <v>0</v>
      </c>
      <c r="Q564" s="625">
        <f t="shared" si="900"/>
        <v>0</v>
      </c>
      <c r="R564" s="194">
        <f t="shared" ref="R564:R565" si="906">P564+N564</f>
        <v>1</v>
      </c>
      <c r="S564" s="630">
        <f t="shared" ref="S564:S565" si="907">TRUNC(R564*E564,2)</f>
        <v>111.49</v>
      </c>
      <c r="T564" s="194">
        <f t="shared" si="891"/>
        <v>0</v>
      </c>
      <c r="U564" s="630">
        <f t="shared" si="901"/>
        <v>0</v>
      </c>
    </row>
    <row r="565" spans="1:21" ht="38.25">
      <c r="A565" s="190" t="s">
        <v>703</v>
      </c>
      <c r="B565" s="191">
        <v>30304</v>
      </c>
      <c r="C565" s="657" t="s">
        <v>109</v>
      </c>
      <c r="D565" s="192" t="s">
        <v>58</v>
      </c>
      <c r="E565" s="193">
        <v>56.45</v>
      </c>
      <c r="F565" s="194">
        <v>27.13</v>
      </c>
      <c r="G565" s="194"/>
      <c r="H565" s="194"/>
      <c r="I565" s="193">
        <f t="shared" si="902"/>
        <v>27.13</v>
      </c>
      <c r="J565" s="193">
        <f t="shared" si="903"/>
        <v>1531.4884999999999</v>
      </c>
      <c r="K565" s="193"/>
      <c r="L565" s="193"/>
      <c r="M565" s="622">
        <f t="shared" si="904"/>
        <v>1531.4884999999999</v>
      </c>
      <c r="N565" s="194">
        <f>'5.1.2.3'!R24</f>
        <v>27.13</v>
      </c>
      <c r="O565" s="622">
        <f t="shared" si="905"/>
        <v>1531.48</v>
      </c>
      <c r="P565" s="264">
        <f>'5.1.2.3'!R25</f>
        <v>0</v>
      </c>
      <c r="Q565" s="625">
        <f t="shared" si="900"/>
        <v>0</v>
      </c>
      <c r="R565" s="194">
        <f t="shared" si="906"/>
        <v>27.13</v>
      </c>
      <c r="S565" s="630">
        <f t="shared" si="907"/>
        <v>1531.48</v>
      </c>
      <c r="T565" s="194">
        <f t="shared" si="891"/>
        <v>0</v>
      </c>
      <c r="U565" s="630">
        <f t="shared" si="901"/>
        <v>0</v>
      </c>
    </row>
    <row r="566" spans="1:21">
      <c r="A566" s="138"/>
      <c r="B566" s="132"/>
      <c r="C566" s="123"/>
      <c r="D566" s="123"/>
      <c r="E566" s="123"/>
      <c r="F566" s="123"/>
      <c r="G566" s="123"/>
      <c r="H566" s="123"/>
      <c r="I566" s="123"/>
      <c r="J566" s="123"/>
      <c r="K566" s="123"/>
      <c r="L566" s="123"/>
      <c r="M566" s="623"/>
      <c r="N566" s="123"/>
      <c r="O566" s="623"/>
      <c r="P566" s="123"/>
      <c r="Q566" s="623"/>
      <c r="R566" s="123"/>
      <c r="S566" s="631"/>
      <c r="T566" s="123"/>
      <c r="U566" s="631"/>
    </row>
    <row r="567" spans="1:21" s="213" customFormat="1">
      <c r="A567" s="210" t="s">
        <v>704</v>
      </c>
      <c r="B567" s="211"/>
      <c r="C567" s="655" t="s">
        <v>56</v>
      </c>
      <c r="D567" s="197"/>
      <c r="E567" s="198"/>
      <c r="F567" s="199"/>
      <c r="G567" s="199"/>
      <c r="H567" s="199"/>
      <c r="I567" s="200"/>
      <c r="J567" s="200">
        <f>SUBTOTAL(9,J568:J571)</f>
        <v>9398.8073999999997</v>
      </c>
      <c r="K567" s="200"/>
      <c r="L567" s="200"/>
      <c r="M567" s="620"/>
      <c r="N567" s="201"/>
      <c r="O567" s="620">
        <f>SUBTOTAL(9,O568:O571)</f>
        <v>12980.63</v>
      </c>
      <c r="P567" s="201"/>
      <c r="Q567" s="620">
        <f>SUBTOTAL(9,Q568:Q571)</f>
        <v>0</v>
      </c>
      <c r="R567" s="200"/>
      <c r="S567" s="620">
        <f>SUBTOTAL(9,S568:S571)</f>
        <v>12980.63</v>
      </c>
      <c r="T567" s="200">
        <f t="shared" si="891"/>
        <v>0</v>
      </c>
      <c r="U567" s="620">
        <f>SUBTOTAL(9,U568:U571)</f>
        <v>0</v>
      </c>
    </row>
    <row r="568" spans="1:21" s="131" customFormat="1">
      <c r="A568" s="137" t="s">
        <v>705</v>
      </c>
      <c r="B568" s="133"/>
      <c r="C568" s="658" t="s">
        <v>111</v>
      </c>
      <c r="D568" s="126"/>
      <c r="E568" s="127"/>
      <c r="F568" s="128"/>
      <c r="G568" s="128"/>
      <c r="H568" s="128"/>
      <c r="I568" s="129"/>
      <c r="J568" s="129">
        <f>SUBTOTAL(9,J569:J571)</f>
        <v>9398.8073999999997</v>
      </c>
      <c r="K568" s="129"/>
      <c r="L568" s="129"/>
      <c r="M568" s="624"/>
      <c r="N568" s="130"/>
      <c r="O568" s="624">
        <f>SUBTOTAL(9,O569:O571)</f>
        <v>12980.63</v>
      </c>
      <c r="P568" s="130"/>
      <c r="Q568" s="624">
        <f>SUBTOTAL(9,Q569:Q571)</f>
        <v>0</v>
      </c>
      <c r="R568" s="129"/>
      <c r="S568" s="624">
        <f>SUBTOTAL(9,S569:S571)</f>
        <v>12980.63</v>
      </c>
      <c r="T568" s="129">
        <f t="shared" si="891"/>
        <v>0</v>
      </c>
      <c r="U568" s="624">
        <f>SUBTOTAL(9,U569:U571)</f>
        <v>0</v>
      </c>
    </row>
    <row r="569" spans="1:21">
      <c r="A569" s="190" t="s">
        <v>706</v>
      </c>
      <c r="B569" s="191">
        <v>30103</v>
      </c>
      <c r="C569" s="657" t="s">
        <v>116</v>
      </c>
      <c r="D569" s="192" t="s">
        <v>58</v>
      </c>
      <c r="E569" s="193">
        <v>9.81</v>
      </c>
      <c r="F569" s="194">
        <v>0.88</v>
      </c>
      <c r="G569" s="194">
        <f>REPLANILHAMENTO!H499</f>
        <v>365.12</v>
      </c>
      <c r="H569" s="194"/>
      <c r="I569" s="193">
        <f>F569+G569</f>
        <v>366</v>
      </c>
      <c r="J569" s="193">
        <f>F569*E569</f>
        <v>8.6328000000000014</v>
      </c>
      <c r="K569" s="193">
        <f>G569*E569</f>
        <v>3581.8272000000002</v>
      </c>
      <c r="L569" s="193"/>
      <c r="M569" s="622">
        <f>I569*E569</f>
        <v>3590.46</v>
      </c>
      <c r="N569" s="194">
        <f>'5.2.1.1'!R24</f>
        <v>366</v>
      </c>
      <c r="O569" s="622">
        <f t="shared" ref="O569" si="908">TRUNC(N569*E569,2)</f>
        <v>3590.46</v>
      </c>
      <c r="P569" s="264">
        <f>'5.2.1.1'!R25</f>
        <v>0</v>
      </c>
      <c r="Q569" s="625">
        <f>P569*E569</f>
        <v>0</v>
      </c>
      <c r="R569" s="194">
        <f t="shared" ref="R569" si="909">P569+N569</f>
        <v>366</v>
      </c>
      <c r="S569" s="630">
        <f t="shared" ref="S569" si="910">TRUNC(R569*E569,2)</f>
        <v>3590.46</v>
      </c>
      <c r="T569" s="194">
        <v>0</v>
      </c>
      <c r="U569" s="630">
        <v>0</v>
      </c>
    </row>
    <row r="570" spans="1:21" ht="25.5">
      <c r="A570" s="190" t="s">
        <v>707</v>
      </c>
      <c r="B570" s="191">
        <v>30210</v>
      </c>
      <c r="C570" s="657" t="s">
        <v>117</v>
      </c>
      <c r="D570" s="192" t="s">
        <v>58</v>
      </c>
      <c r="E570" s="193">
        <v>25.99</v>
      </c>
      <c r="F570" s="194">
        <v>0.88</v>
      </c>
      <c r="G570" s="194"/>
      <c r="H570" s="194"/>
      <c r="I570" s="193">
        <f t="shared" ref="I570" si="911">F570+G570-H570</f>
        <v>0.88</v>
      </c>
      <c r="J570" s="193">
        <f t="shared" ref="J570" si="912">I570*E570</f>
        <v>22.871199999999998</v>
      </c>
      <c r="K570" s="193"/>
      <c r="L570" s="193"/>
      <c r="M570" s="622">
        <f t="shared" ref="M570" si="913">I570*E570</f>
        <v>22.871199999999998</v>
      </c>
      <c r="N570" s="194">
        <v>0.88</v>
      </c>
      <c r="O570" s="622">
        <f>TRUNC(N570*E570,2)</f>
        <v>22.87</v>
      </c>
      <c r="P570" s="264">
        <v>0</v>
      </c>
      <c r="Q570" s="625">
        <f>S570-O570</f>
        <v>0</v>
      </c>
      <c r="R570" s="194">
        <f>P570+N570</f>
        <v>0.88</v>
      </c>
      <c r="S570" s="630">
        <f>TRUNC(R570*E570,2)</f>
        <v>22.87</v>
      </c>
      <c r="T570" s="194">
        <f t="shared" ref="T570" si="914">F570-R570</f>
        <v>0</v>
      </c>
      <c r="U570" s="630">
        <f t="shared" ref="U570:U571" si="915">T570*E570</f>
        <v>0</v>
      </c>
    </row>
    <row r="571" spans="1:21" ht="25.5">
      <c r="A571" s="190" t="s">
        <v>708</v>
      </c>
      <c r="B571" s="191">
        <v>30208</v>
      </c>
      <c r="C571" s="657" t="s">
        <v>709</v>
      </c>
      <c r="D571" s="192" t="s">
        <v>58</v>
      </c>
      <c r="E571" s="193">
        <v>115.66</v>
      </c>
      <c r="F571" s="194">
        <v>80.989999999999995</v>
      </c>
      <c r="G571" s="194"/>
      <c r="H571" s="194"/>
      <c r="I571" s="193">
        <f t="shared" ref="I571" si="916">F571+G571-H571</f>
        <v>80.989999999999995</v>
      </c>
      <c r="J571" s="193">
        <f t="shared" ref="J571" si="917">I571*E571</f>
        <v>9367.3033999999989</v>
      </c>
      <c r="K571" s="193"/>
      <c r="L571" s="193"/>
      <c r="M571" s="622">
        <f t="shared" ref="M571" si="918">I571*E571</f>
        <v>9367.3033999999989</v>
      </c>
      <c r="N571" s="194">
        <v>80.989999999999995</v>
      </c>
      <c r="O571" s="622">
        <f>TRUNC(N571*E571,2)</f>
        <v>9367.2999999999993</v>
      </c>
      <c r="P571" s="264">
        <v>0</v>
      </c>
      <c r="Q571" s="625">
        <f>S571-O571</f>
        <v>0</v>
      </c>
      <c r="R571" s="194">
        <f>P571+N571</f>
        <v>80.989999999999995</v>
      </c>
      <c r="S571" s="630">
        <f>TRUNC(R571*E571,2)</f>
        <v>9367.2999999999993</v>
      </c>
      <c r="T571" s="194">
        <f t="shared" si="891"/>
        <v>0</v>
      </c>
      <c r="U571" s="630">
        <f t="shared" si="915"/>
        <v>0</v>
      </c>
    </row>
    <row r="572" spans="1:21" s="213" customFormat="1">
      <c r="A572" s="210" t="s">
        <v>710</v>
      </c>
      <c r="B572" s="211"/>
      <c r="C572" s="655" t="s">
        <v>119</v>
      </c>
      <c r="D572" s="197"/>
      <c r="E572" s="198"/>
      <c r="F572" s="199"/>
      <c r="G572" s="199"/>
      <c r="H572" s="199"/>
      <c r="I572" s="200"/>
      <c r="J572" s="200">
        <f>SUBTOTAL(9,J573:J644)</f>
        <v>365305.14220000006</v>
      </c>
      <c r="K572" s="200"/>
      <c r="L572" s="200"/>
      <c r="M572" s="620"/>
      <c r="N572" s="201"/>
      <c r="O572" s="620">
        <f>SUBTOTAL(9,O573:O644)</f>
        <v>532220.92999999993</v>
      </c>
      <c r="P572" s="201"/>
      <c r="Q572" s="620">
        <f>SUBTOTAL(9,Q573:Q644)</f>
        <v>0</v>
      </c>
      <c r="R572" s="200"/>
      <c r="S572" s="620">
        <f>SUBTOTAL(9,S573:S644)</f>
        <v>533097.80279999995</v>
      </c>
      <c r="T572" s="200">
        <f t="shared" si="891"/>
        <v>0</v>
      </c>
      <c r="U572" s="620">
        <f>SUBTOTAL(9,U573:U644)</f>
        <v>-37384.395599999989</v>
      </c>
    </row>
    <row r="573" spans="1:21" s="131" customFormat="1">
      <c r="A573" s="137" t="s">
        <v>711</v>
      </c>
      <c r="B573" s="133"/>
      <c r="C573" s="658" t="s">
        <v>98</v>
      </c>
      <c r="D573" s="126"/>
      <c r="E573" s="127"/>
      <c r="F573" s="128"/>
      <c r="G573" s="128"/>
      <c r="H573" s="128"/>
      <c r="I573" s="129"/>
      <c r="J573" s="129">
        <f>SUBTOTAL(9,J574:J575)</f>
        <v>1390.9672</v>
      </c>
      <c r="K573" s="129"/>
      <c r="L573" s="129"/>
      <c r="M573" s="624"/>
      <c r="N573" s="130"/>
      <c r="O573" s="624">
        <f>SUBTOTAL(9,O574)</f>
        <v>1390.96</v>
      </c>
      <c r="P573" s="130"/>
      <c r="Q573" s="624">
        <f>SUBTOTAL(9,Q574:Q575)</f>
        <v>0</v>
      </c>
      <c r="R573" s="129"/>
      <c r="S573" s="624">
        <f>SUBTOTAL(9,S574:S575)</f>
        <v>2267.83</v>
      </c>
      <c r="T573" s="129">
        <f t="shared" si="891"/>
        <v>0</v>
      </c>
      <c r="U573" s="624">
        <f>SUBTOTAL(9,U574)</f>
        <v>0</v>
      </c>
    </row>
    <row r="574" spans="1:21">
      <c r="A574" s="190" t="s">
        <v>712</v>
      </c>
      <c r="B574" s="191">
        <v>10501</v>
      </c>
      <c r="C574" s="657" t="s">
        <v>122</v>
      </c>
      <c r="D574" s="192" t="s">
        <v>57</v>
      </c>
      <c r="E574" s="193">
        <v>7.69</v>
      </c>
      <c r="F574" s="194">
        <v>180.88</v>
      </c>
      <c r="G574" s="194"/>
      <c r="H574" s="194"/>
      <c r="I574" s="193">
        <f t="shared" ref="I574" si="919">F574+G574-H574</f>
        <v>180.88</v>
      </c>
      <c r="J574" s="193">
        <f t="shared" ref="J574" si="920">I574*E574</f>
        <v>1390.9672</v>
      </c>
      <c r="K574" s="193"/>
      <c r="L574" s="193"/>
      <c r="M574" s="622">
        <f t="shared" ref="M574" si="921">I574*E574</f>
        <v>1390.9672</v>
      </c>
      <c r="N574" s="194">
        <v>180.88</v>
      </c>
      <c r="O574" s="622">
        <f t="shared" ref="O574" si="922">TRUNC(N574*E574,2)</f>
        <v>1390.96</v>
      </c>
      <c r="P574" s="264">
        <v>0</v>
      </c>
      <c r="Q574" s="625">
        <f t="shared" ref="Q574" si="923">S574-O574</f>
        <v>0</v>
      </c>
      <c r="R574" s="194">
        <f t="shared" ref="R574" si="924">P574+N574</f>
        <v>180.88</v>
      </c>
      <c r="S574" s="630">
        <f t="shared" ref="S574" si="925">TRUNC(R574*E574,2)</f>
        <v>1390.96</v>
      </c>
      <c r="T574" s="194">
        <f t="shared" si="891"/>
        <v>0</v>
      </c>
      <c r="U574" s="630">
        <f t="shared" ref="U574" si="926">T574*E574</f>
        <v>0</v>
      </c>
    </row>
    <row r="575" spans="1:21">
      <c r="A575" s="190" t="s">
        <v>1220</v>
      </c>
      <c r="B575" s="191" t="s">
        <v>1093</v>
      </c>
      <c r="C575" s="657" t="s">
        <v>1095</v>
      </c>
      <c r="D575" s="192" t="s">
        <v>51</v>
      </c>
      <c r="E575" s="193">
        <v>8.0299999999999994</v>
      </c>
      <c r="F575" s="194">
        <v>0</v>
      </c>
      <c r="G575" s="194">
        <v>114</v>
      </c>
      <c r="H575" s="194"/>
      <c r="I575" s="193">
        <v>109.2</v>
      </c>
      <c r="J575" s="193"/>
      <c r="K575" s="193">
        <f>G575*E575</f>
        <v>915.42</v>
      </c>
      <c r="L575" s="193"/>
      <c r="M575" s="622">
        <f>I575*E575</f>
        <v>876.87599999999998</v>
      </c>
      <c r="N575" s="194">
        <v>109.2</v>
      </c>
      <c r="O575" s="622"/>
      <c r="P575" s="560">
        <v>0</v>
      </c>
      <c r="Q575" s="630">
        <f>P575*E575</f>
        <v>0</v>
      </c>
      <c r="R575" s="560">
        <f t="shared" ref="R575" si="927">P575+N575</f>
        <v>109.2</v>
      </c>
      <c r="S575" s="630">
        <f t="shared" ref="S575" si="928">TRUNC(R575*E575,2)</f>
        <v>876.87</v>
      </c>
      <c r="T575" s="560">
        <f>I575-R575</f>
        <v>0</v>
      </c>
      <c r="U575" s="630">
        <f t="shared" ref="U575" si="929">T575*E575</f>
        <v>0</v>
      </c>
    </row>
    <row r="576" spans="1:21">
      <c r="A576" s="138"/>
      <c r="B576" s="132"/>
      <c r="C576" s="123"/>
      <c r="D576" s="123"/>
      <c r="E576" s="123"/>
      <c r="F576" s="123"/>
      <c r="G576" s="123"/>
      <c r="H576" s="123"/>
      <c r="I576" s="123"/>
      <c r="J576" s="123"/>
      <c r="K576" s="123"/>
      <c r="L576" s="123"/>
      <c r="M576" s="623"/>
      <c r="N576" s="123"/>
      <c r="O576" s="623"/>
      <c r="P576" s="123"/>
      <c r="Q576" s="623"/>
      <c r="R576" s="123"/>
      <c r="S576" s="631"/>
      <c r="T576" s="194"/>
      <c r="U576" s="630"/>
    </row>
    <row r="577" spans="1:21" s="131" customFormat="1">
      <c r="A577" s="137" t="s">
        <v>713</v>
      </c>
      <c r="B577" s="133"/>
      <c r="C577" s="658" t="s">
        <v>124</v>
      </c>
      <c r="D577" s="126"/>
      <c r="E577" s="127"/>
      <c r="F577" s="128"/>
      <c r="G577" s="128"/>
      <c r="H577" s="128"/>
      <c r="I577" s="129"/>
      <c r="J577" s="129">
        <f>SUBTOTAL(9,J578:J588)</f>
        <v>130072.26519999999</v>
      </c>
      <c r="K577" s="129"/>
      <c r="L577" s="129"/>
      <c r="M577" s="624"/>
      <c r="N577" s="130"/>
      <c r="O577" s="624">
        <f>SUBTOTAL(9,O578:O588)</f>
        <v>285250.59000000003</v>
      </c>
      <c r="P577" s="130"/>
      <c r="Q577" s="624">
        <f>SUBTOTAL(9,Q578:Q588)</f>
        <v>0</v>
      </c>
      <c r="R577" s="129"/>
      <c r="S577" s="624">
        <f>SUBTOTAL(9,S578:S588)</f>
        <v>285250.59000000003</v>
      </c>
      <c r="T577" s="129">
        <f t="shared" si="891"/>
        <v>0</v>
      </c>
      <c r="U577" s="624">
        <f>SUBTOTAL(9,U578:U588)</f>
        <v>12562.290999999999</v>
      </c>
    </row>
    <row r="578" spans="1:21" ht="25.5">
      <c r="A578" s="190" t="s">
        <v>714</v>
      </c>
      <c r="B578" s="191" t="s">
        <v>136</v>
      </c>
      <c r="C578" s="657" t="s">
        <v>141</v>
      </c>
      <c r="D578" s="192" t="s">
        <v>60</v>
      </c>
      <c r="E578" s="193">
        <v>462.96</v>
      </c>
      <c r="F578" s="194">
        <v>85</v>
      </c>
      <c r="G578" s="194"/>
      <c r="H578" s="194"/>
      <c r="I578" s="193">
        <f t="shared" ref="I578" si="930">F578+G578-H578</f>
        <v>85</v>
      </c>
      <c r="J578" s="193">
        <f t="shared" ref="J578" si="931">I578*E578</f>
        <v>39351.599999999999</v>
      </c>
      <c r="K578" s="193"/>
      <c r="L578" s="193"/>
      <c r="M578" s="622">
        <f t="shared" ref="M578" si="932">I578*E578</f>
        <v>39351.599999999999</v>
      </c>
      <c r="N578" s="194">
        <v>85</v>
      </c>
      <c r="O578" s="622">
        <f t="shared" ref="O578" si="933">TRUNC(N578*E578,2)</f>
        <v>39351.599999999999</v>
      </c>
      <c r="P578" s="194">
        <v>0</v>
      </c>
      <c r="Q578" s="622">
        <f t="shared" ref="Q578" si="934">S578-O578</f>
        <v>0</v>
      </c>
      <c r="R578" s="194">
        <f t="shared" ref="R578" si="935">P578+N578</f>
        <v>85</v>
      </c>
      <c r="S578" s="630">
        <f t="shared" ref="S578" si="936">TRUNC(R578*E578,2)</f>
        <v>39351.599999999999</v>
      </c>
      <c r="T578" s="194">
        <f t="shared" si="891"/>
        <v>0</v>
      </c>
      <c r="U578" s="630">
        <f t="shared" ref="U578" si="937">T578*E578</f>
        <v>0</v>
      </c>
    </row>
    <row r="579" spans="1:21" s="659" customFormat="1">
      <c r="A579" s="555" t="s">
        <v>715</v>
      </c>
      <c r="B579" s="556" t="s">
        <v>137</v>
      </c>
      <c r="C579" s="660" t="s">
        <v>142</v>
      </c>
      <c r="D579" s="557" t="s">
        <v>49</v>
      </c>
      <c r="E579" s="558">
        <v>596.34</v>
      </c>
      <c r="F579" s="559">
        <v>36.83</v>
      </c>
      <c r="G579" s="559"/>
      <c r="H579" s="559">
        <f>F579</f>
        <v>36.83</v>
      </c>
      <c r="I579" s="558">
        <f>F579-H579</f>
        <v>0</v>
      </c>
      <c r="J579" s="558">
        <f>F579*E579</f>
        <v>21963.2022</v>
      </c>
      <c r="K579" s="558"/>
      <c r="L579" s="558">
        <f>H579*E579</f>
        <v>21963.2022</v>
      </c>
      <c r="M579" s="626">
        <f>I579*E579</f>
        <v>0</v>
      </c>
      <c r="N579" s="559">
        <v>0</v>
      </c>
      <c r="O579" s="626">
        <f>TRUNC(N579*E579,2)</f>
        <v>0</v>
      </c>
      <c r="P579" s="559">
        <f>IFERROR(VLOOKUP(A579,#REF!,18,FALSE),)</f>
        <v>0</v>
      </c>
      <c r="Q579" s="626">
        <f>S579-O579</f>
        <v>0</v>
      </c>
      <c r="R579" s="559">
        <f>P579+N579</f>
        <v>0</v>
      </c>
      <c r="S579" s="632">
        <f>TRUNC(R579*E579,2)</f>
        <v>0</v>
      </c>
      <c r="T579" s="559">
        <v>0</v>
      </c>
      <c r="U579" s="632">
        <f t="shared" ref="U579:U619" si="938">I579-S579</f>
        <v>0</v>
      </c>
    </row>
    <row r="580" spans="1:21" s="659" customFormat="1" ht="25.5">
      <c r="A580" s="555" t="s">
        <v>716</v>
      </c>
      <c r="B580" s="556" t="s">
        <v>138</v>
      </c>
      <c r="C580" s="660" t="s">
        <v>143</v>
      </c>
      <c r="D580" s="557" t="s">
        <v>29</v>
      </c>
      <c r="E580" s="558">
        <v>4.82</v>
      </c>
      <c r="F580" s="559">
        <v>528</v>
      </c>
      <c r="G580" s="559"/>
      <c r="H580" s="559">
        <f t="shared" ref="H580:H582" si="939">F580</f>
        <v>528</v>
      </c>
      <c r="I580" s="558">
        <f t="shared" ref="I580:I581" si="940">F580-H580</f>
        <v>0</v>
      </c>
      <c r="J580" s="558">
        <f t="shared" ref="J580:J582" si="941">F580*E580</f>
        <v>2544.96</v>
      </c>
      <c r="K580" s="558"/>
      <c r="L580" s="558">
        <f t="shared" ref="L580:L582" si="942">H580*E580</f>
        <v>2544.96</v>
      </c>
      <c r="M580" s="626">
        <f t="shared" ref="M580:M582" si="943">I580*E580</f>
        <v>0</v>
      </c>
      <c r="N580" s="559">
        <v>0</v>
      </c>
      <c r="O580" s="626">
        <f t="shared" ref="O580:O586" si="944">TRUNC(N580*E580,2)</f>
        <v>0</v>
      </c>
      <c r="P580" s="559">
        <f>IFERROR(VLOOKUP(A580,#REF!,18,FALSE),)</f>
        <v>0</v>
      </c>
      <c r="Q580" s="626">
        <f t="shared" ref="Q580:Q586" si="945">S580-O580</f>
        <v>0</v>
      </c>
      <c r="R580" s="559">
        <f t="shared" ref="R580:R586" si="946">P580+N580</f>
        <v>0</v>
      </c>
      <c r="S580" s="632">
        <f t="shared" ref="S580:S586" si="947">TRUNC(R580*E580,2)</f>
        <v>0</v>
      </c>
      <c r="T580" s="559">
        <v>0</v>
      </c>
      <c r="U580" s="632">
        <f t="shared" si="938"/>
        <v>0</v>
      </c>
    </row>
    <row r="581" spans="1:21" s="659" customFormat="1" ht="25.5">
      <c r="A581" s="555" t="s">
        <v>717</v>
      </c>
      <c r="B581" s="556" t="s">
        <v>139</v>
      </c>
      <c r="C581" s="660" t="s">
        <v>144</v>
      </c>
      <c r="D581" s="557" t="s">
        <v>29</v>
      </c>
      <c r="E581" s="558">
        <v>6.12</v>
      </c>
      <c r="F581" s="559">
        <v>4554</v>
      </c>
      <c r="G581" s="559"/>
      <c r="H581" s="559">
        <f t="shared" si="939"/>
        <v>4554</v>
      </c>
      <c r="I581" s="558">
        <f t="shared" si="940"/>
        <v>0</v>
      </c>
      <c r="J581" s="558">
        <f t="shared" si="941"/>
        <v>27870.48</v>
      </c>
      <c r="K581" s="558"/>
      <c r="L581" s="558">
        <f t="shared" si="942"/>
        <v>27870.48</v>
      </c>
      <c r="M581" s="626">
        <f t="shared" si="943"/>
        <v>0</v>
      </c>
      <c r="N581" s="559">
        <v>0</v>
      </c>
      <c r="O581" s="626">
        <f t="shared" si="944"/>
        <v>0</v>
      </c>
      <c r="P581" s="559">
        <v>0</v>
      </c>
      <c r="Q581" s="626">
        <f t="shared" si="945"/>
        <v>0</v>
      </c>
      <c r="R581" s="559">
        <f t="shared" si="946"/>
        <v>0</v>
      </c>
      <c r="S581" s="632">
        <f t="shared" si="947"/>
        <v>0</v>
      </c>
      <c r="T581" s="559">
        <v>0</v>
      </c>
      <c r="U581" s="632">
        <f t="shared" si="938"/>
        <v>0</v>
      </c>
    </row>
    <row r="582" spans="1:21" s="659" customFormat="1" ht="25.5">
      <c r="A582" s="555" t="s">
        <v>718</v>
      </c>
      <c r="B582" s="556">
        <v>30101</v>
      </c>
      <c r="C582" s="660" t="s">
        <v>145</v>
      </c>
      <c r="D582" s="557" t="s">
        <v>58</v>
      </c>
      <c r="E582" s="558">
        <v>48.58</v>
      </c>
      <c r="F582" s="559">
        <v>5.8</v>
      </c>
      <c r="G582" s="559"/>
      <c r="H582" s="559">
        <f t="shared" si="939"/>
        <v>5.8</v>
      </c>
      <c r="I582" s="558">
        <f>F582-H582</f>
        <v>0</v>
      </c>
      <c r="J582" s="558">
        <f t="shared" si="941"/>
        <v>281.76399999999995</v>
      </c>
      <c r="K582" s="558"/>
      <c r="L582" s="558">
        <f t="shared" si="942"/>
        <v>281.76399999999995</v>
      </c>
      <c r="M582" s="626">
        <f t="shared" si="943"/>
        <v>0</v>
      </c>
      <c r="N582" s="559">
        <v>0</v>
      </c>
      <c r="O582" s="626">
        <f t="shared" si="944"/>
        <v>0</v>
      </c>
      <c r="P582" s="559">
        <f>IFERROR(VLOOKUP(A582,#REF!,18,FALSE),)</f>
        <v>0</v>
      </c>
      <c r="Q582" s="626">
        <f t="shared" si="945"/>
        <v>0</v>
      </c>
      <c r="R582" s="559">
        <f t="shared" si="946"/>
        <v>0</v>
      </c>
      <c r="S582" s="632">
        <f t="shared" si="947"/>
        <v>0</v>
      </c>
      <c r="T582" s="559">
        <v>0</v>
      </c>
      <c r="U582" s="632">
        <f t="shared" si="938"/>
        <v>0</v>
      </c>
    </row>
    <row r="583" spans="1:21" ht="51">
      <c r="A583" s="190" t="s">
        <v>719</v>
      </c>
      <c r="B583" s="191">
        <v>40339</v>
      </c>
      <c r="C583" s="657" t="s">
        <v>146</v>
      </c>
      <c r="D583" s="192" t="s">
        <v>57</v>
      </c>
      <c r="E583" s="193">
        <v>91.04</v>
      </c>
      <c r="F583" s="194">
        <v>122.6</v>
      </c>
      <c r="G583" s="194">
        <f>REPLANILHAMENTO!H512</f>
        <v>756.37</v>
      </c>
      <c r="H583" s="194"/>
      <c r="I583" s="193">
        <f>F583+G583</f>
        <v>878.97</v>
      </c>
      <c r="J583" s="193">
        <f>F583*E583</f>
        <v>11161.504000000001</v>
      </c>
      <c r="K583" s="193">
        <f>G583*E583</f>
        <v>68859.924800000008</v>
      </c>
      <c r="L583" s="193"/>
      <c r="M583" s="622">
        <f>I583*E583</f>
        <v>80021.428800000009</v>
      </c>
      <c r="N583" s="194">
        <f>'5.3.2.6'!R24</f>
        <v>878.97</v>
      </c>
      <c r="O583" s="622">
        <f t="shared" si="944"/>
        <v>80021.42</v>
      </c>
      <c r="P583" s="194">
        <f>'5.3.2.6'!R25</f>
        <v>0</v>
      </c>
      <c r="Q583" s="622">
        <f>P583*E583</f>
        <v>0</v>
      </c>
      <c r="R583" s="194">
        <f>P583+N583</f>
        <v>878.97</v>
      </c>
      <c r="S583" s="630">
        <f>TRUNC(R583*E583,2)</f>
        <v>80021.42</v>
      </c>
      <c r="T583" s="194">
        <f>I583-R583</f>
        <v>0</v>
      </c>
      <c r="U583" s="630">
        <f>T583*E583</f>
        <v>0</v>
      </c>
    </row>
    <row r="584" spans="1:21" ht="25.5">
      <c r="A584" s="190" t="s">
        <v>720</v>
      </c>
      <c r="B584" s="191">
        <v>40328</v>
      </c>
      <c r="C584" s="657" t="s">
        <v>147</v>
      </c>
      <c r="D584" s="192" t="s">
        <v>29</v>
      </c>
      <c r="E584" s="193">
        <v>7.98</v>
      </c>
      <c r="F584" s="194">
        <v>584</v>
      </c>
      <c r="G584" s="194">
        <f>REPLANILHAMENTO!H513</f>
        <v>11879</v>
      </c>
      <c r="H584" s="194"/>
      <c r="I584" s="193">
        <f>F584+G584</f>
        <v>12463</v>
      </c>
      <c r="J584" s="193">
        <f>F584*E584</f>
        <v>4660.3200000000006</v>
      </c>
      <c r="K584" s="193">
        <f>G584*E584</f>
        <v>94794.42</v>
      </c>
      <c r="L584" s="193"/>
      <c r="M584" s="622">
        <f>I584*E584</f>
        <v>99454.74</v>
      </c>
      <c r="N584" s="194">
        <f>'5.3.2.7'!R23</f>
        <v>12463</v>
      </c>
      <c r="O584" s="622">
        <f t="shared" si="944"/>
        <v>99454.74</v>
      </c>
      <c r="P584" s="194">
        <f>'5.3.2.7'!R24</f>
        <v>0</v>
      </c>
      <c r="Q584" s="622">
        <f>P584*E584</f>
        <v>0</v>
      </c>
      <c r="R584" s="194">
        <f>P584+N584</f>
        <v>12463</v>
      </c>
      <c r="S584" s="630">
        <f>TRUNC(R584*E584,2)</f>
        <v>99454.74</v>
      </c>
      <c r="T584" s="194">
        <f>I584-R584</f>
        <v>0</v>
      </c>
      <c r="U584" s="630">
        <f>T584*E584</f>
        <v>0</v>
      </c>
    </row>
    <row r="585" spans="1:21" s="659" customFormat="1" ht="25.5">
      <c r="A585" s="555" t="s">
        <v>721</v>
      </c>
      <c r="B585" s="556">
        <v>40245</v>
      </c>
      <c r="C585" s="660" t="s">
        <v>148</v>
      </c>
      <c r="D585" s="557" t="s">
        <v>29</v>
      </c>
      <c r="E585" s="558">
        <v>8.41</v>
      </c>
      <c r="F585" s="559">
        <v>144</v>
      </c>
      <c r="G585" s="559"/>
      <c r="H585" s="559">
        <f>F585</f>
        <v>144</v>
      </c>
      <c r="I585" s="558">
        <f>F585-H585</f>
        <v>0</v>
      </c>
      <c r="J585" s="558">
        <f t="shared" ref="J585" si="948">F585*E585</f>
        <v>1211.04</v>
      </c>
      <c r="K585" s="558"/>
      <c r="L585" s="558">
        <f t="shared" ref="L585" si="949">H585*E585</f>
        <v>1211.04</v>
      </c>
      <c r="M585" s="626">
        <f t="shared" ref="M585" si="950">I585*E585</f>
        <v>0</v>
      </c>
      <c r="N585" s="559">
        <v>0</v>
      </c>
      <c r="O585" s="626">
        <f t="shared" si="944"/>
        <v>0</v>
      </c>
      <c r="P585" s="559">
        <v>0</v>
      </c>
      <c r="Q585" s="626">
        <f t="shared" si="945"/>
        <v>0</v>
      </c>
      <c r="R585" s="559">
        <f t="shared" si="946"/>
        <v>0</v>
      </c>
      <c r="S585" s="632">
        <f t="shared" si="947"/>
        <v>0</v>
      </c>
      <c r="T585" s="559">
        <v>0</v>
      </c>
      <c r="U585" s="632">
        <f t="shared" si="938"/>
        <v>0</v>
      </c>
    </row>
    <row r="586" spans="1:21" s="659" customFormat="1" ht="25.5">
      <c r="A586" s="555" t="s">
        <v>722</v>
      </c>
      <c r="B586" s="556">
        <v>40246</v>
      </c>
      <c r="C586" s="660" t="s">
        <v>149</v>
      </c>
      <c r="D586" s="557" t="s">
        <v>29</v>
      </c>
      <c r="E586" s="558">
        <v>8.08</v>
      </c>
      <c r="F586" s="559">
        <v>37</v>
      </c>
      <c r="G586" s="559"/>
      <c r="H586" s="559">
        <f>F586</f>
        <v>37</v>
      </c>
      <c r="I586" s="558">
        <f>F586-H586</f>
        <v>0</v>
      </c>
      <c r="J586" s="558">
        <f t="shared" ref="J586" si="951">F586*E586</f>
        <v>298.95999999999998</v>
      </c>
      <c r="K586" s="558"/>
      <c r="L586" s="558">
        <f t="shared" ref="L586" si="952">H586*E586</f>
        <v>298.95999999999998</v>
      </c>
      <c r="M586" s="626">
        <f t="shared" ref="M586" si="953">I586*E586</f>
        <v>0</v>
      </c>
      <c r="N586" s="559">
        <v>0</v>
      </c>
      <c r="O586" s="626">
        <f t="shared" si="944"/>
        <v>0</v>
      </c>
      <c r="P586" s="559">
        <v>0</v>
      </c>
      <c r="Q586" s="626">
        <f t="shared" si="945"/>
        <v>0</v>
      </c>
      <c r="R586" s="559">
        <f t="shared" si="946"/>
        <v>0</v>
      </c>
      <c r="S586" s="632">
        <f t="shared" si="947"/>
        <v>0</v>
      </c>
      <c r="T586" s="559">
        <v>0</v>
      </c>
      <c r="U586" s="632">
        <f t="shared" si="938"/>
        <v>0</v>
      </c>
    </row>
    <row r="587" spans="1:21" ht="51">
      <c r="A587" s="190" t="s">
        <v>723</v>
      </c>
      <c r="B587" s="191" t="s">
        <v>140</v>
      </c>
      <c r="C587" s="657" t="s">
        <v>177</v>
      </c>
      <c r="D587" s="192" t="s">
        <v>58</v>
      </c>
      <c r="E587" s="193">
        <v>486.08</v>
      </c>
      <c r="F587" s="194">
        <v>16.8</v>
      </c>
      <c r="G587" s="194">
        <f>REPLANILHAMENTO!H517</f>
        <v>119.85000000000001</v>
      </c>
      <c r="H587" s="194"/>
      <c r="I587" s="193">
        <f>F587+G587</f>
        <v>136.65</v>
      </c>
      <c r="J587" s="193">
        <f>F587*E587</f>
        <v>8166.1440000000002</v>
      </c>
      <c r="K587" s="193">
        <f>G587*E587</f>
        <v>58256.688000000002</v>
      </c>
      <c r="L587" s="193"/>
      <c r="M587" s="622">
        <f>I587*E587</f>
        <v>66422.831999999995</v>
      </c>
      <c r="N587" s="194">
        <f>'5.3.2.10'!R37</f>
        <v>136.65</v>
      </c>
      <c r="O587" s="622">
        <f>TRUNC(N587*E587,2)</f>
        <v>66422.83</v>
      </c>
      <c r="P587" s="194">
        <f>'5.3.2.10'!R38</f>
        <v>0</v>
      </c>
      <c r="Q587" s="622">
        <f>S587-O587</f>
        <v>0</v>
      </c>
      <c r="R587" s="194">
        <f>P587+N587</f>
        <v>136.65</v>
      </c>
      <c r="S587" s="630">
        <f>TRUNC(R587*E587,2)</f>
        <v>66422.83</v>
      </c>
      <c r="T587" s="194">
        <f>I587-R587</f>
        <v>0</v>
      </c>
      <c r="U587" s="630">
        <f>T587*E587</f>
        <v>0</v>
      </c>
    </row>
    <row r="588" spans="1:21">
      <c r="A588" s="190" t="s">
        <v>724</v>
      </c>
      <c r="B588" s="191">
        <v>40813</v>
      </c>
      <c r="C588" s="657" t="s">
        <v>151</v>
      </c>
      <c r="D588" s="192" t="s">
        <v>57</v>
      </c>
      <c r="E588" s="193">
        <v>64.3</v>
      </c>
      <c r="F588" s="194">
        <v>195.37</v>
      </c>
      <c r="G588" s="194"/>
      <c r="H588" s="194"/>
      <c r="I588" s="193">
        <f t="shared" ref="I588" si="954">F588+G588-H588</f>
        <v>195.37</v>
      </c>
      <c r="J588" s="193">
        <f t="shared" ref="J588" si="955">I588*E588</f>
        <v>12562.290999999999</v>
      </c>
      <c r="K588" s="193"/>
      <c r="L588" s="193"/>
      <c r="M588" s="622">
        <f t="shared" ref="M588" si="956">I588*E588</f>
        <v>12562.290999999999</v>
      </c>
      <c r="N588" s="194">
        <v>0</v>
      </c>
      <c r="O588" s="622">
        <f>TRUNC(N588*E588,2)</f>
        <v>0</v>
      </c>
      <c r="P588" s="194">
        <f>IFERROR(VLOOKUP(A588,#REF!,18,FALSE),)</f>
        <v>0</v>
      </c>
      <c r="Q588" s="622">
        <f>S588-O588</f>
        <v>0</v>
      </c>
      <c r="R588" s="194">
        <f>P588+N588</f>
        <v>0</v>
      </c>
      <c r="S588" s="630">
        <f>TRUNC(R588*E588,2)</f>
        <v>0</v>
      </c>
      <c r="T588" s="194">
        <f t="shared" si="891"/>
        <v>195.37</v>
      </c>
      <c r="U588" s="630">
        <f t="shared" ref="U588" si="957">T588*E588</f>
        <v>12562.290999999999</v>
      </c>
    </row>
    <row r="589" spans="1:21" ht="25.5">
      <c r="A589" s="190" t="s">
        <v>1302</v>
      </c>
      <c r="B589" s="191">
        <v>130110</v>
      </c>
      <c r="C589" s="657" t="str">
        <f>REPLANILHAMENTO!D516</f>
        <v>Lastro regularizado de concreto não estrutural, espessura de 8 cm (máximo de 100m3)</v>
      </c>
      <c r="D589" s="192" t="s">
        <v>57</v>
      </c>
      <c r="E589" s="193">
        <f>REPLANILHAMENTO!F516</f>
        <v>51.84</v>
      </c>
      <c r="F589" s="194">
        <v>0</v>
      </c>
      <c r="G589" s="194">
        <v>226.42</v>
      </c>
      <c r="H589" s="194"/>
      <c r="I589" s="193">
        <f>F589+G589</f>
        <v>226.42</v>
      </c>
      <c r="J589" s="193">
        <v>0</v>
      </c>
      <c r="K589" s="193">
        <f>G589*E589</f>
        <v>11737.612800000001</v>
      </c>
      <c r="L589" s="193"/>
      <c r="M589" s="622">
        <f>I589*E589</f>
        <v>11737.612800000001</v>
      </c>
      <c r="N589" s="194">
        <f>'5.3.2.12'!R23</f>
        <v>226.42</v>
      </c>
      <c r="O589" s="622">
        <f>TRUNC(N589*E589,2)</f>
        <v>11737.61</v>
      </c>
      <c r="P589" s="194">
        <f>'5.3.2.12'!R24</f>
        <v>0</v>
      </c>
      <c r="Q589" s="622">
        <f>P589*E589</f>
        <v>0</v>
      </c>
      <c r="R589" s="194">
        <f>P589+N589</f>
        <v>226.42</v>
      </c>
      <c r="S589" s="630">
        <f>R589*E589</f>
        <v>11737.612800000001</v>
      </c>
      <c r="T589" s="194">
        <f>I589-R589</f>
        <v>0</v>
      </c>
      <c r="U589" s="630">
        <f>T589*E589</f>
        <v>0</v>
      </c>
    </row>
    <row r="590" spans="1:21">
      <c r="A590" s="138"/>
      <c r="B590" s="132"/>
      <c r="C590" s="123"/>
      <c r="D590" s="123"/>
      <c r="E590" s="123"/>
      <c r="F590" s="123"/>
      <c r="G590" s="123"/>
      <c r="H590" s="123"/>
      <c r="I590" s="123"/>
      <c r="J590" s="123"/>
      <c r="K590" s="123"/>
      <c r="L590" s="123"/>
      <c r="M590" s="623"/>
      <c r="N590" s="123"/>
      <c r="O590" s="623"/>
      <c r="P590" s="123"/>
      <c r="Q590" s="623"/>
      <c r="R590" s="123"/>
      <c r="S590" s="631"/>
      <c r="T590" s="123"/>
      <c r="U590" s="631"/>
    </row>
    <row r="591" spans="1:21" s="131" customFormat="1">
      <c r="A591" s="137" t="s">
        <v>725</v>
      </c>
      <c r="B591" s="133"/>
      <c r="C591" s="658" t="s">
        <v>153</v>
      </c>
      <c r="D591" s="126"/>
      <c r="E591" s="127"/>
      <c r="F591" s="128"/>
      <c r="G591" s="128"/>
      <c r="H591" s="128"/>
      <c r="I591" s="129"/>
      <c r="J591" s="129">
        <f>SUBTOTAL(9,J592)</f>
        <v>13844.9586</v>
      </c>
      <c r="K591" s="129"/>
      <c r="L591" s="129"/>
      <c r="M591" s="624"/>
      <c r="N591" s="130"/>
      <c r="O591" s="624">
        <f>SUBTOTAL(9,O592)</f>
        <v>13844.95</v>
      </c>
      <c r="P591" s="130"/>
      <c r="Q591" s="624">
        <f>SUBTOTAL(9,Q592)</f>
        <v>0</v>
      </c>
      <c r="R591" s="129"/>
      <c r="S591" s="624">
        <f>SUBTOTAL(9,S592)</f>
        <v>13844.95</v>
      </c>
      <c r="T591" s="129">
        <f t="shared" si="891"/>
        <v>0</v>
      </c>
      <c r="U591" s="624">
        <f>SUBTOTAL(9,U592)</f>
        <v>0</v>
      </c>
    </row>
    <row r="592" spans="1:21" ht="25.5">
      <c r="A592" s="190" t="s">
        <v>726</v>
      </c>
      <c r="B592" s="191" t="s">
        <v>155</v>
      </c>
      <c r="C592" s="657" t="s">
        <v>156</v>
      </c>
      <c r="D592" s="192" t="s">
        <v>50</v>
      </c>
      <c r="E592" s="193">
        <v>91.41</v>
      </c>
      <c r="F592" s="194">
        <v>151.46</v>
      </c>
      <c r="G592" s="194"/>
      <c r="H592" s="194"/>
      <c r="I592" s="193">
        <f t="shared" ref="I592" si="958">F592+G592-H592</f>
        <v>151.46</v>
      </c>
      <c r="J592" s="193">
        <f t="shared" ref="J592" si="959">I592*E592</f>
        <v>13844.9586</v>
      </c>
      <c r="K592" s="193"/>
      <c r="L592" s="193"/>
      <c r="M592" s="622">
        <f t="shared" ref="M592" si="960">I592*E592</f>
        <v>13844.9586</v>
      </c>
      <c r="N592" s="194">
        <v>151.46</v>
      </c>
      <c r="O592" s="622">
        <f t="shared" ref="O592" si="961">TRUNC(N592*E592,2)</f>
        <v>13844.95</v>
      </c>
      <c r="P592" s="194">
        <v>0</v>
      </c>
      <c r="Q592" s="622">
        <f t="shared" ref="Q592" si="962">S592-O592</f>
        <v>0</v>
      </c>
      <c r="R592" s="194">
        <f t="shared" ref="R592" si="963">P592+N592</f>
        <v>151.46</v>
      </c>
      <c r="S592" s="630">
        <f t="shared" ref="S592" si="964">TRUNC(R592*E592,2)</f>
        <v>13844.95</v>
      </c>
      <c r="T592" s="194">
        <f t="shared" si="891"/>
        <v>0</v>
      </c>
      <c r="U592" s="630">
        <f t="shared" ref="U592" si="965">T592*E592</f>
        <v>0</v>
      </c>
    </row>
    <row r="593" spans="1:21">
      <c r="A593" s="138"/>
      <c r="B593" s="132"/>
      <c r="C593" s="123"/>
      <c r="D593" s="123"/>
      <c r="E593" s="123"/>
      <c r="F593" s="123"/>
      <c r="G593" s="123"/>
      <c r="H593" s="123"/>
      <c r="I593" s="123"/>
      <c r="J593" s="123"/>
      <c r="K593" s="123"/>
      <c r="L593" s="123"/>
      <c r="M593" s="623"/>
      <c r="N593" s="123"/>
      <c r="O593" s="623"/>
      <c r="P593" s="123"/>
      <c r="Q593" s="623"/>
      <c r="R593" s="123"/>
      <c r="S593" s="631"/>
      <c r="T593" s="123"/>
      <c r="U593" s="631"/>
    </row>
    <row r="594" spans="1:21" s="131" customFormat="1">
      <c r="A594" s="137" t="s">
        <v>727</v>
      </c>
      <c r="B594" s="133"/>
      <c r="C594" s="658" t="s">
        <v>158</v>
      </c>
      <c r="D594" s="126"/>
      <c r="E594" s="127"/>
      <c r="F594" s="128"/>
      <c r="G594" s="128"/>
      <c r="H594" s="128"/>
      <c r="I594" s="129"/>
      <c r="J594" s="129">
        <f>SUBTOTAL(9,J595:J597)</f>
        <v>2958.9223000000002</v>
      </c>
      <c r="K594" s="129"/>
      <c r="L594" s="129"/>
      <c r="M594" s="624"/>
      <c r="N594" s="130"/>
      <c r="O594" s="624">
        <f>SUBTOTAL(9,O595:O597)</f>
        <v>2958.91</v>
      </c>
      <c r="P594" s="130"/>
      <c r="Q594" s="624">
        <f>SUBTOTAL(9,Q595:Q597)</f>
        <v>0</v>
      </c>
      <c r="R594" s="129"/>
      <c r="S594" s="624">
        <f>SUBTOTAL(9,S595:S597)</f>
        <v>2958.91</v>
      </c>
      <c r="T594" s="129">
        <f t="shared" si="891"/>
        <v>0</v>
      </c>
      <c r="U594" s="624">
        <f>SUBTOTAL(9,U595:U597)</f>
        <v>0</v>
      </c>
    </row>
    <row r="595" spans="1:21" ht="25.5">
      <c r="A595" s="190" t="s">
        <v>728</v>
      </c>
      <c r="B595" s="191" t="s">
        <v>155</v>
      </c>
      <c r="C595" s="657" t="s">
        <v>156</v>
      </c>
      <c r="D595" s="192" t="s">
        <v>50</v>
      </c>
      <c r="E595" s="193">
        <v>91.41</v>
      </c>
      <c r="F595" s="194">
        <v>23.59</v>
      </c>
      <c r="G595" s="194"/>
      <c r="H595" s="194"/>
      <c r="I595" s="193">
        <f t="shared" ref="I595" si="966">F595+G595-H595</f>
        <v>23.59</v>
      </c>
      <c r="J595" s="193">
        <f t="shared" ref="J595" si="967">I595*E595</f>
        <v>2156.3618999999999</v>
      </c>
      <c r="K595" s="193"/>
      <c r="L595" s="193"/>
      <c r="M595" s="622">
        <f t="shared" ref="M595" si="968">I595*E595</f>
        <v>2156.3618999999999</v>
      </c>
      <c r="N595" s="194">
        <v>23.59</v>
      </c>
      <c r="O595" s="622">
        <f t="shared" ref="O595" si="969">TRUNC(N595*E595,2)</f>
        <v>2156.36</v>
      </c>
      <c r="P595" s="194"/>
      <c r="Q595" s="622">
        <f t="shared" ref="Q595" si="970">S595-O595</f>
        <v>0</v>
      </c>
      <c r="R595" s="194">
        <f t="shared" ref="R595" si="971">P595+N595</f>
        <v>23.59</v>
      </c>
      <c r="S595" s="630">
        <f t="shared" ref="S595" si="972">TRUNC(R595*E595,2)</f>
        <v>2156.36</v>
      </c>
      <c r="T595" s="194">
        <f t="shared" si="891"/>
        <v>0</v>
      </c>
      <c r="U595" s="630">
        <f t="shared" ref="U595:U597" si="973">T595*E595</f>
        <v>0</v>
      </c>
    </row>
    <row r="596" spans="1:21">
      <c r="A596" s="190" t="s">
        <v>729</v>
      </c>
      <c r="B596" s="191">
        <v>200323</v>
      </c>
      <c r="C596" s="657" t="s">
        <v>162</v>
      </c>
      <c r="D596" s="192" t="s">
        <v>58</v>
      </c>
      <c r="E596" s="193">
        <v>125.94</v>
      </c>
      <c r="F596" s="194">
        <v>4.76</v>
      </c>
      <c r="G596" s="194"/>
      <c r="H596" s="194"/>
      <c r="I596" s="193">
        <f t="shared" ref="I596:I597" si="974">F596+G596-H596</f>
        <v>4.76</v>
      </c>
      <c r="J596" s="193">
        <f t="shared" ref="J596:J597" si="975">I596*E596</f>
        <v>599.47439999999995</v>
      </c>
      <c r="K596" s="193"/>
      <c r="L596" s="193"/>
      <c r="M596" s="622">
        <f t="shared" ref="M596:M597" si="976">I596*E596</f>
        <v>599.47439999999995</v>
      </c>
      <c r="N596" s="194">
        <v>4.76</v>
      </c>
      <c r="O596" s="622">
        <f>TRUNC(N596*E596,2)</f>
        <v>599.47</v>
      </c>
      <c r="P596" s="194"/>
      <c r="Q596" s="622">
        <f>S596-O596</f>
        <v>0</v>
      </c>
      <c r="R596" s="194">
        <f>P596+N596</f>
        <v>4.76</v>
      </c>
      <c r="S596" s="630">
        <f>TRUNC(R596*E596,2)</f>
        <v>599.47</v>
      </c>
      <c r="T596" s="194">
        <f t="shared" si="891"/>
        <v>0</v>
      </c>
      <c r="U596" s="630">
        <f t="shared" si="973"/>
        <v>0</v>
      </c>
    </row>
    <row r="597" spans="1:21" ht="38.25">
      <c r="A597" s="190" t="s">
        <v>730</v>
      </c>
      <c r="B597" s="191">
        <v>50501</v>
      </c>
      <c r="C597" s="657" t="s">
        <v>916</v>
      </c>
      <c r="D597" s="192" t="s">
        <v>57</v>
      </c>
      <c r="E597" s="193">
        <v>94.9</v>
      </c>
      <c r="F597" s="194">
        <v>2.14</v>
      </c>
      <c r="G597" s="194"/>
      <c r="H597" s="194"/>
      <c r="I597" s="193">
        <f t="shared" si="974"/>
        <v>2.14</v>
      </c>
      <c r="J597" s="193">
        <f t="shared" si="975"/>
        <v>203.08600000000001</v>
      </c>
      <c r="K597" s="193"/>
      <c r="L597" s="193"/>
      <c r="M597" s="622">
        <f t="shared" si="976"/>
        <v>203.08600000000001</v>
      </c>
      <c r="N597" s="194">
        <v>2.14</v>
      </c>
      <c r="O597" s="622">
        <f t="shared" ref="O597" si="977">TRUNC(N597*E597,2)</f>
        <v>203.08</v>
      </c>
      <c r="P597" s="194">
        <v>0</v>
      </c>
      <c r="Q597" s="622">
        <f t="shared" ref="Q597" si="978">S597-O597</f>
        <v>0</v>
      </c>
      <c r="R597" s="194">
        <v>2.14</v>
      </c>
      <c r="S597" s="630">
        <f t="shared" ref="S597" si="979">TRUNC(R597*E597,2)</f>
        <v>203.08</v>
      </c>
      <c r="T597" s="194">
        <f>F597-R597</f>
        <v>0</v>
      </c>
      <c r="U597" s="630">
        <f t="shared" si="973"/>
        <v>0</v>
      </c>
    </row>
    <row r="598" spans="1:21">
      <c r="A598" s="138"/>
      <c r="B598" s="132"/>
      <c r="C598" s="123"/>
      <c r="D598" s="123"/>
      <c r="E598" s="123"/>
      <c r="F598" s="123"/>
      <c r="G598" s="123"/>
      <c r="H598" s="123"/>
      <c r="I598" s="123"/>
      <c r="J598" s="123"/>
      <c r="K598" s="123"/>
      <c r="L598" s="123"/>
      <c r="M598" s="623"/>
      <c r="N598" s="123"/>
      <c r="O598" s="623"/>
      <c r="P598" s="123"/>
      <c r="Q598" s="623"/>
      <c r="R598" s="123"/>
      <c r="S598" s="631"/>
      <c r="T598" s="123"/>
      <c r="U598" s="631"/>
    </row>
    <row r="599" spans="1:21" s="131" customFormat="1">
      <c r="A599" s="137" t="s">
        <v>731</v>
      </c>
      <c r="B599" s="133"/>
      <c r="C599" s="658" t="s">
        <v>164</v>
      </c>
      <c r="D599" s="126"/>
      <c r="E599" s="127"/>
      <c r="F599" s="128"/>
      <c r="G599" s="128"/>
      <c r="H599" s="128"/>
      <c r="I599" s="129"/>
      <c r="J599" s="129">
        <f>SUBTOTAL(9,J600:J604)</f>
        <v>9240.366</v>
      </c>
      <c r="K599" s="129"/>
      <c r="L599" s="129"/>
      <c r="M599" s="624"/>
      <c r="N599" s="130"/>
      <c r="O599" s="624">
        <f>SUBTOTAL(9,O600:O604)</f>
        <v>9240.36</v>
      </c>
      <c r="P599" s="130"/>
      <c r="Q599" s="624">
        <f>SUBTOTAL(9,Q600:Q604)</f>
        <v>0</v>
      </c>
      <c r="R599" s="129"/>
      <c r="S599" s="624">
        <f>SUBTOTAL(9,S600:S604)</f>
        <v>9240.36</v>
      </c>
      <c r="T599" s="129">
        <f t="shared" si="891"/>
        <v>0</v>
      </c>
      <c r="U599" s="624">
        <f>SUBTOTAL(9,U600:U604)</f>
        <v>0</v>
      </c>
    </row>
    <row r="600" spans="1:21" ht="51">
      <c r="A600" s="190" t="s">
        <v>732</v>
      </c>
      <c r="B600" s="191">
        <v>40339</v>
      </c>
      <c r="C600" s="657" t="s">
        <v>184</v>
      </c>
      <c r="D600" s="192" t="s">
        <v>57</v>
      </c>
      <c r="E600" s="193">
        <v>91.04</v>
      </c>
      <c r="F600" s="194">
        <v>52.4</v>
      </c>
      <c r="G600" s="194"/>
      <c r="H600" s="194"/>
      <c r="I600" s="193">
        <f t="shared" ref="I600" si="980">F600+G600-H600</f>
        <v>52.4</v>
      </c>
      <c r="J600" s="193">
        <f t="shared" ref="J600" si="981">I600*E600</f>
        <v>4770.4960000000001</v>
      </c>
      <c r="K600" s="193"/>
      <c r="L600" s="193"/>
      <c r="M600" s="622">
        <f t="shared" ref="M600" si="982">I600*E600</f>
        <v>4770.4960000000001</v>
      </c>
      <c r="N600" s="194">
        <f>'5.3.5.1'!R21</f>
        <v>52.4</v>
      </c>
      <c r="O600" s="622">
        <f t="shared" ref="O600" si="983">TRUNC(N600*E600,2)</f>
        <v>4770.49</v>
      </c>
      <c r="P600" s="194">
        <f>'5.3.5.1'!R22</f>
        <v>0</v>
      </c>
      <c r="Q600" s="622">
        <f t="shared" ref="Q600" si="984">S600-O600</f>
        <v>0</v>
      </c>
      <c r="R600" s="194">
        <f t="shared" ref="R600" si="985">P600+N600</f>
        <v>52.4</v>
      </c>
      <c r="S600" s="630">
        <f t="shared" ref="S600" si="986">TRUNC(R600*E600,2)</f>
        <v>4770.49</v>
      </c>
      <c r="T600" s="194">
        <f t="shared" si="891"/>
        <v>0</v>
      </c>
      <c r="U600" s="630">
        <f t="shared" ref="U600:U604" si="987">T600*E600</f>
        <v>0</v>
      </c>
    </row>
    <row r="601" spans="1:21" ht="25.5">
      <c r="A601" s="190" t="s">
        <v>733</v>
      </c>
      <c r="B601" s="191">
        <v>40328</v>
      </c>
      <c r="C601" s="657" t="s">
        <v>147</v>
      </c>
      <c r="D601" s="192" t="s">
        <v>29</v>
      </c>
      <c r="E601" s="193">
        <v>7.98</v>
      </c>
      <c r="F601" s="194">
        <v>210</v>
      </c>
      <c r="G601" s="194"/>
      <c r="H601" s="194"/>
      <c r="I601" s="193">
        <f t="shared" ref="I601:I604" si="988">F601+G601-H601</f>
        <v>210</v>
      </c>
      <c r="J601" s="193">
        <f t="shared" ref="J601:J604" si="989">I601*E601</f>
        <v>1675.8000000000002</v>
      </c>
      <c r="K601" s="193"/>
      <c r="L601" s="193"/>
      <c r="M601" s="622">
        <f t="shared" ref="M601:M604" si="990">I601*E601</f>
        <v>1675.8000000000002</v>
      </c>
      <c r="N601" s="194">
        <f>'5.3.5.2'!R26</f>
        <v>210</v>
      </c>
      <c r="O601" s="622">
        <f>TRUNC(N601*E601,2)</f>
        <v>1675.8</v>
      </c>
      <c r="P601" s="194">
        <f>'5.3.5.2'!R27</f>
        <v>0</v>
      </c>
      <c r="Q601" s="622">
        <f>S601-O601</f>
        <v>0</v>
      </c>
      <c r="R601" s="194">
        <f>P601+N601</f>
        <v>210</v>
      </c>
      <c r="S601" s="630">
        <f>TRUNC(R601*E601,2)</f>
        <v>1675.8</v>
      </c>
      <c r="T601" s="194">
        <f t="shared" si="891"/>
        <v>0</v>
      </c>
      <c r="U601" s="630">
        <f t="shared" si="987"/>
        <v>0</v>
      </c>
    </row>
    <row r="602" spans="1:21" ht="25.5">
      <c r="A602" s="190" t="s">
        <v>734</v>
      </c>
      <c r="B602" s="191">
        <v>40245</v>
      </c>
      <c r="C602" s="657" t="s">
        <v>148</v>
      </c>
      <c r="D602" s="192" t="s">
        <v>29</v>
      </c>
      <c r="E602" s="193">
        <v>8.41</v>
      </c>
      <c r="F602" s="194">
        <v>55</v>
      </c>
      <c r="G602" s="194"/>
      <c r="H602" s="194"/>
      <c r="I602" s="193">
        <f t="shared" si="988"/>
        <v>55</v>
      </c>
      <c r="J602" s="193">
        <f t="shared" si="989"/>
        <v>462.55</v>
      </c>
      <c r="K602" s="193"/>
      <c r="L602" s="193"/>
      <c r="M602" s="622">
        <f t="shared" si="990"/>
        <v>462.55</v>
      </c>
      <c r="N602" s="194">
        <f>'5.3.5.3'!R26</f>
        <v>55</v>
      </c>
      <c r="O602" s="622">
        <f t="shared" ref="O602:O604" si="991">TRUNC(N602*E602,2)</f>
        <v>462.55</v>
      </c>
      <c r="P602" s="194">
        <f>'5.3.5.3'!R27</f>
        <v>0</v>
      </c>
      <c r="Q602" s="622">
        <f t="shared" ref="Q602:Q604" si="992">S602-O602</f>
        <v>0</v>
      </c>
      <c r="R602" s="194">
        <f t="shared" ref="R602:R604" si="993">P602+N602</f>
        <v>55</v>
      </c>
      <c r="S602" s="630">
        <f t="shared" ref="S602:S604" si="994">TRUNC(R602*E602,2)</f>
        <v>462.55</v>
      </c>
      <c r="T602" s="194">
        <f t="shared" si="891"/>
        <v>0</v>
      </c>
      <c r="U602" s="630">
        <f t="shared" si="987"/>
        <v>0</v>
      </c>
    </row>
    <row r="603" spans="1:21" ht="25.5">
      <c r="A603" s="190" t="s">
        <v>735</v>
      </c>
      <c r="B603" s="191">
        <v>40246</v>
      </c>
      <c r="C603" s="657" t="s">
        <v>149</v>
      </c>
      <c r="D603" s="192" t="s">
        <v>29</v>
      </c>
      <c r="E603" s="193">
        <v>8.08</v>
      </c>
      <c r="F603" s="194">
        <v>78</v>
      </c>
      <c r="G603" s="194"/>
      <c r="H603" s="194"/>
      <c r="I603" s="193">
        <f t="shared" si="988"/>
        <v>78</v>
      </c>
      <c r="J603" s="193">
        <f t="shared" si="989"/>
        <v>630.24</v>
      </c>
      <c r="K603" s="193"/>
      <c r="L603" s="193"/>
      <c r="M603" s="622">
        <f t="shared" si="990"/>
        <v>630.24</v>
      </c>
      <c r="N603" s="194">
        <f>'5.3.5.4'!R26</f>
        <v>78</v>
      </c>
      <c r="O603" s="622">
        <f t="shared" si="991"/>
        <v>630.24</v>
      </c>
      <c r="P603" s="194">
        <f>'5.3.5.4'!R27</f>
        <v>0</v>
      </c>
      <c r="Q603" s="622">
        <f t="shared" si="992"/>
        <v>0</v>
      </c>
      <c r="R603" s="194">
        <f t="shared" si="993"/>
        <v>78</v>
      </c>
      <c r="S603" s="630">
        <f t="shared" si="994"/>
        <v>630.24</v>
      </c>
      <c r="T603" s="194">
        <f t="shared" si="891"/>
        <v>0</v>
      </c>
      <c r="U603" s="630">
        <f t="shared" si="987"/>
        <v>0</v>
      </c>
    </row>
    <row r="604" spans="1:21" ht="38.25">
      <c r="A604" s="190" t="s">
        <v>736</v>
      </c>
      <c r="B604" s="191" t="s">
        <v>140</v>
      </c>
      <c r="C604" s="657" t="s">
        <v>150</v>
      </c>
      <c r="D604" s="192" t="s">
        <v>58</v>
      </c>
      <c r="E604" s="193">
        <v>486.08</v>
      </c>
      <c r="F604" s="194">
        <v>3.5</v>
      </c>
      <c r="G604" s="194"/>
      <c r="H604" s="194"/>
      <c r="I604" s="193">
        <f t="shared" si="988"/>
        <v>3.5</v>
      </c>
      <c r="J604" s="193">
        <f t="shared" si="989"/>
        <v>1701.28</v>
      </c>
      <c r="K604" s="193"/>
      <c r="L604" s="193"/>
      <c r="M604" s="622">
        <f t="shared" si="990"/>
        <v>1701.28</v>
      </c>
      <c r="N604" s="194">
        <f>'5.3.5.5'!R26</f>
        <v>3.5</v>
      </c>
      <c r="O604" s="622">
        <f t="shared" si="991"/>
        <v>1701.28</v>
      </c>
      <c r="P604" s="194">
        <f>'5.3.5.5'!R27</f>
        <v>0</v>
      </c>
      <c r="Q604" s="622">
        <f t="shared" si="992"/>
        <v>0</v>
      </c>
      <c r="R604" s="194">
        <f t="shared" si="993"/>
        <v>3.5</v>
      </c>
      <c r="S604" s="630">
        <f t="shared" si="994"/>
        <v>1701.28</v>
      </c>
      <c r="T604" s="194">
        <f t="shared" si="891"/>
        <v>0</v>
      </c>
      <c r="U604" s="630">
        <f t="shared" si="987"/>
        <v>0</v>
      </c>
    </row>
    <row r="605" spans="1:21">
      <c r="A605" s="138"/>
      <c r="B605" s="132"/>
      <c r="C605" s="123"/>
      <c r="D605" s="123"/>
      <c r="E605" s="123"/>
      <c r="F605" s="123"/>
      <c r="G605" s="123"/>
      <c r="H605" s="123"/>
      <c r="I605" s="123"/>
      <c r="J605" s="123"/>
      <c r="K605" s="123"/>
      <c r="L605" s="123"/>
      <c r="M605" s="623"/>
      <c r="N605" s="123"/>
      <c r="O605" s="623"/>
      <c r="P605" s="123"/>
      <c r="Q605" s="623"/>
      <c r="R605" s="123"/>
      <c r="S605" s="631"/>
      <c r="T605" s="123"/>
      <c r="U605" s="631"/>
    </row>
    <row r="606" spans="1:21" s="131" customFormat="1">
      <c r="A606" s="137" t="s">
        <v>737</v>
      </c>
      <c r="B606" s="133"/>
      <c r="C606" s="658" t="s">
        <v>171</v>
      </c>
      <c r="D606" s="126"/>
      <c r="E606" s="127"/>
      <c r="F606" s="128"/>
      <c r="G606" s="128"/>
      <c r="H606" s="128"/>
      <c r="I606" s="129"/>
      <c r="J606" s="129">
        <f>SUBTOTAL(9,J607:J611)</f>
        <v>18264.59</v>
      </c>
      <c r="K606" s="129"/>
      <c r="L606" s="129"/>
      <c r="M606" s="624"/>
      <c r="N606" s="130"/>
      <c r="O606" s="624">
        <f>SUBTOTAL(9,O607:O611)</f>
        <v>18264.579999999998</v>
      </c>
      <c r="P606" s="130"/>
      <c r="Q606" s="624">
        <f>SUBTOTAL(9,Q607:Q611)</f>
        <v>0</v>
      </c>
      <c r="R606" s="129"/>
      <c r="S606" s="624">
        <f>SUBTOTAL(9,S607:S611)</f>
        <v>18264.579999999998</v>
      </c>
      <c r="T606" s="129">
        <f t="shared" si="891"/>
        <v>0</v>
      </c>
      <c r="U606" s="624">
        <f>SUBTOTAL(9,U607:U611)</f>
        <v>0</v>
      </c>
    </row>
    <row r="607" spans="1:21" ht="51">
      <c r="A607" s="190" t="s">
        <v>738</v>
      </c>
      <c r="B607" s="191">
        <v>40339</v>
      </c>
      <c r="C607" s="657" t="s">
        <v>184</v>
      </c>
      <c r="D607" s="192" t="s">
        <v>57</v>
      </c>
      <c r="E607" s="193">
        <v>91.04</v>
      </c>
      <c r="F607" s="194">
        <v>87.7</v>
      </c>
      <c r="G607" s="194"/>
      <c r="H607" s="194"/>
      <c r="I607" s="193">
        <f t="shared" ref="I607" si="995">F607+G607-H607</f>
        <v>87.7</v>
      </c>
      <c r="J607" s="193">
        <f t="shared" ref="J607" si="996">I607*E607</f>
        <v>7984.2080000000005</v>
      </c>
      <c r="K607" s="193"/>
      <c r="L607" s="193"/>
      <c r="M607" s="622">
        <f t="shared" ref="M607" si="997">I607*E607</f>
        <v>7984.2080000000005</v>
      </c>
      <c r="N607" s="194">
        <f>'5.3.6.1'!R26</f>
        <v>87.7</v>
      </c>
      <c r="O607" s="622">
        <f t="shared" ref="O607" si="998">TRUNC(N607*E607,2)</f>
        <v>7984.2</v>
      </c>
      <c r="P607" s="194">
        <f>'5.3.6.1'!R27</f>
        <v>0</v>
      </c>
      <c r="Q607" s="622">
        <f t="shared" ref="Q607" si="999">S607-O607</f>
        <v>0</v>
      </c>
      <c r="R607" s="194">
        <f t="shared" ref="R607" si="1000">P607+N607</f>
        <v>87.7</v>
      </c>
      <c r="S607" s="630">
        <f t="shared" ref="S607" si="1001">TRUNC(R607*E607,2)</f>
        <v>7984.2</v>
      </c>
      <c r="T607" s="194">
        <f t="shared" si="891"/>
        <v>0</v>
      </c>
      <c r="U607" s="630">
        <f t="shared" ref="U607:U611" si="1002">T607*E607</f>
        <v>0</v>
      </c>
    </row>
    <row r="608" spans="1:21" ht="25.5">
      <c r="A608" s="190" t="s">
        <v>739</v>
      </c>
      <c r="B608" s="191">
        <v>40328</v>
      </c>
      <c r="C608" s="657" t="s">
        <v>147</v>
      </c>
      <c r="D608" s="192" t="s">
        <v>29</v>
      </c>
      <c r="E608" s="193">
        <v>7.98</v>
      </c>
      <c r="F608" s="194">
        <v>502</v>
      </c>
      <c r="G608" s="194"/>
      <c r="H608" s="194"/>
      <c r="I608" s="193">
        <f t="shared" ref="I608:I611" si="1003">F608+G608-H608</f>
        <v>502</v>
      </c>
      <c r="J608" s="193">
        <f t="shared" ref="J608:J611" si="1004">I608*E608</f>
        <v>4005.96</v>
      </c>
      <c r="K608" s="193"/>
      <c r="L608" s="193"/>
      <c r="M608" s="622">
        <f t="shared" ref="M608:M611" si="1005">I608*E608</f>
        <v>4005.96</v>
      </c>
      <c r="N608" s="194">
        <f>'5.3.6.2'!R26</f>
        <v>502</v>
      </c>
      <c r="O608" s="622">
        <f>TRUNC(N608*E608,2)</f>
        <v>4005.96</v>
      </c>
      <c r="P608" s="194">
        <f>'5.3.6.2'!R27</f>
        <v>0</v>
      </c>
      <c r="Q608" s="622">
        <f>S608-O608</f>
        <v>0</v>
      </c>
      <c r="R608" s="194">
        <f>P608+N608</f>
        <v>502</v>
      </c>
      <c r="S608" s="630">
        <f>TRUNC(R608*E608,2)</f>
        <v>4005.96</v>
      </c>
      <c r="T608" s="194">
        <f t="shared" si="891"/>
        <v>0</v>
      </c>
      <c r="U608" s="630">
        <f t="shared" si="1002"/>
        <v>0</v>
      </c>
    </row>
    <row r="609" spans="1:21" ht="25.5">
      <c r="A609" s="190" t="s">
        <v>740</v>
      </c>
      <c r="B609" s="191">
        <v>40245</v>
      </c>
      <c r="C609" s="657" t="s">
        <v>148</v>
      </c>
      <c r="D609" s="192" t="s">
        <v>29</v>
      </c>
      <c r="E609" s="193">
        <v>8.41</v>
      </c>
      <c r="F609" s="194">
        <v>199</v>
      </c>
      <c r="G609" s="194"/>
      <c r="H609" s="194"/>
      <c r="I609" s="193">
        <f t="shared" si="1003"/>
        <v>199</v>
      </c>
      <c r="J609" s="193">
        <f t="shared" si="1004"/>
        <v>1673.59</v>
      </c>
      <c r="K609" s="193"/>
      <c r="L609" s="193"/>
      <c r="M609" s="622">
        <f t="shared" si="1005"/>
        <v>1673.59</v>
      </c>
      <c r="N609" s="194">
        <f>'5.3.6.3'!R26</f>
        <v>199</v>
      </c>
      <c r="O609" s="622">
        <f t="shared" ref="O609:O611" si="1006">TRUNC(N609*E609,2)</f>
        <v>1673.59</v>
      </c>
      <c r="P609" s="194">
        <f>'5.3.6.3'!R27</f>
        <v>0</v>
      </c>
      <c r="Q609" s="622">
        <f t="shared" ref="Q609:Q611" si="1007">S609-O609</f>
        <v>0</v>
      </c>
      <c r="R609" s="194">
        <f t="shared" ref="R609:R611" si="1008">P609+N609</f>
        <v>199</v>
      </c>
      <c r="S609" s="630">
        <f t="shared" ref="S609:S611" si="1009">TRUNC(R609*E609,2)</f>
        <v>1673.59</v>
      </c>
      <c r="T609" s="194">
        <f t="shared" si="891"/>
        <v>0</v>
      </c>
      <c r="U609" s="630">
        <f t="shared" si="1002"/>
        <v>0</v>
      </c>
    </row>
    <row r="610" spans="1:21" ht="25.5">
      <c r="A610" s="190" t="s">
        <v>741</v>
      </c>
      <c r="B610" s="191">
        <v>40246</v>
      </c>
      <c r="C610" s="657" t="s">
        <v>149</v>
      </c>
      <c r="D610" s="192" t="s">
        <v>29</v>
      </c>
      <c r="E610" s="193">
        <v>8.08</v>
      </c>
      <c r="F610" s="194">
        <v>34</v>
      </c>
      <c r="G610" s="194"/>
      <c r="H610" s="194"/>
      <c r="I610" s="193">
        <f t="shared" si="1003"/>
        <v>34</v>
      </c>
      <c r="J610" s="193">
        <f t="shared" si="1004"/>
        <v>274.72000000000003</v>
      </c>
      <c r="K610" s="193"/>
      <c r="L610" s="193"/>
      <c r="M610" s="622">
        <f t="shared" si="1005"/>
        <v>274.72000000000003</v>
      </c>
      <c r="N610" s="194">
        <f>'5.3.6.4'!R26</f>
        <v>34</v>
      </c>
      <c r="O610" s="622">
        <f t="shared" si="1006"/>
        <v>274.72000000000003</v>
      </c>
      <c r="P610" s="194">
        <f>'5.3.6.4'!R27</f>
        <v>0</v>
      </c>
      <c r="Q610" s="622">
        <f t="shared" si="1007"/>
        <v>0</v>
      </c>
      <c r="R610" s="194">
        <f t="shared" si="1008"/>
        <v>34</v>
      </c>
      <c r="S610" s="630">
        <f t="shared" si="1009"/>
        <v>274.72000000000003</v>
      </c>
      <c r="T610" s="194">
        <f t="shared" si="891"/>
        <v>0</v>
      </c>
      <c r="U610" s="630">
        <f t="shared" si="1002"/>
        <v>0</v>
      </c>
    </row>
    <row r="611" spans="1:21" ht="51">
      <c r="A611" s="190" t="s">
        <v>742</v>
      </c>
      <c r="B611" s="191" t="s">
        <v>140</v>
      </c>
      <c r="C611" s="657" t="s">
        <v>177</v>
      </c>
      <c r="D611" s="192" t="s">
        <v>58</v>
      </c>
      <c r="E611" s="193">
        <v>486.08</v>
      </c>
      <c r="F611" s="194">
        <v>8.9</v>
      </c>
      <c r="G611" s="194"/>
      <c r="H611" s="194"/>
      <c r="I611" s="193">
        <f t="shared" si="1003"/>
        <v>8.9</v>
      </c>
      <c r="J611" s="193">
        <f t="shared" si="1004"/>
        <v>4326.1120000000001</v>
      </c>
      <c r="K611" s="193"/>
      <c r="L611" s="193"/>
      <c r="M611" s="622">
        <f t="shared" si="1005"/>
        <v>4326.1120000000001</v>
      </c>
      <c r="N611" s="194">
        <f>'5.3.6.5'!R26</f>
        <v>8.9</v>
      </c>
      <c r="O611" s="622">
        <f t="shared" si="1006"/>
        <v>4326.1099999999997</v>
      </c>
      <c r="P611" s="194">
        <f>'5.3.6.5'!R27</f>
        <v>0</v>
      </c>
      <c r="Q611" s="622">
        <f t="shared" si="1007"/>
        <v>0</v>
      </c>
      <c r="R611" s="194">
        <f t="shared" si="1008"/>
        <v>8.9</v>
      </c>
      <c r="S611" s="630">
        <f t="shared" si="1009"/>
        <v>4326.1099999999997</v>
      </c>
      <c r="T611" s="194">
        <f t="shared" si="891"/>
        <v>0</v>
      </c>
      <c r="U611" s="630">
        <f t="shared" si="1002"/>
        <v>0</v>
      </c>
    </row>
    <row r="612" spans="1:21">
      <c r="A612" s="138"/>
      <c r="B612" s="132"/>
      <c r="C612" s="123"/>
      <c r="D612" s="123"/>
      <c r="E612" s="123"/>
      <c r="F612" s="123"/>
      <c r="G612" s="123"/>
      <c r="H612" s="123"/>
      <c r="I612" s="123"/>
      <c r="J612" s="123"/>
      <c r="K612" s="123"/>
      <c r="L612" s="123"/>
      <c r="M612" s="623"/>
      <c r="N612" s="123"/>
      <c r="O612" s="623"/>
      <c r="P612" s="123"/>
      <c r="Q612" s="623"/>
      <c r="R612" s="123"/>
      <c r="S612" s="631"/>
      <c r="T612" s="123"/>
      <c r="U612" s="631"/>
    </row>
    <row r="613" spans="1:21" s="131" customFormat="1">
      <c r="A613" s="137" t="s">
        <v>743</v>
      </c>
      <c r="B613" s="133"/>
      <c r="C613" s="658" t="s">
        <v>179</v>
      </c>
      <c r="D613" s="126"/>
      <c r="E613" s="127"/>
      <c r="F613" s="128"/>
      <c r="G613" s="128"/>
      <c r="H613" s="128"/>
      <c r="I613" s="129"/>
      <c r="J613" s="129">
        <f>SUBTOTAL(9,J614:J617)</f>
        <v>22658.711199999998</v>
      </c>
      <c r="K613" s="129"/>
      <c r="L613" s="129"/>
      <c r="M613" s="624"/>
      <c r="N613" s="130"/>
      <c r="O613" s="624">
        <f>SUBTOTAL(9,O614:O617)</f>
        <v>22658.7</v>
      </c>
      <c r="P613" s="130"/>
      <c r="Q613" s="624">
        <f>SUBTOTAL(9,Q614:Q617)</f>
        <v>0</v>
      </c>
      <c r="R613" s="129"/>
      <c r="S613" s="624">
        <f>SUBTOTAL(9,S614:S617)</f>
        <v>22658.7</v>
      </c>
      <c r="T613" s="129">
        <f t="shared" si="891"/>
        <v>0</v>
      </c>
      <c r="U613" s="624">
        <f>SUBTOTAL(9,U614:U617)</f>
        <v>0</v>
      </c>
    </row>
    <row r="614" spans="1:21" ht="51">
      <c r="A614" s="190" t="s">
        <v>744</v>
      </c>
      <c r="B614" s="191">
        <v>40339</v>
      </c>
      <c r="C614" s="657" t="s">
        <v>184</v>
      </c>
      <c r="D614" s="192" t="s">
        <v>57</v>
      </c>
      <c r="E614" s="193">
        <v>91.04</v>
      </c>
      <c r="F614" s="194">
        <v>34.1</v>
      </c>
      <c r="G614" s="194"/>
      <c r="H614" s="194"/>
      <c r="I614" s="193">
        <f t="shared" ref="I614" si="1010">F614+G614-H614</f>
        <v>34.1</v>
      </c>
      <c r="J614" s="193">
        <f t="shared" ref="J614" si="1011">I614*E614</f>
        <v>3104.4640000000004</v>
      </c>
      <c r="K614" s="193"/>
      <c r="L614" s="193"/>
      <c r="M614" s="622">
        <f t="shared" ref="M614" si="1012">I614*E614</f>
        <v>3104.4640000000004</v>
      </c>
      <c r="N614" s="194">
        <f>'5.3.7.1'!R21</f>
        <v>34.1</v>
      </c>
      <c r="O614" s="622">
        <f t="shared" ref="O614" si="1013">TRUNC(N614*E614,2)</f>
        <v>3104.46</v>
      </c>
      <c r="P614" s="194">
        <f>'5.3.7.1'!R22</f>
        <v>0</v>
      </c>
      <c r="Q614" s="622">
        <f t="shared" ref="Q614" si="1014">S614-O614</f>
        <v>0</v>
      </c>
      <c r="R614" s="194">
        <f t="shared" ref="R614" si="1015">P614+N614</f>
        <v>34.1</v>
      </c>
      <c r="S614" s="630">
        <f t="shared" ref="S614" si="1016">TRUNC(R614*E614,2)</f>
        <v>3104.46</v>
      </c>
      <c r="T614" s="194">
        <f t="shared" si="891"/>
        <v>0</v>
      </c>
      <c r="U614" s="630">
        <f t="shared" ref="U614:U617" si="1017">T614*E614</f>
        <v>0</v>
      </c>
    </row>
    <row r="615" spans="1:21" ht="25.5">
      <c r="A615" s="190" t="s">
        <v>745</v>
      </c>
      <c r="B615" s="191">
        <v>40328</v>
      </c>
      <c r="C615" s="657" t="s">
        <v>147</v>
      </c>
      <c r="D615" s="192" t="s">
        <v>29</v>
      </c>
      <c r="E615" s="193">
        <v>7.98</v>
      </c>
      <c r="F615" s="194">
        <v>370.3</v>
      </c>
      <c r="G615" s="194"/>
      <c r="H615" s="194"/>
      <c r="I615" s="193">
        <f t="shared" ref="I615:I617" si="1018">F615+G615-H615</f>
        <v>370.3</v>
      </c>
      <c r="J615" s="193">
        <f t="shared" ref="J615:J617" si="1019">I615*E615</f>
        <v>2954.9940000000001</v>
      </c>
      <c r="K615" s="193"/>
      <c r="L615" s="193"/>
      <c r="M615" s="622">
        <f t="shared" ref="M615:M617" si="1020">I615*E615</f>
        <v>2954.9940000000001</v>
      </c>
      <c r="N615" s="194">
        <f>'5.3.7.2'!R21</f>
        <v>370.3</v>
      </c>
      <c r="O615" s="622">
        <f>TRUNC(N615*E615,2)</f>
        <v>2954.99</v>
      </c>
      <c r="P615" s="194">
        <f>'5.3.7.2'!R22</f>
        <v>0</v>
      </c>
      <c r="Q615" s="622">
        <f>S615-O615</f>
        <v>0</v>
      </c>
      <c r="R615" s="194">
        <f>P615+N615</f>
        <v>370.3</v>
      </c>
      <c r="S615" s="630">
        <f>TRUNC(R615*E615,2)</f>
        <v>2954.99</v>
      </c>
      <c r="T615" s="194">
        <f t="shared" si="891"/>
        <v>0</v>
      </c>
      <c r="U615" s="630">
        <f t="shared" si="1017"/>
        <v>0</v>
      </c>
    </row>
    <row r="616" spans="1:21" ht="51">
      <c r="A616" s="190" t="s">
        <v>746</v>
      </c>
      <c r="B616" s="191" t="s">
        <v>140</v>
      </c>
      <c r="C616" s="657" t="s">
        <v>177</v>
      </c>
      <c r="D616" s="192" t="s">
        <v>58</v>
      </c>
      <c r="E616" s="193">
        <v>486.08</v>
      </c>
      <c r="F616" s="194">
        <v>6.54</v>
      </c>
      <c r="G616" s="194"/>
      <c r="H616" s="194"/>
      <c r="I616" s="193">
        <f t="shared" si="1018"/>
        <v>6.54</v>
      </c>
      <c r="J616" s="193">
        <f t="shared" si="1019"/>
        <v>3178.9631999999997</v>
      </c>
      <c r="K616" s="193"/>
      <c r="L616" s="193"/>
      <c r="M616" s="622">
        <f t="shared" si="1020"/>
        <v>3178.9631999999997</v>
      </c>
      <c r="N616" s="194">
        <f>'5.3.7.3'!R21</f>
        <v>6.54</v>
      </c>
      <c r="O616" s="622">
        <f t="shared" ref="O616:O617" si="1021">TRUNC(N616*E616,2)</f>
        <v>3178.96</v>
      </c>
      <c r="P616" s="194">
        <f>'5.3.7.3'!R22</f>
        <v>0</v>
      </c>
      <c r="Q616" s="622">
        <f t="shared" ref="Q616:Q617" si="1022">S616-O616</f>
        <v>0</v>
      </c>
      <c r="R616" s="194">
        <f t="shared" ref="R616:R617" si="1023">P616+N616</f>
        <v>6.54</v>
      </c>
      <c r="S616" s="630">
        <f t="shared" ref="S616:S617" si="1024">TRUNC(R616*E616,2)</f>
        <v>3178.96</v>
      </c>
      <c r="T616" s="194">
        <f t="shared" si="891"/>
        <v>0</v>
      </c>
      <c r="U616" s="630">
        <f t="shared" si="1017"/>
        <v>0</v>
      </c>
    </row>
    <row r="617" spans="1:21" ht="25.5">
      <c r="A617" s="190" t="s">
        <v>747</v>
      </c>
      <c r="B617" s="191">
        <v>40602</v>
      </c>
      <c r="C617" s="657" t="s">
        <v>185</v>
      </c>
      <c r="D617" s="192" t="s">
        <v>57</v>
      </c>
      <c r="E617" s="193">
        <v>79.41</v>
      </c>
      <c r="F617" s="194">
        <v>169</v>
      </c>
      <c r="G617" s="194"/>
      <c r="H617" s="194"/>
      <c r="I617" s="193">
        <f t="shared" si="1018"/>
        <v>169</v>
      </c>
      <c r="J617" s="193">
        <f t="shared" si="1019"/>
        <v>13420.289999999999</v>
      </c>
      <c r="K617" s="193"/>
      <c r="L617" s="193"/>
      <c r="M617" s="622">
        <f t="shared" si="1020"/>
        <v>13420.289999999999</v>
      </c>
      <c r="N617" s="194">
        <f>'5.3.7.4'!R26</f>
        <v>169</v>
      </c>
      <c r="O617" s="622">
        <f t="shared" si="1021"/>
        <v>13420.29</v>
      </c>
      <c r="P617" s="194">
        <f>'5.3.7.4'!R27</f>
        <v>0</v>
      </c>
      <c r="Q617" s="622">
        <f t="shared" si="1022"/>
        <v>0</v>
      </c>
      <c r="R617" s="194">
        <f t="shared" si="1023"/>
        <v>169</v>
      </c>
      <c r="S617" s="630">
        <f t="shared" si="1024"/>
        <v>13420.29</v>
      </c>
      <c r="T617" s="194">
        <f t="shared" si="891"/>
        <v>0</v>
      </c>
      <c r="U617" s="630">
        <f t="shared" si="1017"/>
        <v>0</v>
      </c>
    </row>
    <row r="618" spans="1:21">
      <c r="A618" s="138"/>
      <c r="B618" s="132"/>
      <c r="C618" s="123"/>
      <c r="D618" s="123"/>
      <c r="E618" s="123"/>
      <c r="F618" s="123"/>
      <c r="G618" s="123"/>
      <c r="H618" s="123"/>
      <c r="I618" s="123"/>
      <c r="J618" s="123"/>
      <c r="K618" s="123"/>
      <c r="L618" s="123"/>
      <c r="M618" s="623"/>
      <c r="N618" s="123"/>
      <c r="O618" s="623"/>
      <c r="P618" s="123"/>
      <c r="Q618" s="623"/>
      <c r="R618" s="123"/>
      <c r="S618" s="631"/>
      <c r="T618" s="123"/>
      <c r="U618" s="631"/>
    </row>
    <row r="619" spans="1:21" s="131" customFormat="1">
      <c r="A619" s="137" t="s">
        <v>748</v>
      </c>
      <c r="B619" s="133"/>
      <c r="C619" s="658" t="s">
        <v>187</v>
      </c>
      <c r="D619" s="126"/>
      <c r="E619" s="127"/>
      <c r="F619" s="128"/>
      <c r="G619" s="128"/>
      <c r="H619" s="128"/>
      <c r="I619" s="129"/>
      <c r="J619" s="129">
        <f>SUBTOTAL(9,J620:J625)</f>
        <v>49946.759399999988</v>
      </c>
      <c r="K619" s="129"/>
      <c r="L619" s="129"/>
      <c r="M619" s="624"/>
      <c r="N619" s="130"/>
      <c r="O619" s="624">
        <f>SUBTOTAL(9,O620:O625)</f>
        <v>49946.729999999996</v>
      </c>
      <c r="P619" s="130"/>
      <c r="Q619" s="624">
        <f>SUBTOTAL(9,Q620:Q625)</f>
        <v>0</v>
      </c>
      <c r="R619" s="129"/>
      <c r="S619" s="624">
        <f>SUBTOTAL(9,S620:S625)</f>
        <v>49946.729999999996</v>
      </c>
      <c r="T619" s="129">
        <f t="shared" si="891"/>
        <v>0</v>
      </c>
      <c r="U619" s="624">
        <f t="shared" si="938"/>
        <v>-49946.729999999996</v>
      </c>
    </row>
    <row r="620" spans="1:21" ht="51">
      <c r="A620" s="190" t="s">
        <v>749</v>
      </c>
      <c r="B620" s="191">
        <v>90102</v>
      </c>
      <c r="C620" s="657" t="s">
        <v>194</v>
      </c>
      <c r="D620" s="192" t="s">
        <v>57</v>
      </c>
      <c r="E620" s="193">
        <v>89.99</v>
      </c>
      <c r="F620" s="194">
        <v>191.8</v>
      </c>
      <c r="G620" s="194"/>
      <c r="H620" s="194"/>
      <c r="I620" s="193">
        <f t="shared" ref="I620" si="1025">F620+G620-H620</f>
        <v>191.8</v>
      </c>
      <c r="J620" s="193">
        <f t="shared" ref="J620" si="1026">I620*E620</f>
        <v>17260.081999999999</v>
      </c>
      <c r="K620" s="193"/>
      <c r="L620" s="193"/>
      <c r="M620" s="622">
        <f t="shared" ref="M620" si="1027">I620*E620</f>
        <v>17260.081999999999</v>
      </c>
      <c r="N620" s="194">
        <v>191.8</v>
      </c>
      <c r="O620" s="622">
        <f>TRUNC(N620*E620,2)</f>
        <v>17260.080000000002</v>
      </c>
      <c r="P620" s="194">
        <v>0</v>
      </c>
      <c r="Q620" s="622">
        <f t="shared" ref="Q620" si="1028">S620-O620</f>
        <v>0</v>
      </c>
      <c r="R620" s="194">
        <f t="shared" ref="R620" si="1029">P620+N620</f>
        <v>191.8</v>
      </c>
      <c r="S620" s="630">
        <f t="shared" ref="S620" si="1030">TRUNC(R620*E620,2)</f>
        <v>17260.080000000002</v>
      </c>
      <c r="T620" s="194">
        <f>F620-R620</f>
        <v>0</v>
      </c>
      <c r="U620" s="630">
        <f t="shared" ref="U620:U625" si="1031">T620*E620</f>
        <v>0</v>
      </c>
    </row>
    <row r="621" spans="1:21" ht="51">
      <c r="A621" s="190" t="s">
        <v>750</v>
      </c>
      <c r="B621" s="191">
        <v>90223</v>
      </c>
      <c r="C621" s="657" t="s">
        <v>195</v>
      </c>
      <c r="D621" s="192" t="s">
        <v>57</v>
      </c>
      <c r="E621" s="193">
        <v>124.46</v>
      </c>
      <c r="F621" s="194">
        <v>200.69</v>
      </c>
      <c r="G621" s="194"/>
      <c r="H621" s="194"/>
      <c r="I621" s="193">
        <f t="shared" ref="I621:I625" si="1032">F621+G621-H621</f>
        <v>200.69</v>
      </c>
      <c r="J621" s="193">
        <f t="shared" ref="J621:J625" si="1033">I621*E621</f>
        <v>24977.877399999998</v>
      </c>
      <c r="K621" s="193"/>
      <c r="L621" s="193"/>
      <c r="M621" s="622">
        <f t="shared" ref="M621:M625" si="1034">I621*E621</f>
        <v>24977.877399999998</v>
      </c>
      <c r="N621" s="194">
        <v>200.69</v>
      </c>
      <c r="O621" s="622">
        <f>TRUNC(N621*E621,2)</f>
        <v>24977.87</v>
      </c>
      <c r="P621" s="194">
        <v>0</v>
      </c>
      <c r="Q621" s="622">
        <f>S621-O621</f>
        <v>0</v>
      </c>
      <c r="R621" s="194">
        <f>P621+N621</f>
        <v>200.69</v>
      </c>
      <c r="S621" s="630">
        <f>TRUNC(R621*E621,2)</f>
        <v>24977.87</v>
      </c>
      <c r="T621" s="194">
        <f t="shared" si="891"/>
        <v>0</v>
      </c>
      <c r="U621" s="630">
        <f t="shared" si="1031"/>
        <v>0</v>
      </c>
    </row>
    <row r="622" spans="1:21" ht="51">
      <c r="A622" s="190" t="s">
        <v>751</v>
      </c>
      <c r="B622" s="191">
        <v>40339</v>
      </c>
      <c r="C622" s="657" t="s">
        <v>196</v>
      </c>
      <c r="D622" s="192" t="s">
        <v>57</v>
      </c>
      <c r="E622" s="193">
        <v>91.04</v>
      </c>
      <c r="F622" s="194">
        <v>25.2</v>
      </c>
      <c r="G622" s="194"/>
      <c r="H622" s="194"/>
      <c r="I622" s="193">
        <f t="shared" si="1032"/>
        <v>25.2</v>
      </c>
      <c r="J622" s="193">
        <f t="shared" si="1033"/>
        <v>2294.2080000000001</v>
      </c>
      <c r="K622" s="193"/>
      <c r="L622" s="193"/>
      <c r="M622" s="622">
        <f t="shared" si="1034"/>
        <v>2294.2080000000001</v>
      </c>
      <c r="N622" s="194">
        <f>'5.3.8.3'!R21</f>
        <v>25.2</v>
      </c>
      <c r="O622" s="622">
        <f t="shared" ref="O622:O625" si="1035">TRUNC(N622*E622,2)</f>
        <v>2294.1999999999998</v>
      </c>
      <c r="P622" s="194">
        <f>'5.3.8.3'!R22</f>
        <v>0</v>
      </c>
      <c r="Q622" s="622">
        <f t="shared" ref="Q622:Q625" si="1036">S622-O622</f>
        <v>0</v>
      </c>
      <c r="R622" s="194">
        <f t="shared" ref="R622:R625" si="1037">P622+N622</f>
        <v>25.2</v>
      </c>
      <c r="S622" s="630">
        <f t="shared" ref="S622:S625" si="1038">TRUNC(R622*E622,2)</f>
        <v>2294.1999999999998</v>
      </c>
      <c r="T622" s="194">
        <f t="shared" si="891"/>
        <v>0</v>
      </c>
      <c r="U622" s="630">
        <f t="shared" si="1031"/>
        <v>0</v>
      </c>
    </row>
    <row r="623" spans="1:21" ht="25.5">
      <c r="A623" s="190" t="s">
        <v>752</v>
      </c>
      <c r="B623" s="191">
        <v>40328</v>
      </c>
      <c r="C623" s="657" t="s">
        <v>197</v>
      </c>
      <c r="D623" s="192" t="s">
        <v>29</v>
      </c>
      <c r="E623" s="193">
        <v>7.98</v>
      </c>
      <c r="F623" s="194">
        <v>122</v>
      </c>
      <c r="G623" s="194"/>
      <c r="H623" s="194"/>
      <c r="I623" s="193">
        <f t="shared" si="1032"/>
        <v>122</v>
      </c>
      <c r="J623" s="193">
        <f t="shared" si="1033"/>
        <v>973.56000000000006</v>
      </c>
      <c r="K623" s="193"/>
      <c r="L623" s="193"/>
      <c r="M623" s="622">
        <f t="shared" si="1034"/>
        <v>973.56000000000006</v>
      </c>
      <c r="N623" s="194">
        <f>'5.3.8.4'!R21</f>
        <v>122</v>
      </c>
      <c r="O623" s="622">
        <f t="shared" si="1035"/>
        <v>973.56</v>
      </c>
      <c r="P623" s="194">
        <f>'5.3.8.4'!R22</f>
        <v>0</v>
      </c>
      <c r="Q623" s="622">
        <f t="shared" si="1036"/>
        <v>0</v>
      </c>
      <c r="R623" s="194">
        <f t="shared" si="1037"/>
        <v>122</v>
      </c>
      <c r="S623" s="630">
        <f t="shared" si="1038"/>
        <v>973.56</v>
      </c>
      <c r="T623" s="194">
        <f t="shared" si="891"/>
        <v>0</v>
      </c>
      <c r="U623" s="630">
        <f t="shared" si="1031"/>
        <v>0</v>
      </c>
    </row>
    <row r="624" spans="1:21" ht="51">
      <c r="A624" s="190" t="s">
        <v>753</v>
      </c>
      <c r="B624" s="191" t="s">
        <v>140</v>
      </c>
      <c r="C624" s="657" t="s">
        <v>198</v>
      </c>
      <c r="D624" s="192" t="s">
        <v>58</v>
      </c>
      <c r="E624" s="193">
        <v>486.08</v>
      </c>
      <c r="F624" s="194">
        <v>1.3</v>
      </c>
      <c r="G624" s="194"/>
      <c r="H624" s="194"/>
      <c r="I624" s="193">
        <f t="shared" si="1032"/>
        <v>1.3</v>
      </c>
      <c r="J624" s="193">
        <f t="shared" si="1033"/>
        <v>631.904</v>
      </c>
      <c r="K624" s="193"/>
      <c r="L624" s="193"/>
      <c r="M624" s="622">
        <f t="shared" si="1034"/>
        <v>631.904</v>
      </c>
      <c r="N624" s="194">
        <f>'5.3.8.5'!R21</f>
        <v>1.3</v>
      </c>
      <c r="O624" s="622">
        <f t="shared" si="1035"/>
        <v>631.9</v>
      </c>
      <c r="P624" s="194">
        <f>'5.3.8.5'!R22</f>
        <v>0</v>
      </c>
      <c r="Q624" s="622">
        <f t="shared" si="1036"/>
        <v>0</v>
      </c>
      <c r="R624" s="194">
        <f t="shared" si="1037"/>
        <v>1.3</v>
      </c>
      <c r="S624" s="630">
        <f t="shared" si="1038"/>
        <v>631.9</v>
      </c>
      <c r="T624" s="194">
        <f t="shared" si="891"/>
        <v>0</v>
      </c>
      <c r="U624" s="630">
        <f t="shared" si="1031"/>
        <v>0</v>
      </c>
    </row>
    <row r="625" spans="1:21" ht="51">
      <c r="A625" s="190" t="s">
        <v>754</v>
      </c>
      <c r="B625" s="191">
        <v>50602</v>
      </c>
      <c r="C625" s="657" t="s">
        <v>199</v>
      </c>
      <c r="D625" s="192" t="s">
        <v>57</v>
      </c>
      <c r="E625" s="193">
        <v>62.2</v>
      </c>
      <c r="F625" s="194">
        <v>61.24</v>
      </c>
      <c r="G625" s="194"/>
      <c r="H625" s="194"/>
      <c r="I625" s="193">
        <f t="shared" si="1032"/>
        <v>61.24</v>
      </c>
      <c r="J625" s="193">
        <f t="shared" si="1033"/>
        <v>3809.1280000000002</v>
      </c>
      <c r="K625" s="193"/>
      <c r="L625" s="193"/>
      <c r="M625" s="622">
        <f t="shared" si="1034"/>
        <v>3809.1280000000002</v>
      </c>
      <c r="N625" s="194">
        <f>'5.3.8.6'!R21</f>
        <v>61.24</v>
      </c>
      <c r="O625" s="622">
        <f t="shared" si="1035"/>
        <v>3809.12</v>
      </c>
      <c r="P625" s="194">
        <f>'5.3.8.6'!R22</f>
        <v>0</v>
      </c>
      <c r="Q625" s="622">
        <f t="shared" si="1036"/>
        <v>0</v>
      </c>
      <c r="R625" s="194">
        <f t="shared" si="1037"/>
        <v>61.24</v>
      </c>
      <c r="S625" s="630">
        <f t="shared" si="1038"/>
        <v>3809.12</v>
      </c>
      <c r="T625" s="194">
        <f t="shared" si="891"/>
        <v>0</v>
      </c>
      <c r="U625" s="630">
        <f t="shared" si="1031"/>
        <v>0</v>
      </c>
    </row>
    <row r="626" spans="1:21">
      <c r="A626" s="138"/>
      <c r="B626" s="132"/>
      <c r="C626" s="123"/>
      <c r="D626" s="123"/>
      <c r="E626" s="123"/>
      <c r="F626" s="123"/>
      <c r="G626" s="123"/>
      <c r="H626" s="123"/>
      <c r="I626" s="123"/>
      <c r="J626" s="123"/>
      <c r="K626" s="123"/>
      <c r="L626" s="123"/>
      <c r="M626" s="623"/>
      <c r="N626" s="123"/>
      <c r="O626" s="623"/>
      <c r="P626" s="123"/>
      <c r="Q626" s="623"/>
      <c r="R626" s="123"/>
      <c r="S626" s="631"/>
      <c r="T626" s="123"/>
      <c r="U626" s="631"/>
    </row>
    <row r="627" spans="1:21" s="131" customFormat="1">
      <c r="A627" s="137" t="s">
        <v>755</v>
      </c>
      <c r="B627" s="133"/>
      <c r="C627" s="658" t="s">
        <v>201</v>
      </c>
      <c r="D627" s="126"/>
      <c r="E627" s="127"/>
      <c r="F627" s="128"/>
      <c r="G627" s="128"/>
      <c r="H627" s="128"/>
      <c r="I627" s="129"/>
      <c r="J627" s="129">
        <f>SUBTOTAL(9,J628:J631)</f>
        <v>6322.5289000000002</v>
      </c>
      <c r="K627" s="129"/>
      <c r="L627" s="129"/>
      <c r="M627" s="624"/>
      <c r="N627" s="130"/>
      <c r="O627" s="624">
        <f>SUBTOTAL(9,O628:O631)</f>
        <v>6322.51</v>
      </c>
      <c r="P627" s="130"/>
      <c r="Q627" s="624">
        <f>SUBTOTAL(9,Q628:Q631)</f>
        <v>0</v>
      </c>
      <c r="R627" s="129"/>
      <c r="S627" s="624">
        <f>SUBTOTAL(9,S628:S631)</f>
        <v>6322.51</v>
      </c>
      <c r="T627" s="129">
        <f t="shared" ref="T627:T696" si="1039">F627-R627</f>
        <v>0</v>
      </c>
      <c r="U627" s="624">
        <f>SUBTOTAL(9,U628:U631)</f>
        <v>0</v>
      </c>
    </row>
    <row r="628" spans="1:21" ht="34.5" customHeight="1">
      <c r="A628" s="190" t="s">
        <v>756</v>
      </c>
      <c r="B628" s="191" t="s">
        <v>206</v>
      </c>
      <c r="C628" s="657" t="s">
        <v>207</v>
      </c>
      <c r="D628" s="192" t="s">
        <v>60</v>
      </c>
      <c r="E628" s="193">
        <v>72.83</v>
      </c>
      <c r="F628" s="194">
        <v>44.2</v>
      </c>
      <c r="G628" s="194"/>
      <c r="H628" s="194"/>
      <c r="I628" s="193">
        <f t="shared" ref="I628" si="1040">F628+G628-H628</f>
        <v>44.2</v>
      </c>
      <c r="J628" s="193">
        <f t="shared" ref="J628" si="1041">I628*E628</f>
        <v>3219.0860000000002</v>
      </c>
      <c r="K628" s="193"/>
      <c r="L628" s="193"/>
      <c r="M628" s="622">
        <f t="shared" ref="M628" si="1042">I628*E628</f>
        <v>3219.0860000000002</v>
      </c>
      <c r="N628" s="194">
        <v>44.2</v>
      </c>
      <c r="O628" s="622">
        <f t="shared" ref="O628" si="1043">TRUNC(N628*E628,2)</f>
        <v>3219.08</v>
      </c>
      <c r="P628" s="194">
        <v>0</v>
      </c>
      <c r="Q628" s="622">
        <f t="shared" ref="Q628" si="1044">S628-O628</f>
        <v>0</v>
      </c>
      <c r="R628" s="194">
        <f t="shared" ref="R628" si="1045">P628+N628</f>
        <v>44.2</v>
      </c>
      <c r="S628" s="630">
        <f t="shared" ref="S628" si="1046">TRUNC(R628*E628,2)</f>
        <v>3219.08</v>
      </c>
      <c r="T628" s="194">
        <f t="shared" si="1039"/>
        <v>0</v>
      </c>
      <c r="U628" s="630">
        <f t="shared" ref="U628:U631" si="1047">T628*E628</f>
        <v>0</v>
      </c>
    </row>
    <row r="629" spans="1:21">
      <c r="A629" s="190" t="s">
        <v>757</v>
      </c>
      <c r="B629" s="191">
        <v>90302</v>
      </c>
      <c r="C629" s="657" t="s">
        <v>208</v>
      </c>
      <c r="D629" s="192" t="s">
        <v>51</v>
      </c>
      <c r="E629" s="193">
        <v>31.38</v>
      </c>
      <c r="F629" s="194">
        <v>64.14</v>
      </c>
      <c r="G629" s="194"/>
      <c r="H629" s="194"/>
      <c r="I629" s="193">
        <f t="shared" ref="I629:I631" si="1048">F629+G629-H629</f>
        <v>64.14</v>
      </c>
      <c r="J629" s="193">
        <f t="shared" ref="J629:J631" si="1049">I629*E629</f>
        <v>2012.7131999999999</v>
      </c>
      <c r="K629" s="193"/>
      <c r="L629" s="193"/>
      <c r="M629" s="622">
        <f t="shared" ref="M629:M631" si="1050">I629*E629</f>
        <v>2012.7131999999999</v>
      </c>
      <c r="N629" s="194">
        <v>64.14</v>
      </c>
      <c r="O629" s="622">
        <f>TRUNC(N629*E629,2)</f>
        <v>2012.71</v>
      </c>
      <c r="P629" s="194">
        <v>0</v>
      </c>
      <c r="Q629" s="622">
        <f>S629-O629</f>
        <v>0</v>
      </c>
      <c r="R629" s="194">
        <f>P629+N629</f>
        <v>64.14</v>
      </c>
      <c r="S629" s="630">
        <f>TRUNC(R629*E629,2)</f>
        <v>2012.71</v>
      </c>
      <c r="T629" s="194">
        <f t="shared" si="1039"/>
        <v>0</v>
      </c>
      <c r="U629" s="630">
        <f t="shared" si="1047"/>
        <v>0</v>
      </c>
    </row>
    <row r="630" spans="1:21" ht="25.5">
      <c r="A630" s="190" t="s">
        <v>758</v>
      </c>
      <c r="B630" s="191">
        <v>141909</v>
      </c>
      <c r="C630" s="657" t="s">
        <v>209</v>
      </c>
      <c r="D630" s="192" t="s">
        <v>51</v>
      </c>
      <c r="E630" s="193">
        <v>61.57</v>
      </c>
      <c r="F630" s="194">
        <v>9.27</v>
      </c>
      <c r="G630" s="194"/>
      <c r="H630" s="194"/>
      <c r="I630" s="193">
        <f t="shared" si="1048"/>
        <v>9.27</v>
      </c>
      <c r="J630" s="193">
        <f t="shared" si="1049"/>
        <v>570.75389999999993</v>
      </c>
      <c r="K630" s="193"/>
      <c r="L630" s="193"/>
      <c r="M630" s="622">
        <f t="shared" si="1050"/>
        <v>570.75389999999993</v>
      </c>
      <c r="N630" s="194">
        <v>9.27</v>
      </c>
      <c r="O630" s="622">
        <f t="shared" ref="O630:O631" si="1051">TRUNC(N630*E630,2)</f>
        <v>570.75</v>
      </c>
      <c r="P630" s="194"/>
      <c r="Q630" s="622">
        <f t="shared" ref="Q630:Q631" si="1052">S630-O630</f>
        <v>0</v>
      </c>
      <c r="R630" s="194">
        <f t="shared" ref="R630:R631" si="1053">P630+N630</f>
        <v>9.27</v>
      </c>
      <c r="S630" s="630">
        <f t="shared" ref="S630:S631" si="1054">TRUNC(R630*E630,2)</f>
        <v>570.75</v>
      </c>
      <c r="T630" s="194">
        <f t="shared" si="1039"/>
        <v>0</v>
      </c>
      <c r="U630" s="630">
        <f t="shared" si="1047"/>
        <v>0</v>
      </c>
    </row>
    <row r="631" spans="1:21" ht="25.5">
      <c r="A631" s="190" t="s">
        <v>759</v>
      </c>
      <c r="B631" s="191">
        <v>140903</v>
      </c>
      <c r="C631" s="657" t="s">
        <v>607</v>
      </c>
      <c r="D631" s="192" t="s">
        <v>51</v>
      </c>
      <c r="E631" s="193">
        <v>48.46</v>
      </c>
      <c r="F631" s="194">
        <v>10.73</v>
      </c>
      <c r="G631" s="194"/>
      <c r="H631" s="194"/>
      <c r="I631" s="193">
        <f t="shared" si="1048"/>
        <v>10.73</v>
      </c>
      <c r="J631" s="193">
        <f t="shared" si="1049"/>
        <v>519.97580000000005</v>
      </c>
      <c r="K631" s="193"/>
      <c r="L631" s="193"/>
      <c r="M631" s="622">
        <f t="shared" si="1050"/>
        <v>519.97580000000005</v>
      </c>
      <c r="N631" s="194">
        <v>10.73</v>
      </c>
      <c r="O631" s="622">
        <f t="shared" si="1051"/>
        <v>519.97</v>
      </c>
      <c r="P631" s="194"/>
      <c r="Q631" s="622">
        <f t="shared" si="1052"/>
        <v>0</v>
      </c>
      <c r="R631" s="194">
        <f t="shared" si="1053"/>
        <v>10.73</v>
      </c>
      <c r="S631" s="630">
        <f t="shared" si="1054"/>
        <v>519.97</v>
      </c>
      <c r="T631" s="194">
        <f t="shared" si="1039"/>
        <v>0</v>
      </c>
      <c r="U631" s="630">
        <f t="shared" si="1047"/>
        <v>0</v>
      </c>
    </row>
    <row r="632" spans="1:21">
      <c r="A632" s="138"/>
      <c r="B632" s="132"/>
      <c r="C632" s="123"/>
      <c r="D632" s="123"/>
      <c r="E632" s="123"/>
      <c r="F632" s="123"/>
      <c r="G632" s="123"/>
      <c r="H632" s="123"/>
      <c r="I632" s="123"/>
      <c r="J632" s="123"/>
      <c r="K632" s="123"/>
      <c r="L632" s="123"/>
      <c r="M632" s="623"/>
      <c r="N632" s="123"/>
      <c r="O632" s="623"/>
      <c r="P632" s="123"/>
      <c r="Q632" s="623"/>
      <c r="R632" s="123"/>
      <c r="S632" s="631"/>
      <c r="T632" s="123"/>
      <c r="U632" s="631"/>
    </row>
    <row r="633" spans="1:21" s="131" customFormat="1">
      <c r="A633" s="137" t="s">
        <v>850</v>
      </c>
      <c r="B633" s="133"/>
      <c r="C633" s="658" t="s">
        <v>212</v>
      </c>
      <c r="D633" s="126"/>
      <c r="E633" s="127"/>
      <c r="F633" s="128"/>
      <c r="G633" s="128"/>
      <c r="H633" s="128"/>
      <c r="I633" s="129"/>
      <c r="J633" s="129">
        <f>SUBTOTAL(9,J634:J644)</f>
        <v>110605.07340000001</v>
      </c>
      <c r="K633" s="129"/>
      <c r="L633" s="129"/>
      <c r="M633" s="129">
        <f>SUBTOTAL(9,M634:M644)</f>
        <v>110605.07340000001</v>
      </c>
      <c r="N633" s="130"/>
      <c r="O633" s="624">
        <f>SUBTOTAL(9,O634:O644)</f>
        <v>110605.03</v>
      </c>
      <c r="P633" s="130"/>
      <c r="Q633" s="624">
        <f>SUBTOTAL(9,Q634:Q644)</f>
        <v>0</v>
      </c>
      <c r="R633" s="129"/>
      <c r="S633" s="624">
        <f>SUBTOTAL(9,S634:S644)</f>
        <v>110605.03</v>
      </c>
      <c r="T633" s="129">
        <f t="shared" si="1039"/>
        <v>0</v>
      </c>
      <c r="U633" s="624">
        <f>M633-S633</f>
        <v>4.3400000009569339E-2</v>
      </c>
    </row>
    <row r="634" spans="1:21">
      <c r="A634" s="190" t="s">
        <v>760</v>
      </c>
      <c r="B634" s="191" t="s">
        <v>224</v>
      </c>
      <c r="C634" s="657" t="s">
        <v>229</v>
      </c>
      <c r="D634" s="192" t="s">
        <v>50</v>
      </c>
      <c r="E634" s="193">
        <v>280.31</v>
      </c>
      <c r="F634" s="194">
        <v>111.39</v>
      </c>
      <c r="G634" s="194"/>
      <c r="H634" s="194"/>
      <c r="I634" s="193">
        <f t="shared" ref="I634" si="1055">F634+G634-H634</f>
        <v>111.39</v>
      </c>
      <c r="J634" s="193">
        <f t="shared" ref="J634" si="1056">I634*E634</f>
        <v>31223.730899999999</v>
      </c>
      <c r="K634" s="193"/>
      <c r="L634" s="193"/>
      <c r="M634" s="622">
        <f t="shared" ref="M634" si="1057">I634*E634</f>
        <v>31223.730899999999</v>
      </c>
      <c r="N634" s="194">
        <v>111.39</v>
      </c>
      <c r="O634" s="622">
        <f t="shared" ref="O634" si="1058">TRUNC(N634*E634,2)</f>
        <v>31223.73</v>
      </c>
      <c r="P634" s="194"/>
      <c r="Q634" s="622">
        <f t="shared" ref="Q634" si="1059">S634-O634</f>
        <v>0</v>
      </c>
      <c r="R634" s="194">
        <f>P634+N634</f>
        <v>111.39</v>
      </c>
      <c r="S634" s="630">
        <f t="shared" ref="S634" si="1060">TRUNC(R634*E634,2)</f>
        <v>31223.73</v>
      </c>
      <c r="T634" s="194">
        <f>I634-R634</f>
        <v>0</v>
      </c>
      <c r="U634" s="630">
        <f t="shared" ref="U634:U644" si="1061">T634*E634</f>
        <v>0</v>
      </c>
    </row>
    <row r="635" spans="1:21">
      <c r="A635" s="190" t="s">
        <v>761</v>
      </c>
      <c r="B635" s="191" t="s">
        <v>225</v>
      </c>
      <c r="C635" s="657" t="s">
        <v>230</v>
      </c>
      <c r="D635" s="192" t="s">
        <v>50</v>
      </c>
      <c r="E635" s="193">
        <v>645.84</v>
      </c>
      <c r="F635" s="194">
        <v>15.3</v>
      </c>
      <c r="G635" s="194"/>
      <c r="H635" s="194"/>
      <c r="I635" s="193">
        <f t="shared" ref="I635:I644" si="1062">F635+G635-H635</f>
        <v>15.3</v>
      </c>
      <c r="J635" s="193">
        <f t="shared" ref="J635:J644" si="1063">I635*E635</f>
        <v>9881.3520000000008</v>
      </c>
      <c r="K635" s="193"/>
      <c r="L635" s="193"/>
      <c r="M635" s="622">
        <f t="shared" ref="M635:M644" si="1064">I635*E635</f>
        <v>9881.3520000000008</v>
      </c>
      <c r="N635" s="194">
        <v>15.3</v>
      </c>
      <c r="O635" s="622">
        <f>TRUNC(N635*E635,2)</f>
        <v>9881.35</v>
      </c>
      <c r="P635" s="194"/>
      <c r="Q635" s="622">
        <f>S635-O635</f>
        <v>0</v>
      </c>
      <c r="R635" s="194">
        <f>P635+N635</f>
        <v>15.3</v>
      </c>
      <c r="S635" s="630">
        <f>TRUNC(R635*E635,2)</f>
        <v>9881.35</v>
      </c>
      <c r="T635" s="194">
        <f t="shared" si="1039"/>
        <v>0</v>
      </c>
      <c r="U635" s="630">
        <f t="shared" si="1061"/>
        <v>0</v>
      </c>
    </row>
    <row r="636" spans="1:21" ht="25.5">
      <c r="A636" s="190" t="s">
        <v>762</v>
      </c>
      <c r="B636" s="191" t="s">
        <v>226</v>
      </c>
      <c r="C636" s="657" t="s">
        <v>231</v>
      </c>
      <c r="D636" s="192" t="s">
        <v>50</v>
      </c>
      <c r="E636" s="193">
        <v>651.87</v>
      </c>
      <c r="F636" s="194">
        <v>5.63</v>
      </c>
      <c r="G636" s="194"/>
      <c r="H636" s="194"/>
      <c r="I636" s="193">
        <f t="shared" si="1062"/>
        <v>5.63</v>
      </c>
      <c r="J636" s="193">
        <f t="shared" si="1063"/>
        <v>3670.0281</v>
      </c>
      <c r="K636" s="193"/>
      <c r="L636" s="193"/>
      <c r="M636" s="622">
        <f t="shared" si="1064"/>
        <v>3670.0281</v>
      </c>
      <c r="N636" s="194">
        <v>5.63</v>
      </c>
      <c r="O636" s="622">
        <f t="shared" ref="O636:O644" si="1065">TRUNC(N636*E636,2)</f>
        <v>3670.02</v>
      </c>
      <c r="P636" s="194"/>
      <c r="Q636" s="622">
        <f t="shared" ref="Q636:Q644" si="1066">S636-O636</f>
        <v>0</v>
      </c>
      <c r="R636" s="194">
        <f t="shared" ref="R636:R644" si="1067">P636+N636</f>
        <v>5.63</v>
      </c>
      <c r="S636" s="630">
        <f t="shared" ref="S636:S644" si="1068">TRUNC(R636*E636,2)</f>
        <v>3670.02</v>
      </c>
      <c r="T636" s="194">
        <f t="shared" si="1039"/>
        <v>0</v>
      </c>
      <c r="U636" s="630">
        <f t="shared" si="1061"/>
        <v>0</v>
      </c>
    </row>
    <row r="637" spans="1:21" ht="25.5">
      <c r="A637" s="190" t="s">
        <v>763</v>
      </c>
      <c r="B637" s="191">
        <v>210322</v>
      </c>
      <c r="C637" s="657" t="s">
        <v>232</v>
      </c>
      <c r="D637" s="192" t="s">
        <v>51</v>
      </c>
      <c r="E637" s="193">
        <v>91.5</v>
      </c>
      <c r="F637" s="194">
        <v>13.65</v>
      </c>
      <c r="G637" s="194"/>
      <c r="H637" s="194"/>
      <c r="I637" s="193">
        <f t="shared" si="1062"/>
        <v>13.65</v>
      </c>
      <c r="J637" s="193">
        <f t="shared" si="1063"/>
        <v>1248.9750000000001</v>
      </c>
      <c r="K637" s="193"/>
      <c r="L637" s="193"/>
      <c r="M637" s="622">
        <f t="shared" si="1064"/>
        <v>1248.9750000000001</v>
      </c>
      <c r="N637" s="194">
        <v>13.65</v>
      </c>
      <c r="O637" s="622">
        <f t="shared" si="1065"/>
        <v>1248.97</v>
      </c>
      <c r="P637" s="194"/>
      <c r="Q637" s="622">
        <f t="shared" si="1066"/>
        <v>0</v>
      </c>
      <c r="R637" s="194">
        <f t="shared" si="1067"/>
        <v>13.65</v>
      </c>
      <c r="S637" s="630">
        <f t="shared" si="1068"/>
        <v>1248.97</v>
      </c>
      <c r="T637" s="194">
        <f t="shared" si="1039"/>
        <v>0</v>
      </c>
      <c r="U637" s="630">
        <f t="shared" si="1061"/>
        <v>0</v>
      </c>
    </row>
    <row r="638" spans="1:21" ht="25.5">
      <c r="A638" s="190" t="s">
        <v>764</v>
      </c>
      <c r="B638" s="191" t="s">
        <v>227</v>
      </c>
      <c r="C638" s="657" t="s">
        <v>233</v>
      </c>
      <c r="D638" s="192" t="s">
        <v>51</v>
      </c>
      <c r="E638" s="193">
        <v>366.23</v>
      </c>
      <c r="F638" s="194">
        <v>4.1500000000000004</v>
      </c>
      <c r="G638" s="194"/>
      <c r="H638" s="194"/>
      <c r="I638" s="193">
        <f t="shared" si="1062"/>
        <v>4.1500000000000004</v>
      </c>
      <c r="J638" s="193">
        <f t="shared" si="1063"/>
        <v>1519.8545000000001</v>
      </c>
      <c r="K638" s="193"/>
      <c r="L638" s="193"/>
      <c r="M638" s="622">
        <f t="shared" si="1064"/>
        <v>1519.8545000000001</v>
      </c>
      <c r="N638" s="194">
        <v>4.1500000000000004</v>
      </c>
      <c r="O638" s="622">
        <f t="shared" si="1065"/>
        <v>1519.85</v>
      </c>
      <c r="P638" s="194"/>
      <c r="Q638" s="622">
        <f t="shared" si="1066"/>
        <v>0</v>
      </c>
      <c r="R638" s="194">
        <f t="shared" si="1067"/>
        <v>4.1500000000000004</v>
      </c>
      <c r="S638" s="630">
        <f t="shared" si="1068"/>
        <v>1519.85</v>
      </c>
      <c r="T638" s="194">
        <f t="shared" si="1039"/>
        <v>0</v>
      </c>
      <c r="U638" s="630">
        <f t="shared" si="1061"/>
        <v>0</v>
      </c>
    </row>
    <row r="639" spans="1:21" ht="60.75" customHeight="1">
      <c r="A639" s="190" t="s">
        <v>765</v>
      </c>
      <c r="B639" s="191">
        <v>50608</v>
      </c>
      <c r="C639" s="657" t="s">
        <v>234</v>
      </c>
      <c r="D639" s="192" t="s">
        <v>57</v>
      </c>
      <c r="E639" s="193">
        <v>88.68</v>
      </c>
      <c r="F639" s="194">
        <v>8.32</v>
      </c>
      <c r="G639" s="194"/>
      <c r="H639" s="194"/>
      <c r="I639" s="193">
        <f t="shared" si="1062"/>
        <v>8.32</v>
      </c>
      <c r="J639" s="193">
        <f t="shared" si="1063"/>
        <v>737.81760000000008</v>
      </c>
      <c r="K639" s="193"/>
      <c r="L639" s="193"/>
      <c r="M639" s="622">
        <f t="shared" si="1064"/>
        <v>737.81760000000008</v>
      </c>
      <c r="N639" s="194">
        <f>'5.3.10.6 '!R21</f>
        <v>8.32</v>
      </c>
      <c r="O639" s="622">
        <f t="shared" si="1065"/>
        <v>737.81</v>
      </c>
      <c r="P639" s="194">
        <f>'5.3.10.6 '!R22</f>
        <v>0</v>
      </c>
      <c r="Q639" s="622">
        <f t="shared" si="1066"/>
        <v>0</v>
      </c>
      <c r="R639" s="194">
        <f t="shared" si="1067"/>
        <v>8.32</v>
      </c>
      <c r="S639" s="630">
        <f t="shared" si="1068"/>
        <v>737.81</v>
      </c>
      <c r="T639" s="194">
        <f t="shared" si="1039"/>
        <v>0</v>
      </c>
      <c r="U639" s="630">
        <f t="shared" si="1061"/>
        <v>0</v>
      </c>
    </row>
    <row r="640" spans="1:21" ht="25.5">
      <c r="A640" s="190" t="s">
        <v>766</v>
      </c>
      <c r="B640" s="191">
        <v>120101</v>
      </c>
      <c r="C640" s="657" t="s">
        <v>235</v>
      </c>
      <c r="D640" s="192" t="s">
        <v>57</v>
      </c>
      <c r="E640" s="193">
        <v>5.64</v>
      </c>
      <c r="F640" s="194">
        <v>531.42999999999995</v>
      </c>
      <c r="G640" s="194"/>
      <c r="H640" s="194"/>
      <c r="I640" s="193">
        <f t="shared" si="1062"/>
        <v>531.42999999999995</v>
      </c>
      <c r="J640" s="193">
        <f t="shared" si="1063"/>
        <v>2997.2651999999994</v>
      </c>
      <c r="K640" s="193"/>
      <c r="L640" s="193"/>
      <c r="M640" s="622">
        <f t="shared" si="1064"/>
        <v>2997.2651999999994</v>
      </c>
      <c r="N640" s="194">
        <f>'5.3.10.7'!R21</f>
        <v>531.42999999999995</v>
      </c>
      <c r="O640" s="622">
        <f t="shared" si="1065"/>
        <v>2997.26</v>
      </c>
      <c r="P640" s="194">
        <f>'5.3.10.7'!R22</f>
        <v>0</v>
      </c>
      <c r="Q640" s="622">
        <f t="shared" si="1066"/>
        <v>0</v>
      </c>
      <c r="R640" s="194">
        <f t="shared" si="1067"/>
        <v>531.42999999999995</v>
      </c>
      <c r="S640" s="630">
        <f t="shared" si="1068"/>
        <v>2997.26</v>
      </c>
      <c r="T640" s="194">
        <f t="shared" si="1039"/>
        <v>0</v>
      </c>
      <c r="U640" s="630">
        <f t="shared" si="1061"/>
        <v>0</v>
      </c>
    </row>
    <row r="641" spans="1:21" ht="33" customHeight="1">
      <c r="A641" s="190" t="s">
        <v>767</v>
      </c>
      <c r="B641" s="191">
        <v>120303</v>
      </c>
      <c r="C641" s="657" t="s">
        <v>236</v>
      </c>
      <c r="D641" s="192" t="s">
        <v>57</v>
      </c>
      <c r="E641" s="193">
        <v>49.24</v>
      </c>
      <c r="F641" s="194">
        <v>531.42999999999995</v>
      </c>
      <c r="G641" s="194"/>
      <c r="H641" s="194"/>
      <c r="I641" s="193">
        <f t="shared" si="1062"/>
        <v>531.42999999999995</v>
      </c>
      <c r="J641" s="193">
        <f t="shared" si="1063"/>
        <v>26167.6132</v>
      </c>
      <c r="K641" s="193"/>
      <c r="L641" s="193"/>
      <c r="M641" s="622">
        <f t="shared" si="1064"/>
        <v>26167.6132</v>
      </c>
      <c r="N641" s="194">
        <f>'5.3.10.8'!R21</f>
        <v>531.42999999999995</v>
      </c>
      <c r="O641" s="622">
        <f t="shared" si="1065"/>
        <v>26167.61</v>
      </c>
      <c r="P641" s="194">
        <f>'5.3.10.8'!R22</f>
        <v>0</v>
      </c>
      <c r="Q641" s="622">
        <f t="shared" si="1066"/>
        <v>0</v>
      </c>
      <c r="R641" s="194">
        <f t="shared" si="1067"/>
        <v>531.42999999999995</v>
      </c>
      <c r="S641" s="630">
        <f t="shared" si="1068"/>
        <v>26167.61</v>
      </c>
      <c r="T641" s="194">
        <f t="shared" si="1039"/>
        <v>0</v>
      </c>
      <c r="U641" s="630">
        <f t="shared" si="1061"/>
        <v>0</v>
      </c>
    </row>
    <row r="642" spans="1:21" ht="25.5">
      <c r="A642" s="190" t="s">
        <v>768</v>
      </c>
      <c r="B642" s="191">
        <v>190117</v>
      </c>
      <c r="C642" s="657" t="s">
        <v>237</v>
      </c>
      <c r="D642" s="192" t="s">
        <v>57</v>
      </c>
      <c r="E642" s="193">
        <v>18.27</v>
      </c>
      <c r="F642" s="194">
        <v>531.42999999999995</v>
      </c>
      <c r="G642" s="194"/>
      <c r="H642" s="194"/>
      <c r="I642" s="193">
        <f t="shared" si="1062"/>
        <v>531.42999999999995</v>
      </c>
      <c r="J642" s="193">
        <f t="shared" si="1063"/>
        <v>9709.226099999998</v>
      </c>
      <c r="K642" s="193"/>
      <c r="L642" s="193"/>
      <c r="M642" s="622">
        <f t="shared" si="1064"/>
        <v>9709.226099999998</v>
      </c>
      <c r="N642" s="194">
        <f>'5.3.10.9'!N24</f>
        <v>531.42999999999995</v>
      </c>
      <c r="O642" s="622">
        <f t="shared" si="1065"/>
        <v>9709.2199999999993</v>
      </c>
      <c r="P642" s="194">
        <f>'5.3.10.9'!N25</f>
        <v>0</v>
      </c>
      <c r="Q642" s="622">
        <f t="shared" si="1066"/>
        <v>0</v>
      </c>
      <c r="R642" s="194">
        <f t="shared" si="1067"/>
        <v>531.42999999999995</v>
      </c>
      <c r="S642" s="630">
        <f t="shared" si="1068"/>
        <v>9709.2199999999993</v>
      </c>
      <c r="T642" s="194">
        <f t="shared" si="1039"/>
        <v>0</v>
      </c>
      <c r="U642" s="630">
        <f t="shared" si="1061"/>
        <v>0</v>
      </c>
    </row>
    <row r="643" spans="1:21" ht="51">
      <c r="A643" s="190" t="s">
        <v>769</v>
      </c>
      <c r="B643" s="191">
        <v>130230</v>
      </c>
      <c r="C643" s="657" t="s">
        <v>238</v>
      </c>
      <c r="D643" s="192" t="s">
        <v>57</v>
      </c>
      <c r="E643" s="193">
        <v>106.19</v>
      </c>
      <c r="F643" s="194">
        <v>142.32</v>
      </c>
      <c r="G643" s="194"/>
      <c r="H643" s="194"/>
      <c r="I643" s="193">
        <f t="shared" si="1062"/>
        <v>142.32</v>
      </c>
      <c r="J643" s="193">
        <f t="shared" si="1063"/>
        <v>15112.960799999999</v>
      </c>
      <c r="K643" s="193"/>
      <c r="L643" s="193"/>
      <c r="M643" s="622">
        <f t="shared" si="1064"/>
        <v>15112.960799999999</v>
      </c>
      <c r="N643" s="194">
        <f>'5.3.10.10'!N24</f>
        <v>142.32</v>
      </c>
      <c r="O643" s="622">
        <f t="shared" si="1065"/>
        <v>15112.96</v>
      </c>
      <c r="P643" s="194">
        <f>'5.3.10.10'!N25</f>
        <v>0</v>
      </c>
      <c r="Q643" s="622">
        <f t="shared" si="1066"/>
        <v>0</v>
      </c>
      <c r="R643" s="194">
        <f t="shared" si="1067"/>
        <v>142.32</v>
      </c>
      <c r="S643" s="630">
        <f t="shared" si="1068"/>
        <v>15112.96</v>
      </c>
      <c r="T643" s="194">
        <f t="shared" si="1039"/>
        <v>0</v>
      </c>
      <c r="U643" s="630">
        <f t="shared" si="1061"/>
        <v>0</v>
      </c>
    </row>
    <row r="644" spans="1:21" ht="25.5">
      <c r="A644" s="190" t="s">
        <v>770</v>
      </c>
      <c r="B644" s="191" t="s">
        <v>228</v>
      </c>
      <c r="C644" s="657" t="s">
        <v>239</v>
      </c>
      <c r="D644" s="192" t="s">
        <v>72</v>
      </c>
      <c r="E644" s="193">
        <v>333.45</v>
      </c>
      <c r="F644" s="194">
        <v>25</v>
      </c>
      <c r="G644" s="194"/>
      <c r="H644" s="194"/>
      <c r="I644" s="193">
        <f t="shared" si="1062"/>
        <v>25</v>
      </c>
      <c r="J644" s="193">
        <f t="shared" si="1063"/>
        <v>8336.25</v>
      </c>
      <c r="K644" s="193"/>
      <c r="L644" s="193"/>
      <c r="M644" s="622">
        <f t="shared" si="1064"/>
        <v>8336.25</v>
      </c>
      <c r="N644" s="194">
        <v>25</v>
      </c>
      <c r="O644" s="622">
        <f t="shared" si="1065"/>
        <v>8336.25</v>
      </c>
      <c r="P644" s="194">
        <v>0</v>
      </c>
      <c r="Q644" s="622">
        <f t="shared" si="1066"/>
        <v>0</v>
      </c>
      <c r="R644" s="194">
        <f t="shared" si="1067"/>
        <v>25</v>
      </c>
      <c r="S644" s="630">
        <f t="shared" si="1068"/>
        <v>8336.25</v>
      </c>
      <c r="T644" s="194">
        <f t="shared" si="1039"/>
        <v>0</v>
      </c>
      <c r="U644" s="630">
        <f t="shared" si="1061"/>
        <v>0</v>
      </c>
    </row>
    <row r="645" spans="1:21">
      <c r="A645" s="138"/>
      <c r="B645" s="132"/>
      <c r="C645" s="123"/>
      <c r="D645" s="123"/>
      <c r="E645" s="123"/>
      <c r="F645" s="123"/>
      <c r="G645" s="123"/>
      <c r="H645" s="123"/>
      <c r="I645" s="123"/>
      <c r="J645" s="123"/>
      <c r="K645" s="123"/>
      <c r="L645" s="123"/>
      <c r="M645" s="623"/>
      <c r="N645" s="123"/>
      <c r="O645" s="623"/>
      <c r="P645" s="123"/>
      <c r="Q645" s="623"/>
      <c r="R645" s="123"/>
      <c r="S645" s="631"/>
      <c r="T645" s="123"/>
      <c r="U645" s="631"/>
    </row>
    <row r="646" spans="1:21" s="213" customFormat="1">
      <c r="A646" s="210" t="s">
        <v>771</v>
      </c>
      <c r="B646" s="211"/>
      <c r="C646" s="655" t="s">
        <v>240</v>
      </c>
      <c r="D646" s="197"/>
      <c r="E646" s="198"/>
      <c r="F646" s="199"/>
      <c r="G646" s="199"/>
      <c r="H646" s="199"/>
      <c r="I646" s="200"/>
      <c r="J646" s="200">
        <f>SUBTOTAL(9,J647:J685)</f>
        <v>667462.34789999994</v>
      </c>
      <c r="K646" s="200"/>
      <c r="L646" s="200"/>
      <c r="M646" s="620"/>
      <c r="N646" s="201"/>
      <c r="O646" s="620">
        <f>SUBTOTAL(9,O647:O685)</f>
        <v>410016.27</v>
      </c>
      <c r="P646" s="201"/>
      <c r="Q646" s="620">
        <f>SUBTOTAL(9,Q647:Q685)</f>
        <v>57382.44</v>
      </c>
      <c r="R646" s="200"/>
      <c r="S646" s="620">
        <f>SUBTOTAL(9,S647:S685)</f>
        <v>738760.79999999993</v>
      </c>
      <c r="T646" s="200">
        <f t="shared" si="1039"/>
        <v>0</v>
      </c>
      <c r="U646" s="620">
        <f>SUBTOTAL(9,U647:U685)</f>
        <v>176893.87429999997</v>
      </c>
    </row>
    <row r="647" spans="1:21" s="131" customFormat="1" ht="22.5" customHeight="1">
      <c r="A647" s="137" t="s">
        <v>772</v>
      </c>
      <c r="B647" s="133"/>
      <c r="C647" s="658" t="s">
        <v>242</v>
      </c>
      <c r="D647" s="126"/>
      <c r="E647" s="127"/>
      <c r="F647" s="128"/>
      <c r="G647" s="128"/>
      <c r="H647" s="128"/>
      <c r="I647" s="129"/>
      <c r="J647" s="129">
        <f>SUBTOTAL(9,J648:J659)</f>
        <v>296584.22210000007</v>
      </c>
      <c r="K647" s="129"/>
      <c r="L647" s="129"/>
      <c r="M647" s="624"/>
      <c r="N647" s="130"/>
      <c r="O647" s="624">
        <f>SUBTOTAL(9,O648:O659)</f>
        <v>232788.75</v>
      </c>
      <c r="P647" s="130"/>
      <c r="Q647" s="624">
        <f>SUBTOTAL(9,Q648:Q659)</f>
        <v>57382.44</v>
      </c>
      <c r="R647" s="129"/>
      <c r="S647" s="624">
        <f>SUBTOTAL(9,S648:S659)</f>
        <v>290171.19</v>
      </c>
      <c r="T647" s="129">
        <f t="shared" si="1039"/>
        <v>0</v>
      </c>
      <c r="U647" s="624">
        <f>SUBTOTAL(9,U648:U659)</f>
        <v>14182.713000000002</v>
      </c>
    </row>
    <row r="648" spans="1:21" ht="25.5">
      <c r="A648" s="190" t="s">
        <v>773</v>
      </c>
      <c r="B648" s="191">
        <v>40405</v>
      </c>
      <c r="C648" s="657" t="s">
        <v>264</v>
      </c>
      <c r="D648" s="192" t="s">
        <v>57</v>
      </c>
      <c r="E648" s="193">
        <v>86.33</v>
      </c>
      <c r="F648" s="194">
        <v>341</v>
      </c>
      <c r="G648" s="194">
        <f>REPLANILHAMENTO!H568</f>
        <v>90</v>
      </c>
      <c r="H648" s="194"/>
      <c r="I648" s="193">
        <f>F648+G648</f>
        <v>431</v>
      </c>
      <c r="J648" s="193">
        <f>F648*E648</f>
        <v>29438.53</v>
      </c>
      <c r="K648" s="193">
        <f>G648*E648</f>
        <v>7769.7</v>
      </c>
      <c r="L648" s="193"/>
      <c r="M648" s="622">
        <f>I648*E648</f>
        <v>37208.229999999996</v>
      </c>
      <c r="N648" s="194">
        <f>'5.4.1.1'!R24</f>
        <v>431</v>
      </c>
      <c r="O648" s="622">
        <f t="shared" ref="O648:O660" si="1069">TRUNC(N648*E648,2)</f>
        <v>37208.230000000003</v>
      </c>
      <c r="P648" s="194">
        <f>'5.4.1.1'!R25</f>
        <v>0</v>
      </c>
      <c r="Q648" s="622">
        <f t="shared" ref="Q648:Q660" si="1070">S648-O648</f>
        <v>0</v>
      </c>
      <c r="R648" s="194">
        <f>P648+N648</f>
        <v>431</v>
      </c>
      <c r="S648" s="630">
        <f t="shared" ref="S648:S659" si="1071">TRUNC(R648*E648,2)</f>
        <v>37208.230000000003</v>
      </c>
      <c r="T648" s="194">
        <v>0</v>
      </c>
      <c r="U648" s="630">
        <v>0</v>
      </c>
    </row>
    <row r="649" spans="1:21" ht="25.5">
      <c r="A649" s="190" t="s">
        <v>774</v>
      </c>
      <c r="B649" s="191" t="s">
        <v>255</v>
      </c>
      <c r="C649" s="657" t="s">
        <v>265</v>
      </c>
      <c r="D649" s="192" t="s">
        <v>29</v>
      </c>
      <c r="E649" s="193">
        <v>7.33</v>
      </c>
      <c r="F649" s="194">
        <v>3966.02</v>
      </c>
      <c r="G649" s="194"/>
      <c r="H649" s="194"/>
      <c r="I649" s="193">
        <f t="shared" ref="I649" si="1072">F649+G649-H649</f>
        <v>3966.02</v>
      </c>
      <c r="J649" s="193">
        <f t="shared" ref="J649" si="1073">I649*E649</f>
        <v>29070.926599999999</v>
      </c>
      <c r="K649" s="193"/>
      <c r="L649" s="193"/>
      <c r="M649" s="622">
        <f t="shared" ref="M649" si="1074">I649*E649</f>
        <v>29070.926599999999</v>
      </c>
      <c r="N649" s="194">
        <f>3569.418+396.602</f>
        <v>3966.02</v>
      </c>
      <c r="O649" s="622">
        <f t="shared" si="1069"/>
        <v>29070.92</v>
      </c>
      <c r="P649" s="194">
        <v>0</v>
      </c>
      <c r="Q649" s="622">
        <f t="shared" si="1070"/>
        <v>0</v>
      </c>
      <c r="R649" s="194">
        <f t="shared" ref="R649:R659" si="1075">P649+N649</f>
        <v>3966.02</v>
      </c>
      <c r="S649" s="630">
        <f t="shared" si="1071"/>
        <v>29070.92</v>
      </c>
      <c r="T649" s="194">
        <f t="shared" si="1039"/>
        <v>0</v>
      </c>
      <c r="U649" s="630">
        <f t="shared" ref="U649:U659" si="1076">T649*E649</f>
        <v>0</v>
      </c>
    </row>
    <row r="650" spans="1:21" ht="25.5">
      <c r="A650" s="190" t="s">
        <v>775</v>
      </c>
      <c r="B650" s="191">
        <v>40328</v>
      </c>
      <c r="C650" s="657" t="s">
        <v>147</v>
      </c>
      <c r="D650" s="192" t="s">
        <v>29</v>
      </c>
      <c r="E650" s="193">
        <v>7.98</v>
      </c>
      <c r="F650" s="194">
        <v>1880</v>
      </c>
      <c r="G650" s="194"/>
      <c r="H650" s="194"/>
      <c r="I650" s="193">
        <f t="shared" ref="I650:I659" si="1077">F650+G650-H650</f>
        <v>1880</v>
      </c>
      <c r="J650" s="193">
        <f t="shared" ref="J650:J659" si="1078">I650*E650</f>
        <v>15002.400000000001</v>
      </c>
      <c r="K650" s="193"/>
      <c r="L650" s="193"/>
      <c r="M650" s="622">
        <f t="shared" ref="M650:M659" si="1079">I650*E650</f>
        <v>15002.400000000001</v>
      </c>
      <c r="N650" s="194">
        <v>1880</v>
      </c>
      <c r="O650" s="622">
        <f t="shared" si="1069"/>
        <v>15002.4</v>
      </c>
      <c r="P650" s="194">
        <v>0</v>
      </c>
      <c r="Q650" s="622">
        <f t="shared" si="1070"/>
        <v>0</v>
      </c>
      <c r="R650" s="194">
        <f t="shared" si="1075"/>
        <v>1880</v>
      </c>
      <c r="S650" s="630">
        <f t="shared" si="1071"/>
        <v>15002.4</v>
      </c>
      <c r="T650" s="194">
        <f t="shared" si="1039"/>
        <v>0</v>
      </c>
      <c r="U650" s="630">
        <f t="shared" si="1076"/>
        <v>0</v>
      </c>
    </row>
    <row r="651" spans="1:21">
      <c r="A651" s="190" t="s">
        <v>776</v>
      </c>
      <c r="B651" s="191" t="s">
        <v>256</v>
      </c>
      <c r="C651" s="657" t="s">
        <v>266</v>
      </c>
      <c r="D651" s="192" t="s">
        <v>29</v>
      </c>
      <c r="E651" s="193">
        <v>11.02</v>
      </c>
      <c r="F651" s="194">
        <v>73</v>
      </c>
      <c r="G651" s="194"/>
      <c r="H651" s="194"/>
      <c r="I651" s="193">
        <f t="shared" si="1077"/>
        <v>73</v>
      </c>
      <c r="J651" s="193">
        <f t="shared" si="1078"/>
        <v>804.45999999999992</v>
      </c>
      <c r="K651" s="193"/>
      <c r="L651" s="193"/>
      <c r="M651" s="622">
        <f t="shared" si="1079"/>
        <v>804.45999999999992</v>
      </c>
      <c r="N651" s="194">
        <v>73</v>
      </c>
      <c r="O651" s="622">
        <f t="shared" si="1069"/>
        <v>804.46</v>
      </c>
      <c r="P651" s="194">
        <v>0</v>
      </c>
      <c r="Q651" s="622">
        <f t="shared" si="1070"/>
        <v>0</v>
      </c>
      <c r="R651" s="194">
        <f t="shared" si="1075"/>
        <v>73</v>
      </c>
      <c r="S651" s="630">
        <f t="shared" si="1071"/>
        <v>804.46</v>
      </c>
      <c r="T651" s="194">
        <f t="shared" si="1039"/>
        <v>0</v>
      </c>
      <c r="U651" s="630">
        <f t="shared" si="1076"/>
        <v>0</v>
      </c>
    </row>
    <row r="652" spans="1:21" ht="51">
      <c r="A652" s="190" t="s">
        <v>777</v>
      </c>
      <c r="B652" s="191" t="s">
        <v>257</v>
      </c>
      <c r="C652" s="657" t="s">
        <v>267</v>
      </c>
      <c r="D652" s="192" t="s">
        <v>58</v>
      </c>
      <c r="E652" s="193">
        <v>777.83</v>
      </c>
      <c r="F652" s="194">
        <v>28.05</v>
      </c>
      <c r="G652" s="194"/>
      <c r="H652" s="194"/>
      <c r="I652" s="193">
        <f t="shared" si="1077"/>
        <v>28.05</v>
      </c>
      <c r="J652" s="193">
        <f t="shared" si="1078"/>
        <v>21818.131500000003</v>
      </c>
      <c r="K652" s="193"/>
      <c r="L652" s="193"/>
      <c r="M652" s="622">
        <f t="shared" si="1079"/>
        <v>21818.131500000003</v>
      </c>
      <c r="N652" s="194">
        <v>28.05</v>
      </c>
      <c r="O652" s="622">
        <f t="shared" si="1069"/>
        <v>21818.13</v>
      </c>
      <c r="P652" s="194">
        <v>0</v>
      </c>
      <c r="Q652" s="622">
        <f t="shared" si="1070"/>
        <v>0</v>
      </c>
      <c r="R652" s="194">
        <f t="shared" si="1075"/>
        <v>28.05</v>
      </c>
      <c r="S652" s="630">
        <f t="shared" si="1071"/>
        <v>21818.13</v>
      </c>
      <c r="T652" s="194">
        <f t="shared" si="1039"/>
        <v>0</v>
      </c>
      <c r="U652" s="630">
        <f t="shared" si="1076"/>
        <v>0</v>
      </c>
    </row>
    <row r="653" spans="1:21" ht="25.5">
      <c r="A653" s="190" t="s">
        <v>778</v>
      </c>
      <c r="B653" s="191" t="s">
        <v>258</v>
      </c>
      <c r="C653" s="657" t="s">
        <v>268</v>
      </c>
      <c r="D653" s="192" t="s">
        <v>49</v>
      </c>
      <c r="E653" s="193">
        <v>641.15</v>
      </c>
      <c r="F653" s="194">
        <v>113.84</v>
      </c>
      <c r="G653" s="194"/>
      <c r="H653" s="194"/>
      <c r="I653" s="193">
        <f t="shared" si="1077"/>
        <v>113.84</v>
      </c>
      <c r="J653" s="193">
        <f t="shared" si="1078"/>
        <v>72988.516000000003</v>
      </c>
      <c r="K653" s="193"/>
      <c r="L653" s="193"/>
      <c r="M653" s="622">
        <f t="shared" si="1079"/>
        <v>72988.516000000003</v>
      </c>
      <c r="N653" s="194">
        <v>113.84</v>
      </c>
      <c r="O653" s="622">
        <f t="shared" si="1069"/>
        <v>72988.509999999995</v>
      </c>
      <c r="P653" s="194">
        <v>0</v>
      </c>
      <c r="Q653" s="622">
        <f>S653-O653</f>
        <v>0</v>
      </c>
      <c r="R653" s="194">
        <f t="shared" si="1075"/>
        <v>113.84</v>
      </c>
      <c r="S653" s="630">
        <f t="shared" si="1071"/>
        <v>72988.509999999995</v>
      </c>
      <c r="T653" s="194">
        <f t="shared" si="1039"/>
        <v>0</v>
      </c>
      <c r="U653" s="630">
        <f t="shared" si="1076"/>
        <v>0</v>
      </c>
    </row>
    <row r="654" spans="1:21" s="725" customFormat="1" ht="25.5">
      <c r="A654" s="577" t="s">
        <v>779</v>
      </c>
      <c r="B654" s="578" t="s">
        <v>259</v>
      </c>
      <c r="C654" s="722" t="s">
        <v>269</v>
      </c>
      <c r="D654" s="580" t="s">
        <v>72</v>
      </c>
      <c r="E654" s="581">
        <v>14345.61</v>
      </c>
      <c r="F654" s="582">
        <v>4</v>
      </c>
      <c r="G654" s="582"/>
      <c r="H654" s="582"/>
      <c r="I654" s="581">
        <f t="shared" si="1077"/>
        <v>4</v>
      </c>
      <c r="J654" s="581">
        <f t="shared" si="1078"/>
        <v>57382.44</v>
      </c>
      <c r="K654" s="581"/>
      <c r="L654" s="581"/>
      <c r="M654" s="723">
        <f t="shared" si="1079"/>
        <v>57382.44</v>
      </c>
      <c r="N654" s="582">
        <v>0</v>
      </c>
      <c r="O654" s="723">
        <f t="shared" si="1069"/>
        <v>0</v>
      </c>
      <c r="P654" s="582">
        <v>4</v>
      </c>
      <c r="Q654" s="723">
        <f t="shared" si="1070"/>
        <v>57382.44</v>
      </c>
      <c r="R654" s="582">
        <f t="shared" si="1075"/>
        <v>4</v>
      </c>
      <c r="S654" s="724">
        <f t="shared" si="1071"/>
        <v>57382.44</v>
      </c>
      <c r="T654" s="582">
        <f t="shared" si="1039"/>
        <v>0</v>
      </c>
      <c r="U654" s="724">
        <f t="shared" si="1076"/>
        <v>0</v>
      </c>
    </row>
    <row r="655" spans="1:21" ht="25.5">
      <c r="A655" s="190" t="s">
        <v>780</v>
      </c>
      <c r="B655" s="191" t="s">
        <v>260</v>
      </c>
      <c r="C655" s="657" t="s">
        <v>270</v>
      </c>
      <c r="D655" s="192" t="s">
        <v>72</v>
      </c>
      <c r="E655" s="193">
        <v>5478.19</v>
      </c>
      <c r="F655" s="194">
        <v>2</v>
      </c>
      <c r="G655" s="194"/>
      <c r="H655" s="194"/>
      <c r="I655" s="193">
        <f t="shared" si="1077"/>
        <v>2</v>
      </c>
      <c r="J655" s="193">
        <f t="shared" si="1078"/>
        <v>10956.38</v>
      </c>
      <c r="K655" s="193"/>
      <c r="L655" s="193"/>
      <c r="M655" s="622">
        <f t="shared" si="1079"/>
        <v>10956.38</v>
      </c>
      <c r="N655" s="194">
        <v>2</v>
      </c>
      <c r="O655" s="622">
        <f t="shared" si="1069"/>
        <v>10956.38</v>
      </c>
      <c r="P655" s="194">
        <v>0</v>
      </c>
      <c r="Q655" s="622">
        <f t="shared" si="1070"/>
        <v>0</v>
      </c>
      <c r="R655" s="194">
        <f t="shared" si="1075"/>
        <v>2</v>
      </c>
      <c r="S655" s="630">
        <f t="shared" si="1071"/>
        <v>10956.38</v>
      </c>
      <c r="T655" s="194">
        <f>I655-R655</f>
        <v>0</v>
      </c>
      <c r="U655" s="630">
        <f t="shared" si="1076"/>
        <v>0</v>
      </c>
    </row>
    <row r="656" spans="1:21" ht="38.25">
      <c r="A656" s="190" t="s">
        <v>781</v>
      </c>
      <c r="B656" s="191">
        <v>40817</v>
      </c>
      <c r="C656" s="657" t="s">
        <v>271</v>
      </c>
      <c r="D656" s="192" t="s">
        <v>58</v>
      </c>
      <c r="E656" s="193">
        <v>3001.6</v>
      </c>
      <c r="F656" s="194">
        <v>0.03</v>
      </c>
      <c r="G656" s="194"/>
      <c r="H656" s="194"/>
      <c r="I656" s="193">
        <f t="shared" si="1077"/>
        <v>0.03</v>
      </c>
      <c r="J656" s="193">
        <f t="shared" si="1078"/>
        <v>90.047999999999988</v>
      </c>
      <c r="K656" s="193"/>
      <c r="L656" s="193"/>
      <c r="M656" s="622">
        <f t="shared" si="1079"/>
        <v>90.047999999999988</v>
      </c>
      <c r="N656" s="194">
        <v>0</v>
      </c>
      <c r="O656" s="622">
        <f t="shared" si="1069"/>
        <v>0</v>
      </c>
      <c r="P656" s="194">
        <f>IFERROR(VLOOKUP(A656,#REF!,18,FALSE),)</f>
        <v>0</v>
      </c>
      <c r="Q656" s="622">
        <f t="shared" si="1070"/>
        <v>0</v>
      </c>
      <c r="R656" s="194">
        <f t="shared" si="1075"/>
        <v>0</v>
      </c>
      <c r="S656" s="630">
        <f t="shared" si="1071"/>
        <v>0</v>
      </c>
      <c r="T656" s="194">
        <f t="shared" si="1039"/>
        <v>0.03</v>
      </c>
      <c r="U656" s="630">
        <f t="shared" si="1076"/>
        <v>90.047999999999988</v>
      </c>
    </row>
    <row r="657" spans="1:21">
      <c r="A657" s="190" t="s">
        <v>782</v>
      </c>
      <c r="B657" s="191" t="s">
        <v>261</v>
      </c>
      <c r="C657" s="657" t="s">
        <v>272</v>
      </c>
      <c r="D657" s="192" t="s">
        <v>72</v>
      </c>
      <c r="E657" s="193">
        <v>2011.04</v>
      </c>
      <c r="F657" s="194">
        <v>15</v>
      </c>
      <c r="G657" s="194"/>
      <c r="H657" s="194"/>
      <c r="I657" s="193">
        <f t="shared" si="1077"/>
        <v>15</v>
      </c>
      <c r="J657" s="193">
        <f t="shared" si="1078"/>
        <v>30165.599999999999</v>
      </c>
      <c r="K657" s="193"/>
      <c r="L657" s="193"/>
      <c r="M657" s="622">
        <f t="shared" si="1079"/>
        <v>30165.599999999999</v>
      </c>
      <c r="N657" s="194">
        <v>15</v>
      </c>
      <c r="O657" s="622">
        <f t="shared" si="1069"/>
        <v>30165.599999999999</v>
      </c>
      <c r="P657" s="194">
        <v>0</v>
      </c>
      <c r="Q657" s="622">
        <f t="shared" si="1070"/>
        <v>0</v>
      </c>
      <c r="R657" s="194">
        <f t="shared" si="1075"/>
        <v>15</v>
      </c>
      <c r="S657" s="630">
        <f t="shared" si="1071"/>
        <v>30165.599999999999</v>
      </c>
      <c r="T657" s="194">
        <f t="shared" si="1039"/>
        <v>0</v>
      </c>
      <c r="U657" s="630">
        <f t="shared" si="1076"/>
        <v>0</v>
      </c>
    </row>
    <row r="658" spans="1:21" ht="25.5">
      <c r="A658" s="190" t="s">
        <v>783</v>
      </c>
      <c r="B658" s="191" t="s">
        <v>262</v>
      </c>
      <c r="C658" s="657" t="s">
        <v>273</v>
      </c>
      <c r="D658" s="192" t="s">
        <v>72</v>
      </c>
      <c r="E658" s="193">
        <v>28185.33</v>
      </c>
      <c r="F658" s="194">
        <v>1</v>
      </c>
      <c r="G658" s="194"/>
      <c r="H658" s="194"/>
      <c r="I658" s="193">
        <f t="shared" si="1077"/>
        <v>1</v>
      </c>
      <c r="J658" s="193">
        <f t="shared" si="1078"/>
        <v>28185.33</v>
      </c>
      <c r="K658" s="193"/>
      <c r="L658" s="193"/>
      <c r="M658" s="622">
        <f t="shared" si="1079"/>
        <v>28185.33</v>
      </c>
      <c r="N658" s="194">
        <v>0.5</v>
      </c>
      <c r="O658" s="622">
        <f t="shared" si="1069"/>
        <v>14092.66</v>
      </c>
      <c r="P658" s="194">
        <v>0</v>
      </c>
      <c r="Q658" s="622">
        <f t="shared" si="1070"/>
        <v>0</v>
      </c>
      <c r="R658" s="194">
        <f t="shared" si="1075"/>
        <v>0.5</v>
      </c>
      <c r="S658" s="630">
        <f t="shared" si="1071"/>
        <v>14092.66</v>
      </c>
      <c r="T658" s="194">
        <f t="shared" si="1039"/>
        <v>0.5</v>
      </c>
      <c r="U658" s="630">
        <f t="shared" si="1076"/>
        <v>14092.665000000001</v>
      </c>
    </row>
    <row r="659" spans="1:21">
      <c r="A659" s="190" t="s">
        <v>784</v>
      </c>
      <c r="B659" s="191" t="s">
        <v>263</v>
      </c>
      <c r="C659" s="657" t="s">
        <v>274</v>
      </c>
      <c r="D659" s="192" t="s">
        <v>72</v>
      </c>
      <c r="E659" s="193">
        <v>340.73</v>
      </c>
      <c r="F659" s="194">
        <v>2</v>
      </c>
      <c r="G659" s="194"/>
      <c r="H659" s="194"/>
      <c r="I659" s="193">
        <f t="shared" si="1077"/>
        <v>2</v>
      </c>
      <c r="J659" s="193">
        <f t="shared" si="1078"/>
        <v>681.46</v>
      </c>
      <c r="K659" s="193"/>
      <c r="L659" s="193"/>
      <c r="M659" s="622">
        <f t="shared" si="1079"/>
        <v>681.46</v>
      </c>
      <c r="N659" s="194">
        <v>2</v>
      </c>
      <c r="O659" s="622">
        <f t="shared" si="1069"/>
        <v>681.46</v>
      </c>
      <c r="P659" s="264">
        <v>0</v>
      </c>
      <c r="Q659" s="625">
        <f t="shared" si="1070"/>
        <v>0</v>
      </c>
      <c r="R659" s="194">
        <f t="shared" si="1075"/>
        <v>2</v>
      </c>
      <c r="S659" s="630">
        <f t="shared" si="1071"/>
        <v>681.46</v>
      </c>
      <c r="T659" s="194">
        <f t="shared" si="1039"/>
        <v>0</v>
      </c>
      <c r="U659" s="630">
        <f t="shared" si="1076"/>
        <v>0</v>
      </c>
    </row>
    <row r="660" spans="1:21">
      <c r="A660" s="190" t="s">
        <v>1229</v>
      </c>
      <c r="B660" s="191" t="s">
        <v>774</v>
      </c>
      <c r="C660" s="657" t="s">
        <v>1119</v>
      </c>
      <c r="D660" s="192" t="s">
        <v>10</v>
      </c>
      <c r="E660" s="193">
        <v>13295.45</v>
      </c>
      <c r="F660" s="194">
        <v>0</v>
      </c>
      <c r="G660" s="194">
        <v>1</v>
      </c>
      <c r="H660" s="194">
        <v>0</v>
      </c>
      <c r="I660" s="193">
        <v>1</v>
      </c>
      <c r="J660" s="193"/>
      <c r="K660" s="193">
        <f>G660*E660</f>
        <v>13295.45</v>
      </c>
      <c r="L660" s="193"/>
      <c r="M660" s="622">
        <f>I660*E660</f>
        <v>13295.45</v>
      </c>
      <c r="N660" s="194">
        <v>1</v>
      </c>
      <c r="O660" s="622">
        <f t="shared" si="1069"/>
        <v>13295.45</v>
      </c>
      <c r="P660" s="194">
        <v>0</v>
      </c>
      <c r="Q660" s="622">
        <f t="shared" si="1070"/>
        <v>0</v>
      </c>
      <c r="R660" s="194">
        <f>N660+P660</f>
        <v>1</v>
      </c>
      <c r="S660" s="630">
        <f>TRUNC(R660*E660,2)</f>
        <v>13295.45</v>
      </c>
      <c r="T660" s="194">
        <f>I660-R660</f>
        <v>0</v>
      </c>
      <c r="U660" s="630">
        <f t="shared" ref="U660" si="1080">T660*E660</f>
        <v>0</v>
      </c>
    </row>
    <row r="661" spans="1:21">
      <c r="A661" s="138"/>
      <c r="B661" s="132"/>
      <c r="C661" s="123"/>
      <c r="D661" s="123"/>
      <c r="E661" s="123"/>
      <c r="F661" s="123"/>
      <c r="G661" s="123"/>
      <c r="H661" s="123"/>
      <c r="I661" s="123"/>
      <c r="J661" s="123"/>
      <c r="K661" s="123"/>
      <c r="L661" s="123"/>
      <c r="M661" s="623"/>
      <c r="N661" s="123"/>
      <c r="O661" s="623"/>
      <c r="P661" s="123"/>
      <c r="Q661" s="623"/>
      <c r="R661" s="123"/>
      <c r="S661" s="631"/>
      <c r="T661" s="123"/>
      <c r="U661" s="631"/>
    </row>
    <row r="662" spans="1:21" s="131" customFormat="1">
      <c r="A662" s="137" t="s">
        <v>785</v>
      </c>
      <c r="B662" s="133"/>
      <c r="C662" s="658" t="s">
        <v>276</v>
      </c>
      <c r="D662" s="126"/>
      <c r="E662" s="127"/>
      <c r="F662" s="128"/>
      <c r="G662" s="128"/>
      <c r="H662" s="128"/>
      <c r="I662" s="129"/>
      <c r="J662" s="129">
        <f>SUBTOTAL(9,J663:J663)</f>
        <v>1359.12</v>
      </c>
      <c r="K662" s="129"/>
      <c r="L662" s="129"/>
      <c r="M662" s="624"/>
      <c r="N662" s="130"/>
      <c r="O662" s="624">
        <f>SUBTOTAL(9,O663:O663)</f>
        <v>0</v>
      </c>
      <c r="P662" s="130"/>
      <c r="Q662" s="624">
        <f>SUBTOTAL(9,Q663:Q663)</f>
        <v>0</v>
      </c>
      <c r="R662" s="129"/>
      <c r="S662" s="624">
        <f>SUBTOTAL(9,S663:S663)</f>
        <v>0</v>
      </c>
      <c r="T662" s="129">
        <f t="shared" si="1039"/>
        <v>0</v>
      </c>
      <c r="U662" s="624">
        <f>SUBTOTAL(9,U663:U663)</f>
        <v>1359.12</v>
      </c>
    </row>
    <row r="663" spans="1:21" ht="25.5">
      <c r="A663" s="190" t="s">
        <v>786</v>
      </c>
      <c r="B663" s="191" t="s">
        <v>787</v>
      </c>
      <c r="C663" s="657" t="s">
        <v>788</v>
      </c>
      <c r="D663" s="192" t="s">
        <v>72</v>
      </c>
      <c r="E663" s="193">
        <v>1359.12</v>
      </c>
      <c r="F663" s="194">
        <v>1</v>
      </c>
      <c r="G663" s="194"/>
      <c r="H663" s="194"/>
      <c r="I663" s="193">
        <f t="shared" ref="I663" si="1081">F663+G663-H663</f>
        <v>1</v>
      </c>
      <c r="J663" s="193">
        <f t="shared" ref="J663" si="1082">I663*E663</f>
        <v>1359.12</v>
      </c>
      <c r="K663" s="193"/>
      <c r="L663" s="193"/>
      <c r="M663" s="622">
        <f t="shared" ref="M663" si="1083">I663*E663</f>
        <v>1359.12</v>
      </c>
      <c r="N663" s="194">
        <v>0</v>
      </c>
      <c r="O663" s="622">
        <f t="shared" ref="O663" si="1084">TRUNC(N663*E663,2)</f>
        <v>0</v>
      </c>
      <c r="P663" s="194">
        <f>IFERROR(VLOOKUP(A663,#REF!,18,FALSE),)</f>
        <v>0</v>
      </c>
      <c r="Q663" s="622">
        <f t="shared" ref="Q663" si="1085">S663-O663</f>
        <v>0</v>
      </c>
      <c r="R663" s="194">
        <f t="shared" ref="R663" si="1086">P663+N663</f>
        <v>0</v>
      </c>
      <c r="S663" s="630">
        <f t="shared" ref="S663" si="1087">TRUNC(R663*E663,2)</f>
        <v>0</v>
      </c>
      <c r="T663" s="194">
        <f t="shared" si="1039"/>
        <v>1</v>
      </c>
      <c r="U663" s="630">
        <f t="shared" ref="U663" si="1088">T663*E663</f>
        <v>1359.12</v>
      </c>
    </row>
    <row r="664" spans="1:21">
      <c r="A664" s="138"/>
      <c r="B664" s="132"/>
      <c r="C664" s="123"/>
      <c r="D664" s="123"/>
      <c r="E664" s="123"/>
      <c r="F664" s="123"/>
      <c r="G664" s="123"/>
      <c r="H664" s="123"/>
      <c r="I664" s="123"/>
      <c r="J664" s="123"/>
      <c r="K664" s="123"/>
      <c r="L664" s="123"/>
      <c r="M664" s="623"/>
      <c r="N664" s="123"/>
      <c r="O664" s="623"/>
      <c r="P664" s="123"/>
      <c r="Q664" s="623"/>
      <c r="R664" s="123"/>
      <c r="S664" s="631"/>
      <c r="T664" s="123"/>
      <c r="U664" s="631"/>
    </row>
    <row r="665" spans="1:21" s="131" customFormat="1">
      <c r="A665" s="137" t="s">
        <v>789</v>
      </c>
      <c r="B665" s="133"/>
      <c r="C665" s="658" t="s">
        <v>281</v>
      </c>
      <c r="D665" s="126"/>
      <c r="E665" s="127"/>
      <c r="F665" s="128"/>
      <c r="G665" s="128"/>
      <c r="H665" s="128"/>
      <c r="I665" s="129"/>
      <c r="J665" s="129">
        <f>SUBTOTAL(9,J666:J679)</f>
        <v>360780.75800000003</v>
      </c>
      <c r="K665" s="129"/>
      <c r="L665" s="129"/>
      <c r="M665" s="624"/>
      <c r="N665" s="130"/>
      <c r="O665" s="624">
        <f>SUBTOTAL(9,O666:O679)</f>
        <v>163932.07</v>
      </c>
      <c r="P665" s="130"/>
      <c r="Q665" s="624">
        <f>SUBTOTAL(9,Q666:Q682)</f>
        <v>0</v>
      </c>
      <c r="R665" s="129"/>
      <c r="S665" s="624">
        <f>SUBTOTAL(9,S666:S679)</f>
        <v>163932.07</v>
      </c>
      <c r="T665" s="129">
        <f t="shared" si="1039"/>
        <v>0</v>
      </c>
      <c r="U665" s="624">
        <f>SUBTOTAL(9,U666:U679)</f>
        <v>56306.8995</v>
      </c>
    </row>
    <row r="666" spans="1:21" ht="38.25">
      <c r="A666" s="190" t="s">
        <v>790</v>
      </c>
      <c r="B666" s="191" t="s">
        <v>294</v>
      </c>
      <c r="C666" s="657" t="s">
        <v>304</v>
      </c>
      <c r="D666" s="192" t="s">
        <v>315</v>
      </c>
      <c r="E666" s="193">
        <v>18178.13</v>
      </c>
      <c r="F666" s="194">
        <v>2</v>
      </c>
      <c r="G666" s="194"/>
      <c r="H666" s="194"/>
      <c r="I666" s="193">
        <f t="shared" ref="I666" si="1089">F666+G666-H666</f>
        <v>2</v>
      </c>
      <c r="J666" s="193">
        <f t="shared" ref="J666" si="1090">I666*E666</f>
        <v>36356.26</v>
      </c>
      <c r="K666" s="193"/>
      <c r="L666" s="193"/>
      <c r="M666" s="622">
        <f t="shared" ref="M666" si="1091">I666*E666</f>
        <v>36356.26</v>
      </c>
      <c r="N666" s="194">
        <v>2</v>
      </c>
      <c r="O666" s="622">
        <f t="shared" ref="O666:O679" si="1092">TRUNC(N666*E666,2)</f>
        <v>36356.26</v>
      </c>
      <c r="P666" s="194">
        <v>0</v>
      </c>
      <c r="Q666" s="622">
        <f t="shared" ref="Q666:Q679" si="1093">S666-O666</f>
        <v>0</v>
      </c>
      <c r="R666" s="194">
        <f t="shared" ref="R666:R679" si="1094">P666+N666</f>
        <v>2</v>
      </c>
      <c r="S666" s="630">
        <f>TRUNC(R666*E666,2)</f>
        <v>36356.26</v>
      </c>
      <c r="T666" s="194">
        <f t="shared" si="1039"/>
        <v>0</v>
      </c>
      <c r="U666" s="630">
        <f t="shared" ref="U666" si="1095">T666*E666</f>
        <v>0</v>
      </c>
    </row>
    <row r="667" spans="1:21" s="659" customFormat="1" ht="25.5">
      <c r="A667" s="555" t="s">
        <v>791</v>
      </c>
      <c r="B667" s="556" t="s">
        <v>295</v>
      </c>
      <c r="C667" s="660" t="s">
        <v>305</v>
      </c>
      <c r="D667" s="557" t="s">
        <v>51</v>
      </c>
      <c r="E667" s="558">
        <v>1268.83</v>
      </c>
      <c r="F667" s="559">
        <v>92.4</v>
      </c>
      <c r="G667" s="559"/>
      <c r="H667" s="559">
        <f>F667</f>
        <v>92.4</v>
      </c>
      <c r="I667" s="558">
        <f>F667+G667-H667</f>
        <v>0</v>
      </c>
      <c r="J667" s="558">
        <f>F667*E667</f>
        <v>117239.89200000001</v>
      </c>
      <c r="K667" s="558"/>
      <c r="L667" s="558">
        <f>H667*E667</f>
        <v>117239.89200000001</v>
      </c>
      <c r="M667" s="626">
        <f t="shared" ref="M667:M671" si="1096">I667*E667</f>
        <v>0</v>
      </c>
      <c r="N667" s="559">
        <v>0</v>
      </c>
      <c r="O667" s="626">
        <f t="shared" si="1092"/>
        <v>0</v>
      </c>
      <c r="P667" s="559">
        <f>IFERROR(VLOOKUP(A667,#REF!,18,FALSE),)</f>
        <v>0</v>
      </c>
      <c r="Q667" s="626">
        <f t="shared" si="1093"/>
        <v>0</v>
      </c>
      <c r="R667" s="559">
        <f t="shared" si="1094"/>
        <v>0</v>
      </c>
      <c r="S667" s="632">
        <f t="shared" ref="S667:S679" si="1097">TRUNC(R667*E667,2)</f>
        <v>0</v>
      </c>
      <c r="T667" s="559">
        <f>M667-R667</f>
        <v>0</v>
      </c>
      <c r="U667" s="632">
        <f t="shared" ref="U667:U678" si="1098">I667-S667</f>
        <v>0</v>
      </c>
    </row>
    <row r="668" spans="1:21" ht="25.5">
      <c r="A668" s="190" t="s">
        <v>792</v>
      </c>
      <c r="B668" s="191" t="s">
        <v>296</v>
      </c>
      <c r="C668" s="657" t="s">
        <v>306</v>
      </c>
      <c r="D668" s="192" t="s">
        <v>51</v>
      </c>
      <c r="E668" s="193">
        <v>294.97000000000003</v>
      </c>
      <c r="F668" s="194">
        <v>92.4</v>
      </c>
      <c r="G668" s="194">
        <f>REPLANILHAMENTO!H587</f>
        <v>186.6</v>
      </c>
      <c r="H668" s="194"/>
      <c r="I668" s="193">
        <f>F668+G668</f>
        <v>279</v>
      </c>
      <c r="J668" s="193">
        <f>F668*E668</f>
        <v>27255.228000000003</v>
      </c>
      <c r="K668" s="193">
        <f>G668*E668</f>
        <v>55041.402000000002</v>
      </c>
      <c r="L668" s="193"/>
      <c r="M668" s="622">
        <f t="shared" si="1096"/>
        <v>82296.63</v>
      </c>
      <c r="N668" s="194">
        <v>195.3</v>
      </c>
      <c r="O668" s="622">
        <f t="shared" si="1092"/>
        <v>57607.64</v>
      </c>
      <c r="P668" s="194">
        <v>0</v>
      </c>
      <c r="Q668" s="622">
        <f t="shared" si="1093"/>
        <v>0</v>
      </c>
      <c r="R668" s="194">
        <f t="shared" si="1094"/>
        <v>195.3</v>
      </c>
      <c r="S668" s="630">
        <f t="shared" si="1097"/>
        <v>57607.64</v>
      </c>
      <c r="T668" s="194">
        <f>I668-R668</f>
        <v>83.699999999999989</v>
      </c>
      <c r="U668" s="630">
        <f>T668*E668</f>
        <v>24688.988999999998</v>
      </c>
    </row>
    <row r="669" spans="1:21" s="659" customFormat="1" ht="26.25" customHeight="1">
      <c r="A669" s="555" t="s">
        <v>793</v>
      </c>
      <c r="B669" s="556" t="s">
        <v>297</v>
      </c>
      <c r="C669" s="660" t="s">
        <v>307</v>
      </c>
      <c r="D669" s="557" t="s">
        <v>51</v>
      </c>
      <c r="E669" s="558">
        <v>309.62</v>
      </c>
      <c r="F669" s="559">
        <v>66.599999999999994</v>
      </c>
      <c r="G669" s="559"/>
      <c r="H669" s="559">
        <f>F669</f>
        <v>66.599999999999994</v>
      </c>
      <c r="I669" s="558">
        <f>F669+G669-H669</f>
        <v>0</v>
      </c>
      <c r="J669" s="558">
        <f>F669*E669</f>
        <v>20620.691999999999</v>
      </c>
      <c r="K669" s="558"/>
      <c r="L669" s="558">
        <f>H669*E669</f>
        <v>20620.691999999999</v>
      </c>
      <c r="M669" s="626">
        <f t="shared" si="1096"/>
        <v>0</v>
      </c>
      <c r="N669" s="559">
        <v>0</v>
      </c>
      <c r="O669" s="626">
        <f t="shared" si="1092"/>
        <v>0</v>
      </c>
      <c r="P669" s="559">
        <f>IFERROR(VLOOKUP(A669,#REF!,18,FALSE),)</f>
        <v>0</v>
      </c>
      <c r="Q669" s="626">
        <f t="shared" si="1093"/>
        <v>0</v>
      </c>
      <c r="R669" s="559">
        <f t="shared" si="1094"/>
        <v>0</v>
      </c>
      <c r="S669" s="632">
        <f t="shared" si="1097"/>
        <v>0</v>
      </c>
      <c r="T669" s="559">
        <f>M669-R669</f>
        <v>0</v>
      </c>
      <c r="U669" s="632">
        <f t="shared" si="1098"/>
        <v>0</v>
      </c>
    </row>
    <row r="670" spans="1:21" ht="25.5">
      <c r="A670" s="190" t="s">
        <v>794</v>
      </c>
      <c r="B670" s="191" t="s">
        <v>298</v>
      </c>
      <c r="C670" s="657" t="s">
        <v>308</v>
      </c>
      <c r="D670" s="192" t="s">
        <v>51</v>
      </c>
      <c r="E670" s="193">
        <v>358.26</v>
      </c>
      <c r="F670" s="194">
        <v>66.599999999999994</v>
      </c>
      <c r="G670" s="194">
        <f>REPLANILHAMENTO!H590</f>
        <v>212.4</v>
      </c>
      <c r="H670" s="194"/>
      <c r="I670" s="193">
        <f>F670+G670</f>
        <v>279</v>
      </c>
      <c r="J670" s="193">
        <f>F670*E670</f>
        <v>23860.115999999998</v>
      </c>
      <c r="K670" s="193">
        <f>G670*E670</f>
        <v>76094.423999999999</v>
      </c>
      <c r="L670" s="193"/>
      <c r="M670" s="622">
        <f t="shared" si="1096"/>
        <v>99954.54</v>
      </c>
      <c r="N670" s="194">
        <v>195.3</v>
      </c>
      <c r="O670" s="622">
        <f t="shared" si="1092"/>
        <v>69968.17</v>
      </c>
      <c r="P670" s="194">
        <v>0</v>
      </c>
      <c r="Q670" s="622">
        <f t="shared" si="1093"/>
        <v>0</v>
      </c>
      <c r="R670" s="194">
        <f t="shared" si="1094"/>
        <v>195.3</v>
      </c>
      <c r="S670" s="630">
        <f t="shared" si="1097"/>
        <v>69968.17</v>
      </c>
      <c r="T670" s="194">
        <f>I670-R670</f>
        <v>83.699999999999989</v>
      </c>
      <c r="U670" s="630">
        <f>T670*E670</f>
        <v>29986.361999999994</v>
      </c>
    </row>
    <row r="671" spans="1:21" s="659" customFormat="1" ht="25.5">
      <c r="A671" s="555" t="s">
        <v>795</v>
      </c>
      <c r="B671" s="556" t="s">
        <v>497</v>
      </c>
      <c r="C671" s="660" t="s">
        <v>500</v>
      </c>
      <c r="D671" s="557" t="s">
        <v>51</v>
      </c>
      <c r="E671" s="558">
        <v>3440.35</v>
      </c>
      <c r="F671" s="559">
        <v>8</v>
      </c>
      <c r="G671" s="559"/>
      <c r="H671" s="559">
        <f>F671</f>
        <v>8</v>
      </c>
      <c r="I671" s="558">
        <f>F671+G671-H671</f>
        <v>0</v>
      </c>
      <c r="J671" s="558">
        <f>F671*E671</f>
        <v>27522.799999999999</v>
      </c>
      <c r="K671" s="558"/>
      <c r="L671" s="558">
        <f>H671*E671</f>
        <v>27522.799999999999</v>
      </c>
      <c r="M671" s="626">
        <f t="shared" si="1096"/>
        <v>0</v>
      </c>
      <c r="N671" s="559">
        <v>0</v>
      </c>
      <c r="O671" s="626">
        <f t="shared" si="1092"/>
        <v>0</v>
      </c>
      <c r="P671" s="559">
        <f>IFERROR(VLOOKUP(A671,#REF!,18,FALSE),)</f>
        <v>0</v>
      </c>
      <c r="Q671" s="626">
        <f t="shared" si="1093"/>
        <v>0</v>
      </c>
      <c r="R671" s="559">
        <f t="shared" si="1094"/>
        <v>0</v>
      </c>
      <c r="S671" s="632">
        <f t="shared" si="1097"/>
        <v>0</v>
      </c>
      <c r="T671" s="559">
        <f>M671-R671</f>
        <v>0</v>
      </c>
      <c r="U671" s="632">
        <f t="shared" si="1098"/>
        <v>0</v>
      </c>
    </row>
    <row r="672" spans="1:21" s="659" customFormat="1" ht="38.25">
      <c r="A672" s="555" t="s">
        <v>796</v>
      </c>
      <c r="B672" s="556" t="s">
        <v>498</v>
      </c>
      <c r="C672" s="660" t="s">
        <v>501</v>
      </c>
      <c r="D672" s="557" t="s">
        <v>51</v>
      </c>
      <c r="E672" s="558">
        <v>2019.23</v>
      </c>
      <c r="F672" s="559">
        <v>8</v>
      </c>
      <c r="G672" s="559"/>
      <c r="H672" s="559">
        <f t="shared" ref="H672:H676" si="1099">F672</f>
        <v>8</v>
      </c>
      <c r="I672" s="558">
        <f t="shared" ref="I672:I677" si="1100">F672+G672-H672</f>
        <v>0</v>
      </c>
      <c r="J672" s="558">
        <f t="shared" ref="J672:J676" si="1101">F672*E672</f>
        <v>16153.84</v>
      </c>
      <c r="K672" s="558"/>
      <c r="L672" s="558">
        <f t="shared" ref="L672:L676" si="1102">H672*E672</f>
        <v>16153.84</v>
      </c>
      <c r="M672" s="626">
        <f t="shared" ref="M672:M677" si="1103">I672*E672</f>
        <v>0</v>
      </c>
      <c r="N672" s="559">
        <v>0</v>
      </c>
      <c r="O672" s="626">
        <f t="shared" si="1092"/>
        <v>0</v>
      </c>
      <c r="P672" s="559">
        <f>IFERROR(VLOOKUP(A672,#REF!,18,FALSE),)</f>
        <v>0</v>
      </c>
      <c r="Q672" s="626">
        <f t="shared" si="1093"/>
        <v>0</v>
      </c>
      <c r="R672" s="559">
        <f t="shared" si="1094"/>
        <v>0</v>
      </c>
      <c r="S672" s="632">
        <f t="shared" si="1097"/>
        <v>0</v>
      </c>
      <c r="T672" s="559">
        <f t="shared" ref="T672:T676" si="1104">M672-R672</f>
        <v>0</v>
      </c>
      <c r="U672" s="632">
        <f t="shared" si="1098"/>
        <v>0</v>
      </c>
    </row>
    <row r="673" spans="1:21" s="659" customFormat="1" ht="25.5">
      <c r="A673" s="555" t="s">
        <v>797</v>
      </c>
      <c r="B673" s="556" t="s">
        <v>299</v>
      </c>
      <c r="C673" s="660" t="s">
        <v>309</v>
      </c>
      <c r="D673" s="557" t="s">
        <v>29</v>
      </c>
      <c r="E673" s="558">
        <v>8.1199999999999992</v>
      </c>
      <c r="F673" s="559">
        <v>6521</v>
      </c>
      <c r="G673" s="559"/>
      <c r="H673" s="559">
        <f t="shared" si="1099"/>
        <v>6521</v>
      </c>
      <c r="I673" s="558">
        <f t="shared" si="1100"/>
        <v>0</v>
      </c>
      <c r="J673" s="558">
        <f t="shared" si="1101"/>
        <v>52950.52</v>
      </c>
      <c r="K673" s="558"/>
      <c r="L673" s="558">
        <f t="shared" si="1102"/>
        <v>52950.52</v>
      </c>
      <c r="M673" s="626">
        <f t="shared" si="1103"/>
        <v>0</v>
      </c>
      <c r="N673" s="559">
        <v>0</v>
      </c>
      <c r="O673" s="626">
        <f t="shared" si="1092"/>
        <v>0</v>
      </c>
      <c r="P673" s="559">
        <f>IFERROR(VLOOKUP(A673,#REF!,18,FALSE),)</f>
        <v>0</v>
      </c>
      <c r="Q673" s="626">
        <f t="shared" si="1093"/>
        <v>0</v>
      </c>
      <c r="R673" s="559">
        <f t="shared" si="1094"/>
        <v>0</v>
      </c>
      <c r="S673" s="632">
        <f t="shared" si="1097"/>
        <v>0</v>
      </c>
      <c r="T673" s="559">
        <f t="shared" si="1104"/>
        <v>0</v>
      </c>
      <c r="U673" s="632">
        <f t="shared" si="1098"/>
        <v>0</v>
      </c>
    </row>
    <row r="674" spans="1:21" s="659" customFormat="1">
      <c r="A674" s="555" t="s">
        <v>798</v>
      </c>
      <c r="B674" s="556" t="s">
        <v>300</v>
      </c>
      <c r="C674" s="660" t="s">
        <v>310</v>
      </c>
      <c r="D674" s="557" t="s">
        <v>29</v>
      </c>
      <c r="E674" s="558">
        <v>0.64</v>
      </c>
      <c r="F674" s="559">
        <v>6521</v>
      </c>
      <c r="G674" s="559"/>
      <c r="H674" s="559">
        <f t="shared" si="1099"/>
        <v>6521</v>
      </c>
      <c r="I674" s="558">
        <f t="shared" si="1100"/>
        <v>0</v>
      </c>
      <c r="J674" s="558">
        <f t="shared" si="1101"/>
        <v>4173.4400000000005</v>
      </c>
      <c r="K674" s="558"/>
      <c r="L674" s="558">
        <f t="shared" si="1102"/>
        <v>4173.4400000000005</v>
      </c>
      <c r="M674" s="626">
        <f t="shared" si="1103"/>
        <v>0</v>
      </c>
      <c r="N674" s="559">
        <v>0</v>
      </c>
      <c r="O674" s="626">
        <f t="shared" si="1092"/>
        <v>0</v>
      </c>
      <c r="P674" s="559">
        <f>IFERROR(VLOOKUP(A674,#REF!,18,FALSE),)</f>
        <v>0</v>
      </c>
      <c r="Q674" s="626">
        <f t="shared" si="1093"/>
        <v>0</v>
      </c>
      <c r="R674" s="559">
        <f t="shared" si="1094"/>
        <v>0</v>
      </c>
      <c r="S674" s="632">
        <f t="shared" si="1097"/>
        <v>0</v>
      </c>
      <c r="T674" s="559">
        <f t="shared" si="1104"/>
        <v>0</v>
      </c>
      <c r="U674" s="632">
        <f t="shared" si="1098"/>
        <v>0</v>
      </c>
    </row>
    <row r="675" spans="1:21" s="659" customFormat="1" ht="38.25">
      <c r="A675" s="555" t="s">
        <v>799</v>
      </c>
      <c r="B675" s="556" t="s">
        <v>140</v>
      </c>
      <c r="C675" s="660" t="s">
        <v>804</v>
      </c>
      <c r="D675" s="557" t="s">
        <v>58</v>
      </c>
      <c r="E675" s="558">
        <v>486.08</v>
      </c>
      <c r="F675" s="559">
        <v>36.89</v>
      </c>
      <c r="G675" s="559"/>
      <c r="H675" s="559">
        <f t="shared" si="1099"/>
        <v>36.89</v>
      </c>
      <c r="I675" s="558">
        <f t="shared" si="1100"/>
        <v>0</v>
      </c>
      <c r="J675" s="558">
        <f t="shared" si="1101"/>
        <v>17931.4912</v>
      </c>
      <c r="K675" s="558"/>
      <c r="L675" s="558">
        <f t="shared" si="1102"/>
        <v>17931.4912</v>
      </c>
      <c r="M675" s="626">
        <f t="shared" si="1103"/>
        <v>0</v>
      </c>
      <c r="N675" s="559">
        <v>0</v>
      </c>
      <c r="O675" s="626">
        <f t="shared" si="1092"/>
        <v>0</v>
      </c>
      <c r="P675" s="559">
        <f>IFERROR(VLOOKUP(A675,#REF!,18,FALSE),)</f>
        <v>0</v>
      </c>
      <c r="Q675" s="626">
        <f t="shared" si="1093"/>
        <v>0</v>
      </c>
      <c r="R675" s="559">
        <f t="shared" si="1094"/>
        <v>0</v>
      </c>
      <c r="S675" s="632">
        <f t="shared" si="1097"/>
        <v>0</v>
      </c>
      <c r="T675" s="559">
        <f t="shared" si="1104"/>
        <v>0</v>
      </c>
      <c r="U675" s="632">
        <f t="shared" si="1098"/>
        <v>0</v>
      </c>
    </row>
    <row r="676" spans="1:21" s="659" customFormat="1">
      <c r="A676" s="555" t="s">
        <v>800</v>
      </c>
      <c r="B676" s="556" t="s">
        <v>301</v>
      </c>
      <c r="C676" s="660" t="s">
        <v>311</v>
      </c>
      <c r="D676" s="557" t="s">
        <v>49</v>
      </c>
      <c r="E676" s="558">
        <v>105.97</v>
      </c>
      <c r="F676" s="559">
        <v>36.89</v>
      </c>
      <c r="G676" s="559"/>
      <c r="H676" s="559">
        <f t="shared" si="1099"/>
        <v>36.89</v>
      </c>
      <c r="I676" s="558">
        <f t="shared" si="1100"/>
        <v>0</v>
      </c>
      <c r="J676" s="558">
        <f t="shared" si="1101"/>
        <v>3909.2332999999999</v>
      </c>
      <c r="K676" s="558"/>
      <c r="L676" s="558">
        <f t="shared" si="1102"/>
        <v>3909.2332999999999</v>
      </c>
      <c r="M676" s="626">
        <f t="shared" si="1103"/>
        <v>0</v>
      </c>
      <c r="N676" s="559">
        <v>0</v>
      </c>
      <c r="O676" s="626">
        <f t="shared" si="1092"/>
        <v>0</v>
      </c>
      <c r="P676" s="559">
        <f>IFERROR(VLOOKUP(A676,#REF!,18,FALSE),)</f>
        <v>0</v>
      </c>
      <c r="Q676" s="626">
        <f t="shared" si="1093"/>
        <v>0</v>
      </c>
      <c r="R676" s="559">
        <f t="shared" si="1094"/>
        <v>0</v>
      </c>
      <c r="S676" s="632">
        <f t="shared" si="1097"/>
        <v>0</v>
      </c>
      <c r="T676" s="559">
        <f t="shared" si="1104"/>
        <v>0</v>
      </c>
      <c r="U676" s="632">
        <f t="shared" si="1098"/>
        <v>0</v>
      </c>
    </row>
    <row r="677" spans="1:21">
      <c r="A677" s="190" t="s">
        <v>801</v>
      </c>
      <c r="B677" s="191" t="s">
        <v>302</v>
      </c>
      <c r="C677" s="657" t="s">
        <v>312</v>
      </c>
      <c r="D677" s="192" t="s">
        <v>72</v>
      </c>
      <c r="E677" s="193">
        <v>1.62</v>
      </c>
      <c r="F677" s="194">
        <v>4</v>
      </c>
      <c r="G677" s="194"/>
      <c r="H677" s="194"/>
      <c r="I677" s="193">
        <f t="shared" si="1100"/>
        <v>4</v>
      </c>
      <c r="J677" s="193">
        <f t="shared" ref="J677" si="1105">I677*E677</f>
        <v>6.48</v>
      </c>
      <c r="K677" s="193"/>
      <c r="L677" s="193"/>
      <c r="M677" s="622">
        <f t="shared" si="1103"/>
        <v>6.48</v>
      </c>
      <c r="N677" s="194">
        <v>0</v>
      </c>
      <c r="O677" s="622">
        <f t="shared" si="1092"/>
        <v>0</v>
      </c>
      <c r="P677" s="194">
        <f>IFERROR(VLOOKUP(A677,#REF!,18,FALSE),)</f>
        <v>0</v>
      </c>
      <c r="Q677" s="622">
        <f t="shared" si="1093"/>
        <v>0</v>
      </c>
      <c r="R677" s="194">
        <f t="shared" si="1094"/>
        <v>0</v>
      </c>
      <c r="S677" s="630">
        <f t="shared" si="1097"/>
        <v>0</v>
      </c>
      <c r="T677" s="194">
        <f t="shared" si="1039"/>
        <v>4</v>
      </c>
      <c r="U677" s="630">
        <f t="shared" ref="U677" si="1106">T677*E677</f>
        <v>6.48</v>
      </c>
    </row>
    <row r="678" spans="1:21" s="659" customFormat="1" ht="25.5">
      <c r="A678" s="555" t="s">
        <v>802</v>
      </c>
      <c r="B678" s="556" t="s">
        <v>303</v>
      </c>
      <c r="C678" s="660" t="s">
        <v>313</v>
      </c>
      <c r="D678" s="557" t="s">
        <v>72</v>
      </c>
      <c r="E678" s="558">
        <v>5793.75</v>
      </c>
      <c r="F678" s="559">
        <v>2</v>
      </c>
      <c r="G678" s="559"/>
      <c r="H678" s="559">
        <v>2</v>
      </c>
      <c r="I678" s="558">
        <f>F678+G678-H678</f>
        <v>0</v>
      </c>
      <c r="J678" s="558">
        <f>F678*E678</f>
        <v>11587.5</v>
      </c>
      <c r="K678" s="558"/>
      <c r="L678" s="558">
        <f>H678*E678</f>
        <v>11587.5</v>
      </c>
      <c r="M678" s="626">
        <f>I678*E678</f>
        <v>0</v>
      </c>
      <c r="N678" s="559">
        <v>0</v>
      </c>
      <c r="O678" s="626">
        <f t="shared" si="1092"/>
        <v>0</v>
      </c>
      <c r="P678" s="559">
        <f>IFERROR(VLOOKUP(A678,#REF!,18,FALSE),)</f>
        <v>0</v>
      </c>
      <c r="Q678" s="626">
        <f t="shared" si="1093"/>
        <v>0</v>
      </c>
      <c r="R678" s="559">
        <f t="shared" si="1094"/>
        <v>0</v>
      </c>
      <c r="S678" s="632">
        <f t="shared" si="1097"/>
        <v>0</v>
      </c>
      <c r="T678" s="559">
        <f>M678-R678</f>
        <v>0</v>
      </c>
      <c r="U678" s="632">
        <f t="shared" si="1098"/>
        <v>0</v>
      </c>
    </row>
    <row r="679" spans="1:21" ht="24" customHeight="1">
      <c r="A679" s="190" t="s">
        <v>803</v>
      </c>
      <c r="B679" s="191">
        <v>190418</v>
      </c>
      <c r="C679" s="657" t="s">
        <v>314</v>
      </c>
      <c r="D679" s="192" t="s">
        <v>57</v>
      </c>
      <c r="E679" s="193">
        <v>33.049999999999997</v>
      </c>
      <c r="F679" s="194">
        <v>36.71</v>
      </c>
      <c r="G679" s="194">
        <f>REPLANILHAMENTO!H600</f>
        <v>12.46</v>
      </c>
      <c r="H679" s="194"/>
      <c r="I679" s="193">
        <f>F679+G679</f>
        <v>49.17</v>
      </c>
      <c r="J679" s="193">
        <f>F679*E679</f>
        <v>1213.2655</v>
      </c>
      <c r="K679" s="193">
        <f>G679*E679</f>
        <v>411.803</v>
      </c>
      <c r="L679" s="193"/>
      <c r="M679" s="622">
        <f>I679*E679</f>
        <v>1625.0684999999999</v>
      </c>
      <c r="N679" s="194">
        <v>0</v>
      </c>
      <c r="O679" s="622">
        <f t="shared" si="1092"/>
        <v>0</v>
      </c>
      <c r="P679" s="194">
        <f>IFERROR(VLOOKUP(A679,#REF!,18,FALSE),)</f>
        <v>0</v>
      </c>
      <c r="Q679" s="622">
        <f t="shared" si="1093"/>
        <v>0</v>
      </c>
      <c r="R679" s="194">
        <f t="shared" si="1094"/>
        <v>0</v>
      </c>
      <c r="S679" s="630">
        <f t="shared" si="1097"/>
        <v>0</v>
      </c>
      <c r="T679" s="194">
        <f>I679-R679</f>
        <v>49.17</v>
      </c>
      <c r="U679" s="630">
        <f>T679*E679</f>
        <v>1625.0684999999999</v>
      </c>
    </row>
    <row r="680" spans="1:21" ht="25.5">
      <c r="A680" s="190" t="s">
        <v>1232</v>
      </c>
      <c r="B680" s="191" t="s">
        <v>793</v>
      </c>
      <c r="C680" s="657" t="s">
        <v>1181</v>
      </c>
      <c r="D680" s="192" t="s">
        <v>51</v>
      </c>
      <c r="E680" s="193">
        <v>742.5</v>
      </c>
      <c r="F680" s="194">
        <v>0</v>
      </c>
      <c r="G680" s="194">
        <v>279</v>
      </c>
      <c r="H680" s="194">
        <v>0</v>
      </c>
      <c r="I680" s="193">
        <f>F680+G680-H680</f>
        <v>279</v>
      </c>
      <c r="J680" s="193"/>
      <c r="K680" s="193">
        <f>G680*E680</f>
        <v>207157.5</v>
      </c>
      <c r="L680" s="193"/>
      <c r="M680" s="622">
        <f>I680*E680</f>
        <v>207157.5</v>
      </c>
      <c r="N680" s="194">
        <f>'5.4.3.15'!R19</f>
        <v>279</v>
      </c>
      <c r="O680" s="622">
        <v>0</v>
      </c>
      <c r="P680" s="194">
        <f>'5.4.3.15'!R20</f>
        <v>0</v>
      </c>
      <c r="Q680" s="622">
        <f>P680*E680</f>
        <v>0</v>
      </c>
      <c r="R680" s="194">
        <f t="shared" ref="R680" si="1107">P680+N680</f>
        <v>279</v>
      </c>
      <c r="S680" s="630">
        <f t="shared" ref="S680" si="1108">TRUNC(R680*E680,2)</f>
        <v>207157.5</v>
      </c>
      <c r="T680" s="194">
        <f>I680-R680</f>
        <v>0</v>
      </c>
      <c r="U680" s="630">
        <f>T680*E680</f>
        <v>0</v>
      </c>
    </row>
    <row r="681" spans="1:21" ht="25.5">
      <c r="A681" s="190" t="s">
        <v>1233</v>
      </c>
      <c r="B681" s="191" t="s">
        <v>796</v>
      </c>
      <c r="C681" s="657" t="s">
        <v>1131</v>
      </c>
      <c r="D681" s="192" t="s">
        <v>51</v>
      </c>
      <c r="E681" s="193">
        <v>575.30999999999995</v>
      </c>
      <c r="F681" s="194">
        <v>0</v>
      </c>
      <c r="G681" s="194">
        <v>279</v>
      </c>
      <c r="H681" s="194">
        <v>0</v>
      </c>
      <c r="I681" s="193">
        <f>F681+G681-H681</f>
        <v>279</v>
      </c>
      <c r="J681" s="193"/>
      <c r="K681" s="193">
        <f>G681*E681</f>
        <v>160511.49</v>
      </c>
      <c r="L681" s="193"/>
      <c r="M681" s="622">
        <f>I681*E681</f>
        <v>160511.49</v>
      </c>
      <c r="N681" s="194">
        <v>111.60000000000001</v>
      </c>
      <c r="O681" s="622">
        <v>0</v>
      </c>
      <c r="P681" s="194">
        <v>0</v>
      </c>
      <c r="Q681" s="622">
        <f>P681*E681</f>
        <v>0</v>
      </c>
      <c r="R681" s="194">
        <f t="shared" ref="R681" si="1109">P681+N681</f>
        <v>111.60000000000001</v>
      </c>
      <c r="S681" s="630">
        <f t="shared" ref="S681" si="1110">TRUNC(R681*E681,2)</f>
        <v>64204.59</v>
      </c>
      <c r="T681" s="194">
        <f>I681-R681</f>
        <v>167.39999999999998</v>
      </c>
      <c r="U681" s="630">
        <f>T681*E681</f>
        <v>96306.893999999971</v>
      </c>
    </row>
    <row r="682" spans="1:21" ht="25.5">
      <c r="A682" s="190" t="s">
        <v>1235</v>
      </c>
      <c r="B682" s="191" t="s">
        <v>1235</v>
      </c>
      <c r="C682" s="657" t="s">
        <v>1236</v>
      </c>
      <c r="D682" s="192" t="s">
        <v>72</v>
      </c>
      <c r="E682" s="193">
        <v>6550.59</v>
      </c>
      <c r="F682" s="194">
        <v>0</v>
      </c>
      <c r="G682" s="194">
        <v>2</v>
      </c>
      <c r="H682" s="194">
        <v>0</v>
      </c>
      <c r="I682" s="193">
        <f>F682+G682-H682</f>
        <v>2</v>
      </c>
      <c r="J682" s="193"/>
      <c r="K682" s="193">
        <f>G682*E682</f>
        <v>13101.18</v>
      </c>
      <c r="L682" s="193"/>
      <c r="M682" s="622">
        <f>I682*E682</f>
        <v>13101.18</v>
      </c>
      <c r="N682" s="194">
        <v>0</v>
      </c>
      <c r="O682" s="622">
        <v>0</v>
      </c>
      <c r="P682" s="194">
        <v>0</v>
      </c>
      <c r="Q682" s="622"/>
      <c r="R682" s="194"/>
      <c r="S682" s="630"/>
      <c r="T682" s="194"/>
      <c r="U682" s="630"/>
    </row>
    <row r="683" spans="1:21">
      <c r="A683" s="138"/>
      <c r="B683" s="132"/>
      <c r="C683" s="123"/>
      <c r="D683" s="123"/>
      <c r="E683" s="123"/>
      <c r="F683" s="123"/>
      <c r="G683" s="123"/>
      <c r="H683" s="123"/>
      <c r="I683" s="123"/>
      <c r="J683" s="123"/>
      <c r="K683" s="123"/>
      <c r="L683" s="123"/>
      <c r="M683" s="623"/>
      <c r="N683" s="123"/>
      <c r="O683" s="623"/>
      <c r="P683" s="123"/>
      <c r="Q683" s="623"/>
      <c r="R683" s="123"/>
      <c r="S683" s="631"/>
      <c r="T683" s="123"/>
      <c r="U683" s="631"/>
    </row>
    <row r="684" spans="1:21" s="131" customFormat="1">
      <c r="A684" s="137" t="s">
        <v>805</v>
      </c>
      <c r="B684" s="133"/>
      <c r="C684" s="658" t="s">
        <v>212</v>
      </c>
      <c r="D684" s="126"/>
      <c r="E684" s="127"/>
      <c r="F684" s="128"/>
      <c r="G684" s="128"/>
      <c r="H684" s="128"/>
      <c r="I684" s="129"/>
      <c r="J684" s="129">
        <f>SUBTOTAL(9,J685:J685)</f>
        <v>8738.247800000001</v>
      </c>
      <c r="K684" s="129"/>
      <c r="L684" s="129"/>
      <c r="M684" s="624"/>
      <c r="N684" s="130"/>
      <c r="O684" s="624">
        <f>SUBTOTAL(9,O685:O685)</f>
        <v>0</v>
      </c>
      <c r="P684" s="130"/>
      <c r="Q684" s="624">
        <f>SUBTOTAL(9,Q685:Q685)</f>
        <v>0</v>
      </c>
      <c r="R684" s="129"/>
      <c r="S684" s="624">
        <f>SUBTOTAL(9,S685:S685)</f>
        <v>0</v>
      </c>
      <c r="T684" s="129">
        <f t="shared" si="1039"/>
        <v>0</v>
      </c>
      <c r="U684" s="624">
        <f>SUBTOTAL(9,U685:U685)</f>
        <v>8738.247800000001</v>
      </c>
    </row>
    <row r="685" spans="1:21" ht="25.5">
      <c r="A685" s="190" t="s">
        <v>806</v>
      </c>
      <c r="B685" s="191" t="s">
        <v>227</v>
      </c>
      <c r="C685" s="657" t="s">
        <v>233</v>
      </c>
      <c r="D685" s="192" t="s">
        <v>51</v>
      </c>
      <c r="E685" s="193">
        <v>366.23</v>
      </c>
      <c r="F685" s="194">
        <v>23.86</v>
      </c>
      <c r="G685" s="194"/>
      <c r="H685" s="194"/>
      <c r="I685" s="193">
        <f t="shared" ref="I685" si="1111">F685+G685-H685</f>
        <v>23.86</v>
      </c>
      <c r="J685" s="193">
        <f t="shared" ref="J685" si="1112">I685*E685</f>
        <v>8738.247800000001</v>
      </c>
      <c r="K685" s="193"/>
      <c r="L685" s="193"/>
      <c r="M685" s="622">
        <f>I685*E685</f>
        <v>8738.247800000001</v>
      </c>
      <c r="N685" s="194">
        <v>0</v>
      </c>
      <c r="O685" s="622">
        <f t="shared" ref="O685" si="1113">TRUNC(N685*E685,2)</f>
        <v>0</v>
      </c>
      <c r="P685" s="194">
        <f>IFERROR(VLOOKUP(A685,#REF!,18,FALSE),)</f>
        <v>0</v>
      </c>
      <c r="Q685" s="622">
        <f t="shared" ref="Q685" si="1114">S685-O685</f>
        <v>0</v>
      </c>
      <c r="R685" s="194">
        <f t="shared" ref="R685" si="1115">P685+N685</f>
        <v>0</v>
      </c>
      <c r="S685" s="630">
        <f t="shared" ref="S685" si="1116">TRUNC(R685*E685,2)</f>
        <v>0</v>
      </c>
      <c r="T685" s="194">
        <f t="shared" si="1039"/>
        <v>23.86</v>
      </c>
      <c r="U685" s="630">
        <f t="shared" ref="U685" si="1117">T685*E685</f>
        <v>8738.247800000001</v>
      </c>
    </row>
    <row r="686" spans="1:21">
      <c r="A686" s="138"/>
      <c r="B686" s="132"/>
      <c r="C686" s="123"/>
      <c r="D686" s="123"/>
      <c r="E686" s="123"/>
      <c r="F686" s="123"/>
      <c r="G686" s="123"/>
      <c r="H686" s="123"/>
      <c r="I686" s="123"/>
      <c r="J686" s="123"/>
      <c r="K686" s="123"/>
      <c r="L686" s="123"/>
      <c r="M686" s="623"/>
      <c r="N686" s="123"/>
      <c r="O686" s="623"/>
      <c r="P686" s="123"/>
      <c r="Q686" s="623"/>
      <c r="R686" s="123"/>
      <c r="S686" s="631"/>
      <c r="T686" s="123"/>
      <c r="U686" s="631"/>
    </row>
    <row r="687" spans="1:21" s="213" customFormat="1">
      <c r="A687" s="210" t="s">
        <v>807</v>
      </c>
      <c r="B687" s="211"/>
      <c r="C687" s="655" t="s">
        <v>318</v>
      </c>
      <c r="D687" s="197"/>
      <c r="E687" s="198"/>
      <c r="F687" s="199"/>
      <c r="G687" s="199"/>
      <c r="H687" s="199"/>
      <c r="I687" s="200"/>
      <c r="J687" s="200">
        <f>SUBTOTAL(9,J688:J692)</f>
        <v>427452.38440000004</v>
      </c>
      <c r="K687" s="200"/>
      <c r="L687" s="200"/>
      <c r="M687" s="620"/>
      <c r="N687" s="201"/>
      <c r="O687" s="620">
        <f>SUBTOTAL(9,O688:O692)</f>
        <v>375497.62</v>
      </c>
      <c r="P687" s="201"/>
      <c r="Q687" s="620">
        <f>SUBTOTAL(9,Q688:Q692)</f>
        <v>6989.18</v>
      </c>
      <c r="R687" s="200"/>
      <c r="S687" s="620">
        <f>SUBTOTAL(9,S688:S692)</f>
        <v>382486.8</v>
      </c>
      <c r="T687" s="200">
        <f t="shared" si="1039"/>
        <v>0</v>
      </c>
      <c r="U687" s="620">
        <f>SUBTOTAL(9,U688:U692)</f>
        <v>44965.57300000004</v>
      </c>
    </row>
    <row r="688" spans="1:21" s="131" customFormat="1">
      <c r="A688" s="137" t="s">
        <v>808</v>
      </c>
      <c r="B688" s="133"/>
      <c r="C688" s="658" t="s">
        <v>318</v>
      </c>
      <c r="D688" s="126"/>
      <c r="E688" s="127"/>
      <c r="F688" s="128"/>
      <c r="G688" s="128"/>
      <c r="H688" s="128"/>
      <c r="I688" s="129"/>
      <c r="J688" s="129">
        <f>SUBTOTAL(9,J689:J692)</f>
        <v>427452.38440000004</v>
      </c>
      <c r="K688" s="129"/>
      <c r="L688" s="129"/>
      <c r="M688" s="624"/>
      <c r="N688" s="130"/>
      <c r="O688" s="624">
        <f>SUBTOTAL(9,O689:O692)</f>
        <v>375497.62</v>
      </c>
      <c r="P688" s="130"/>
      <c r="Q688" s="624">
        <f>SUBTOTAL(9,Q689:Q692)</f>
        <v>6989.18</v>
      </c>
      <c r="R688" s="129"/>
      <c r="S688" s="624">
        <f>SUBTOTAL(9,S689:S692)</f>
        <v>382486.8</v>
      </c>
      <c r="T688" s="129">
        <f t="shared" si="1039"/>
        <v>0</v>
      </c>
      <c r="U688" s="624">
        <f>SUBTOTAL(9,U689:U692)</f>
        <v>44965.57300000004</v>
      </c>
    </row>
    <row r="689" spans="1:21" ht="25.5">
      <c r="A689" s="190" t="s">
        <v>809</v>
      </c>
      <c r="B689" s="191" t="s">
        <v>323</v>
      </c>
      <c r="C689" s="657" t="s">
        <v>326</v>
      </c>
      <c r="D689" s="192" t="s">
        <v>59</v>
      </c>
      <c r="E689" s="193">
        <v>409453.83</v>
      </c>
      <c r="F689" s="194">
        <v>1</v>
      </c>
      <c r="G689" s="194"/>
      <c r="H689" s="194"/>
      <c r="I689" s="193">
        <f t="shared" ref="I689" si="1118">F689+G689-H689</f>
        <v>1</v>
      </c>
      <c r="J689" s="193">
        <f t="shared" ref="J689" si="1119">I689*E689</f>
        <v>409453.83</v>
      </c>
      <c r="K689" s="193"/>
      <c r="L689" s="193"/>
      <c r="M689" s="622">
        <f t="shared" ref="M689" si="1120">I689*E689</f>
        <v>409453.83</v>
      </c>
      <c r="N689" s="194">
        <f>'5.5.1.1'!R21</f>
        <v>0.89999999999999991</v>
      </c>
      <c r="O689" s="622">
        <f t="shared" ref="O689" si="1121">TRUNC(N689*E689,2)</f>
        <v>368508.44</v>
      </c>
      <c r="P689" s="194">
        <f>'5.5.1.1'!R22</f>
        <v>0</v>
      </c>
      <c r="Q689" s="622">
        <f t="shared" ref="Q689" si="1122">S689-O689</f>
        <v>0</v>
      </c>
      <c r="R689" s="194">
        <f t="shared" ref="R689" si="1123">P689+N689</f>
        <v>0.89999999999999991</v>
      </c>
      <c r="S689" s="630">
        <f t="shared" ref="S689" si="1124">TRUNC(R689*E689,2)</f>
        <v>368508.44</v>
      </c>
      <c r="T689" s="194">
        <f t="shared" si="1039"/>
        <v>0.10000000000000009</v>
      </c>
      <c r="U689" s="630">
        <f t="shared" ref="U689:U692" si="1125">T689*E689</f>
        <v>40945.383000000038</v>
      </c>
    </row>
    <row r="690" spans="1:21">
      <c r="A690" s="190" t="s">
        <v>810</v>
      </c>
      <c r="B690" s="191" t="s">
        <v>324</v>
      </c>
      <c r="C690" s="657" t="s">
        <v>327</v>
      </c>
      <c r="D690" s="192" t="s">
        <v>59</v>
      </c>
      <c r="E690" s="193">
        <v>3812.11</v>
      </c>
      <c r="F690" s="194">
        <v>1</v>
      </c>
      <c r="G690" s="194"/>
      <c r="H690" s="194"/>
      <c r="I690" s="193">
        <f t="shared" ref="I690:I692" si="1126">F690+G690-H690</f>
        <v>1</v>
      </c>
      <c r="J690" s="193">
        <f t="shared" ref="J690:J692" si="1127">I690*E690</f>
        <v>3812.11</v>
      </c>
      <c r="K690" s="193"/>
      <c r="L690" s="193"/>
      <c r="M690" s="622">
        <f t="shared" ref="M690:M692" si="1128">I690*E690</f>
        <v>3812.11</v>
      </c>
      <c r="N690" s="194">
        <v>0</v>
      </c>
      <c r="O690" s="622">
        <f>TRUNC(N690*E690,2)</f>
        <v>0</v>
      </c>
      <c r="P690" s="194">
        <f>IFERROR(VLOOKUP(A690,#REF!,18,FALSE),)</f>
        <v>0</v>
      </c>
      <c r="Q690" s="622">
        <f>S690-O690</f>
        <v>0</v>
      </c>
      <c r="R690" s="194">
        <f>P690+N690</f>
        <v>0</v>
      </c>
      <c r="S690" s="630">
        <f>TRUNC(R690*E690,2)</f>
        <v>0</v>
      </c>
      <c r="T690" s="194">
        <f t="shared" si="1039"/>
        <v>1</v>
      </c>
      <c r="U690" s="630">
        <f t="shared" si="1125"/>
        <v>3812.11</v>
      </c>
    </row>
    <row r="691" spans="1:21" ht="25.5">
      <c r="A691" s="190" t="s">
        <v>811</v>
      </c>
      <c r="B691" s="191" t="s">
        <v>813</v>
      </c>
      <c r="C691" s="657" t="s">
        <v>814</v>
      </c>
      <c r="D691" s="192" t="s">
        <v>72</v>
      </c>
      <c r="E691" s="193">
        <v>208.08</v>
      </c>
      <c r="F691" s="194">
        <v>1</v>
      </c>
      <c r="G691" s="194"/>
      <c r="H691" s="194"/>
      <c r="I691" s="193">
        <f t="shared" si="1126"/>
        <v>1</v>
      </c>
      <c r="J691" s="193">
        <f t="shared" si="1127"/>
        <v>208.08</v>
      </c>
      <c r="K691" s="193"/>
      <c r="L691" s="193"/>
      <c r="M691" s="622">
        <f t="shared" si="1128"/>
        <v>208.08</v>
      </c>
      <c r="N691" s="194">
        <v>0</v>
      </c>
      <c r="O691" s="622">
        <f>TRUNC(N691*E691,2)</f>
        <v>0</v>
      </c>
      <c r="P691" s="194">
        <f>IFERROR(VLOOKUP(A691,#REF!,18,FALSE),)</f>
        <v>0</v>
      </c>
      <c r="Q691" s="622">
        <f>S691-O691</f>
        <v>0</v>
      </c>
      <c r="R691" s="194">
        <f>P691+N691</f>
        <v>0</v>
      </c>
      <c r="S691" s="630">
        <f>TRUNC(R691*E691,2)</f>
        <v>0</v>
      </c>
      <c r="T691" s="194">
        <f t="shared" si="1039"/>
        <v>1</v>
      </c>
      <c r="U691" s="630">
        <f t="shared" si="1125"/>
        <v>208.08</v>
      </c>
    </row>
    <row r="692" spans="1:21" s="725" customFormat="1" ht="25.5">
      <c r="A692" s="577" t="s">
        <v>812</v>
      </c>
      <c r="B692" s="578" t="s">
        <v>325</v>
      </c>
      <c r="C692" s="722" t="s">
        <v>328</v>
      </c>
      <c r="D692" s="580" t="s">
        <v>50</v>
      </c>
      <c r="E692" s="581">
        <v>115.83</v>
      </c>
      <c r="F692" s="582">
        <v>120.68</v>
      </c>
      <c r="G692" s="582"/>
      <c r="H692" s="582"/>
      <c r="I692" s="581">
        <f t="shared" si="1126"/>
        <v>120.68</v>
      </c>
      <c r="J692" s="581">
        <f t="shared" si="1127"/>
        <v>13978.3644</v>
      </c>
      <c r="K692" s="581"/>
      <c r="L692" s="581"/>
      <c r="M692" s="723">
        <f t="shared" si="1128"/>
        <v>13978.3644</v>
      </c>
      <c r="N692" s="582">
        <f>'5.5.1.4'!R19</f>
        <v>60.34</v>
      </c>
      <c r="O692" s="723">
        <f t="shared" ref="O692" si="1129">TRUNC(N692*E692,2)</f>
        <v>6989.18</v>
      </c>
      <c r="P692" s="582">
        <v>60.34</v>
      </c>
      <c r="Q692" s="723">
        <f t="shared" ref="Q692" si="1130">S692-O692</f>
        <v>6989.18</v>
      </c>
      <c r="R692" s="582">
        <f t="shared" ref="R692" si="1131">P692+N692</f>
        <v>120.68</v>
      </c>
      <c r="S692" s="724">
        <f t="shared" ref="S692" si="1132">TRUNC(R692*E692,2)</f>
        <v>13978.36</v>
      </c>
      <c r="T692" s="582">
        <f t="shared" si="1039"/>
        <v>0</v>
      </c>
      <c r="U692" s="724">
        <f t="shared" si="1125"/>
        <v>0</v>
      </c>
    </row>
    <row r="693" spans="1:21">
      <c r="A693" s="138"/>
      <c r="B693" s="132"/>
      <c r="C693" s="123"/>
      <c r="D693" s="123"/>
      <c r="E693" s="123"/>
      <c r="F693" s="123"/>
      <c r="G693" s="123"/>
      <c r="H693" s="123"/>
      <c r="I693" s="123"/>
      <c r="J693" s="123"/>
      <c r="K693" s="123"/>
      <c r="L693" s="123"/>
      <c r="M693" s="623"/>
      <c r="N693" s="123"/>
      <c r="O693" s="623"/>
      <c r="P693" s="123"/>
      <c r="Q693" s="623"/>
      <c r="R693" s="123"/>
      <c r="S693" s="631"/>
      <c r="T693" s="123"/>
      <c r="U693" s="631"/>
    </row>
    <row r="694" spans="1:21" s="213" customFormat="1">
      <c r="A694" s="210" t="s">
        <v>815</v>
      </c>
      <c r="B694" s="211"/>
      <c r="C694" s="655" t="s">
        <v>329</v>
      </c>
      <c r="D694" s="197"/>
      <c r="E694" s="198"/>
      <c r="F694" s="199"/>
      <c r="G694" s="199"/>
      <c r="H694" s="199"/>
      <c r="I694" s="200"/>
      <c r="J694" s="200">
        <f>SUBTOTAL(9,J696:J720)</f>
        <v>43372.777000000002</v>
      </c>
      <c r="K694" s="200"/>
      <c r="L694" s="200"/>
      <c r="M694" s="620"/>
      <c r="N694" s="201"/>
      <c r="O694" s="620">
        <f>SUBTOTAL(9,O696:O720)</f>
        <v>39993.79</v>
      </c>
      <c r="P694" s="201"/>
      <c r="Q694" s="620">
        <f>SUBTOTAL(9,Q696:Q720)</f>
        <v>3378.98</v>
      </c>
      <c r="R694" s="200"/>
      <c r="S694" s="620">
        <f>SUBTOTAL(9,S696:S720)</f>
        <v>43372.770000000004</v>
      </c>
      <c r="T694" s="200">
        <f t="shared" si="1039"/>
        <v>0</v>
      </c>
      <c r="U694" s="620">
        <f>SUBTOTAL(9,U696:U720)</f>
        <v>0</v>
      </c>
    </row>
    <row r="695" spans="1:21" s="131" customFormat="1">
      <c r="A695" s="137" t="s">
        <v>816</v>
      </c>
      <c r="B695" s="133"/>
      <c r="C695" s="658" t="s">
        <v>329</v>
      </c>
      <c r="D695" s="126"/>
      <c r="E695" s="127"/>
      <c r="F695" s="128"/>
      <c r="G695" s="128"/>
      <c r="H695" s="128"/>
      <c r="I695" s="129"/>
      <c r="J695" s="129">
        <f>SUBTOTAL(9,J696:J714)</f>
        <v>39993.794000000002</v>
      </c>
      <c r="K695" s="129"/>
      <c r="L695" s="129"/>
      <c r="M695" s="624"/>
      <c r="N695" s="130"/>
      <c r="O695" s="624">
        <f>SUBTOTAL(9,O696:O714)</f>
        <v>39993.79</v>
      </c>
      <c r="P695" s="130"/>
      <c r="Q695" s="624">
        <f>SUBTOTAL(9,Q696:Q714)</f>
        <v>0</v>
      </c>
      <c r="R695" s="129"/>
      <c r="S695" s="624">
        <f>SUBTOTAL(9,S696:S714)</f>
        <v>39993.79</v>
      </c>
      <c r="T695" s="129">
        <f t="shared" si="1039"/>
        <v>0</v>
      </c>
      <c r="U695" s="624">
        <f>SUBTOTAL(9,U696:U714)</f>
        <v>0</v>
      </c>
    </row>
    <row r="696" spans="1:21" ht="25.5">
      <c r="A696" s="190" t="s">
        <v>817</v>
      </c>
      <c r="B696" s="191">
        <v>151701</v>
      </c>
      <c r="C696" s="657" t="s">
        <v>685</v>
      </c>
      <c r="D696" s="192" t="s">
        <v>59</v>
      </c>
      <c r="E696" s="193">
        <v>1510.64</v>
      </c>
      <c r="F696" s="194">
        <v>1</v>
      </c>
      <c r="G696" s="194"/>
      <c r="H696" s="194"/>
      <c r="I696" s="193">
        <f t="shared" ref="I696" si="1133">F696+G696-H696</f>
        <v>1</v>
      </c>
      <c r="J696" s="193">
        <f t="shared" ref="J696" si="1134">I696*E696</f>
        <v>1510.64</v>
      </c>
      <c r="K696" s="193"/>
      <c r="L696" s="193"/>
      <c r="M696" s="622">
        <f t="shared" ref="M696" si="1135">I696*E696</f>
        <v>1510.64</v>
      </c>
      <c r="N696" s="194">
        <v>1</v>
      </c>
      <c r="O696" s="622">
        <f t="shared" ref="O696:O714" si="1136">TRUNC(N696*E696,2)</f>
        <v>1510.64</v>
      </c>
      <c r="P696" s="194"/>
      <c r="Q696" s="622">
        <f t="shared" ref="Q696:Q714" si="1137">S696-O696</f>
        <v>0</v>
      </c>
      <c r="R696" s="194">
        <f t="shared" ref="R696:R714" si="1138">P696+N696</f>
        <v>1</v>
      </c>
      <c r="S696" s="630">
        <f t="shared" ref="S696:S714" si="1139">TRUNC(R696*E696,2)</f>
        <v>1510.64</v>
      </c>
      <c r="T696" s="194">
        <f t="shared" si="1039"/>
        <v>0</v>
      </c>
      <c r="U696" s="630">
        <f t="shared" ref="U696:U714" si="1140">T696*E696</f>
        <v>0</v>
      </c>
    </row>
    <row r="697" spans="1:21" ht="25.5">
      <c r="A697" s="190" t="s">
        <v>818</v>
      </c>
      <c r="B697" s="191">
        <v>150312</v>
      </c>
      <c r="C697" s="657" t="s">
        <v>350</v>
      </c>
      <c r="D697" s="192" t="s">
        <v>59</v>
      </c>
      <c r="E697" s="193">
        <v>103.79</v>
      </c>
      <c r="F697" s="194">
        <v>1</v>
      </c>
      <c r="G697" s="194"/>
      <c r="H697" s="194"/>
      <c r="I697" s="193">
        <f t="shared" ref="I697:I714" si="1141">F697+G697-H697</f>
        <v>1</v>
      </c>
      <c r="J697" s="193">
        <f t="shared" ref="J697:J714" si="1142">I697*E697</f>
        <v>103.79</v>
      </c>
      <c r="K697" s="193"/>
      <c r="L697" s="193"/>
      <c r="M697" s="622">
        <f t="shared" ref="M697:M714" si="1143">I697*E697</f>
        <v>103.79</v>
      </c>
      <c r="N697" s="194">
        <v>1</v>
      </c>
      <c r="O697" s="622">
        <f t="shared" si="1136"/>
        <v>103.79</v>
      </c>
      <c r="P697" s="194"/>
      <c r="Q697" s="622">
        <f t="shared" si="1137"/>
        <v>0</v>
      </c>
      <c r="R697" s="194">
        <f t="shared" si="1138"/>
        <v>1</v>
      </c>
      <c r="S697" s="630">
        <f t="shared" si="1139"/>
        <v>103.79</v>
      </c>
      <c r="T697" s="194">
        <f t="shared" ref="T697:T728" si="1144">F697-R697</f>
        <v>0</v>
      </c>
      <c r="U697" s="630">
        <f t="shared" si="1140"/>
        <v>0</v>
      </c>
    </row>
    <row r="698" spans="1:21">
      <c r="A698" s="190" t="s">
        <v>819</v>
      </c>
      <c r="B698" s="191">
        <v>150628</v>
      </c>
      <c r="C698" s="657" t="s">
        <v>351</v>
      </c>
      <c r="D698" s="192" t="s">
        <v>59</v>
      </c>
      <c r="E698" s="193">
        <v>7.47</v>
      </c>
      <c r="F698" s="194">
        <v>20</v>
      </c>
      <c r="G698" s="194"/>
      <c r="H698" s="194"/>
      <c r="I698" s="193">
        <f t="shared" si="1141"/>
        <v>20</v>
      </c>
      <c r="J698" s="193">
        <f t="shared" si="1142"/>
        <v>149.4</v>
      </c>
      <c r="K698" s="193"/>
      <c r="L698" s="193"/>
      <c r="M698" s="622">
        <f t="shared" si="1143"/>
        <v>149.4</v>
      </c>
      <c r="N698" s="194">
        <v>20</v>
      </c>
      <c r="O698" s="622">
        <f t="shared" si="1136"/>
        <v>149.4</v>
      </c>
      <c r="P698" s="194"/>
      <c r="Q698" s="622">
        <f t="shared" si="1137"/>
        <v>0</v>
      </c>
      <c r="R698" s="194">
        <f t="shared" si="1138"/>
        <v>20</v>
      </c>
      <c r="S698" s="630">
        <f t="shared" si="1139"/>
        <v>149.4</v>
      </c>
      <c r="T698" s="194">
        <f t="shared" si="1144"/>
        <v>0</v>
      </c>
      <c r="U698" s="630">
        <f t="shared" si="1140"/>
        <v>0</v>
      </c>
    </row>
    <row r="699" spans="1:21" ht="25.5">
      <c r="A699" s="190" t="s">
        <v>820</v>
      </c>
      <c r="B699" s="191">
        <v>151417</v>
      </c>
      <c r="C699" s="657" t="s">
        <v>352</v>
      </c>
      <c r="D699" s="192" t="s">
        <v>51</v>
      </c>
      <c r="E699" s="193">
        <v>5.86</v>
      </c>
      <c r="F699" s="194">
        <v>169.2</v>
      </c>
      <c r="G699" s="194"/>
      <c r="H699" s="194"/>
      <c r="I699" s="193">
        <f t="shared" si="1141"/>
        <v>169.2</v>
      </c>
      <c r="J699" s="193">
        <f t="shared" si="1142"/>
        <v>991.51199999999994</v>
      </c>
      <c r="K699" s="193"/>
      <c r="L699" s="193"/>
      <c r="M699" s="622">
        <f t="shared" si="1143"/>
        <v>991.51199999999994</v>
      </c>
      <c r="N699" s="194">
        <v>169.2</v>
      </c>
      <c r="O699" s="622">
        <f t="shared" si="1136"/>
        <v>991.51</v>
      </c>
      <c r="P699" s="194"/>
      <c r="Q699" s="622">
        <f t="shared" si="1137"/>
        <v>0</v>
      </c>
      <c r="R699" s="194">
        <f t="shared" si="1138"/>
        <v>169.2</v>
      </c>
      <c r="S699" s="630">
        <f t="shared" si="1139"/>
        <v>991.51</v>
      </c>
      <c r="T699" s="194">
        <f t="shared" si="1144"/>
        <v>0</v>
      </c>
      <c r="U699" s="630">
        <f t="shared" si="1140"/>
        <v>0</v>
      </c>
    </row>
    <row r="700" spans="1:21" ht="25.5">
      <c r="A700" s="190" t="s">
        <v>821</v>
      </c>
      <c r="B700" s="191">
        <v>151418</v>
      </c>
      <c r="C700" s="657" t="s">
        <v>353</v>
      </c>
      <c r="D700" s="192" t="s">
        <v>51</v>
      </c>
      <c r="E700" s="193">
        <v>6.74</v>
      </c>
      <c r="F700" s="194">
        <v>333.8</v>
      </c>
      <c r="G700" s="194"/>
      <c r="H700" s="194"/>
      <c r="I700" s="193">
        <f t="shared" si="1141"/>
        <v>333.8</v>
      </c>
      <c r="J700" s="193">
        <f t="shared" si="1142"/>
        <v>2249.8120000000004</v>
      </c>
      <c r="K700" s="193"/>
      <c r="L700" s="193"/>
      <c r="M700" s="622">
        <f t="shared" si="1143"/>
        <v>2249.8120000000004</v>
      </c>
      <c r="N700" s="194">
        <v>333.8</v>
      </c>
      <c r="O700" s="622">
        <f t="shared" si="1136"/>
        <v>2249.81</v>
      </c>
      <c r="P700" s="194"/>
      <c r="Q700" s="622">
        <f t="shared" si="1137"/>
        <v>0</v>
      </c>
      <c r="R700" s="194">
        <f t="shared" si="1138"/>
        <v>333.8</v>
      </c>
      <c r="S700" s="630">
        <f t="shared" si="1139"/>
        <v>2249.81</v>
      </c>
      <c r="T700" s="194">
        <f t="shared" si="1144"/>
        <v>0</v>
      </c>
      <c r="U700" s="630">
        <f t="shared" si="1140"/>
        <v>0</v>
      </c>
    </row>
    <row r="701" spans="1:21" ht="25.5">
      <c r="A701" s="190" t="s">
        <v>822</v>
      </c>
      <c r="B701" s="191">
        <v>151420</v>
      </c>
      <c r="C701" s="657" t="s">
        <v>354</v>
      </c>
      <c r="D701" s="192" t="s">
        <v>51</v>
      </c>
      <c r="E701" s="193">
        <v>10.63</v>
      </c>
      <c r="F701" s="194">
        <v>60</v>
      </c>
      <c r="G701" s="194"/>
      <c r="H701" s="194"/>
      <c r="I701" s="193">
        <f t="shared" si="1141"/>
        <v>60</v>
      </c>
      <c r="J701" s="193">
        <f t="shared" si="1142"/>
        <v>637.80000000000007</v>
      </c>
      <c r="K701" s="193"/>
      <c r="L701" s="193"/>
      <c r="M701" s="622">
        <f t="shared" si="1143"/>
        <v>637.80000000000007</v>
      </c>
      <c r="N701" s="194">
        <v>60</v>
      </c>
      <c r="O701" s="622">
        <f t="shared" si="1136"/>
        <v>637.79999999999995</v>
      </c>
      <c r="P701" s="194"/>
      <c r="Q701" s="622">
        <f t="shared" si="1137"/>
        <v>0</v>
      </c>
      <c r="R701" s="194">
        <f t="shared" si="1138"/>
        <v>60</v>
      </c>
      <c r="S701" s="630">
        <f t="shared" si="1139"/>
        <v>637.79999999999995</v>
      </c>
      <c r="T701" s="194">
        <f t="shared" si="1144"/>
        <v>0</v>
      </c>
      <c r="U701" s="630">
        <f t="shared" si="1140"/>
        <v>0</v>
      </c>
    </row>
    <row r="702" spans="1:21" ht="38.25">
      <c r="A702" s="190" t="s">
        <v>823</v>
      </c>
      <c r="B702" s="191">
        <v>151809</v>
      </c>
      <c r="C702" s="657" t="s">
        <v>355</v>
      </c>
      <c r="D702" s="192" t="s">
        <v>59</v>
      </c>
      <c r="E702" s="193">
        <v>150.13</v>
      </c>
      <c r="F702" s="194">
        <v>1</v>
      </c>
      <c r="G702" s="194"/>
      <c r="H702" s="194"/>
      <c r="I702" s="193">
        <f t="shared" si="1141"/>
        <v>1</v>
      </c>
      <c r="J702" s="193">
        <f t="shared" si="1142"/>
        <v>150.13</v>
      </c>
      <c r="K702" s="193"/>
      <c r="L702" s="193"/>
      <c r="M702" s="622">
        <f t="shared" si="1143"/>
        <v>150.13</v>
      </c>
      <c r="N702" s="194">
        <v>1</v>
      </c>
      <c r="O702" s="622">
        <f t="shared" si="1136"/>
        <v>150.13</v>
      </c>
      <c r="P702" s="194"/>
      <c r="Q702" s="622">
        <f t="shared" si="1137"/>
        <v>0</v>
      </c>
      <c r="R702" s="194">
        <f t="shared" si="1138"/>
        <v>1</v>
      </c>
      <c r="S702" s="630">
        <f t="shared" si="1139"/>
        <v>150.13</v>
      </c>
      <c r="T702" s="194">
        <f t="shared" si="1144"/>
        <v>0</v>
      </c>
      <c r="U702" s="630">
        <f t="shared" si="1140"/>
        <v>0</v>
      </c>
    </row>
    <row r="703" spans="1:21" ht="38.25">
      <c r="A703" s="190" t="s">
        <v>824</v>
      </c>
      <c r="B703" s="191">
        <v>151803</v>
      </c>
      <c r="C703" s="657" t="s">
        <v>356</v>
      </c>
      <c r="D703" s="192" t="s">
        <v>59</v>
      </c>
      <c r="E703" s="193">
        <v>170.86</v>
      </c>
      <c r="F703" s="194">
        <v>11</v>
      </c>
      <c r="G703" s="194"/>
      <c r="H703" s="194"/>
      <c r="I703" s="193">
        <f t="shared" si="1141"/>
        <v>11</v>
      </c>
      <c r="J703" s="193">
        <f t="shared" si="1142"/>
        <v>1879.46</v>
      </c>
      <c r="K703" s="193"/>
      <c r="L703" s="193"/>
      <c r="M703" s="622">
        <f t="shared" si="1143"/>
        <v>1879.46</v>
      </c>
      <c r="N703" s="194">
        <v>11</v>
      </c>
      <c r="O703" s="622">
        <f t="shared" si="1136"/>
        <v>1879.46</v>
      </c>
      <c r="P703" s="194"/>
      <c r="Q703" s="622">
        <f t="shared" si="1137"/>
        <v>0</v>
      </c>
      <c r="R703" s="194">
        <f t="shared" si="1138"/>
        <v>11</v>
      </c>
      <c r="S703" s="630">
        <f t="shared" si="1139"/>
        <v>1879.46</v>
      </c>
      <c r="T703" s="194">
        <f t="shared" si="1144"/>
        <v>0</v>
      </c>
      <c r="U703" s="630">
        <f t="shared" si="1140"/>
        <v>0</v>
      </c>
    </row>
    <row r="704" spans="1:21" ht="25.5">
      <c r="A704" s="190" t="s">
        <v>825</v>
      </c>
      <c r="B704" s="191">
        <v>151338</v>
      </c>
      <c r="C704" s="657" t="s">
        <v>357</v>
      </c>
      <c r="D704" s="192" t="s">
        <v>59</v>
      </c>
      <c r="E704" s="193">
        <v>18.14</v>
      </c>
      <c r="F704" s="194">
        <v>1</v>
      </c>
      <c r="G704" s="194"/>
      <c r="H704" s="194"/>
      <c r="I704" s="193">
        <f t="shared" si="1141"/>
        <v>1</v>
      </c>
      <c r="J704" s="193">
        <f t="shared" si="1142"/>
        <v>18.14</v>
      </c>
      <c r="K704" s="193"/>
      <c r="L704" s="193"/>
      <c r="M704" s="622">
        <f t="shared" si="1143"/>
        <v>18.14</v>
      </c>
      <c r="N704" s="194">
        <v>1</v>
      </c>
      <c r="O704" s="622">
        <f t="shared" si="1136"/>
        <v>18.14</v>
      </c>
      <c r="P704" s="194"/>
      <c r="Q704" s="622">
        <f t="shared" si="1137"/>
        <v>0</v>
      </c>
      <c r="R704" s="194">
        <f t="shared" si="1138"/>
        <v>1</v>
      </c>
      <c r="S704" s="630">
        <f t="shared" si="1139"/>
        <v>18.14</v>
      </c>
      <c r="T704" s="194">
        <f t="shared" si="1144"/>
        <v>0</v>
      </c>
      <c r="U704" s="630">
        <f t="shared" si="1140"/>
        <v>0</v>
      </c>
    </row>
    <row r="705" spans="1:21" ht="25.5">
      <c r="A705" s="190" t="s">
        <v>826</v>
      </c>
      <c r="B705" s="191">
        <v>151301</v>
      </c>
      <c r="C705" s="657" t="s">
        <v>358</v>
      </c>
      <c r="D705" s="192" t="s">
        <v>59</v>
      </c>
      <c r="E705" s="193">
        <v>18.14</v>
      </c>
      <c r="F705" s="194">
        <v>1</v>
      </c>
      <c r="G705" s="194"/>
      <c r="H705" s="194"/>
      <c r="I705" s="193">
        <f t="shared" si="1141"/>
        <v>1</v>
      </c>
      <c r="J705" s="193">
        <f t="shared" si="1142"/>
        <v>18.14</v>
      </c>
      <c r="K705" s="193"/>
      <c r="L705" s="193"/>
      <c r="M705" s="622">
        <f t="shared" si="1143"/>
        <v>18.14</v>
      </c>
      <c r="N705" s="194">
        <v>1</v>
      </c>
      <c r="O705" s="622">
        <f t="shared" si="1136"/>
        <v>18.14</v>
      </c>
      <c r="P705" s="194"/>
      <c r="Q705" s="622">
        <f t="shared" si="1137"/>
        <v>0</v>
      </c>
      <c r="R705" s="194">
        <f t="shared" si="1138"/>
        <v>1</v>
      </c>
      <c r="S705" s="630">
        <f t="shared" si="1139"/>
        <v>18.14</v>
      </c>
      <c r="T705" s="194">
        <f t="shared" si="1144"/>
        <v>0</v>
      </c>
      <c r="U705" s="630">
        <f t="shared" si="1140"/>
        <v>0</v>
      </c>
    </row>
    <row r="706" spans="1:21" ht="25.5">
      <c r="A706" s="190" t="s">
        <v>827</v>
      </c>
      <c r="B706" s="191">
        <v>151303</v>
      </c>
      <c r="C706" s="657" t="s">
        <v>359</v>
      </c>
      <c r="D706" s="192" t="s">
        <v>59</v>
      </c>
      <c r="E706" s="193">
        <v>18.14</v>
      </c>
      <c r="F706" s="194">
        <v>1</v>
      </c>
      <c r="G706" s="194"/>
      <c r="H706" s="194"/>
      <c r="I706" s="193">
        <f t="shared" si="1141"/>
        <v>1</v>
      </c>
      <c r="J706" s="193">
        <f t="shared" si="1142"/>
        <v>18.14</v>
      </c>
      <c r="K706" s="193"/>
      <c r="L706" s="193"/>
      <c r="M706" s="622">
        <f t="shared" si="1143"/>
        <v>18.14</v>
      </c>
      <c r="N706" s="194">
        <v>1</v>
      </c>
      <c r="O706" s="622">
        <f t="shared" si="1136"/>
        <v>18.14</v>
      </c>
      <c r="P706" s="194"/>
      <c r="Q706" s="622">
        <f t="shared" si="1137"/>
        <v>0</v>
      </c>
      <c r="R706" s="194">
        <f t="shared" si="1138"/>
        <v>1</v>
      </c>
      <c r="S706" s="630">
        <f t="shared" si="1139"/>
        <v>18.14</v>
      </c>
      <c r="T706" s="194">
        <f t="shared" si="1144"/>
        <v>0</v>
      </c>
      <c r="U706" s="630">
        <f t="shared" si="1140"/>
        <v>0</v>
      </c>
    </row>
    <row r="707" spans="1:21" ht="25.5">
      <c r="A707" s="190" t="s">
        <v>828</v>
      </c>
      <c r="B707" s="191">
        <v>151318</v>
      </c>
      <c r="C707" s="657" t="s">
        <v>547</v>
      </c>
      <c r="D707" s="192" t="s">
        <v>59</v>
      </c>
      <c r="E707" s="193">
        <v>22.63</v>
      </c>
      <c r="F707" s="194">
        <v>1</v>
      </c>
      <c r="G707" s="194"/>
      <c r="H707" s="194"/>
      <c r="I707" s="193">
        <f t="shared" si="1141"/>
        <v>1</v>
      </c>
      <c r="J707" s="193">
        <f t="shared" si="1142"/>
        <v>22.63</v>
      </c>
      <c r="K707" s="193"/>
      <c r="L707" s="193"/>
      <c r="M707" s="622">
        <f t="shared" si="1143"/>
        <v>22.63</v>
      </c>
      <c r="N707" s="194">
        <v>1</v>
      </c>
      <c r="O707" s="622">
        <f t="shared" si="1136"/>
        <v>22.63</v>
      </c>
      <c r="P707" s="194"/>
      <c r="Q707" s="622">
        <f t="shared" si="1137"/>
        <v>0</v>
      </c>
      <c r="R707" s="194">
        <f t="shared" si="1138"/>
        <v>1</v>
      </c>
      <c r="S707" s="630">
        <f t="shared" si="1139"/>
        <v>22.63</v>
      </c>
      <c r="T707" s="194">
        <f t="shared" si="1144"/>
        <v>0</v>
      </c>
      <c r="U707" s="630">
        <f t="shared" si="1140"/>
        <v>0</v>
      </c>
    </row>
    <row r="708" spans="1:21">
      <c r="A708" s="190" t="s">
        <v>829</v>
      </c>
      <c r="B708" s="191">
        <v>151350</v>
      </c>
      <c r="C708" s="657" t="s">
        <v>360</v>
      </c>
      <c r="D708" s="192" t="s">
        <v>59</v>
      </c>
      <c r="E708" s="193">
        <v>133.04</v>
      </c>
      <c r="F708" s="194">
        <v>1</v>
      </c>
      <c r="G708" s="194"/>
      <c r="H708" s="194"/>
      <c r="I708" s="193">
        <f t="shared" si="1141"/>
        <v>1</v>
      </c>
      <c r="J708" s="193">
        <f t="shared" si="1142"/>
        <v>133.04</v>
      </c>
      <c r="K708" s="193"/>
      <c r="L708" s="193"/>
      <c r="M708" s="622">
        <f t="shared" si="1143"/>
        <v>133.04</v>
      </c>
      <c r="N708" s="194">
        <v>1</v>
      </c>
      <c r="O708" s="622">
        <f t="shared" si="1136"/>
        <v>133.04</v>
      </c>
      <c r="P708" s="194"/>
      <c r="Q708" s="622">
        <f t="shared" si="1137"/>
        <v>0</v>
      </c>
      <c r="R708" s="194">
        <f t="shared" si="1138"/>
        <v>1</v>
      </c>
      <c r="S708" s="630">
        <f t="shared" si="1139"/>
        <v>133.04</v>
      </c>
      <c r="T708" s="194">
        <f t="shared" si="1144"/>
        <v>0</v>
      </c>
      <c r="U708" s="630">
        <f t="shared" si="1140"/>
        <v>0</v>
      </c>
    </row>
    <row r="709" spans="1:21">
      <c r="A709" s="190" t="s">
        <v>830</v>
      </c>
      <c r="B709" s="191">
        <v>151132</v>
      </c>
      <c r="C709" s="657" t="s">
        <v>361</v>
      </c>
      <c r="D709" s="192" t="s">
        <v>51</v>
      </c>
      <c r="E709" s="193">
        <v>7.5</v>
      </c>
      <c r="F709" s="194">
        <v>78.400000000000006</v>
      </c>
      <c r="G709" s="194"/>
      <c r="H709" s="194"/>
      <c r="I709" s="193">
        <f t="shared" si="1141"/>
        <v>78.400000000000006</v>
      </c>
      <c r="J709" s="193">
        <f t="shared" si="1142"/>
        <v>588</v>
      </c>
      <c r="K709" s="193"/>
      <c r="L709" s="193"/>
      <c r="M709" s="622">
        <f t="shared" si="1143"/>
        <v>588</v>
      </c>
      <c r="N709" s="194">
        <v>78.400000000000006</v>
      </c>
      <c r="O709" s="622">
        <f t="shared" si="1136"/>
        <v>588</v>
      </c>
      <c r="P709" s="194">
        <v>0</v>
      </c>
      <c r="Q709" s="622">
        <f t="shared" si="1137"/>
        <v>0</v>
      </c>
      <c r="R709" s="194">
        <f t="shared" si="1138"/>
        <v>78.400000000000006</v>
      </c>
      <c r="S709" s="630">
        <f t="shared" si="1139"/>
        <v>588</v>
      </c>
      <c r="T709" s="194">
        <f>I709-R709</f>
        <v>0</v>
      </c>
      <c r="U709" s="630">
        <f t="shared" si="1140"/>
        <v>0</v>
      </c>
    </row>
    <row r="710" spans="1:21" ht="25.5">
      <c r="A710" s="190" t="s">
        <v>831</v>
      </c>
      <c r="B710" s="191">
        <v>150801</v>
      </c>
      <c r="C710" s="657" t="s">
        <v>362</v>
      </c>
      <c r="D710" s="192" t="s">
        <v>51</v>
      </c>
      <c r="E710" s="193">
        <v>12.67</v>
      </c>
      <c r="F710" s="194">
        <v>70</v>
      </c>
      <c r="G710" s="194"/>
      <c r="H710" s="194"/>
      <c r="I710" s="193">
        <f t="shared" si="1141"/>
        <v>70</v>
      </c>
      <c r="J710" s="193">
        <f t="shared" si="1142"/>
        <v>886.9</v>
      </c>
      <c r="K710" s="193"/>
      <c r="L710" s="193"/>
      <c r="M710" s="622">
        <f t="shared" si="1143"/>
        <v>886.9</v>
      </c>
      <c r="N710" s="194">
        <v>70</v>
      </c>
      <c r="O710" s="622">
        <f t="shared" si="1136"/>
        <v>886.9</v>
      </c>
      <c r="P710" s="194"/>
      <c r="Q710" s="622">
        <f t="shared" si="1137"/>
        <v>0</v>
      </c>
      <c r="R710" s="194">
        <f>P710+N710</f>
        <v>70</v>
      </c>
      <c r="S710" s="630">
        <f t="shared" si="1139"/>
        <v>886.9</v>
      </c>
      <c r="T710" s="194">
        <f t="shared" si="1144"/>
        <v>0</v>
      </c>
      <c r="U710" s="630">
        <f t="shared" si="1140"/>
        <v>0</v>
      </c>
    </row>
    <row r="711" spans="1:21">
      <c r="A711" s="190" t="s">
        <v>832</v>
      </c>
      <c r="B711" s="191">
        <v>180110</v>
      </c>
      <c r="C711" s="657" t="s">
        <v>363</v>
      </c>
      <c r="D711" s="192" t="s">
        <v>59</v>
      </c>
      <c r="E711" s="193">
        <v>106.15</v>
      </c>
      <c r="F711" s="194">
        <v>5</v>
      </c>
      <c r="G711" s="194"/>
      <c r="H711" s="194"/>
      <c r="I711" s="193">
        <f t="shared" si="1141"/>
        <v>5</v>
      </c>
      <c r="J711" s="193">
        <f t="shared" si="1142"/>
        <v>530.75</v>
      </c>
      <c r="K711" s="193"/>
      <c r="L711" s="193"/>
      <c r="M711" s="622">
        <f t="shared" si="1143"/>
        <v>530.75</v>
      </c>
      <c r="N711" s="194">
        <v>5</v>
      </c>
      <c r="O711" s="622">
        <f t="shared" si="1136"/>
        <v>530.75</v>
      </c>
      <c r="P711" s="194"/>
      <c r="Q711" s="622">
        <f t="shared" si="1137"/>
        <v>0</v>
      </c>
      <c r="R711" s="194">
        <f t="shared" si="1138"/>
        <v>5</v>
      </c>
      <c r="S711" s="630">
        <f t="shared" si="1139"/>
        <v>530.75</v>
      </c>
      <c r="T711" s="194">
        <f t="shared" si="1144"/>
        <v>0</v>
      </c>
      <c r="U711" s="630">
        <f t="shared" si="1140"/>
        <v>0</v>
      </c>
    </row>
    <row r="712" spans="1:21">
      <c r="A712" s="190" t="s">
        <v>833</v>
      </c>
      <c r="B712" s="191" t="s">
        <v>367</v>
      </c>
      <c r="C712" s="657" t="s">
        <v>364</v>
      </c>
      <c r="D712" s="192" t="s">
        <v>72</v>
      </c>
      <c r="E712" s="193">
        <v>362.44</v>
      </c>
      <c r="F712" s="194">
        <v>20</v>
      </c>
      <c r="G712" s="194"/>
      <c r="H712" s="194"/>
      <c r="I712" s="193">
        <f t="shared" si="1141"/>
        <v>20</v>
      </c>
      <c r="J712" s="193">
        <f t="shared" si="1142"/>
        <v>7248.8</v>
      </c>
      <c r="K712" s="193"/>
      <c r="L712" s="193"/>
      <c r="M712" s="622">
        <f t="shared" si="1143"/>
        <v>7248.8</v>
      </c>
      <c r="N712" s="194">
        <v>20</v>
      </c>
      <c r="O712" s="622">
        <f t="shared" si="1136"/>
        <v>7248.8</v>
      </c>
      <c r="P712" s="194"/>
      <c r="Q712" s="622">
        <f t="shared" si="1137"/>
        <v>0</v>
      </c>
      <c r="R712" s="194">
        <f t="shared" si="1138"/>
        <v>20</v>
      </c>
      <c r="S712" s="630">
        <f t="shared" si="1139"/>
        <v>7248.8</v>
      </c>
      <c r="T712" s="194">
        <f t="shared" si="1144"/>
        <v>0</v>
      </c>
      <c r="U712" s="630">
        <f t="shared" si="1140"/>
        <v>0</v>
      </c>
    </row>
    <row r="713" spans="1:21" ht="25.5">
      <c r="A713" s="190" t="s">
        <v>834</v>
      </c>
      <c r="B713" s="191" t="s">
        <v>368</v>
      </c>
      <c r="C713" s="657" t="s">
        <v>365</v>
      </c>
      <c r="D713" s="192" t="s">
        <v>72</v>
      </c>
      <c r="E713" s="193">
        <v>4976.67</v>
      </c>
      <c r="F713" s="194">
        <v>2</v>
      </c>
      <c r="G713" s="194"/>
      <c r="H713" s="194"/>
      <c r="I713" s="193">
        <f t="shared" si="1141"/>
        <v>2</v>
      </c>
      <c r="J713" s="193">
        <f t="shared" si="1142"/>
        <v>9953.34</v>
      </c>
      <c r="K713" s="193"/>
      <c r="L713" s="193"/>
      <c r="M713" s="622">
        <f t="shared" si="1143"/>
        <v>9953.34</v>
      </c>
      <c r="N713" s="194">
        <v>2</v>
      </c>
      <c r="O713" s="622">
        <f t="shared" si="1136"/>
        <v>9953.34</v>
      </c>
      <c r="P713" s="194"/>
      <c r="Q713" s="622">
        <f t="shared" si="1137"/>
        <v>0</v>
      </c>
      <c r="R713" s="194">
        <f t="shared" si="1138"/>
        <v>2</v>
      </c>
      <c r="S713" s="630">
        <f t="shared" si="1139"/>
        <v>9953.34</v>
      </c>
      <c r="T713" s="194">
        <f t="shared" si="1144"/>
        <v>0</v>
      </c>
      <c r="U713" s="630">
        <f t="shared" si="1140"/>
        <v>0</v>
      </c>
    </row>
    <row r="714" spans="1:21" ht="25.5">
      <c r="A714" s="190" t="s">
        <v>835</v>
      </c>
      <c r="B714" s="191" t="s">
        <v>369</v>
      </c>
      <c r="C714" s="657" t="s">
        <v>366</v>
      </c>
      <c r="D714" s="192" t="s">
        <v>10</v>
      </c>
      <c r="E714" s="193">
        <v>12903.37</v>
      </c>
      <c r="F714" s="194">
        <v>1</v>
      </c>
      <c r="G714" s="194"/>
      <c r="H714" s="194"/>
      <c r="I714" s="193">
        <f t="shared" si="1141"/>
        <v>1</v>
      </c>
      <c r="J714" s="193">
        <f t="shared" si="1142"/>
        <v>12903.37</v>
      </c>
      <c r="K714" s="193"/>
      <c r="L714" s="193"/>
      <c r="M714" s="622">
        <f t="shared" si="1143"/>
        <v>12903.37</v>
      </c>
      <c r="N714" s="194">
        <v>1</v>
      </c>
      <c r="O714" s="622">
        <f t="shared" si="1136"/>
        <v>12903.37</v>
      </c>
      <c r="P714" s="194"/>
      <c r="Q714" s="622">
        <f t="shared" si="1137"/>
        <v>0</v>
      </c>
      <c r="R714" s="194">
        <f t="shared" si="1138"/>
        <v>1</v>
      </c>
      <c r="S714" s="630">
        <f t="shared" si="1139"/>
        <v>12903.37</v>
      </c>
      <c r="T714" s="194">
        <f t="shared" si="1144"/>
        <v>0</v>
      </c>
      <c r="U714" s="630">
        <f t="shared" si="1140"/>
        <v>0</v>
      </c>
    </row>
    <row r="715" spans="1:21">
      <c r="A715" s="138"/>
      <c r="B715" s="132"/>
      <c r="C715" s="123"/>
      <c r="D715" s="123"/>
      <c r="E715" s="123"/>
      <c r="F715" s="123"/>
      <c r="G715" s="123"/>
      <c r="H715" s="123"/>
      <c r="I715" s="123"/>
      <c r="J715" s="123"/>
      <c r="K715" s="123"/>
      <c r="L715" s="123"/>
      <c r="M715" s="623"/>
      <c r="N715" s="123"/>
      <c r="O715" s="623"/>
      <c r="P715" s="123"/>
      <c r="Q715" s="623"/>
      <c r="R715" s="123"/>
      <c r="S715" s="631"/>
      <c r="T715" s="123"/>
      <c r="U715" s="631"/>
    </row>
    <row r="716" spans="1:21" s="131" customFormat="1">
      <c r="A716" s="137" t="s">
        <v>836</v>
      </c>
      <c r="B716" s="133"/>
      <c r="C716" s="658" t="s">
        <v>371</v>
      </c>
      <c r="D716" s="126"/>
      <c r="E716" s="127"/>
      <c r="F716" s="128"/>
      <c r="G716" s="128"/>
      <c r="H716" s="128"/>
      <c r="I716" s="129"/>
      <c r="J716" s="129">
        <f>SUBTOTAL(9,J717:J720)</f>
        <v>3378.9830000000002</v>
      </c>
      <c r="K716" s="129"/>
      <c r="L716" s="129"/>
      <c r="M716" s="624"/>
      <c r="N716" s="130"/>
      <c r="O716" s="624">
        <f>SUBTOTAL(9,O717:O720)</f>
        <v>0</v>
      </c>
      <c r="P716" s="130"/>
      <c r="Q716" s="624">
        <f>SUBTOTAL(9,Q717:Q720)</f>
        <v>3378.98</v>
      </c>
      <c r="R716" s="129"/>
      <c r="S716" s="624">
        <f>SUBTOTAL(9,S717:S720)</f>
        <v>3378.98</v>
      </c>
      <c r="T716" s="129">
        <f t="shared" si="1144"/>
        <v>0</v>
      </c>
      <c r="U716" s="624">
        <f>SUBTOTAL(9,U717:U720)</f>
        <v>0</v>
      </c>
    </row>
    <row r="717" spans="1:21" s="725" customFormat="1" ht="38.25">
      <c r="A717" s="577" t="s">
        <v>837</v>
      </c>
      <c r="B717" s="578">
        <v>150610</v>
      </c>
      <c r="C717" s="722" t="s">
        <v>376</v>
      </c>
      <c r="D717" s="580" t="s">
        <v>59</v>
      </c>
      <c r="E717" s="581">
        <v>188.46</v>
      </c>
      <c r="F717" s="582">
        <v>4</v>
      </c>
      <c r="G717" s="582"/>
      <c r="H717" s="582"/>
      <c r="I717" s="581">
        <f t="shared" ref="I717" si="1145">F717+G717-H717</f>
        <v>4</v>
      </c>
      <c r="J717" s="581">
        <f t="shared" ref="J717" si="1146">I717*E717</f>
        <v>753.84</v>
      </c>
      <c r="K717" s="581"/>
      <c r="L717" s="581"/>
      <c r="M717" s="723">
        <f t="shared" ref="M717" si="1147">I717*E717</f>
        <v>753.84</v>
      </c>
      <c r="N717" s="582">
        <v>0</v>
      </c>
      <c r="O717" s="723">
        <f t="shared" ref="O717" si="1148">TRUNC(N717*E717,2)</f>
        <v>0</v>
      </c>
      <c r="P717" s="582">
        <v>4</v>
      </c>
      <c r="Q717" s="723">
        <f t="shared" ref="Q717" si="1149">S717-O717</f>
        <v>753.84</v>
      </c>
      <c r="R717" s="582">
        <f t="shared" ref="R717" si="1150">P717+N717</f>
        <v>4</v>
      </c>
      <c r="S717" s="724">
        <f t="shared" ref="S717" si="1151">TRUNC(R717*E717,2)</f>
        <v>753.84</v>
      </c>
      <c r="T717" s="582">
        <f t="shared" si="1144"/>
        <v>0</v>
      </c>
      <c r="U717" s="724">
        <f t="shared" ref="U717:U720" si="1152">T717*E717</f>
        <v>0</v>
      </c>
    </row>
    <row r="718" spans="1:21" s="725" customFormat="1" ht="38.25">
      <c r="A718" s="577" t="s">
        <v>838</v>
      </c>
      <c r="B718" s="578">
        <v>160324</v>
      </c>
      <c r="C718" s="722" t="s">
        <v>546</v>
      </c>
      <c r="D718" s="580" t="s">
        <v>59</v>
      </c>
      <c r="E718" s="581">
        <v>199.91</v>
      </c>
      <c r="F718" s="582">
        <v>1</v>
      </c>
      <c r="G718" s="582"/>
      <c r="H718" s="582"/>
      <c r="I718" s="581">
        <f t="shared" ref="I718:I720" si="1153">F718+G718-H718</f>
        <v>1</v>
      </c>
      <c r="J718" s="581">
        <f t="shared" ref="J718:J720" si="1154">I718*E718</f>
        <v>199.91</v>
      </c>
      <c r="K718" s="581"/>
      <c r="L718" s="581"/>
      <c r="M718" s="723">
        <f t="shared" ref="M718:M720" si="1155">I718*E718</f>
        <v>199.91</v>
      </c>
      <c r="N718" s="582">
        <v>0</v>
      </c>
      <c r="O718" s="723">
        <f>TRUNC(N718*E718,2)</f>
        <v>0</v>
      </c>
      <c r="P718" s="582">
        <v>1</v>
      </c>
      <c r="Q718" s="723">
        <f>S718-O718</f>
        <v>199.91</v>
      </c>
      <c r="R718" s="582">
        <f>P718+N718</f>
        <v>1</v>
      </c>
      <c r="S718" s="724">
        <f>TRUNC(R718*E718,2)</f>
        <v>199.91</v>
      </c>
      <c r="T718" s="582">
        <f t="shared" si="1144"/>
        <v>0</v>
      </c>
      <c r="U718" s="724">
        <f t="shared" si="1152"/>
        <v>0</v>
      </c>
    </row>
    <row r="719" spans="1:21" s="725" customFormat="1" ht="25.5">
      <c r="A719" s="577" t="s">
        <v>839</v>
      </c>
      <c r="B719" s="578">
        <v>160317</v>
      </c>
      <c r="C719" s="722" t="s">
        <v>377</v>
      </c>
      <c r="D719" s="580" t="s">
        <v>51</v>
      </c>
      <c r="E719" s="581">
        <v>33.369999999999997</v>
      </c>
      <c r="F719" s="582">
        <v>70.900000000000006</v>
      </c>
      <c r="G719" s="582"/>
      <c r="H719" s="582"/>
      <c r="I719" s="581">
        <f t="shared" si="1153"/>
        <v>70.900000000000006</v>
      </c>
      <c r="J719" s="581">
        <f t="shared" si="1154"/>
        <v>2365.933</v>
      </c>
      <c r="K719" s="581"/>
      <c r="L719" s="581"/>
      <c r="M719" s="723">
        <f t="shared" si="1155"/>
        <v>2365.933</v>
      </c>
      <c r="N719" s="582">
        <v>0</v>
      </c>
      <c r="O719" s="723">
        <f t="shared" ref="O719:O720" si="1156">TRUNC(N719*E719,2)</f>
        <v>0</v>
      </c>
      <c r="P719" s="582">
        <v>70.900000000000006</v>
      </c>
      <c r="Q719" s="723">
        <f t="shared" ref="Q719:Q720" si="1157">S719-O719</f>
        <v>2365.9299999999998</v>
      </c>
      <c r="R719" s="582">
        <f t="shared" ref="R719:R720" si="1158">P719+N719</f>
        <v>70.900000000000006</v>
      </c>
      <c r="S719" s="724">
        <f t="shared" ref="S719:S720" si="1159">TRUNC(R719*E719,2)</f>
        <v>2365.9299999999998</v>
      </c>
      <c r="T719" s="582">
        <f t="shared" si="1144"/>
        <v>0</v>
      </c>
      <c r="U719" s="724">
        <f t="shared" si="1152"/>
        <v>0</v>
      </c>
    </row>
    <row r="720" spans="1:21" s="725" customFormat="1" ht="25.5">
      <c r="A720" s="577" t="s">
        <v>840</v>
      </c>
      <c r="B720" s="578">
        <v>160334</v>
      </c>
      <c r="C720" s="722" t="s">
        <v>378</v>
      </c>
      <c r="D720" s="580" t="s">
        <v>59</v>
      </c>
      <c r="E720" s="581">
        <v>29.65</v>
      </c>
      <c r="F720" s="582">
        <v>2</v>
      </c>
      <c r="G720" s="582"/>
      <c r="H720" s="582"/>
      <c r="I720" s="581">
        <f t="shared" si="1153"/>
        <v>2</v>
      </c>
      <c r="J720" s="581">
        <f t="shared" si="1154"/>
        <v>59.3</v>
      </c>
      <c r="K720" s="581"/>
      <c r="L720" s="581"/>
      <c r="M720" s="723">
        <f t="shared" si="1155"/>
        <v>59.3</v>
      </c>
      <c r="N720" s="582">
        <v>0</v>
      </c>
      <c r="O720" s="723">
        <f t="shared" si="1156"/>
        <v>0</v>
      </c>
      <c r="P720" s="582">
        <v>2</v>
      </c>
      <c r="Q720" s="723">
        <f t="shared" si="1157"/>
        <v>59.3</v>
      </c>
      <c r="R720" s="582">
        <f t="shared" si="1158"/>
        <v>2</v>
      </c>
      <c r="S720" s="724">
        <f t="shared" si="1159"/>
        <v>59.3</v>
      </c>
      <c r="T720" s="582">
        <f t="shared" si="1144"/>
        <v>0</v>
      </c>
      <c r="U720" s="724">
        <f t="shared" si="1152"/>
        <v>0</v>
      </c>
    </row>
    <row r="721" spans="1:21">
      <c r="A721" s="138"/>
      <c r="B721" s="132"/>
      <c r="C721" s="123"/>
      <c r="D721" s="123"/>
      <c r="E721" s="123"/>
      <c r="F721" s="123"/>
      <c r="G721" s="123"/>
      <c r="H721" s="123"/>
      <c r="I721" s="123"/>
      <c r="J721" s="123"/>
      <c r="K721" s="123"/>
      <c r="L721" s="123"/>
      <c r="M721" s="623"/>
      <c r="N721" s="123"/>
      <c r="O721" s="623"/>
      <c r="P721" s="123"/>
      <c r="Q721" s="623"/>
      <c r="R721" s="123"/>
      <c r="S721" s="631"/>
      <c r="T721" s="123"/>
      <c r="U721" s="631"/>
    </row>
    <row r="722" spans="1:21" s="213" customFormat="1">
      <c r="A722" s="210" t="s">
        <v>841</v>
      </c>
      <c r="B722" s="211"/>
      <c r="C722" s="655" t="s">
        <v>380</v>
      </c>
      <c r="D722" s="197"/>
      <c r="E722" s="198"/>
      <c r="F722" s="199"/>
      <c r="G722" s="199"/>
      <c r="H722" s="199"/>
      <c r="I722" s="200"/>
      <c r="J722" s="200">
        <f>SUBTOTAL(9,J723:J728)</f>
        <v>2437.2840000000001</v>
      </c>
      <c r="K722" s="200"/>
      <c r="L722" s="200"/>
      <c r="M722" s="620"/>
      <c r="N722" s="201"/>
      <c r="O722" s="620">
        <f>SUBTOTAL(9,O723:O728)</f>
        <v>0</v>
      </c>
      <c r="P722" s="201"/>
      <c r="Q722" s="620">
        <f>SUBTOTAL(9,Q723:Q728)</f>
        <v>0</v>
      </c>
      <c r="R722" s="200"/>
      <c r="S722" s="620">
        <f>SUBTOTAL(9,S723:S728)</f>
        <v>0</v>
      </c>
      <c r="T722" s="200">
        <f t="shared" si="1144"/>
        <v>0</v>
      </c>
      <c r="U722" s="620">
        <f>SUBTOTAL(9,U723:U728)</f>
        <v>2437.2840000000001</v>
      </c>
    </row>
    <row r="723" spans="1:21" s="131" customFormat="1">
      <c r="A723" s="137" t="s">
        <v>842</v>
      </c>
      <c r="B723" s="133"/>
      <c r="C723" s="658" t="s">
        <v>380</v>
      </c>
      <c r="D723" s="126"/>
      <c r="E723" s="127"/>
      <c r="F723" s="128"/>
      <c r="G723" s="128"/>
      <c r="H723" s="128"/>
      <c r="I723" s="129"/>
      <c r="J723" s="129">
        <f>SUBTOTAL(9,J724:J728)</f>
        <v>2437.2840000000001</v>
      </c>
      <c r="K723" s="129"/>
      <c r="L723" s="129"/>
      <c r="M723" s="624"/>
      <c r="N723" s="130"/>
      <c r="O723" s="624">
        <f>SUBTOTAL(9,O724:O728)</f>
        <v>0</v>
      </c>
      <c r="P723" s="130"/>
      <c r="Q723" s="624">
        <f>SUBTOTAL(9,Q724:Q728)</f>
        <v>0</v>
      </c>
      <c r="R723" s="129"/>
      <c r="S723" s="624">
        <f>SUBTOTAL(9,S724:S728)</f>
        <v>0</v>
      </c>
      <c r="T723" s="129">
        <f t="shared" si="1144"/>
        <v>0</v>
      </c>
      <c r="U723" s="624">
        <f>SUBTOTAL(9,U724:U728)</f>
        <v>2437.2840000000001</v>
      </c>
    </row>
    <row r="724" spans="1:21" ht="25.5">
      <c r="A724" s="190" t="s">
        <v>843</v>
      </c>
      <c r="B724" s="191">
        <v>160612</v>
      </c>
      <c r="C724" s="657" t="s">
        <v>387</v>
      </c>
      <c r="D724" s="192" t="s">
        <v>59</v>
      </c>
      <c r="E724" s="193">
        <v>29.96</v>
      </c>
      <c r="F724" s="194">
        <v>2</v>
      </c>
      <c r="G724" s="194"/>
      <c r="H724" s="194"/>
      <c r="I724" s="193">
        <f t="shared" ref="I724" si="1160">F724+G724-H724</f>
        <v>2</v>
      </c>
      <c r="J724" s="193">
        <f t="shared" ref="J724" si="1161">I724*E724</f>
        <v>59.92</v>
      </c>
      <c r="K724" s="193"/>
      <c r="L724" s="193"/>
      <c r="M724" s="622">
        <f t="shared" ref="M724" si="1162">I724*E724</f>
        <v>59.92</v>
      </c>
      <c r="N724" s="194">
        <v>0</v>
      </c>
      <c r="O724" s="622">
        <f t="shared" ref="O724" si="1163">TRUNC(N724*E724,2)</f>
        <v>0</v>
      </c>
      <c r="P724" s="560">
        <v>0</v>
      </c>
      <c r="Q724" s="622">
        <f t="shared" ref="Q724" si="1164">S724-O724</f>
        <v>0</v>
      </c>
      <c r="R724" s="194">
        <f t="shared" ref="R724" si="1165">P724+N724</f>
        <v>0</v>
      </c>
      <c r="S724" s="630">
        <f t="shared" ref="S724" si="1166">TRUNC(R724*E724,2)</f>
        <v>0</v>
      </c>
      <c r="T724" s="194">
        <f t="shared" si="1144"/>
        <v>2</v>
      </c>
      <c r="U724" s="630">
        <f t="shared" ref="U724:U728" si="1167">T724*E724</f>
        <v>59.92</v>
      </c>
    </row>
    <row r="725" spans="1:21" ht="38.25">
      <c r="A725" s="190" t="s">
        <v>844</v>
      </c>
      <c r="B725" s="191">
        <v>160608</v>
      </c>
      <c r="C725" s="657" t="s">
        <v>545</v>
      </c>
      <c r="D725" s="192" t="s">
        <v>59</v>
      </c>
      <c r="E725" s="193">
        <v>320.60000000000002</v>
      </c>
      <c r="F725" s="194">
        <v>3</v>
      </c>
      <c r="G725" s="194"/>
      <c r="H725" s="194"/>
      <c r="I725" s="193">
        <f t="shared" ref="I725:I728" si="1168">F725+G725-H725</f>
        <v>3</v>
      </c>
      <c r="J725" s="193">
        <f t="shared" ref="J725:J728" si="1169">I725*E725</f>
        <v>961.80000000000007</v>
      </c>
      <c r="K725" s="193"/>
      <c r="L725" s="193"/>
      <c r="M725" s="622">
        <f t="shared" ref="M725:M728" si="1170">I725*E725</f>
        <v>961.80000000000007</v>
      </c>
      <c r="N725" s="194">
        <v>0</v>
      </c>
      <c r="O725" s="622">
        <f>TRUNC(N725*E725,2)</f>
        <v>0</v>
      </c>
      <c r="P725" s="560">
        <v>0</v>
      </c>
      <c r="Q725" s="622">
        <f>S725-O725</f>
        <v>0</v>
      </c>
      <c r="R725" s="194">
        <f>P725+N725</f>
        <v>0</v>
      </c>
      <c r="S725" s="630">
        <f>TRUNC(R725*E725,2)</f>
        <v>0</v>
      </c>
      <c r="T725" s="194">
        <f t="shared" si="1144"/>
        <v>3</v>
      </c>
      <c r="U725" s="630">
        <f t="shared" si="1167"/>
        <v>961.80000000000007</v>
      </c>
    </row>
    <row r="726" spans="1:21" ht="25.5">
      <c r="A726" s="190" t="s">
        <v>845</v>
      </c>
      <c r="B726" s="191">
        <v>160613</v>
      </c>
      <c r="C726" s="657" t="s">
        <v>389</v>
      </c>
      <c r="D726" s="192" t="s">
        <v>59</v>
      </c>
      <c r="E726" s="193">
        <v>197.45</v>
      </c>
      <c r="F726" s="194">
        <v>4</v>
      </c>
      <c r="G726" s="194"/>
      <c r="H726" s="194"/>
      <c r="I726" s="193">
        <f t="shared" si="1168"/>
        <v>4</v>
      </c>
      <c r="J726" s="193">
        <f t="shared" si="1169"/>
        <v>789.8</v>
      </c>
      <c r="K726" s="193"/>
      <c r="L726" s="193"/>
      <c r="M726" s="622">
        <f t="shared" si="1170"/>
        <v>789.8</v>
      </c>
      <c r="N726" s="194">
        <v>0</v>
      </c>
      <c r="O726" s="622">
        <f t="shared" ref="O726:O728" si="1171">TRUNC(N726*E726,2)</f>
        <v>0</v>
      </c>
      <c r="P726" s="560">
        <v>0</v>
      </c>
      <c r="Q726" s="622">
        <f t="shared" ref="Q726:Q728" si="1172">S726-O726</f>
        <v>0</v>
      </c>
      <c r="R726" s="194">
        <f t="shared" ref="R726:R728" si="1173">P726+N726</f>
        <v>0</v>
      </c>
      <c r="S726" s="630">
        <f t="shared" ref="S726:S728" si="1174">TRUNC(R726*E726,2)</f>
        <v>0</v>
      </c>
      <c r="T726" s="194">
        <f t="shared" si="1144"/>
        <v>4</v>
      </c>
      <c r="U726" s="630">
        <f t="shared" si="1167"/>
        <v>789.8</v>
      </c>
    </row>
    <row r="727" spans="1:21" ht="38.25">
      <c r="A727" s="190" t="s">
        <v>846</v>
      </c>
      <c r="B727" s="191">
        <v>160607</v>
      </c>
      <c r="C727" s="657" t="s">
        <v>390</v>
      </c>
      <c r="D727" s="192" t="s">
        <v>59</v>
      </c>
      <c r="E727" s="193">
        <v>178.48</v>
      </c>
      <c r="F727" s="194">
        <v>3</v>
      </c>
      <c r="G727" s="194"/>
      <c r="H727" s="194"/>
      <c r="I727" s="193">
        <f t="shared" si="1168"/>
        <v>3</v>
      </c>
      <c r="J727" s="193">
        <f t="shared" si="1169"/>
        <v>535.43999999999994</v>
      </c>
      <c r="K727" s="193"/>
      <c r="L727" s="193"/>
      <c r="M727" s="622">
        <f t="shared" si="1170"/>
        <v>535.43999999999994</v>
      </c>
      <c r="N727" s="194">
        <v>0</v>
      </c>
      <c r="O727" s="622">
        <f t="shared" si="1171"/>
        <v>0</v>
      </c>
      <c r="P727" s="560">
        <v>0</v>
      </c>
      <c r="Q727" s="622">
        <f t="shared" si="1172"/>
        <v>0</v>
      </c>
      <c r="R727" s="194">
        <f t="shared" si="1173"/>
        <v>0</v>
      </c>
      <c r="S727" s="630">
        <f t="shared" si="1174"/>
        <v>0</v>
      </c>
      <c r="T727" s="194">
        <f t="shared" si="1144"/>
        <v>3</v>
      </c>
      <c r="U727" s="630">
        <f t="shared" si="1167"/>
        <v>535.43999999999994</v>
      </c>
    </row>
    <row r="728" spans="1:21" ht="38.25">
      <c r="A728" s="190" t="s">
        <v>847</v>
      </c>
      <c r="B728" s="191">
        <v>190605</v>
      </c>
      <c r="C728" s="657" t="s">
        <v>544</v>
      </c>
      <c r="D728" s="192" t="s">
        <v>57</v>
      </c>
      <c r="E728" s="193">
        <v>50.18</v>
      </c>
      <c r="F728" s="194">
        <v>1.8</v>
      </c>
      <c r="G728" s="194"/>
      <c r="H728" s="194"/>
      <c r="I728" s="193">
        <f t="shared" si="1168"/>
        <v>1.8</v>
      </c>
      <c r="J728" s="193">
        <f t="shared" si="1169"/>
        <v>90.323999999999998</v>
      </c>
      <c r="K728" s="193"/>
      <c r="L728" s="193"/>
      <c r="M728" s="622">
        <f t="shared" si="1170"/>
        <v>90.323999999999998</v>
      </c>
      <c r="N728" s="194">
        <v>0</v>
      </c>
      <c r="O728" s="622">
        <f t="shared" si="1171"/>
        <v>0</v>
      </c>
      <c r="P728" s="560">
        <v>0</v>
      </c>
      <c r="Q728" s="622">
        <f t="shared" si="1172"/>
        <v>0</v>
      </c>
      <c r="R728" s="194">
        <f t="shared" si="1173"/>
        <v>0</v>
      </c>
      <c r="S728" s="630">
        <f t="shared" si="1174"/>
        <v>0</v>
      </c>
      <c r="T728" s="194">
        <f t="shared" si="1144"/>
        <v>1.8</v>
      </c>
      <c r="U728" s="630">
        <f t="shared" si="1167"/>
        <v>90.323999999999998</v>
      </c>
    </row>
    <row r="729" spans="1:21">
      <c r="A729" s="138"/>
      <c r="B729" s="132"/>
      <c r="C729" s="123"/>
      <c r="D729" s="123"/>
      <c r="E729" s="123"/>
      <c r="F729" s="123"/>
      <c r="G729" s="123"/>
      <c r="H729" s="123"/>
      <c r="I729" s="123"/>
      <c r="J729" s="123"/>
      <c r="K729" s="123"/>
      <c r="L729" s="123"/>
      <c r="M729" s="623"/>
      <c r="N729" s="123"/>
      <c r="O729" s="623"/>
      <c r="P729" s="123"/>
      <c r="Q729" s="623"/>
      <c r="R729" s="123"/>
      <c r="S729" s="631"/>
      <c r="T729" s="123"/>
      <c r="U729" s="631"/>
    </row>
    <row r="730" spans="1:21" ht="27.75" customHeight="1">
      <c r="A730" s="139"/>
      <c r="B730" s="168"/>
      <c r="C730" s="661" t="s">
        <v>32</v>
      </c>
      <c r="D730" s="6"/>
      <c r="E730" s="7"/>
      <c r="F730" s="170"/>
      <c r="G730" s="170"/>
      <c r="H730" s="170"/>
      <c r="I730" s="8"/>
      <c r="J730" s="8">
        <v>5997821.9000000004</v>
      </c>
      <c r="K730" s="8">
        <f>SUBTOTAL(9,K15:K729)</f>
        <v>1393237.7009786726</v>
      </c>
      <c r="L730" s="8">
        <f>SUBTOTAL(9,L15:L729)</f>
        <v>512054.09500000003</v>
      </c>
      <c r="M730" s="627">
        <v>6879005.5099999998</v>
      </c>
      <c r="N730" s="46"/>
      <c r="O730" s="627">
        <f>SUBTOTAL(9,O15:O729)</f>
        <v>4964911.1219999986</v>
      </c>
      <c r="P730" s="46"/>
      <c r="Q730" s="627">
        <f>SUBTOTAL(9,Q15:Q729)</f>
        <v>149614.022</v>
      </c>
      <c r="R730" s="9"/>
      <c r="S730" s="627">
        <f>O730+Q730</f>
        <v>5114525.1439999985</v>
      </c>
      <c r="T730" s="627"/>
      <c r="U730" s="627">
        <f>M730-S730</f>
        <v>1764480.3660000013</v>
      </c>
    </row>
    <row r="731" spans="1:21">
      <c r="A731" s="662"/>
      <c r="B731" s="663"/>
      <c r="C731" s="664"/>
      <c r="D731" s="173"/>
      <c r="E731" s="665"/>
      <c r="F731" s="665"/>
      <c r="G731" s="665"/>
      <c r="H731" s="666"/>
      <c r="I731" s="665"/>
      <c r="J731" s="665"/>
      <c r="K731" s="665"/>
      <c r="L731" s="665"/>
      <c r="M731" s="667"/>
      <c r="N731" s="668"/>
      <c r="O731" s="667"/>
      <c r="P731" s="668"/>
      <c r="Q731" s="667"/>
      <c r="R731" s="665"/>
      <c r="S731" s="667"/>
      <c r="T731" s="665"/>
      <c r="U731" s="667"/>
    </row>
    <row r="733" spans="1:21">
      <c r="A733" s="942" t="s">
        <v>904</v>
      </c>
      <c r="B733" s="942"/>
      <c r="C733" s="942"/>
      <c r="D733" s="282" t="s">
        <v>1446</v>
      </c>
      <c r="E733" s="282" t="s">
        <v>980</v>
      </c>
    </row>
    <row r="734" spans="1:21">
      <c r="A734" s="939" t="s">
        <v>1369</v>
      </c>
      <c r="B734" s="939"/>
      <c r="C734" s="939" t="s">
        <v>1303</v>
      </c>
      <c r="D734" s="262">
        <f>Q15</f>
        <v>2.0000000040454324E-3</v>
      </c>
      <c r="E734" s="285">
        <f>D734*24.29%</f>
        <v>4.8580000098263557E-4</v>
      </c>
      <c r="I734" s="645"/>
      <c r="J734" s="645"/>
    </row>
    <row r="735" spans="1:21">
      <c r="A735" s="939" t="s">
        <v>1370</v>
      </c>
      <c r="B735" s="939"/>
      <c r="C735" s="939"/>
      <c r="D735" s="262">
        <f>Q557</f>
        <v>67750.600000000006</v>
      </c>
      <c r="E735" s="285">
        <f>D735*24.29%</f>
        <v>16456.620740000002</v>
      </c>
      <c r="I735" s="645"/>
      <c r="J735" s="645"/>
    </row>
    <row r="736" spans="1:21">
      <c r="A736" s="939" t="s">
        <v>905</v>
      </c>
      <c r="B736" s="939"/>
      <c r="C736" s="939"/>
      <c r="D736" s="262">
        <f>Q215</f>
        <v>356.96</v>
      </c>
      <c r="E736" s="285">
        <f>D736*24.29%</f>
        <v>86.705584000000002</v>
      </c>
      <c r="I736" s="645"/>
      <c r="J736" s="645"/>
    </row>
    <row r="737" spans="1:20">
      <c r="A737" s="939" t="s">
        <v>906</v>
      </c>
      <c r="B737" s="939"/>
      <c r="C737" s="939"/>
      <c r="D737" s="262">
        <f>Q49+Q389</f>
        <v>81506.459999999992</v>
      </c>
      <c r="E737" s="285">
        <f>D737*24.29%</f>
        <v>19797.919134</v>
      </c>
      <c r="I737" s="645"/>
      <c r="J737" s="645"/>
      <c r="N737" s="673"/>
    </row>
    <row r="738" spans="1:20">
      <c r="A738" s="939" t="s">
        <v>908</v>
      </c>
      <c r="B738" s="939"/>
      <c r="C738" s="939"/>
      <c r="D738" s="262">
        <f>SUM(D734:D737)</f>
        <v>149614.022</v>
      </c>
      <c r="E738" s="262">
        <f>SUM(E734:E737)</f>
        <v>36341.245943800001</v>
      </c>
      <c r="I738" s="645"/>
      <c r="J738" s="672"/>
      <c r="N738" s="673"/>
    </row>
    <row r="739" spans="1:20" ht="26.25" customHeight="1">
      <c r="A739" s="939" t="s">
        <v>981</v>
      </c>
      <c r="B739" s="939"/>
      <c r="C739" s="939"/>
      <c r="D739" s="940">
        <f>SUM(D738:E738)</f>
        <v>185955.26794379999</v>
      </c>
      <c r="E739" s="941"/>
      <c r="I739" s="674"/>
      <c r="J739" s="674"/>
      <c r="K739" s="674"/>
      <c r="L739" s="674"/>
      <c r="N739" s="673"/>
    </row>
    <row r="740" spans="1:20">
      <c r="A740" s="670"/>
      <c r="E740" s="645"/>
      <c r="F740" s="645"/>
      <c r="I740" s="726"/>
      <c r="J740" s="726"/>
      <c r="K740" s="672"/>
      <c r="L740" s="672"/>
    </row>
    <row r="741" spans="1:20">
      <c r="I741" s="672"/>
      <c r="J741" s="672"/>
      <c r="K741" s="672"/>
      <c r="L741" s="672"/>
      <c r="T741" s="672"/>
    </row>
    <row r="744" spans="1:20" ht="54" customHeight="1">
      <c r="A744" s="921" t="s">
        <v>1024</v>
      </c>
      <c r="B744" s="922"/>
      <c r="C744" s="923"/>
      <c r="D744" s="282" t="s">
        <v>1022</v>
      </c>
      <c r="E744" s="282" t="s">
        <v>1427</v>
      </c>
      <c r="F744" s="282" t="s">
        <v>1254</v>
      </c>
      <c r="G744" s="282" t="s">
        <v>1255</v>
      </c>
      <c r="H744" s="286" t="s">
        <v>1256</v>
      </c>
      <c r="I744" s="282" t="s">
        <v>1447</v>
      </c>
      <c r="J744" s="286" t="s">
        <v>36</v>
      </c>
      <c r="K744" s="287" t="s">
        <v>1023</v>
      </c>
      <c r="L744" s="590"/>
      <c r="M744" s="638"/>
    </row>
    <row r="745" spans="1:20">
      <c r="A745" s="936" t="s">
        <v>1369</v>
      </c>
      <c r="B745" s="937"/>
      <c r="C745" s="938"/>
      <c r="D745" s="283">
        <v>196427.87</v>
      </c>
      <c r="E745" s="283">
        <v>100052.95</v>
      </c>
      <c r="F745" s="283">
        <v>0</v>
      </c>
      <c r="G745" s="283">
        <f>D745+E745-F745</f>
        <v>296480.82</v>
      </c>
      <c r="H745" s="262">
        <f>O15</f>
        <v>233800.26</v>
      </c>
      <c r="I745" s="262">
        <f>Q15</f>
        <v>2.0000000040454324E-3</v>
      </c>
      <c r="J745" s="675">
        <f>H745+I745</f>
        <v>233800.26200000002</v>
      </c>
      <c r="K745" s="288">
        <f>J745/G745</f>
        <v>0.7885847792784707</v>
      </c>
      <c r="L745" s="674"/>
      <c r="M745" s="676"/>
    </row>
    <row r="746" spans="1:20">
      <c r="A746" s="936" t="s">
        <v>1370</v>
      </c>
      <c r="B746" s="937"/>
      <c r="C746" s="938"/>
      <c r="D746" s="283">
        <v>1520449.28</v>
      </c>
      <c r="E746" s="283">
        <v>871581.78</v>
      </c>
      <c r="F746" s="283">
        <v>0</v>
      </c>
      <c r="G746" s="283">
        <f>D746+E746-F746</f>
        <v>2392031.06</v>
      </c>
      <c r="H746" s="262">
        <f>O557</f>
        <v>1374812.3799999994</v>
      </c>
      <c r="I746" s="262">
        <f>D735</f>
        <v>67750.600000000006</v>
      </c>
      <c r="J746" s="675">
        <f>H746+I746</f>
        <v>1442562.9799999995</v>
      </c>
      <c r="K746" s="288">
        <f>J746/G746</f>
        <v>0.60307033805823551</v>
      </c>
      <c r="L746" s="674"/>
      <c r="M746" s="676"/>
    </row>
    <row r="747" spans="1:20">
      <c r="A747" s="936" t="s">
        <v>905</v>
      </c>
      <c r="B747" s="937"/>
      <c r="C747" s="938"/>
      <c r="D747" s="283">
        <v>1365196.33</v>
      </c>
      <c r="E747" s="283">
        <v>477771.71</v>
      </c>
      <c r="F747" s="283">
        <v>185794.28</v>
      </c>
      <c r="G747" s="283">
        <f t="shared" ref="G747:G748" si="1175">D747+E747-F747</f>
        <v>1657173.76</v>
      </c>
      <c r="H747" s="285">
        <f>O215</f>
        <v>1642654.3620000002</v>
      </c>
      <c r="I747" s="675">
        <f>D736</f>
        <v>356.96</v>
      </c>
      <c r="J747" s="675">
        <f>H747+I747</f>
        <v>1643011.3220000002</v>
      </c>
      <c r="K747" s="288">
        <f>J747/G747</f>
        <v>0.99145386057766216</v>
      </c>
      <c r="L747" s="674"/>
      <c r="M747" s="676"/>
    </row>
    <row r="748" spans="1:20">
      <c r="A748" s="936" t="s">
        <v>906</v>
      </c>
      <c r="B748" s="937"/>
      <c r="C748" s="938"/>
      <c r="D748" s="283">
        <v>2915748.42</v>
      </c>
      <c r="E748" s="283">
        <v>43884.06</v>
      </c>
      <c r="F748" s="283">
        <v>326259.8</v>
      </c>
      <c r="G748" s="283">
        <f t="shared" si="1175"/>
        <v>2633372.6800000002</v>
      </c>
      <c r="H748" s="285">
        <f>O49+O389</f>
        <v>1713644.1200000003</v>
      </c>
      <c r="I748" s="675">
        <f>D737</f>
        <v>81506.459999999992</v>
      </c>
      <c r="J748" s="675">
        <f>H748+I748</f>
        <v>1795150.5800000003</v>
      </c>
      <c r="K748" s="288">
        <f>J748/G748</f>
        <v>0.68169256620373242</v>
      </c>
      <c r="L748" s="674"/>
      <c r="M748" s="676"/>
    </row>
    <row r="749" spans="1:20">
      <c r="A749" s="936" t="s">
        <v>981</v>
      </c>
      <c r="B749" s="937"/>
      <c r="C749" s="938" t="s">
        <v>981</v>
      </c>
      <c r="D749" s="285">
        <f t="shared" ref="D749:I749" si="1176">SUM(D745:D748)</f>
        <v>5997821.9000000004</v>
      </c>
      <c r="E749" s="285">
        <f t="shared" si="1176"/>
        <v>1493290.5</v>
      </c>
      <c r="F749" s="285">
        <f t="shared" si="1176"/>
        <v>512054.07999999996</v>
      </c>
      <c r="G749" s="285">
        <f t="shared" si="1176"/>
        <v>6979058.3200000003</v>
      </c>
      <c r="H749" s="285">
        <f t="shared" si="1176"/>
        <v>4964911.1219999995</v>
      </c>
      <c r="I749" s="285">
        <f t="shared" si="1176"/>
        <v>149614.022</v>
      </c>
      <c r="J749" s="285">
        <f t="shared" ref="J749" si="1177">SUM(J745:J748)</f>
        <v>5114525.1440000003</v>
      </c>
      <c r="K749" s="288">
        <f>J749/G749</f>
        <v>0.73283886012862554</v>
      </c>
      <c r="L749" s="591"/>
      <c r="M749" s="639"/>
    </row>
    <row r="750" spans="1:20">
      <c r="E750" s="672"/>
    </row>
    <row r="753" spans="4:19">
      <c r="D753" s="677"/>
      <c r="E753" s="678"/>
      <c r="F753" s="666"/>
      <c r="G753" s="665"/>
      <c r="H753" s="666"/>
      <c r="I753" s="678"/>
      <c r="J753" s="672"/>
      <c r="K753" s="672"/>
      <c r="L753" s="672"/>
      <c r="M753" s="676"/>
      <c r="P753" s="677"/>
      <c r="Q753" s="679"/>
      <c r="R753" s="666"/>
      <c r="S753" s="679"/>
    </row>
    <row r="754" spans="4:19">
      <c r="D754" s="935" t="s">
        <v>903</v>
      </c>
      <c r="E754" s="935"/>
      <c r="F754" s="935"/>
      <c r="G754" s="935"/>
      <c r="H754" s="935"/>
      <c r="I754" s="935"/>
      <c r="J754" s="680"/>
      <c r="K754" s="680"/>
      <c r="L754" s="680"/>
      <c r="M754" s="639"/>
      <c r="P754" s="935" t="s">
        <v>902</v>
      </c>
      <c r="Q754" s="935"/>
      <c r="R754" s="935"/>
      <c r="S754" s="935"/>
    </row>
  </sheetData>
  <autoFilter ref="A13:U729" xr:uid="{00000000-0009-0000-0000-000002000000}">
    <filterColumn colId="4" showButton="0"/>
    <filterColumn colId="5" showButton="0"/>
    <filterColumn colId="6" showButton="0"/>
    <filterColumn colId="7" showButton="0"/>
    <filterColumn colId="13" showButton="0"/>
    <filterColumn colId="15" showButton="0"/>
    <filterColumn colId="17" showButton="0"/>
    <filterColumn colId="19" showButton="0"/>
  </autoFilter>
  <mergeCells count="30">
    <mergeCell ref="A2:U5"/>
    <mergeCell ref="P754:S754"/>
    <mergeCell ref="D754:I754"/>
    <mergeCell ref="A736:C736"/>
    <mergeCell ref="A733:C733"/>
    <mergeCell ref="A735:C735"/>
    <mergeCell ref="A737:C737"/>
    <mergeCell ref="A738:C738"/>
    <mergeCell ref="T13:U13"/>
    <mergeCell ref="A13:A14"/>
    <mergeCell ref="B13:B14"/>
    <mergeCell ref="A739:C739"/>
    <mergeCell ref="A11:U11"/>
    <mergeCell ref="A6:C6"/>
    <mergeCell ref="Q8:R9"/>
    <mergeCell ref="R13:S13"/>
    <mergeCell ref="A749:C749"/>
    <mergeCell ref="A744:C744"/>
    <mergeCell ref="A746:C746"/>
    <mergeCell ref="A747:C747"/>
    <mergeCell ref="A748:C748"/>
    <mergeCell ref="A745:C745"/>
    <mergeCell ref="N13:O13"/>
    <mergeCell ref="P13:Q13"/>
    <mergeCell ref="A734:C734"/>
    <mergeCell ref="J13:M13"/>
    <mergeCell ref="D739:E739"/>
    <mergeCell ref="C13:C14"/>
    <mergeCell ref="D13:D14"/>
    <mergeCell ref="E13:I13"/>
  </mergeCells>
  <phoneticPr fontId="61" type="noConversion"/>
  <printOptions horizontalCentered="1"/>
  <pageMargins left="0.39370078740157483" right="0.39370078740157483" top="0.78740157480314965" bottom="0.78740157480314965" header="0" footer="0.19685039370078741"/>
  <pageSetup paperSize="9" scale="43" firstPageNumber="7" fitToHeight="0" orientation="landscape" r:id="rId1"/>
  <headerFooter>
    <oddFooter>Página &amp;P de &amp;N</oddFooter>
  </headerFooter>
  <rowBreaks count="2" manualBreakCount="2">
    <brk id="701" max="21" man="1"/>
    <brk id="751" max="21"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6321-2E2D-4A3A-9828-937A0E615068}">
  <sheetPr codeName="Planilha119">
    <tabColor rgb="FF339933"/>
    <pageSetUpPr fitToPage="1"/>
  </sheetPr>
  <dimension ref="A1:AJ21"/>
  <sheetViews>
    <sheetView view="pageBreakPreview" zoomScale="50" zoomScaleNormal="55" zoomScaleSheetLayoutView="50" workbookViewId="0">
      <selection activeCell="A15" sqref="A15:XFD20"/>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13.28515625" style="2" bestFit="1" customWidth="1"/>
    <col min="7" max="7" width="6.7109375" style="2" customWidth="1"/>
    <col min="8" max="8" width="2.42578125" style="2" customWidth="1"/>
    <col min="9" max="9" width="7.140625" style="2" bestFit="1" customWidth="1"/>
    <col min="10" max="10" width="15.42578125" style="2" customWidth="1"/>
    <col min="11" max="11" width="13.5703125" style="2" customWidth="1"/>
    <col min="12" max="12" width="12.140625" style="2" customWidth="1"/>
    <col min="13" max="13" width="12.28515625" style="2" customWidth="1"/>
    <col min="14" max="15" width="13.5703125" style="2" customWidth="1"/>
    <col min="16" max="16" width="15.140625" style="2" bestFit="1" customWidth="1"/>
    <col min="17" max="17" width="7.42578125" style="2" customWidth="1"/>
    <col min="18" max="18" width="16" style="63"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DEZ!A42</f>
        <v>1.1.3.7</v>
      </c>
      <c r="C10" s="845" t="str">
        <f>DEZ!C42</f>
        <v>Rede de água com padrão de entrada d'água diâm. 3/4", conf. espec. CESAN, incl. tubos e conexões para alimentação, distribuição, extravasor e limpeza, cons. o padrão a 25m, conf. projeto (1 utilização)</v>
      </c>
      <c r="D10" s="816" t="s">
        <v>854</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90" customFormat="1" ht="21" customHeight="1">
      <c r="A12" s="75"/>
      <c r="B12" s="107"/>
      <c r="C12" s="65" t="s">
        <v>964</v>
      </c>
      <c r="D12" s="857">
        <v>10</v>
      </c>
      <c r="E12" s="858"/>
      <c r="F12" s="859"/>
      <c r="G12" s="77"/>
      <c r="H12" s="78"/>
      <c r="I12" s="79"/>
      <c r="J12" s="80"/>
      <c r="K12" s="81"/>
      <c r="L12" s="82"/>
      <c r="M12" s="68">
        <v>1</v>
      </c>
      <c r="N12" s="110"/>
      <c r="O12" s="69"/>
      <c r="P12" s="67"/>
      <c r="Q12" s="106"/>
      <c r="R12" s="70">
        <f>D12</f>
        <v>10</v>
      </c>
      <c r="S12" s="111" t="s">
        <v>51</v>
      </c>
      <c r="T12" s="215">
        <v>8</v>
      </c>
      <c r="U12" s="92"/>
      <c r="V12" s="86"/>
      <c r="W12" s="86"/>
      <c r="X12" s="86"/>
      <c r="Y12" s="151"/>
      <c r="Z12" s="87"/>
      <c r="AA12" s="88"/>
      <c r="AB12" s="89"/>
    </row>
    <row r="13" spans="1:36" s="90" customFormat="1" ht="21" customHeight="1">
      <c r="A13" s="75"/>
      <c r="B13" s="107"/>
      <c r="C13" s="65" t="s">
        <v>1259</v>
      </c>
      <c r="D13" s="857">
        <v>30</v>
      </c>
      <c r="E13" s="858"/>
      <c r="F13" s="859"/>
      <c r="G13" s="77"/>
      <c r="H13" s="78"/>
      <c r="I13" s="79"/>
      <c r="J13" s="80"/>
      <c r="K13" s="81"/>
      <c r="L13" s="82"/>
      <c r="M13" s="83">
        <v>1</v>
      </c>
      <c r="N13" s="84"/>
      <c r="O13" s="155"/>
      <c r="P13" s="156"/>
      <c r="Q13" s="85"/>
      <c r="R13" s="85">
        <f>D13</f>
        <v>30</v>
      </c>
      <c r="S13" s="111" t="s">
        <v>51</v>
      </c>
      <c r="T13" s="215">
        <v>8</v>
      </c>
      <c r="U13" s="92"/>
      <c r="V13" s="86"/>
      <c r="W13" s="86"/>
      <c r="X13" s="86"/>
      <c r="Y13" s="151"/>
      <c r="Z13" s="87"/>
      <c r="AA13" s="88"/>
      <c r="AB13" s="89"/>
    </row>
    <row r="14" spans="1:36" s="90" customFormat="1" ht="21" customHeight="1">
      <c r="A14" s="75"/>
      <c r="B14" s="157"/>
      <c r="C14" s="76"/>
      <c r="D14" s="77"/>
      <c r="E14" s="78"/>
      <c r="F14" s="79"/>
      <c r="G14" s="77"/>
      <c r="H14" s="78"/>
      <c r="I14" s="79"/>
      <c r="J14" s="80"/>
      <c r="K14" s="81"/>
      <c r="L14" s="82"/>
      <c r="M14" s="83"/>
      <c r="N14" s="84"/>
      <c r="O14" s="84"/>
      <c r="P14" s="82"/>
      <c r="Q14" s="85"/>
      <c r="R14" s="85"/>
      <c r="S14" s="154"/>
      <c r="T14" s="215"/>
      <c r="U14" s="92"/>
      <c r="V14" s="86"/>
      <c r="W14" s="86"/>
      <c r="X14" s="86"/>
      <c r="Y14" s="151"/>
      <c r="Z14" s="87"/>
      <c r="AA14" s="88"/>
      <c r="AB14" s="89"/>
    </row>
    <row r="15" spans="1:36" s="1" customFormat="1" ht="21" customHeight="1">
      <c r="A15" s="11"/>
      <c r="B15" s="25"/>
      <c r="C15" s="20"/>
      <c r="D15" s="26"/>
      <c r="E15" s="159"/>
      <c r="F15" s="27"/>
      <c r="G15" s="26"/>
      <c r="H15" s="159"/>
      <c r="I15" s="27"/>
      <c r="J15" s="28"/>
      <c r="K15" s="49"/>
      <c r="L15" s="40"/>
      <c r="M15" s="41"/>
      <c r="N15" s="160"/>
      <c r="O15" s="160"/>
      <c r="P15" s="40"/>
      <c r="Q15" s="42"/>
      <c r="R15" s="60"/>
      <c r="S15" s="43"/>
      <c r="T15" s="215"/>
      <c r="U15" s="48"/>
      <c r="V15" s="120"/>
      <c r="W15" s="120"/>
      <c r="X15" s="120"/>
      <c r="Y15" s="142"/>
      <c r="Z15" s="15"/>
      <c r="AA15" s="17"/>
      <c r="AB15" s="44"/>
    </row>
    <row r="16" spans="1:36" ht="21" customHeight="1">
      <c r="B16" s="118"/>
      <c r="C16" s="119"/>
      <c r="D16" s="26"/>
      <c r="E16" s="159"/>
      <c r="F16" s="27"/>
      <c r="G16" s="26"/>
      <c r="H16" s="159"/>
      <c r="I16" s="27"/>
      <c r="J16" s="28"/>
      <c r="K16" s="49"/>
      <c r="L16" s="40"/>
      <c r="M16" s="41"/>
      <c r="N16" s="160"/>
      <c r="O16" s="160"/>
      <c r="P16" s="40"/>
      <c r="Q16" s="42"/>
      <c r="R16" s="60"/>
      <c r="S16" s="43"/>
      <c r="T16" s="216"/>
      <c r="U16" s="117"/>
    </row>
    <row r="17" spans="1:21" ht="39.6" customHeight="1">
      <c r="B17" s="161"/>
      <c r="C17" s="162"/>
      <c r="D17" s="806" t="s">
        <v>11</v>
      </c>
      <c r="E17" s="807"/>
      <c r="F17" s="807"/>
      <c r="G17" s="807"/>
      <c r="H17" s="807"/>
      <c r="I17" s="808"/>
      <c r="J17" s="809">
        <f>DEZ!I42</f>
        <v>70</v>
      </c>
      <c r="K17" s="810"/>
      <c r="L17" s="50" t="s">
        <v>51</v>
      </c>
      <c r="M17" s="803" t="s">
        <v>12</v>
      </c>
      <c r="N17" s="811"/>
      <c r="O17" s="811"/>
      <c r="P17" s="811"/>
      <c r="Q17" s="805"/>
      <c r="R17" s="61">
        <f>SUM(R12:R16)</f>
        <v>40</v>
      </c>
      <c r="S17" s="51" t="str">
        <f>L17</f>
        <v>m</v>
      </c>
      <c r="T17" s="22"/>
      <c r="U17" s="23"/>
    </row>
    <row r="18" spans="1:21" ht="21" customHeight="1">
      <c r="B18" s="163"/>
      <c r="C18" s="19"/>
      <c r="D18" s="817" t="s">
        <v>13</v>
      </c>
      <c r="E18" s="818"/>
      <c r="F18" s="818"/>
      <c r="G18" s="818"/>
      <c r="H18" s="818"/>
      <c r="I18" s="819"/>
      <c r="J18" s="823">
        <f>R17/J17</f>
        <v>0.5714285714285714</v>
      </c>
      <c r="K18" s="824"/>
      <c r="L18" s="827"/>
      <c r="M18" s="803" t="s">
        <v>34</v>
      </c>
      <c r="N18" s="804"/>
      <c r="O18" s="804"/>
      <c r="P18" s="804"/>
      <c r="Q18" s="805"/>
      <c r="R18" s="61">
        <f>SUM(R12:R13)</f>
        <v>40</v>
      </c>
      <c r="S18" s="52" t="str">
        <f>L17</f>
        <v>m</v>
      </c>
      <c r="T18" s="22"/>
      <c r="U18" s="23"/>
    </row>
    <row r="19" spans="1:21" ht="21" customHeight="1">
      <c r="A19" s="10" t="s">
        <v>77</v>
      </c>
      <c r="B19" s="165"/>
      <c r="C19" s="164"/>
      <c r="D19" s="820"/>
      <c r="E19" s="821"/>
      <c r="F19" s="821"/>
      <c r="G19" s="821"/>
      <c r="H19" s="821"/>
      <c r="I19" s="822"/>
      <c r="J19" s="825"/>
      <c r="K19" s="826"/>
      <c r="L19" s="828"/>
      <c r="M19" s="803" t="s">
        <v>14</v>
      </c>
      <c r="N19" s="804"/>
      <c r="O19" s="804"/>
      <c r="P19" s="804"/>
      <c r="Q19" s="805"/>
      <c r="R19" s="62">
        <f>R17-R18</f>
        <v>0</v>
      </c>
      <c r="S19" s="53" t="str">
        <f>L17</f>
        <v>m</v>
      </c>
      <c r="T19" s="54"/>
      <c r="U19" s="24"/>
    </row>
    <row r="20" spans="1:21" ht="21" customHeight="1">
      <c r="B20" s="218"/>
      <c r="C20" s="217"/>
      <c r="M20" s="803" t="s">
        <v>53</v>
      </c>
      <c r="N20" s="804"/>
      <c r="O20" s="804"/>
      <c r="P20" s="804"/>
      <c r="Q20" s="805"/>
      <c r="R20" s="62">
        <f>DEZ!E42</f>
        <v>37.909999999999997</v>
      </c>
      <c r="S20" s="53"/>
      <c r="T20" s="54"/>
      <c r="U20" s="24"/>
    </row>
    <row r="21" spans="1:21" ht="21" customHeight="1">
      <c r="B21" s="163"/>
      <c r="C21" s="219"/>
      <c r="F21" s="738">
        <f>823*5</f>
        <v>4115</v>
      </c>
      <c r="M21" s="803" t="s">
        <v>54</v>
      </c>
      <c r="N21" s="804"/>
      <c r="O21" s="804"/>
      <c r="P21" s="804"/>
      <c r="Q21" s="805"/>
      <c r="R21" s="62">
        <f>TRUNC(R20*R19,2)</f>
        <v>0</v>
      </c>
      <c r="S21" s="53" t="s">
        <v>55</v>
      </c>
      <c r="T21" s="54"/>
      <c r="U21" s="24"/>
    </row>
  </sheetData>
  <mergeCells count="36">
    <mergeCell ref="T7:U7"/>
    <mergeCell ref="B1:U4"/>
    <mergeCell ref="V4:AA4"/>
    <mergeCell ref="B5:I5"/>
    <mergeCell ref="J5:O5"/>
    <mergeCell ref="P5:U5"/>
    <mergeCell ref="T8:U8"/>
    <mergeCell ref="T9:U9"/>
    <mergeCell ref="B10:B11"/>
    <mergeCell ref="C10:C11"/>
    <mergeCell ref="D10:F11"/>
    <mergeCell ref="G10:I11"/>
    <mergeCell ref="J10:J11"/>
    <mergeCell ref="K10:K11"/>
    <mergeCell ref="L10:L11"/>
    <mergeCell ref="M10:M11"/>
    <mergeCell ref="U10:U11"/>
    <mergeCell ref="N10:N11"/>
    <mergeCell ref="O10:O11"/>
    <mergeCell ref="P10:P11"/>
    <mergeCell ref="Q10:Q11"/>
    <mergeCell ref="R10:R11"/>
    <mergeCell ref="T10:T11"/>
    <mergeCell ref="S10:S11"/>
    <mergeCell ref="M20:Q20"/>
    <mergeCell ref="M21:Q21"/>
    <mergeCell ref="D12:F12"/>
    <mergeCell ref="D13:F13"/>
    <mergeCell ref="D17:I17"/>
    <mergeCell ref="J17:K17"/>
    <mergeCell ref="M17:Q17"/>
    <mergeCell ref="D18:I19"/>
    <mergeCell ref="J18:K19"/>
    <mergeCell ref="L18:L19"/>
    <mergeCell ref="M18:Q18"/>
    <mergeCell ref="M19:Q19"/>
  </mergeCells>
  <conditionalFormatting sqref="J18:K21">
    <cfRule type="cellIs" dxfId="257" priority="1" operator="greaterThanOrEqual">
      <formula>1</formula>
    </cfRule>
    <cfRule type="cellIs" dxfId="256" priority="2" operator="greaterThan">
      <formula>100%</formula>
    </cfRule>
  </conditionalFormatting>
  <pageMargins left="0.51181102362204722" right="0.51181102362204722" top="0.78740157480314965" bottom="0.78740157480314965" header="0.31496062992125984" footer="0.31496062992125984"/>
  <pageSetup paperSize="9" scale="43" fitToHeight="0" orientation="landscape" r:id="rId1"/>
  <headerFooter>
    <oddFooter>Página &amp;P de &amp;N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0794C-59B8-4940-92E0-78AC47BEE222}">
  <sheetPr>
    <tabColor rgb="FF339933"/>
    <pageSetUpPr fitToPage="1"/>
  </sheetPr>
  <dimension ref="A2:X770"/>
  <sheetViews>
    <sheetView showGridLines="0" tabSelected="1" view="pageBreakPreview" zoomScale="85" zoomScaleNormal="60" zoomScaleSheetLayoutView="85" workbookViewId="0">
      <pane xSplit="3" ySplit="14" topLeftCell="D15" activePane="bottomRight" state="frozen"/>
      <selection pane="topRight" activeCell="D1" sqref="D1"/>
      <selection pane="bottomLeft" activeCell="A15" sqref="A15"/>
      <selection pane="bottomRight" activeCell="C10" sqref="C10"/>
    </sheetView>
  </sheetViews>
  <sheetFormatPr defaultColWidth="9.140625" defaultRowHeight="12.75"/>
  <cols>
    <col min="1" max="1" width="12.42578125" style="10" customWidth="1"/>
    <col min="2" max="2" width="9.42578125" style="669" hidden="1" customWidth="1"/>
    <col min="3" max="3" width="63.5703125" style="670" customWidth="1"/>
    <col min="4" max="4" width="21.85546875" style="10" customWidth="1"/>
    <col min="5" max="5" width="20.140625" style="640" customWidth="1"/>
    <col min="6" max="6" width="27.28515625" style="640" bestFit="1" customWidth="1"/>
    <col min="7" max="7" width="27.28515625" style="640" customWidth="1"/>
    <col min="8" max="8" width="23.42578125" style="640" hidden="1" customWidth="1"/>
    <col min="9" max="9" width="23.7109375" style="640" hidden="1" customWidth="1"/>
    <col min="10" max="10" width="22.140625" style="640" customWidth="1"/>
    <col min="11" max="11" width="20.42578125" style="640" bestFit="1" customWidth="1"/>
    <col min="12" max="12" width="22" style="640" hidden="1" customWidth="1"/>
    <col min="13" max="13" width="22" style="640" customWidth="1"/>
    <col min="14" max="14" width="23.28515625" style="640" hidden="1" customWidth="1"/>
    <col min="15" max="15" width="21.85546875" style="645" hidden="1" customWidth="1"/>
    <col min="16" max="16" width="18.140625" style="671" customWidth="1"/>
    <col min="17" max="17" width="22.28515625" style="645" bestFit="1" customWidth="1"/>
    <col min="18" max="18" width="14.85546875" style="801" bestFit="1" customWidth="1"/>
    <col min="19" max="19" width="22" style="802" bestFit="1" customWidth="1"/>
    <col min="20" max="20" width="12.5703125" style="640" bestFit="1" customWidth="1"/>
    <col min="21" max="21" width="21.85546875" style="645" bestFit="1" customWidth="1"/>
    <col min="22" max="22" width="22" style="640" bestFit="1" customWidth="1"/>
    <col min="23" max="23" width="22.5703125" style="645" bestFit="1" customWidth="1"/>
    <col min="24" max="24" width="29.85546875" style="640" customWidth="1"/>
    <col min="25" max="16384" width="9.140625" style="640"/>
  </cols>
  <sheetData>
    <row r="2" spans="1:24" ht="12.75" customHeight="1">
      <c r="A2" s="890" t="s">
        <v>64</v>
      </c>
      <c r="B2" s="891"/>
      <c r="C2" s="891"/>
      <c r="D2" s="891"/>
      <c r="E2" s="891"/>
      <c r="F2" s="891"/>
      <c r="G2" s="891"/>
      <c r="H2" s="891"/>
      <c r="I2" s="891"/>
      <c r="J2" s="891"/>
      <c r="K2" s="891"/>
      <c r="L2" s="891"/>
      <c r="M2" s="891"/>
      <c r="N2" s="891"/>
      <c r="O2" s="891"/>
      <c r="P2" s="891"/>
      <c r="Q2" s="891"/>
      <c r="R2" s="891"/>
      <c r="S2" s="891"/>
      <c r="T2" s="891"/>
      <c r="U2" s="891"/>
      <c r="V2" s="891"/>
      <c r="W2" s="891"/>
      <c r="X2" s="640" t="s">
        <v>909</v>
      </c>
    </row>
    <row r="3" spans="1:24">
      <c r="A3" s="890"/>
      <c r="B3" s="891"/>
      <c r="C3" s="891"/>
      <c r="D3" s="891"/>
      <c r="E3" s="891"/>
      <c r="F3" s="891"/>
      <c r="G3" s="891"/>
      <c r="H3" s="891"/>
      <c r="I3" s="891"/>
      <c r="J3" s="891"/>
      <c r="K3" s="891"/>
      <c r="L3" s="891"/>
      <c r="M3" s="891"/>
      <c r="N3" s="891"/>
      <c r="O3" s="891"/>
      <c r="P3" s="891"/>
      <c r="Q3" s="891"/>
      <c r="R3" s="891"/>
      <c r="S3" s="891"/>
      <c r="T3" s="891"/>
      <c r="U3" s="891"/>
      <c r="V3" s="891"/>
      <c r="W3" s="891"/>
      <c r="X3" s="640" t="s">
        <v>910</v>
      </c>
    </row>
    <row r="4" spans="1:24">
      <c r="A4" s="890"/>
      <c r="B4" s="891"/>
      <c r="C4" s="891"/>
      <c r="D4" s="891"/>
      <c r="E4" s="891"/>
      <c r="F4" s="891"/>
      <c r="G4" s="891"/>
      <c r="H4" s="891"/>
      <c r="I4" s="891"/>
      <c r="J4" s="891"/>
      <c r="K4" s="891"/>
      <c r="L4" s="891"/>
      <c r="M4" s="891"/>
      <c r="N4" s="891"/>
      <c r="O4" s="891"/>
      <c r="P4" s="891"/>
      <c r="Q4" s="891"/>
      <c r="R4" s="891"/>
      <c r="S4" s="891"/>
      <c r="T4" s="891"/>
      <c r="U4" s="891"/>
      <c r="V4" s="891"/>
      <c r="W4" s="891"/>
      <c r="X4" s="640" t="s">
        <v>911</v>
      </c>
    </row>
    <row r="5" spans="1:24">
      <c r="A5" s="890"/>
      <c r="B5" s="891"/>
      <c r="C5" s="891"/>
      <c r="D5" s="891"/>
      <c r="E5" s="891"/>
      <c r="F5" s="891"/>
      <c r="G5" s="891"/>
      <c r="H5" s="891"/>
      <c r="I5" s="891"/>
      <c r="J5" s="891"/>
      <c r="K5" s="891"/>
      <c r="L5" s="891"/>
      <c r="M5" s="891"/>
      <c r="N5" s="891"/>
      <c r="O5" s="891"/>
      <c r="P5" s="891"/>
      <c r="Q5" s="891"/>
      <c r="R5" s="891"/>
      <c r="S5" s="891"/>
      <c r="T5" s="891"/>
      <c r="U5" s="891"/>
      <c r="V5" s="891"/>
      <c r="W5" s="891"/>
      <c r="X5" s="640" t="s">
        <v>912</v>
      </c>
    </row>
    <row r="6" spans="1:24">
      <c r="A6" s="943" t="s">
        <v>5</v>
      </c>
      <c r="B6" s="944"/>
      <c r="C6" s="944"/>
      <c r="D6" s="279" t="s">
        <v>6</v>
      </c>
      <c r="E6" s="279"/>
      <c r="F6" s="280"/>
      <c r="G6" s="280"/>
      <c r="H6" s="280"/>
      <c r="I6" s="280"/>
      <c r="J6" s="280"/>
      <c r="K6" s="280"/>
      <c r="L6" s="280"/>
      <c r="M6" s="280"/>
      <c r="N6" s="280"/>
      <c r="O6" s="615"/>
      <c r="P6" s="280"/>
      <c r="Q6" s="615"/>
      <c r="R6" s="615"/>
      <c r="S6" s="615"/>
      <c r="T6" s="280"/>
      <c r="U6" s="615"/>
      <c r="V6" s="280"/>
      <c r="W6" s="633"/>
      <c r="X6" s="640" t="s">
        <v>913</v>
      </c>
    </row>
    <row r="7" spans="1:24">
      <c r="A7" s="641" t="s">
        <v>4</v>
      </c>
      <c r="B7" s="642"/>
      <c r="C7" s="268" t="s">
        <v>859</v>
      </c>
      <c r="D7" s="643" t="s">
        <v>44</v>
      </c>
      <c r="E7" s="148"/>
      <c r="F7" s="277" t="s">
        <v>48</v>
      </c>
      <c r="G7" s="277"/>
      <c r="H7" s="277"/>
      <c r="I7" s="277"/>
      <c r="J7" s="148"/>
      <c r="K7" s="148"/>
      <c r="L7" s="148"/>
      <c r="M7" s="148"/>
      <c r="N7" s="148"/>
      <c r="O7" s="617"/>
      <c r="P7" s="148"/>
      <c r="Q7" s="628"/>
      <c r="R7" s="789"/>
      <c r="S7" s="636"/>
      <c r="U7" s="628"/>
    </row>
    <row r="8" spans="1:24">
      <c r="A8" s="646"/>
      <c r="B8" s="647"/>
      <c r="C8" s="269"/>
      <c r="D8" s="646" t="s">
        <v>45</v>
      </c>
      <c r="E8" s="148"/>
      <c r="F8" s="214" t="s">
        <v>852</v>
      </c>
      <c r="G8" s="214"/>
      <c r="H8" s="214"/>
      <c r="I8" s="214"/>
      <c r="J8" s="148"/>
      <c r="K8" s="148"/>
      <c r="L8" s="148"/>
      <c r="M8" s="148"/>
      <c r="N8" s="148"/>
      <c r="O8" s="617"/>
      <c r="P8" s="148"/>
      <c r="Q8" s="628"/>
      <c r="R8" s="789"/>
      <c r="S8" s="955"/>
      <c r="T8" s="955"/>
      <c r="U8" s="628"/>
    </row>
    <row r="9" spans="1:24">
      <c r="A9" s="646" t="s">
        <v>7</v>
      </c>
      <c r="B9" s="647"/>
      <c r="C9" s="270">
        <v>20</v>
      </c>
      <c r="D9" s="648" t="s">
        <v>46</v>
      </c>
      <c r="E9" s="149"/>
      <c r="F9" s="150">
        <v>44349</v>
      </c>
      <c r="G9" s="150"/>
      <c r="H9" s="150"/>
      <c r="I9" s="150"/>
      <c r="J9" s="149"/>
      <c r="K9" s="149"/>
      <c r="L9" s="149"/>
      <c r="M9" s="149"/>
      <c r="N9" s="149"/>
      <c r="O9" s="636"/>
      <c r="P9" s="148"/>
      <c r="Q9" s="628"/>
      <c r="R9" s="789"/>
      <c r="S9" s="955"/>
      <c r="T9" s="955"/>
      <c r="U9" s="628"/>
    </row>
    <row r="10" spans="1:24">
      <c r="A10" s="646" t="s">
        <v>8</v>
      </c>
      <c r="B10" s="647"/>
      <c r="C10" s="609" t="s">
        <v>1491</v>
      </c>
      <c r="D10" s="648" t="s">
        <v>47</v>
      </c>
      <c r="E10" s="149"/>
      <c r="F10" s="150">
        <v>44473</v>
      </c>
      <c r="G10" s="150"/>
      <c r="H10" s="150"/>
      <c r="I10" s="150"/>
      <c r="J10" s="149"/>
      <c r="K10" s="149"/>
      <c r="L10" s="149"/>
      <c r="M10" s="149"/>
      <c r="N10" s="149"/>
      <c r="O10" s="636"/>
      <c r="P10" s="148"/>
      <c r="Q10" s="628"/>
      <c r="R10" s="789"/>
      <c r="S10" s="636"/>
      <c r="T10" s="748"/>
      <c r="U10" s="628"/>
    </row>
    <row r="11" spans="1:24" ht="18">
      <c r="A11" s="945" t="s">
        <v>15</v>
      </c>
      <c r="B11" s="946"/>
      <c r="C11" s="946"/>
      <c r="D11" s="946"/>
      <c r="E11" s="946"/>
      <c r="F11" s="946"/>
      <c r="G11" s="946"/>
      <c r="H11" s="946"/>
      <c r="I11" s="946"/>
      <c r="J11" s="946"/>
      <c r="K11" s="946"/>
      <c r="L11" s="946"/>
      <c r="M11" s="946"/>
      <c r="N11" s="946"/>
      <c r="O11" s="946"/>
      <c r="P11" s="946"/>
      <c r="Q11" s="946"/>
      <c r="R11" s="946"/>
      <c r="S11" s="946"/>
      <c r="T11" s="946"/>
      <c r="U11" s="946"/>
      <c r="V11" s="946"/>
      <c r="W11" s="947"/>
    </row>
    <row r="12" spans="1:24">
      <c r="A12" s="649"/>
      <c r="B12" s="650"/>
      <c r="C12" s="650"/>
      <c r="D12" s="650"/>
      <c r="E12" s="650"/>
      <c r="F12" s="650"/>
      <c r="G12" s="650"/>
      <c r="H12" s="650"/>
      <c r="I12" s="650"/>
      <c r="J12" s="650"/>
      <c r="K12" s="650"/>
      <c r="L12" s="650"/>
      <c r="M12" s="650"/>
      <c r="N12" s="650"/>
      <c r="O12" s="651"/>
      <c r="P12" s="650"/>
      <c r="Q12" s="651"/>
      <c r="R12" s="790"/>
      <c r="S12" s="790"/>
      <c r="T12" s="650"/>
      <c r="U12" s="651"/>
      <c r="V12" s="650"/>
      <c r="W12" s="652"/>
    </row>
    <row r="13" spans="1:24" ht="31.5" customHeight="1">
      <c r="A13" s="897" t="s">
        <v>30</v>
      </c>
      <c r="B13" s="899" t="s">
        <v>2</v>
      </c>
      <c r="C13" s="948" t="s">
        <v>16</v>
      </c>
      <c r="D13" s="903" t="s">
        <v>10</v>
      </c>
      <c r="E13" s="905" t="s">
        <v>1250</v>
      </c>
      <c r="F13" s="906"/>
      <c r="G13" s="906"/>
      <c r="H13" s="906"/>
      <c r="I13" s="906"/>
      <c r="J13" s="907"/>
      <c r="K13" s="951" t="s">
        <v>1043</v>
      </c>
      <c r="L13" s="952"/>
      <c r="M13" s="952"/>
      <c r="N13" s="952"/>
      <c r="O13" s="953"/>
      <c r="P13" s="905" t="s">
        <v>31</v>
      </c>
      <c r="Q13" s="907"/>
      <c r="R13" s="911">
        <v>20</v>
      </c>
      <c r="S13" s="912"/>
      <c r="T13" s="905" t="s">
        <v>36</v>
      </c>
      <c r="U13" s="907"/>
      <c r="V13" s="915" t="s">
        <v>63</v>
      </c>
      <c r="W13" s="916"/>
    </row>
    <row r="14" spans="1:24" ht="33.75" customHeight="1">
      <c r="A14" s="898"/>
      <c r="B14" s="900"/>
      <c r="C14" s="949"/>
      <c r="D14" s="950"/>
      <c r="E14" s="3" t="s">
        <v>18</v>
      </c>
      <c r="F14" s="721" t="s">
        <v>1248</v>
      </c>
      <c r="G14" s="721" t="s">
        <v>1525</v>
      </c>
      <c r="H14" s="721" t="s">
        <v>1527</v>
      </c>
      <c r="I14" s="4" t="s">
        <v>1247</v>
      </c>
      <c r="J14" s="5" t="s">
        <v>1249</v>
      </c>
      <c r="K14" s="4" t="s">
        <v>1050</v>
      </c>
      <c r="L14" s="4" t="s">
        <v>1051</v>
      </c>
      <c r="M14" s="721" t="s">
        <v>1526</v>
      </c>
      <c r="N14" s="4" t="s">
        <v>1052</v>
      </c>
      <c r="O14" s="714" t="s">
        <v>1053</v>
      </c>
      <c r="P14" s="45" t="s">
        <v>9</v>
      </c>
      <c r="Q14" s="629" t="s">
        <v>3</v>
      </c>
      <c r="R14" s="45" t="s">
        <v>9</v>
      </c>
      <c r="S14" s="629" t="s">
        <v>3</v>
      </c>
      <c r="T14" s="3" t="s">
        <v>9</v>
      </c>
      <c r="U14" s="629" t="s">
        <v>3</v>
      </c>
      <c r="V14" s="227" t="s">
        <v>9</v>
      </c>
      <c r="W14" s="634" t="s">
        <v>3</v>
      </c>
    </row>
    <row r="15" spans="1:24" s="654" customFormat="1">
      <c r="A15" s="202">
        <v>1</v>
      </c>
      <c r="B15" s="653" t="s">
        <v>848</v>
      </c>
      <c r="D15" s="204"/>
      <c r="E15" s="205"/>
      <c r="F15" s="206"/>
      <c r="G15" s="206"/>
      <c r="H15" s="206"/>
      <c r="I15" s="206"/>
      <c r="J15" s="207"/>
      <c r="K15" s="207">
        <f>SUBTOTAL(9,K16:K49)</f>
        <v>232688.11449999997</v>
      </c>
      <c r="L15" s="207"/>
      <c r="M15" s="207"/>
      <c r="N15" s="207"/>
      <c r="O15" s="619"/>
      <c r="P15" s="208"/>
      <c r="Q15" s="619">
        <f>SUBTOTAL(9,Q16:Q49)</f>
        <v>237371.88999999998</v>
      </c>
      <c r="R15" s="741"/>
      <c r="S15" s="742">
        <f>SUBTOTAL(9,S16:S49)</f>
        <v>1051342.6572054401</v>
      </c>
      <c r="T15" s="207"/>
      <c r="U15" s="619">
        <f>SUBTOTAL(9,U16:U49)</f>
        <v>1282957.3319999999</v>
      </c>
      <c r="V15" s="207">
        <f>F15-T15</f>
        <v>0</v>
      </c>
      <c r="W15" s="619">
        <f>SUBTOTAL(9,W16:W49)</f>
        <v>35686.324000000001</v>
      </c>
    </row>
    <row r="16" spans="1:24" s="213" customFormat="1">
      <c r="A16" s="210" t="s">
        <v>19</v>
      </c>
      <c r="B16" s="211"/>
      <c r="C16" s="655" t="s">
        <v>65</v>
      </c>
      <c r="D16" s="197"/>
      <c r="E16" s="198"/>
      <c r="F16" s="199"/>
      <c r="G16" s="199"/>
      <c r="H16" s="199"/>
      <c r="I16" s="199"/>
      <c r="J16" s="200"/>
      <c r="K16" s="200">
        <f>SUBTOTAL(9,K17:K42)</f>
        <v>160167.63449999999</v>
      </c>
      <c r="L16" s="200"/>
      <c r="M16" s="200"/>
      <c r="N16" s="200"/>
      <c r="O16" s="620"/>
      <c r="P16" s="201"/>
      <c r="Q16" s="620">
        <f>SUBTOTAL(9,Q17:Q42)</f>
        <v>204737.68</v>
      </c>
      <c r="R16" s="743"/>
      <c r="S16" s="744">
        <f>SUBTOTAL(9,S17:S42)</f>
        <v>909913.46000000008</v>
      </c>
      <c r="T16" s="200"/>
      <c r="U16" s="620">
        <f>SUBTOTAL(9,U17:U42)</f>
        <v>1108894.142</v>
      </c>
      <c r="V16" s="200">
        <f t="shared" ref="V16:V31" si="0">F16-T16</f>
        <v>0</v>
      </c>
      <c r="W16" s="620">
        <f>SUBTOTAL(9,W17:W42)</f>
        <v>5757</v>
      </c>
    </row>
    <row r="17" spans="1:23" s="236" customFormat="1">
      <c r="A17" s="229" t="s">
        <v>40</v>
      </c>
      <c r="B17" s="230"/>
      <c r="C17" s="656" t="s">
        <v>61</v>
      </c>
      <c r="D17" s="231"/>
      <c r="E17" s="232"/>
      <c r="F17" s="233"/>
      <c r="G17" s="233"/>
      <c r="H17" s="233"/>
      <c r="I17" s="233"/>
      <c r="J17" s="234"/>
      <c r="K17" s="234">
        <f>SUBTOTAL(9,K18:K19)</f>
        <v>27297.05</v>
      </c>
      <c r="L17" s="234"/>
      <c r="M17" s="234"/>
      <c r="N17" s="234"/>
      <c r="O17" s="621"/>
      <c r="P17" s="235"/>
      <c r="Q17" s="621">
        <f>SUBTOTAL(9,Q18:Q19)</f>
        <v>27297.05</v>
      </c>
      <c r="R17" s="743"/>
      <c r="S17" s="744">
        <f>SUBTOTAL(9,S18:S21)</f>
        <v>888174.02</v>
      </c>
      <c r="T17" s="234"/>
      <c r="U17" s="621">
        <f>SUBTOTAL(9,U18:U19)</f>
        <v>27297.05</v>
      </c>
      <c r="V17" s="234">
        <f t="shared" si="0"/>
        <v>0</v>
      </c>
      <c r="W17" s="621">
        <f>SUBTOTAL(9,W18:W19)</f>
        <v>0</v>
      </c>
    </row>
    <row r="18" spans="1:23" ht="25.5">
      <c r="A18" s="190" t="s">
        <v>66</v>
      </c>
      <c r="B18" s="191" t="s">
        <v>68</v>
      </c>
      <c r="C18" s="657" t="s">
        <v>70</v>
      </c>
      <c r="D18" s="192" t="s">
        <v>72</v>
      </c>
      <c r="E18" s="193">
        <v>20807.46</v>
      </c>
      <c r="F18" s="194">
        <v>1</v>
      </c>
      <c r="G18" s="194"/>
      <c r="H18" s="194"/>
      <c r="I18" s="194"/>
      <c r="J18" s="193">
        <f>F18+H18-I18</f>
        <v>1</v>
      </c>
      <c r="K18" s="193">
        <f>F18*E18</f>
        <v>20807.46</v>
      </c>
      <c r="L18" s="193"/>
      <c r="M18" s="193"/>
      <c r="N18" s="193"/>
      <c r="O18" s="622">
        <f>J18*E18</f>
        <v>20807.46</v>
      </c>
      <c r="P18" s="195">
        <v>1</v>
      </c>
      <c r="Q18" s="622">
        <f>TRUNC(P18*E18,2)</f>
        <v>20807.46</v>
      </c>
      <c r="R18" s="745"/>
      <c r="S18" s="746">
        <f t="shared" ref="S18:S19" si="1">U18-Q18</f>
        <v>0</v>
      </c>
      <c r="T18" s="194">
        <f>R18+P18</f>
        <v>1</v>
      </c>
      <c r="U18" s="630">
        <f>TRUNC(T18*E18,2)</f>
        <v>20807.46</v>
      </c>
      <c r="V18" s="194">
        <f t="shared" si="0"/>
        <v>0</v>
      </c>
      <c r="W18" s="630">
        <v>0</v>
      </c>
    </row>
    <row r="19" spans="1:23" ht="25.5">
      <c r="A19" s="190" t="s">
        <v>67</v>
      </c>
      <c r="B19" s="191" t="s">
        <v>69</v>
      </c>
      <c r="C19" s="657" t="s">
        <v>71</v>
      </c>
      <c r="D19" s="192" t="s">
        <v>72</v>
      </c>
      <c r="E19" s="193">
        <v>6489.59</v>
      </c>
      <c r="F19" s="194">
        <v>1</v>
      </c>
      <c r="G19" s="194"/>
      <c r="H19" s="194"/>
      <c r="I19" s="194"/>
      <c r="J19" s="193">
        <f>F19+H19-I19</f>
        <v>1</v>
      </c>
      <c r="K19" s="193">
        <f>F19*E19</f>
        <v>6489.59</v>
      </c>
      <c r="L19" s="193"/>
      <c r="M19" s="193"/>
      <c r="N19" s="193"/>
      <c r="O19" s="622">
        <f>J19*E19</f>
        <v>6489.59</v>
      </c>
      <c r="P19" s="194">
        <v>1</v>
      </c>
      <c r="Q19" s="622">
        <f t="shared" ref="Q19" si="2">TRUNC(P19*E19,2)</f>
        <v>6489.59</v>
      </c>
      <c r="R19" s="745">
        <v>0</v>
      </c>
      <c r="S19" s="746">
        <f t="shared" si="1"/>
        <v>0</v>
      </c>
      <c r="T19" s="194">
        <f>R19+P19</f>
        <v>1</v>
      </c>
      <c r="U19" s="630">
        <f t="shared" ref="U19" si="3">TRUNC(T19*E19,2)</f>
        <v>6489.59</v>
      </c>
      <c r="V19" s="194">
        <f>J19-T19</f>
        <v>0</v>
      </c>
      <c r="W19" s="630">
        <f t="shared" ref="W19" si="4">V19*E19</f>
        <v>0</v>
      </c>
    </row>
    <row r="20" spans="1:23" s="765" customFormat="1" ht="37.5" customHeight="1">
      <c r="A20" s="758" t="s">
        <v>1493</v>
      </c>
      <c r="B20" s="759" t="s">
        <v>1494</v>
      </c>
      <c r="C20" s="760" t="s">
        <v>1495</v>
      </c>
      <c r="D20" s="761" t="s">
        <v>1496</v>
      </c>
      <c r="E20" s="757">
        <v>444872.34</v>
      </c>
      <c r="F20" s="762">
        <v>0</v>
      </c>
      <c r="G20" s="762">
        <v>1</v>
      </c>
      <c r="H20" s="762">
        <v>0</v>
      </c>
      <c r="I20" s="762">
        <v>0</v>
      </c>
      <c r="J20" s="757">
        <f>F20+G20-I20</f>
        <v>1</v>
      </c>
      <c r="K20" s="757">
        <f t="shared" ref="K20:K21" si="5">F20*E20</f>
        <v>0</v>
      </c>
      <c r="L20" s="757"/>
      <c r="M20" s="757">
        <f>G20*E20</f>
        <v>444872.34</v>
      </c>
      <c r="N20" s="757"/>
      <c r="O20" s="763">
        <f t="shared" ref="O20:O21" si="6">J20*E20</f>
        <v>444872.34</v>
      </c>
      <c r="P20" s="762"/>
      <c r="Q20" s="763">
        <f t="shared" ref="Q20:Q21" si="7">TRUNC(P20*E20,2)</f>
        <v>0</v>
      </c>
      <c r="R20" s="787">
        <v>1</v>
      </c>
      <c r="S20" s="788">
        <f>R20*E20</f>
        <v>444872.34</v>
      </c>
      <c r="T20" s="762">
        <f t="shared" ref="T20:T21" si="8">R20+P20</f>
        <v>1</v>
      </c>
      <c r="U20" s="764">
        <f t="shared" ref="U20:U21" si="9">TRUNC(T20*E20,2)</f>
        <v>444872.34</v>
      </c>
      <c r="V20" s="762">
        <f t="shared" ref="V20:V21" si="10">J20-T20</f>
        <v>0</v>
      </c>
      <c r="W20" s="764">
        <f t="shared" ref="W20:W21" si="11">V20*E20</f>
        <v>0</v>
      </c>
    </row>
    <row r="21" spans="1:23" s="765" customFormat="1" ht="37.5" customHeight="1">
      <c r="A21" s="758" t="s">
        <v>1096</v>
      </c>
      <c r="B21" s="759" t="s">
        <v>1497</v>
      </c>
      <c r="C21" s="760" t="s">
        <v>1498</v>
      </c>
      <c r="D21" s="761" t="s">
        <v>52</v>
      </c>
      <c r="E21" s="757">
        <v>221650.84</v>
      </c>
      <c r="F21" s="762">
        <v>0</v>
      </c>
      <c r="G21" s="762">
        <v>2</v>
      </c>
      <c r="H21" s="762">
        <v>0</v>
      </c>
      <c r="I21" s="762">
        <v>0</v>
      </c>
      <c r="J21" s="757">
        <f>F21+G21-I21</f>
        <v>2</v>
      </c>
      <c r="K21" s="757">
        <f t="shared" si="5"/>
        <v>0</v>
      </c>
      <c r="L21" s="757"/>
      <c r="M21" s="757">
        <f>G21*E21</f>
        <v>443301.68</v>
      </c>
      <c r="N21" s="757"/>
      <c r="O21" s="763">
        <f t="shared" si="6"/>
        <v>443301.68</v>
      </c>
      <c r="P21" s="762"/>
      <c r="Q21" s="763">
        <f t="shared" si="7"/>
        <v>0</v>
      </c>
      <c r="R21" s="787">
        <v>2</v>
      </c>
      <c r="S21" s="788">
        <f>R21*E21</f>
        <v>443301.68</v>
      </c>
      <c r="T21" s="762">
        <f t="shared" si="8"/>
        <v>2</v>
      </c>
      <c r="U21" s="764">
        <f t="shared" si="9"/>
        <v>443301.68</v>
      </c>
      <c r="V21" s="762">
        <f t="shared" si="10"/>
        <v>0</v>
      </c>
      <c r="W21" s="764">
        <f t="shared" si="11"/>
        <v>0</v>
      </c>
    </row>
    <row r="22" spans="1:23" s="131" customFormat="1">
      <c r="A22" s="137" t="s">
        <v>41</v>
      </c>
      <c r="B22" s="133"/>
      <c r="C22" s="658" t="s">
        <v>73</v>
      </c>
      <c r="D22" s="126"/>
      <c r="E22" s="127"/>
      <c r="F22" s="128"/>
      <c r="G22" s="128"/>
      <c r="H22" s="128"/>
      <c r="I22" s="128"/>
      <c r="J22" s="129"/>
      <c r="K22" s="129">
        <f>SUBTOTAL(9,K23:K34)</f>
        <v>61975.522000000004</v>
      </c>
      <c r="L22" s="129"/>
      <c r="M22" s="129"/>
      <c r="N22" s="129"/>
      <c r="O22" s="624"/>
      <c r="P22" s="130"/>
      <c r="Q22" s="624">
        <f>SUBTOTAL(9,Q23:Q31)</f>
        <v>61975.519999999997</v>
      </c>
      <c r="R22" s="743"/>
      <c r="S22" s="744">
        <f>SUBTOTAL(9,S23:S34)</f>
        <v>0</v>
      </c>
      <c r="T22" s="129"/>
      <c r="U22" s="624">
        <f>SUBTOTAL(9,U23:U34)</f>
        <v>85214.301999999996</v>
      </c>
      <c r="V22" s="129">
        <f t="shared" si="0"/>
        <v>0</v>
      </c>
      <c r="W22" s="624">
        <f>SUBTOTAL(9,W23:W31)</f>
        <v>0</v>
      </c>
    </row>
    <row r="23" spans="1:23" ht="51">
      <c r="A23" s="190" t="s">
        <v>74</v>
      </c>
      <c r="B23" s="191">
        <v>20350</v>
      </c>
      <c r="C23" s="657" t="s">
        <v>866</v>
      </c>
      <c r="D23" s="192" t="s">
        <v>51</v>
      </c>
      <c r="E23" s="193">
        <v>138.65</v>
      </c>
      <c r="F23" s="194">
        <v>140.08000000000001</v>
      </c>
      <c r="G23" s="194"/>
      <c r="H23" s="194"/>
      <c r="I23" s="194"/>
      <c r="J23" s="193">
        <f>F23+H23-I23</f>
        <v>140.08000000000001</v>
      </c>
      <c r="K23" s="193">
        <f>F23*E23</f>
        <v>19422.092000000004</v>
      </c>
      <c r="L23" s="193"/>
      <c r="M23" s="193"/>
      <c r="N23" s="193"/>
      <c r="O23" s="622">
        <f>J23*E23</f>
        <v>19422.092000000004</v>
      </c>
      <c r="P23" s="194">
        <v>140.08000000000001</v>
      </c>
      <c r="Q23" s="622">
        <f t="shared" ref="Q23" si="12">TRUNC(P23*E23,2)</f>
        <v>19422.09</v>
      </c>
      <c r="R23" s="745">
        <v>0</v>
      </c>
      <c r="S23" s="746">
        <v>0</v>
      </c>
      <c r="T23" s="194">
        <f>R23+P23</f>
        <v>140.08000000000001</v>
      </c>
      <c r="U23" s="630">
        <f>T23*E23</f>
        <v>19422.092000000004</v>
      </c>
      <c r="V23" s="194">
        <f t="shared" si="0"/>
        <v>0</v>
      </c>
      <c r="W23" s="630">
        <f t="shared" ref="W23:W28" si="13">V23*E23</f>
        <v>0</v>
      </c>
    </row>
    <row r="24" spans="1:23" ht="51">
      <c r="A24" s="190" t="s">
        <v>75</v>
      </c>
      <c r="B24" s="191">
        <v>20343</v>
      </c>
      <c r="C24" s="657" t="s">
        <v>84</v>
      </c>
      <c r="D24" s="192" t="s">
        <v>52</v>
      </c>
      <c r="E24" s="193">
        <v>783.92</v>
      </c>
      <c r="F24" s="194">
        <v>10</v>
      </c>
      <c r="G24" s="194"/>
      <c r="H24" s="194"/>
      <c r="I24" s="194"/>
      <c r="J24" s="193">
        <f t="shared" ref="J24:J31" si="14">F24+H24-I24</f>
        <v>10</v>
      </c>
      <c r="K24" s="193">
        <f t="shared" ref="K24:K31" si="15">F24*E24</f>
        <v>7839.2</v>
      </c>
      <c r="L24" s="193"/>
      <c r="M24" s="193"/>
      <c r="N24" s="193"/>
      <c r="O24" s="622">
        <f>J24*E24</f>
        <v>7839.2</v>
      </c>
      <c r="P24" s="194">
        <f>'1.1.2.2'!R29</f>
        <v>10</v>
      </c>
      <c r="Q24" s="622">
        <f>TRUNC(P24*E24,2)</f>
        <v>7839.2</v>
      </c>
      <c r="R24" s="745">
        <f>'1.1.2.2'!R30</f>
        <v>0</v>
      </c>
      <c r="S24" s="746">
        <f>U24-Q24</f>
        <v>0</v>
      </c>
      <c r="T24" s="194">
        <f t="shared" ref="T24:T31" si="16">R24+P24</f>
        <v>10</v>
      </c>
      <c r="U24" s="630">
        <f t="shared" ref="U24:U31" si="17">T24*E24</f>
        <v>7839.2</v>
      </c>
      <c r="V24" s="194">
        <f t="shared" si="0"/>
        <v>0</v>
      </c>
      <c r="W24" s="630">
        <f>V24*E24</f>
        <v>0</v>
      </c>
    </row>
    <row r="25" spans="1:23" ht="63.75" customHeight="1">
      <c r="A25" s="190" t="s">
        <v>76</v>
      </c>
      <c r="B25" s="191">
        <v>20353</v>
      </c>
      <c r="C25" s="657" t="s">
        <v>97</v>
      </c>
      <c r="D25" s="192" t="s">
        <v>85</v>
      </c>
      <c r="E25" s="193">
        <v>823.11</v>
      </c>
      <c r="F25" s="194">
        <v>10</v>
      </c>
      <c r="G25" s="194"/>
      <c r="H25" s="194"/>
      <c r="I25" s="194"/>
      <c r="J25" s="193">
        <f t="shared" si="14"/>
        <v>10</v>
      </c>
      <c r="K25" s="193">
        <f t="shared" si="15"/>
        <v>8231.1</v>
      </c>
      <c r="L25" s="193"/>
      <c r="M25" s="193"/>
      <c r="N25" s="193"/>
      <c r="O25" s="622">
        <f t="shared" ref="O25:O31" si="18">J25*E25</f>
        <v>8231.1</v>
      </c>
      <c r="P25" s="194">
        <f>'1.1.2.3'!R28</f>
        <v>10</v>
      </c>
      <c r="Q25" s="622">
        <f t="shared" ref="Q25:Q26" si="19">TRUNC(P25*E25,2)</f>
        <v>8231.1</v>
      </c>
      <c r="R25" s="745">
        <f>'1.1.2.3'!R29</f>
        <v>0</v>
      </c>
      <c r="S25" s="746">
        <f t="shared" ref="S25:S26" si="20">U25-Q25</f>
        <v>0</v>
      </c>
      <c r="T25" s="194">
        <f t="shared" si="16"/>
        <v>10</v>
      </c>
      <c r="U25" s="630">
        <f t="shared" si="17"/>
        <v>8231.1</v>
      </c>
      <c r="V25" s="194">
        <f>F25-T25</f>
        <v>0</v>
      </c>
      <c r="W25" s="630">
        <f t="shared" si="13"/>
        <v>0</v>
      </c>
    </row>
    <row r="26" spans="1:23" ht="38.25">
      <c r="A26" s="190" t="s">
        <v>77</v>
      </c>
      <c r="B26" s="191">
        <v>20354</v>
      </c>
      <c r="C26" s="657" t="s">
        <v>86</v>
      </c>
      <c r="D26" s="192" t="s">
        <v>85</v>
      </c>
      <c r="E26" s="193">
        <v>479.75</v>
      </c>
      <c r="F26" s="194">
        <v>10</v>
      </c>
      <c r="G26" s="194"/>
      <c r="H26" s="194"/>
      <c r="I26" s="194"/>
      <c r="J26" s="193">
        <f t="shared" si="14"/>
        <v>10</v>
      </c>
      <c r="K26" s="193">
        <f t="shared" si="15"/>
        <v>4797.5</v>
      </c>
      <c r="L26" s="193"/>
      <c r="M26" s="193"/>
      <c r="N26" s="193"/>
      <c r="O26" s="622">
        <f t="shared" si="18"/>
        <v>4797.5</v>
      </c>
      <c r="P26" s="194">
        <f>'1.1.2.4'!R28</f>
        <v>10</v>
      </c>
      <c r="Q26" s="622">
        <f t="shared" si="19"/>
        <v>4797.5</v>
      </c>
      <c r="R26" s="745">
        <f>'1.1.2.4'!R29</f>
        <v>0</v>
      </c>
      <c r="S26" s="746">
        <f t="shared" si="20"/>
        <v>0</v>
      </c>
      <c r="T26" s="194">
        <f t="shared" si="16"/>
        <v>10</v>
      </c>
      <c r="U26" s="630">
        <f t="shared" si="17"/>
        <v>4797.5</v>
      </c>
      <c r="V26" s="194">
        <f>J26-T26</f>
        <v>0</v>
      </c>
      <c r="W26" s="630">
        <f t="shared" si="13"/>
        <v>0</v>
      </c>
    </row>
    <row r="27" spans="1:23" ht="51">
      <c r="A27" s="190" t="s">
        <v>78</v>
      </c>
      <c r="B27" s="191">
        <v>20355</v>
      </c>
      <c r="C27" s="657" t="s">
        <v>87</v>
      </c>
      <c r="D27" s="192" t="s">
        <v>85</v>
      </c>
      <c r="E27" s="193">
        <v>841.92</v>
      </c>
      <c r="F27" s="194">
        <v>10</v>
      </c>
      <c r="G27" s="194"/>
      <c r="H27" s="194"/>
      <c r="I27" s="194"/>
      <c r="J27" s="193">
        <f t="shared" si="14"/>
        <v>10</v>
      </c>
      <c r="K27" s="193">
        <f t="shared" si="15"/>
        <v>8419.1999999999989</v>
      </c>
      <c r="L27" s="193"/>
      <c r="M27" s="193"/>
      <c r="N27" s="193"/>
      <c r="O27" s="622">
        <f t="shared" si="18"/>
        <v>8419.1999999999989</v>
      </c>
      <c r="P27" s="194">
        <f>'1.1.2.5'!R29</f>
        <v>10</v>
      </c>
      <c r="Q27" s="622">
        <f>TRUNC(P27*E27,2)</f>
        <v>8419.2000000000007</v>
      </c>
      <c r="R27" s="745">
        <f>'1.1.2.5'!R30</f>
        <v>0</v>
      </c>
      <c r="S27" s="746">
        <f>U27-Q27</f>
        <v>0</v>
      </c>
      <c r="T27" s="194">
        <f t="shared" si="16"/>
        <v>10</v>
      </c>
      <c r="U27" s="630">
        <f t="shared" si="17"/>
        <v>8419.1999999999989</v>
      </c>
      <c r="V27" s="194">
        <f>J27-T27</f>
        <v>0</v>
      </c>
      <c r="W27" s="630">
        <f t="shared" si="13"/>
        <v>0</v>
      </c>
    </row>
    <row r="28" spans="1:23" ht="38.25">
      <c r="A28" s="190" t="s">
        <v>79</v>
      </c>
      <c r="B28" s="191">
        <v>20356</v>
      </c>
      <c r="C28" s="657" t="s">
        <v>88</v>
      </c>
      <c r="D28" s="192" t="s">
        <v>85</v>
      </c>
      <c r="E28" s="193">
        <v>489.95</v>
      </c>
      <c r="F28" s="194">
        <v>10</v>
      </c>
      <c r="G28" s="194"/>
      <c r="H28" s="194"/>
      <c r="I28" s="194"/>
      <c r="J28" s="193">
        <f t="shared" si="14"/>
        <v>10</v>
      </c>
      <c r="K28" s="193">
        <f t="shared" si="15"/>
        <v>4899.5</v>
      </c>
      <c r="L28" s="193"/>
      <c r="M28" s="193"/>
      <c r="N28" s="193"/>
      <c r="O28" s="622">
        <f t="shared" si="18"/>
        <v>4899.5</v>
      </c>
      <c r="P28" s="194">
        <f>'1.1.2.6'!R29</f>
        <v>10</v>
      </c>
      <c r="Q28" s="622">
        <f>TRUNC(P28*E28,2)</f>
        <v>4899.5</v>
      </c>
      <c r="R28" s="745">
        <f>'1.1.2.6'!R30</f>
        <v>0</v>
      </c>
      <c r="S28" s="746">
        <f>U28-Q28</f>
        <v>0</v>
      </c>
      <c r="T28" s="194">
        <f t="shared" si="16"/>
        <v>10</v>
      </c>
      <c r="U28" s="630">
        <f t="shared" si="17"/>
        <v>4899.5</v>
      </c>
      <c r="V28" s="194">
        <f>J28-T28</f>
        <v>0</v>
      </c>
      <c r="W28" s="630">
        <f t="shared" si="13"/>
        <v>0</v>
      </c>
    </row>
    <row r="29" spans="1:23" ht="35.25" customHeight="1">
      <c r="A29" s="190" t="s">
        <v>80</v>
      </c>
      <c r="B29" s="191">
        <v>20344</v>
      </c>
      <c r="C29" s="657" t="s">
        <v>89</v>
      </c>
      <c r="D29" s="192" t="s">
        <v>59</v>
      </c>
      <c r="E29" s="193">
        <v>1028.8900000000001</v>
      </c>
      <c r="F29" s="194">
        <v>5</v>
      </c>
      <c r="G29" s="194"/>
      <c r="H29" s="194"/>
      <c r="I29" s="194"/>
      <c r="J29" s="193">
        <f t="shared" si="14"/>
        <v>5</v>
      </c>
      <c r="K29" s="193">
        <f t="shared" si="15"/>
        <v>5144.4500000000007</v>
      </c>
      <c r="L29" s="193"/>
      <c r="M29" s="193"/>
      <c r="N29" s="193"/>
      <c r="O29" s="622">
        <f t="shared" si="18"/>
        <v>5144.4500000000007</v>
      </c>
      <c r="P29" s="194">
        <v>5</v>
      </c>
      <c r="Q29" s="622">
        <f t="shared" ref="Q29:Q30" si="21">TRUNC(P29*E29,2)</f>
        <v>5144.45</v>
      </c>
      <c r="R29" s="745">
        <v>0</v>
      </c>
      <c r="S29" s="746">
        <f>R29*E29</f>
        <v>0</v>
      </c>
      <c r="T29" s="194">
        <f>R29+P29</f>
        <v>5</v>
      </c>
      <c r="U29" s="630">
        <f t="shared" si="17"/>
        <v>5144.4500000000007</v>
      </c>
      <c r="V29" s="194">
        <f>F29-T29</f>
        <v>0</v>
      </c>
      <c r="W29" s="630">
        <f>V29*E29</f>
        <v>0</v>
      </c>
    </row>
    <row r="30" spans="1:23" ht="51">
      <c r="A30" s="190" t="s">
        <v>81</v>
      </c>
      <c r="B30" s="191">
        <v>20708</v>
      </c>
      <c r="C30" s="657" t="s">
        <v>861</v>
      </c>
      <c r="D30" s="192" t="s">
        <v>57</v>
      </c>
      <c r="E30" s="193">
        <v>160.19999999999999</v>
      </c>
      <c r="F30" s="194">
        <v>12</v>
      </c>
      <c r="G30" s="194"/>
      <c r="H30" s="194"/>
      <c r="I30" s="194"/>
      <c r="J30" s="193">
        <f t="shared" si="14"/>
        <v>12</v>
      </c>
      <c r="K30" s="193">
        <f t="shared" si="15"/>
        <v>1922.3999999999999</v>
      </c>
      <c r="L30" s="193"/>
      <c r="M30" s="193"/>
      <c r="N30" s="193"/>
      <c r="O30" s="622">
        <f t="shared" si="18"/>
        <v>1922.3999999999999</v>
      </c>
      <c r="P30" s="194">
        <v>12</v>
      </c>
      <c r="Q30" s="622">
        <f t="shared" si="21"/>
        <v>1922.4</v>
      </c>
      <c r="R30" s="745">
        <v>0</v>
      </c>
      <c r="S30" s="746">
        <f t="shared" ref="S30" si="22">U30-Q30</f>
        <v>0</v>
      </c>
      <c r="T30" s="194">
        <f t="shared" si="16"/>
        <v>12</v>
      </c>
      <c r="U30" s="630">
        <f t="shared" si="17"/>
        <v>1922.3999999999999</v>
      </c>
      <c r="V30" s="194">
        <f t="shared" si="0"/>
        <v>0</v>
      </c>
      <c r="W30" s="630">
        <f t="shared" ref="W30:W31" si="23">V30*E30</f>
        <v>0</v>
      </c>
    </row>
    <row r="31" spans="1:23" ht="51">
      <c r="A31" s="190" t="s">
        <v>82</v>
      </c>
      <c r="B31" s="191">
        <v>20709</v>
      </c>
      <c r="C31" s="657" t="s">
        <v>862</v>
      </c>
      <c r="D31" s="192" t="s">
        <v>57</v>
      </c>
      <c r="E31" s="193">
        <v>216.68</v>
      </c>
      <c r="F31" s="194">
        <v>6</v>
      </c>
      <c r="G31" s="194"/>
      <c r="H31" s="194"/>
      <c r="I31" s="194"/>
      <c r="J31" s="193">
        <f t="shared" si="14"/>
        <v>6</v>
      </c>
      <c r="K31" s="193">
        <f t="shared" si="15"/>
        <v>1300.08</v>
      </c>
      <c r="L31" s="193"/>
      <c r="M31" s="193"/>
      <c r="N31" s="193"/>
      <c r="O31" s="622">
        <f t="shared" si="18"/>
        <v>1300.08</v>
      </c>
      <c r="P31" s="194">
        <v>6</v>
      </c>
      <c r="Q31" s="622">
        <f>TRUNC(P31*E31,2)</f>
        <v>1300.08</v>
      </c>
      <c r="R31" s="745">
        <v>0</v>
      </c>
      <c r="S31" s="746">
        <f>U31-Q31</f>
        <v>0</v>
      </c>
      <c r="T31" s="194">
        <f t="shared" si="16"/>
        <v>6</v>
      </c>
      <c r="U31" s="630">
        <f t="shared" si="17"/>
        <v>1300.08</v>
      </c>
      <c r="V31" s="194">
        <f t="shared" si="0"/>
        <v>0</v>
      </c>
      <c r="W31" s="630">
        <f t="shared" si="23"/>
        <v>0</v>
      </c>
    </row>
    <row r="32" spans="1:23" ht="25.5">
      <c r="A32" s="190" t="s">
        <v>1067</v>
      </c>
      <c r="B32" s="191">
        <v>40781</v>
      </c>
      <c r="C32" s="657" t="str">
        <f>REPLANILHAMENTO!D21</f>
        <v>Base solo brita, 50% em peso, inclusive fornecimento e transporte da brita</v>
      </c>
      <c r="D32" s="192" t="str">
        <f>REPLANILHAMENTO!E21</f>
        <v>m³</v>
      </c>
      <c r="E32" s="193">
        <f>REPLANILHAMENTO!F21</f>
        <v>56.22</v>
      </c>
      <c r="F32" s="194">
        <v>0</v>
      </c>
      <c r="G32" s="194"/>
      <c r="H32" s="194">
        <f>REPLANILHAMENTO!H21</f>
        <v>180</v>
      </c>
      <c r="I32" s="194"/>
      <c r="J32" s="193">
        <f>F32+H32-I32</f>
        <v>180</v>
      </c>
      <c r="K32" s="193">
        <f>F32*E32</f>
        <v>0</v>
      </c>
      <c r="L32" s="193">
        <f>H32*E32</f>
        <v>10119.6</v>
      </c>
      <c r="M32" s="193"/>
      <c r="N32" s="193"/>
      <c r="O32" s="622">
        <f>L32</f>
        <v>10119.6</v>
      </c>
      <c r="P32" s="194">
        <f>'1.1.2.10'!R21</f>
        <v>180</v>
      </c>
      <c r="Q32" s="622">
        <f>TRUNC(P32*E32,2)</f>
        <v>10119.6</v>
      </c>
      <c r="R32" s="745">
        <f>'1.1.2.10'!R22</f>
        <v>0</v>
      </c>
      <c r="S32" s="746">
        <f>R32*E32</f>
        <v>0</v>
      </c>
      <c r="T32" s="194">
        <f>P32+R32</f>
        <v>180</v>
      </c>
      <c r="U32" s="630">
        <f>T32*E32</f>
        <v>10119.6</v>
      </c>
      <c r="V32" s="194">
        <f>J32-T32</f>
        <v>0</v>
      </c>
      <c r="W32" s="630">
        <v>0</v>
      </c>
    </row>
    <row r="33" spans="1:23">
      <c r="A33" s="190" t="s">
        <v>1070</v>
      </c>
      <c r="B33" s="191">
        <v>200323</v>
      </c>
      <c r="C33" s="657" t="str">
        <f>REPLANILHAMENTO!D22</f>
        <v>Fornecimento e espalhamento de pó de pedra</v>
      </c>
      <c r="D33" s="192" t="str">
        <f>REPLANILHAMENTO!E22</f>
        <v>m³</v>
      </c>
      <c r="E33" s="193">
        <f>REPLANILHAMENTO!F22</f>
        <v>125.95</v>
      </c>
      <c r="F33" s="194">
        <v>0</v>
      </c>
      <c r="G33" s="194"/>
      <c r="H33" s="194">
        <f>REPLANILHAMENTO!H22</f>
        <v>90</v>
      </c>
      <c r="I33" s="194"/>
      <c r="J33" s="193">
        <f t="shared" ref="J33:J34" si="24">F33+H33-I33</f>
        <v>90</v>
      </c>
      <c r="K33" s="193">
        <f t="shared" ref="K33:K34" si="25">F33*E33</f>
        <v>0</v>
      </c>
      <c r="L33" s="193">
        <f t="shared" ref="L33:L34" si="26">H33*E33</f>
        <v>11335.5</v>
      </c>
      <c r="M33" s="193"/>
      <c r="N33" s="193"/>
      <c r="O33" s="622">
        <f t="shared" ref="O33:O34" si="27">L33</f>
        <v>11335.5</v>
      </c>
      <c r="P33" s="194">
        <f>'1.1.2.11'!R21</f>
        <v>90</v>
      </c>
      <c r="Q33" s="622">
        <f>TRUNC(P33*E33,2)</f>
        <v>11335.5</v>
      </c>
      <c r="R33" s="745">
        <f>'1.1.2.11'!R22</f>
        <v>0</v>
      </c>
      <c r="S33" s="746">
        <f t="shared" ref="S33:S34" si="28">R33*E33</f>
        <v>0</v>
      </c>
      <c r="T33" s="194">
        <f t="shared" ref="T33:T34" si="29">P33+R33</f>
        <v>90</v>
      </c>
      <c r="U33" s="630">
        <f t="shared" ref="U33:U34" si="30">T33*E33</f>
        <v>11335.5</v>
      </c>
      <c r="V33" s="194">
        <f t="shared" ref="V33:V34" si="31">J33-T33</f>
        <v>0</v>
      </c>
      <c r="W33" s="630">
        <v>0</v>
      </c>
    </row>
    <row r="34" spans="1:23">
      <c r="A34" s="190" t="s">
        <v>1071</v>
      </c>
      <c r="B34" s="191">
        <v>20305</v>
      </c>
      <c r="C34" s="657" t="str">
        <f>REPLANILHAMENTO!D23</f>
        <v>Placa de obra nas dimensões de 2.0 x 4.0 m, padrão IOPES</v>
      </c>
      <c r="D34" s="192" t="str">
        <f>REPLANILHAMENTO!E23</f>
        <v>m²</v>
      </c>
      <c r="E34" s="193">
        <f>REPLANILHAMENTO!F23</f>
        <v>222.96</v>
      </c>
      <c r="F34" s="194">
        <v>0</v>
      </c>
      <c r="G34" s="194"/>
      <c r="H34" s="194">
        <f>REPLANILHAMENTO!H23</f>
        <v>8</v>
      </c>
      <c r="I34" s="194"/>
      <c r="J34" s="193">
        <f t="shared" si="24"/>
        <v>8</v>
      </c>
      <c r="K34" s="193">
        <f t="shared" si="25"/>
        <v>0</v>
      </c>
      <c r="L34" s="193">
        <f t="shared" si="26"/>
        <v>1783.68</v>
      </c>
      <c r="M34" s="193"/>
      <c r="N34" s="193"/>
      <c r="O34" s="622">
        <f t="shared" si="27"/>
        <v>1783.68</v>
      </c>
      <c r="P34" s="194">
        <f>'1.1.2.12'!R21</f>
        <v>8</v>
      </c>
      <c r="Q34" s="622">
        <f>TRUNC(P34*E34,2)</f>
        <v>1783.68</v>
      </c>
      <c r="R34" s="745">
        <f>'1.1.2.12'!R22</f>
        <v>0</v>
      </c>
      <c r="S34" s="746">
        <f t="shared" si="28"/>
        <v>0</v>
      </c>
      <c r="T34" s="194">
        <f t="shared" si="29"/>
        <v>8</v>
      </c>
      <c r="U34" s="630">
        <f t="shared" si="30"/>
        <v>1783.68</v>
      </c>
      <c r="V34" s="194">
        <f t="shared" si="31"/>
        <v>0</v>
      </c>
      <c r="W34" s="630">
        <v>0</v>
      </c>
    </row>
    <row r="35" spans="1:23">
      <c r="A35" s="138"/>
      <c r="B35" s="132"/>
      <c r="C35" s="123"/>
      <c r="D35" s="123"/>
      <c r="E35" s="123"/>
      <c r="F35" s="123"/>
      <c r="G35" s="123"/>
      <c r="H35" s="123"/>
      <c r="I35" s="123"/>
      <c r="J35" s="123"/>
      <c r="K35" s="123"/>
      <c r="L35" s="123"/>
      <c r="M35" s="123"/>
      <c r="N35" s="123"/>
      <c r="O35" s="623"/>
      <c r="P35" s="123"/>
      <c r="Q35" s="623"/>
      <c r="R35" s="791"/>
      <c r="S35" s="792"/>
      <c r="T35" s="123"/>
      <c r="U35" s="631"/>
      <c r="V35" s="123"/>
      <c r="W35" s="631"/>
    </row>
    <row r="36" spans="1:23" s="131" customFormat="1">
      <c r="A36" s="137" t="s">
        <v>42</v>
      </c>
      <c r="B36" s="133"/>
      <c r="C36" s="658" t="s">
        <v>90</v>
      </c>
      <c r="D36" s="126"/>
      <c r="E36" s="127"/>
      <c r="F36" s="128"/>
      <c r="G36" s="128"/>
      <c r="H36" s="128"/>
      <c r="I36" s="128"/>
      <c r="J36" s="129"/>
      <c r="K36" s="129">
        <f>SUBTOTAL(9,K37:K45)</f>
        <v>70895.0625</v>
      </c>
      <c r="L36" s="129"/>
      <c r="M36" s="129"/>
      <c r="N36" s="129"/>
      <c r="O36" s="624"/>
      <c r="P36" s="130"/>
      <c r="Q36" s="624">
        <f>SUBTOTAL(9,Q37:Q45)</f>
        <v>92226.329999999987</v>
      </c>
      <c r="R36" s="743"/>
      <c r="S36" s="744">
        <f>SUBTOTAL(9,S37:S46)</f>
        <v>126908.39720543999</v>
      </c>
      <c r="T36" s="129"/>
      <c r="U36" s="624">
        <f>SUBTOTAL(9,U37:U45)</f>
        <v>108208.77000000002</v>
      </c>
      <c r="V36" s="129">
        <f t="shared" ref="V36:V48" si="32">F36-T36</f>
        <v>0</v>
      </c>
      <c r="W36" s="624">
        <f>SUBTOTAL(9,W37:W45)</f>
        <v>32060.3</v>
      </c>
    </row>
    <row r="37" spans="1:23" ht="51">
      <c r="A37" s="190" t="s">
        <v>91</v>
      </c>
      <c r="B37" s="191">
        <v>20350</v>
      </c>
      <c r="C37" s="657" t="s">
        <v>83</v>
      </c>
      <c r="D37" s="192" t="s">
        <v>51</v>
      </c>
      <c r="E37" s="193">
        <v>138.65</v>
      </c>
      <c r="F37" s="194">
        <v>251.25</v>
      </c>
      <c r="G37" s="194"/>
      <c r="H37" s="194">
        <v>82</v>
      </c>
      <c r="I37" s="194"/>
      <c r="J37" s="193">
        <f>F37+H37-I37</f>
        <v>333.25</v>
      </c>
      <c r="K37" s="193">
        <f>F37*E37</f>
        <v>34835.8125</v>
      </c>
      <c r="L37" s="193">
        <f>H37*E37</f>
        <v>11369.300000000001</v>
      </c>
      <c r="M37" s="193"/>
      <c r="N37" s="193"/>
      <c r="O37" s="622">
        <f>J37*E37</f>
        <v>46205.112500000003</v>
      </c>
      <c r="P37" s="194">
        <f>'1.1.3.1'!R28</f>
        <v>333.25</v>
      </c>
      <c r="Q37" s="622">
        <f t="shared" ref="Q37" si="33">TRUNC(P37*E37,2)</f>
        <v>46205.11</v>
      </c>
      <c r="R37" s="745">
        <f>'1.1.3.1'!R29</f>
        <v>0</v>
      </c>
      <c r="S37" s="746">
        <f t="shared" ref="S37" si="34">U37-Q37</f>
        <v>0</v>
      </c>
      <c r="T37" s="194">
        <f>R37+P37</f>
        <v>333.25</v>
      </c>
      <c r="U37" s="630">
        <f>TRUNC(T37*E37,2)</f>
        <v>46205.11</v>
      </c>
      <c r="V37" s="194">
        <f>J37-T37</f>
        <v>0</v>
      </c>
      <c r="W37" s="630">
        <f t="shared" ref="W37:W42" si="35">V37*E37</f>
        <v>0</v>
      </c>
    </row>
    <row r="38" spans="1:23" s="774" customFormat="1" ht="38.25">
      <c r="A38" s="766" t="s">
        <v>92</v>
      </c>
      <c r="B38" s="767">
        <v>20356</v>
      </c>
      <c r="C38" s="768" t="s">
        <v>88</v>
      </c>
      <c r="D38" s="769" t="s">
        <v>85</v>
      </c>
      <c r="E38" s="770">
        <v>489.95</v>
      </c>
      <c r="F38" s="771">
        <v>9</v>
      </c>
      <c r="G38" s="771">
        <v>12</v>
      </c>
      <c r="H38" s="771">
        <v>3</v>
      </c>
      <c r="I38" s="771"/>
      <c r="J38" s="770">
        <f>F38+G38+H38-I38</f>
        <v>24</v>
      </c>
      <c r="K38" s="770">
        <f t="shared" ref="K38:K46" si="36">F38*E38</f>
        <v>4409.55</v>
      </c>
      <c r="L38" s="770">
        <f t="shared" ref="L38:L45" si="37">H38*E38</f>
        <v>1469.85</v>
      </c>
      <c r="M38" s="770">
        <f>G38*E38</f>
        <v>5879.4</v>
      </c>
      <c r="N38" s="770"/>
      <c r="O38" s="772">
        <f t="shared" ref="O38:O46" si="38">J38*E38</f>
        <v>11758.8</v>
      </c>
      <c r="P38" s="771">
        <f>'1.1.3.2'!R29</f>
        <v>12</v>
      </c>
      <c r="Q38" s="772">
        <f>TRUNC(P38*E38,2)</f>
        <v>5879.4</v>
      </c>
      <c r="R38" s="793">
        <v>12</v>
      </c>
      <c r="S38" s="794">
        <f>U38-Q38</f>
        <v>5879.4</v>
      </c>
      <c r="T38" s="771">
        <f>R38+P38</f>
        <v>24</v>
      </c>
      <c r="U38" s="773">
        <f>TRUNC(T38*E38,2)</f>
        <v>11758.8</v>
      </c>
      <c r="V38" s="771">
        <f t="shared" ref="V38:V42" si="39">J38-T38</f>
        <v>0</v>
      </c>
      <c r="W38" s="773">
        <f t="shared" si="35"/>
        <v>0</v>
      </c>
    </row>
    <row r="39" spans="1:23" ht="51">
      <c r="A39" s="190" t="s">
        <v>93</v>
      </c>
      <c r="B39" s="191">
        <v>20353</v>
      </c>
      <c r="C39" s="657" t="s">
        <v>97</v>
      </c>
      <c r="D39" s="192" t="s">
        <v>85</v>
      </c>
      <c r="E39" s="193">
        <v>823.11</v>
      </c>
      <c r="F39" s="194">
        <v>9</v>
      </c>
      <c r="G39" s="194"/>
      <c r="H39" s="194">
        <v>3</v>
      </c>
      <c r="I39" s="194"/>
      <c r="J39" s="193">
        <f t="shared" ref="J39" si="40">F39+H39-I39</f>
        <v>12</v>
      </c>
      <c r="K39" s="193">
        <f t="shared" si="36"/>
        <v>7407.99</v>
      </c>
      <c r="L39" s="193">
        <f t="shared" si="37"/>
        <v>2469.33</v>
      </c>
      <c r="M39" s="193"/>
      <c r="N39" s="193"/>
      <c r="O39" s="622">
        <f t="shared" si="38"/>
        <v>9877.32</v>
      </c>
      <c r="P39" s="194">
        <f>'1.1.3.3'!R28</f>
        <v>12</v>
      </c>
      <c r="Q39" s="622">
        <f t="shared" ref="Q39:Q40" si="41">TRUNC(P39*E39,2)</f>
        <v>9877.32</v>
      </c>
      <c r="R39" s="745">
        <f>'1.1.3.3'!R29</f>
        <v>0</v>
      </c>
      <c r="S39" s="746">
        <f t="shared" ref="S39" si="42">U39-Q39</f>
        <v>0</v>
      </c>
      <c r="T39" s="194">
        <f>R39+P39</f>
        <v>12</v>
      </c>
      <c r="U39" s="630">
        <f t="shared" ref="U39:U40" si="43">TRUNC(T39*E39,2)</f>
        <v>9877.32</v>
      </c>
      <c r="V39" s="194">
        <f>J39-T39</f>
        <v>0</v>
      </c>
      <c r="W39" s="630">
        <f t="shared" si="35"/>
        <v>0</v>
      </c>
    </row>
    <row r="40" spans="1:23" s="774" customFormat="1" ht="38.25">
      <c r="A40" s="766" t="s">
        <v>94</v>
      </c>
      <c r="B40" s="767">
        <v>20354</v>
      </c>
      <c r="C40" s="768" t="s">
        <v>86</v>
      </c>
      <c r="D40" s="769" t="s">
        <v>85</v>
      </c>
      <c r="E40" s="770">
        <v>479.75</v>
      </c>
      <c r="F40" s="771">
        <v>9</v>
      </c>
      <c r="G40" s="771">
        <v>12</v>
      </c>
      <c r="H40" s="771">
        <v>3</v>
      </c>
      <c r="I40" s="771"/>
      <c r="J40" s="770">
        <f>F40+G40+H40-I40</f>
        <v>24</v>
      </c>
      <c r="K40" s="770">
        <f t="shared" si="36"/>
        <v>4317.75</v>
      </c>
      <c r="L40" s="770">
        <f t="shared" si="37"/>
        <v>1439.25</v>
      </c>
      <c r="M40" s="770">
        <f>G40*E40</f>
        <v>5757</v>
      </c>
      <c r="N40" s="770"/>
      <c r="O40" s="772">
        <f t="shared" si="38"/>
        <v>11514</v>
      </c>
      <c r="P40" s="771">
        <f>'1.1.3.4'!R30</f>
        <v>12</v>
      </c>
      <c r="Q40" s="772">
        <f t="shared" si="41"/>
        <v>5757</v>
      </c>
      <c r="R40" s="793">
        <v>12</v>
      </c>
      <c r="S40" s="794">
        <f>R40*$E40</f>
        <v>5757</v>
      </c>
      <c r="T40" s="771">
        <f>'1.1.3.4'!R29</f>
        <v>12</v>
      </c>
      <c r="U40" s="773">
        <f t="shared" si="43"/>
        <v>5757</v>
      </c>
      <c r="V40" s="771">
        <f>J40-T40</f>
        <v>12</v>
      </c>
      <c r="W40" s="773">
        <f t="shared" si="35"/>
        <v>5757</v>
      </c>
    </row>
    <row r="41" spans="1:23" s="774" customFormat="1" ht="51">
      <c r="A41" s="766" t="s">
        <v>95</v>
      </c>
      <c r="B41" s="767">
        <v>20355</v>
      </c>
      <c r="C41" s="768" t="s">
        <v>87</v>
      </c>
      <c r="D41" s="769" t="s">
        <v>85</v>
      </c>
      <c r="E41" s="770">
        <v>841.92</v>
      </c>
      <c r="F41" s="771">
        <v>9</v>
      </c>
      <c r="G41" s="771">
        <v>12</v>
      </c>
      <c r="H41" s="771">
        <v>3</v>
      </c>
      <c r="I41" s="771"/>
      <c r="J41" s="770">
        <f>F41+G41+H41-I41</f>
        <v>24</v>
      </c>
      <c r="K41" s="770">
        <f t="shared" si="36"/>
        <v>7577.28</v>
      </c>
      <c r="L41" s="770">
        <f t="shared" si="37"/>
        <v>2525.7599999999998</v>
      </c>
      <c r="M41" s="770">
        <f>G41*E41</f>
        <v>10103.039999999999</v>
      </c>
      <c r="N41" s="770"/>
      <c r="O41" s="772">
        <f>J41*E41</f>
        <v>20206.079999999998</v>
      </c>
      <c r="P41" s="771">
        <f>'1.1.3.5'!R32</f>
        <v>12</v>
      </c>
      <c r="Q41" s="772">
        <f>TRUNC(P41*E41,2)</f>
        <v>10103.040000000001</v>
      </c>
      <c r="R41" s="793">
        <v>12</v>
      </c>
      <c r="S41" s="794">
        <f>U41-Q41</f>
        <v>10103.040000000001</v>
      </c>
      <c r="T41" s="771">
        <f>R41+P41</f>
        <v>24</v>
      </c>
      <c r="U41" s="773">
        <f>TRUNC(T41*E41,2)</f>
        <v>20206.080000000002</v>
      </c>
      <c r="V41" s="771">
        <f>J41-T41</f>
        <v>0</v>
      </c>
      <c r="W41" s="773">
        <f t="shared" si="35"/>
        <v>0</v>
      </c>
    </row>
    <row r="42" spans="1:23" ht="35.25" customHeight="1">
      <c r="A42" s="190" t="s">
        <v>96</v>
      </c>
      <c r="B42" s="191">
        <v>20344</v>
      </c>
      <c r="C42" s="657" t="s">
        <v>89</v>
      </c>
      <c r="D42" s="192" t="s">
        <v>59</v>
      </c>
      <c r="E42" s="193">
        <v>1028.8900000000001</v>
      </c>
      <c r="F42" s="194">
        <v>12</v>
      </c>
      <c r="G42" s="194"/>
      <c r="H42" s="194">
        <v>2</v>
      </c>
      <c r="I42" s="194"/>
      <c r="J42" s="193">
        <f>F42+H42-I42</f>
        <v>14</v>
      </c>
      <c r="K42" s="193">
        <f t="shared" si="36"/>
        <v>12346.68</v>
      </c>
      <c r="L42" s="193">
        <f t="shared" si="37"/>
        <v>2057.7800000000002</v>
      </c>
      <c r="M42" s="193"/>
      <c r="N42" s="193"/>
      <c r="O42" s="622">
        <f t="shared" si="38"/>
        <v>14404.460000000001</v>
      </c>
      <c r="P42" s="194">
        <f>'1.1.3.6'!R30</f>
        <v>14</v>
      </c>
      <c r="Q42" s="622">
        <f>TRUNC(P42*E42,2)</f>
        <v>14404.46</v>
      </c>
      <c r="R42" s="745">
        <f>'1.1.3.6'!R31</f>
        <v>0</v>
      </c>
      <c r="S42" s="746">
        <f>U42-Q42</f>
        <v>0</v>
      </c>
      <c r="T42" s="194">
        <f>R42+P42</f>
        <v>14</v>
      </c>
      <c r="U42" s="630">
        <f>TRUNC(T42*E42,2)</f>
        <v>14404.46</v>
      </c>
      <c r="V42" s="194">
        <f t="shared" si="39"/>
        <v>0</v>
      </c>
      <c r="W42" s="630">
        <f t="shared" si="35"/>
        <v>0</v>
      </c>
    </row>
    <row r="43" spans="1:23" ht="38.25">
      <c r="A43" s="190" t="s">
        <v>1075</v>
      </c>
      <c r="B43" s="191">
        <f>REPLANILHAMENTO!B31</f>
        <v>20712</v>
      </c>
      <c r="C43" s="657" t="str">
        <f>REPLANILHAMENTO!D31</f>
        <v>Rede de água com padrão de entrada d'água diâm. 3/4", conf. espec. CESAN, incl. tubos e conexões para alimentação, distribuição, extravasor e limpeza, cons. o padrão a 25m, conf. projeto (1 utilização)</v>
      </c>
      <c r="D43" s="192" t="str">
        <f>REPLANILHAMENTO!E31</f>
        <v>m</v>
      </c>
      <c r="E43" s="193">
        <f>REPLANILHAMENTO!F31</f>
        <v>37.909999999999997</v>
      </c>
      <c r="F43" s="194">
        <v>0</v>
      </c>
      <c r="G43" s="194"/>
      <c r="H43" s="194">
        <f>REPLANILHAMENTO!H31</f>
        <v>70</v>
      </c>
      <c r="I43" s="194">
        <v>0</v>
      </c>
      <c r="J43" s="193">
        <f>F43+H43-I43</f>
        <v>70</v>
      </c>
      <c r="K43" s="193">
        <f t="shared" si="36"/>
        <v>0</v>
      </c>
      <c r="L43" s="193">
        <f t="shared" si="37"/>
        <v>2653.7</v>
      </c>
      <c r="M43" s="193"/>
      <c r="N43" s="193"/>
      <c r="O43" s="622">
        <f t="shared" si="38"/>
        <v>2653.7</v>
      </c>
      <c r="P43" s="194">
        <v>0</v>
      </c>
      <c r="Q43" s="622">
        <v>0</v>
      </c>
      <c r="R43" s="745">
        <f>'1.1.3.7'!R19</f>
        <v>0</v>
      </c>
      <c r="S43" s="746">
        <f>R43*E43</f>
        <v>0</v>
      </c>
      <c r="T43" s="194">
        <f>R43+P43</f>
        <v>0</v>
      </c>
      <c r="U43" s="630">
        <f>S43</f>
        <v>0</v>
      </c>
      <c r="V43" s="194">
        <f>J43-T43</f>
        <v>70</v>
      </c>
      <c r="W43" s="630">
        <f>V43*E43</f>
        <v>2653.7</v>
      </c>
    </row>
    <row r="44" spans="1:23" ht="38.25">
      <c r="A44" s="190" t="s">
        <v>1077</v>
      </c>
      <c r="B44" s="191">
        <f>REPLANILHAMENTO!B32</f>
        <v>20713</v>
      </c>
      <c r="C44" s="657" t="str">
        <f>REPLANILHAMENTO!D32</f>
        <v>Rede de luz, incl. padrão entr. energia trifás. cabo ligação até barracões, quadro distrib., disj. e chave de força, cons. 20m entre padrão entrada e QDG, conf. projeto (1 utilização)</v>
      </c>
      <c r="D44" s="192" t="str">
        <f>REPLANILHAMENTO!E32</f>
        <v>m</v>
      </c>
      <c r="E44" s="193">
        <f>REPLANILHAMENTO!F32</f>
        <v>433.87</v>
      </c>
      <c r="F44" s="194">
        <v>0</v>
      </c>
      <c r="G44" s="194"/>
      <c r="H44" s="194">
        <f>REPLANILHAMENTO!H32</f>
        <v>100</v>
      </c>
      <c r="I44" s="194">
        <v>0</v>
      </c>
      <c r="J44" s="193">
        <f t="shared" ref="J44:J45" si="44">F44+H44-I44</f>
        <v>100</v>
      </c>
      <c r="K44" s="193">
        <f t="shared" si="36"/>
        <v>0</v>
      </c>
      <c r="L44" s="193">
        <f t="shared" si="37"/>
        <v>43387</v>
      </c>
      <c r="M44" s="193"/>
      <c r="N44" s="193"/>
      <c r="O44" s="622">
        <f t="shared" si="38"/>
        <v>43387</v>
      </c>
      <c r="P44" s="194">
        <f>'1.1.3.8'!R17</f>
        <v>60</v>
      </c>
      <c r="Q44" s="622">
        <v>0</v>
      </c>
      <c r="R44" s="745">
        <f>'1.1.3.8'!R18</f>
        <v>0</v>
      </c>
      <c r="S44" s="746">
        <f t="shared" ref="S44:S45" si="45">R44*E44</f>
        <v>0</v>
      </c>
      <c r="T44" s="194">
        <f t="shared" ref="T44:T46" si="46">R44+P44</f>
        <v>60</v>
      </c>
      <c r="U44" s="630">
        <f t="shared" ref="U44:U45" si="47">S44</f>
        <v>0</v>
      </c>
      <c r="V44" s="194">
        <f t="shared" ref="V44:V46" si="48">J44-T44</f>
        <v>40</v>
      </c>
      <c r="W44" s="630">
        <f t="shared" ref="W44:W46" si="49">V44*E44</f>
        <v>17354.8</v>
      </c>
    </row>
    <row r="45" spans="1:23" ht="38.25">
      <c r="A45" s="190" t="s">
        <v>1079</v>
      </c>
      <c r="B45" s="191">
        <f>REPLANILHAMENTO!B33</f>
        <v>20714</v>
      </c>
      <c r="C45" s="657" t="str">
        <f>REPLANILHAMENTO!D33</f>
        <v>Rede de esgoto, contendo fossa e filtro, inclusive tubos e conexões de ligação entre caixas, considerando distância de 25m, conforme projeto (1 utilização)</v>
      </c>
      <c r="D45" s="192" t="str">
        <f>REPLANILHAMENTO!E33</f>
        <v>m</v>
      </c>
      <c r="E45" s="193">
        <f>REPLANILHAMENTO!F33</f>
        <v>314.74</v>
      </c>
      <c r="F45" s="194">
        <v>0</v>
      </c>
      <c r="G45" s="194"/>
      <c r="H45" s="194">
        <f>REPLANILHAMENTO!H33</f>
        <v>30</v>
      </c>
      <c r="I45" s="194">
        <v>0</v>
      </c>
      <c r="J45" s="193">
        <f t="shared" si="44"/>
        <v>30</v>
      </c>
      <c r="K45" s="193">
        <f t="shared" si="36"/>
        <v>0</v>
      </c>
      <c r="L45" s="193">
        <f t="shared" si="37"/>
        <v>9442.2000000000007</v>
      </c>
      <c r="M45" s="193"/>
      <c r="N45" s="193"/>
      <c r="O45" s="622">
        <f t="shared" si="38"/>
        <v>9442.2000000000007</v>
      </c>
      <c r="P45" s="194">
        <f>'1.1.3.9'!R18</f>
        <v>10</v>
      </c>
      <c r="Q45" s="622">
        <v>0</v>
      </c>
      <c r="R45" s="745">
        <f>'1.1.3.9'!R19</f>
        <v>0</v>
      </c>
      <c r="S45" s="746">
        <f t="shared" si="45"/>
        <v>0</v>
      </c>
      <c r="T45" s="194">
        <f t="shared" si="46"/>
        <v>10</v>
      </c>
      <c r="U45" s="630">
        <f t="shared" si="47"/>
        <v>0</v>
      </c>
      <c r="V45" s="194">
        <f t="shared" si="48"/>
        <v>20</v>
      </c>
      <c r="W45" s="630">
        <f t="shared" si="49"/>
        <v>6294.8</v>
      </c>
    </row>
    <row r="46" spans="1:23" s="765" customFormat="1" ht="37.5" customHeight="1">
      <c r="A46" s="758" t="s">
        <v>1499</v>
      </c>
      <c r="B46" s="759" t="s">
        <v>1500</v>
      </c>
      <c r="C46" s="760" t="s">
        <v>1501</v>
      </c>
      <c r="D46" s="761" t="s">
        <v>52</v>
      </c>
      <c r="E46" s="757">
        <f>1863.32*1.2993*0.905</f>
        <v>2191.0155667799995</v>
      </c>
      <c r="F46" s="762">
        <v>0</v>
      </c>
      <c r="G46" s="762">
        <v>48</v>
      </c>
      <c r="H46" s="762"/>
      <c r="I46" s="762"/>
      <c r="J46" s="762">
        <f>F46+G46+H46-I46</f>
        <v>48</v>
      </c>
      <c r="K46" s="757">
        <f t="shared" si="36"/>
        <v>0</v>
      </c>
      <c r="L46" s="757"/>
      <c r="M46" s="757">
        <f>G46*E46</f>
        <v>105168.74720543998</v>
      </c>
      <c r="N46" s="757"/>
      <c r="O46" s="763">
        <f t="shared" si="38"/>
        <v>105168.74720543998</v>
      </c>
      <c r="P46" s="762"/>
      <c r="Q46" s="763">
        <f t="shared" ref="Q46" si="50">TRUNC(P46*E46,2)</f>
        <v>0</v>
      </c>
      <c r="R46" s="787">
        <v>48</v>
      </c>
      <c r="S46" s="788">
        <f>(R46*E46)+0.21</f>
        <v>105168.95720543999</v>
      </c>
      <c r="T46" s="762">
        <f t="shared" si="46"/>
        <v>48</v>
      </c>
      <c r="U46" s="764">
        <f t="shared" ref="U46" si="51">TRUNC(T46*E46,2)</f>
        <v>105168.74</v>
      </c>
      <c r="V46" s="762">
        <f t="shared" si="48"/>
        <v>0</v>
      </c>
      <c r="W46" s="764">
        <f t="shared" si="49"/>
        <v>0</v>
      </c>
    </row>
    <row r="47" spans="1:23" s="213" customFormat="1">
      <c r="A47" s="210" t="s">
        <v>20</v>
      </c>
      <c r="B47" s="211"/>
      <c r="C47" s="655" t="s">
        <v>98</v>
      </c>
      <c r="D47" s="197"/>
      <c r="E47" s="198"/>
      <c r="F47" s="199"/>
      <c r="G47" s="199"/>
      <c r="H47" s="199"/>
      <c r="I47" s="199"/>
      <c r="J47" s="200"/>
      <c r="K47" s="200">
        <f>SUBTOTAL(9,K48:K49)</f>
        <v>72520.479999999996</v>
      </c>
      <c r="L47" s="200"/>
      <c r="M47" s="200"/>
      <c r="N47" s="200"/>
      <c r="O47" s="620"/>
      <c r="P47" s="201"/>
      <c r="Q47" s="620">
        <f>SUBTOTAL(9,Q48:Q49)</f>
        <v>32634.21</v>
      </c>
      <c r="R47" s="743"/>
      <c r="S47" s="744">
        <f>SUBTOTAL(9,S48:S49)</f>
        <v>36260.239999999998</v>
      </c>
      <c r="T47" s="200"/>
      <c r="U47" s="620">
        <f>SUBTOTAL(9,U48:U49)</f>
        <v>68894.45</v>
      </c>
      <c r="V47" s="200">
        <f t="shared" si="32"/>
        <v>0</v>
      </c>
      <c r="W47" s="620">
        <f>SUBTOTAL(9,W48:W49)</f>
        <v>3626.0240000000031</v>
      </c>
    </row>
    <row r="48" spans="1:23" s="131" customFormat="1" ht="14.25" customHeight="1">
      <c r="A48" s="137" t="s">
        <v>43</v>
      </c>
      <c r="B48" s="133"/>
      <c r="C48" s="658" t="s">
        <v>98</v>
      </c>
      <c r="D48" s="126"/>
      <c r="E48" s="127"/>
      <c r="F48" s="128"/>
      <c r="G48" s="128"/>
      <c r="H48" s="128"/>
      <c r="I48" s="128"/>
      <c r="J48" s="129"/>
      <c r="K48" s="129">
        <f>SUBTOTAL(9,K49)</f>
        <v>72520.479999999996</v>
      </c>
      <c r="L48" s="129"/>
      <c r="M48" s="129"/>
      <c r="N48" s="129"/>
      <c r="O48" s="624"/>
      <c r="P48" s="130"/>
      <c r="Q48" s="624">
        <f>SUBTOTAL(9,Q49)</f>
        <v>32634.21</v>
      </c>
      <c r="R48" s="743"/>
      <c r="S48" s="744">
        <f>SUBTOTAL(9,S49)</f>
        <v>36260.239999999998</v>
      </c>
      <c r="T48" s="129"/>
      <c r="U48" s="624">
        <f>SUBTOTAL(9,U49)</f>
        <v>68894.45</v>
      </c>
      <c r="V48" s="129">
        <f t="shared" si="32"/>
        <v>0</v>
      </c>
      <c r="W48" s="624">
        <f>SUBTOTAL(9,W49)</f>
        <v>3626.0240000000031</v>
      </c>
    </row>
    <row r="49" spans="1:23" s="774" customFormat="1" ht="25.5">
      <c r="A49" s="766" t="s">
        <v>99</v>
      </c>
      <c r="B49" s="767">
        <v>10512</v>
      </c>
      <c r="C49" s="768" t="s">
        <v>860</v>
      </c>
      <c r="D49" s="769" t="s">
        <v>52</v>
      </c>
      <c r="E49" s="770">
        <v>18130.12</v>
      </c>
      <c r="F49" s="771">
        <v>2</v>
      </c>
      <c r="G49" s="771">
        <v>2</v>
      </c>
      <c r="H49" s="771"/>
      <c r="I49" s="771"/>
      <c r="J49" s="770">
        <f>F49+G49+H49-I49</f>
        <v>4</v>
      </c>
      <c r="K49" s="770">
        <f>J49*E49</f>
        <v>72520.479999999996</v>
      </c>
      <c r="L49" s="770"/>
      <c r="M49" s="770"/>
      <c r="N49" s="770"/>
      <c r="O49" s="772">
        <f>J49*E49</f>
        <v>72520.479999999996</v>
      </c>
      <c r="P49" s="771">
        <v>1.8</v>
      </c>
      <c r="Q49" s="772">
        <f t="shared" ref="Q49" si="52">TRUNC(P49*E49,2)</f>
        <v>32634.21</v>
      </c>
      <c r="R49" s="785">
        <v>2</v>
      </c>
      <c r="S49" s="786">
        <f>R49*E49</f>
        <v>36260.239999999998</v>
      </c>
      <c r="T49" s="771">
        <f>R49+P49</f>
        <v>3.8</v>
      </c>
      <c r="U49" s="773">
        <f t="shared" ref="U49" si="53">TRUNC(T49*E49,2)</f>
        <v>68894.45</v>
      </c>
      <c r="V49" s="771">
        <f>J49-T49</f>
        <v>0.20000000000000018</v>
      </c>
      <c r="W49" s="773">
        <f t="shared" ref="W49" si="54">V49*E49</f>
        <v>3626.0240000000031</v>
      </c>
    </row>
    <row r="50" spans="1:23" s="654" customFormat="1">
      <c r="A50" s="202">
        <v>2</v>
      </c>
      <c r="B50" s="653" t="s">
        <v>391</v>
      </c>
      <c r="C50" s="654" t="s">
        <v>391</v>
      </c>
      <c r="D50" s="204"/>
      <c r="E50" s="205"/>
      <c r="F50" s="206"/>
      <c r="G50" s="206"/>
      <c r="H50" s="206"/>
      <c r="I50" s="206"/>
      <c r="J50" s="207"/>
      <c r="K50" s="207">
        <f>SUBTOTAL(9,K51:K219)</f>
        <v>1448508.2899000002</v>
      </c>
      <c r="L50" s="207"/>
      <c r="M50" s="207"/>
      <c r="N50" s="207"/>
      <c r="O50" s="619"/>
      <c r="P50" s="208"/>
      <c r="Q50" s="619">
        <f>SUBTOTAL(9,Q51:Q219)</f>
        <v>1445174.0100000002</v>
      </c>
      <c r="R50" s="741"/>
      <c r="S50" s="742">
        <f>SUBTOTAL(9,S51:S219)</f>
        <v>295826.255</v>
      </c>
      <c r="T50" s="207"/>
      <c r="U50" s="619">
        <f>SUBTOTAL(9,U51:U219)</f>
        <v>1741877.1300000001</v>
      </c>
      <c r="V50" s="207">
        <f>F50-T50</f>
        <v>0</v>
      </c>
      <c r="W50" s="619">
        <f>SUBTOTAL(9,W51:W219)</f>
        <v>7773.4157999999916</v>
      </c>
    </row>
    <row r="51" spans="1:23" s="213" customFormat="1">
      <c r="A51" s="210" t="s">
        <v>21</v>
      </c>
      <c r="B51" s="211"/>
      <c r="C51" s="655" t="s">
        <v>65</v>
      </c>
      <c r="D51" s="197"/>
      <c r="E51" s="198"/>
      <c r="F51" s="199"/>
      <c r="G51" s="199"/>
      <c r="H51" s="199"/>
      <c r="I51" s="199"/>
      <c r="J51" s="200"/>
      <c r="K51" s="200">
        <f>SUBTOTAL(9,K52:K57)</f>
        <v>4236.4490000000005</v>
      </c>
      <c r="L51" s="200"/>
      <c r="M51" s="200"/>
      <c r="N51" s="200"/>
      <c r="O51" s="620"/>
      <c r="P51" s="201"/>
      <c r="Q51" s="620">
        <f>SUBTOTAL(9,Q52:Q57)</f>
        <v>4236.4400000000005</v>
      </c>
      <c r="R51" s="743"/>
      <c r="S51" s="744">
        <f>SUBTOTAL(9,S52:S57)</f>
        <v>0</v>
      </c>
      <c r="T51" s="200"/>
      <c r="U51" s="620">
        <f>SUBTOTAL(9,U52:U57)</f>
        <v>4236.4400000000005</v>
      </c>
      <c r="V51" s="200">
        <f t="shared" ref="V51:V57" si="55">F51-T51</f>
        <v>0</v>
      </c>
      <c r="W51" s="620">
        <f>SUBTOTAL(9,W52:W57)</f>
        <v>-2452.7600000000002</v>
      </c>
    </row>
    <row r="52" spans="1:23" s="131" customFormat="1">
      <c r="A52" s="137" t="s">
        <v>100</v>
      </c>
      <c r="B52" s="133"/>
      <c r="C52" s="658" t="s">
        <v>101</v>
      </c>
      <c r="D52" s="126"/>
      <c r="E52" s="127"/>
      <c r="F52" s="128"/>
      <c r="G52" s="128"/>
      <c r="H52" s="128"/>
      <c r="I52" s="128"/>
      <c r="J52" s="129"/>
      <c r="K52" s="129">
        <f>SUBTOTAL(9,K53:K53)</f>
        <v>1783.68</v>
      </c>
      <c r="L52" s="129"/>
      <c r="M52" s="129"/>
      <c r="N52" s="129"/>
      <c r="O52" s="624"/>
      <c r="P52" s="130"/>
      <c r="Q52" s="624">
        <f>SUBTOTAL(9,Q53:Q53)</f>
        <v>1783.68</v>
      </c>
      <c r="R52" s="743"/>
      <c r="S52" s="744">
        <f>SUBTOTAL(9,S53:S53)</f>
        <v>0</v>
      </c>
      <c r="T52" s="129"/>
      <c r="U52" s="624">
        <f>SUBTOTAL(9,U53:U53)</f>
        <v>1783.68</v>
      </c>
      <c r="V52" s="129">
        <f t="shared" si="55"/>
        <v>0</v>
      </c>
      <c r="W52" s="624">
        <f>SUBTOTAL(9,W53:W53)</f>
        <v>0</v>
      </c>
    </row>
    <row r="53" spans="1:23">
      <c r="A53" s="190" t="s">
        <v>102</v>
      </c>
      <c r="B53" s="191">
        <v>20305</v>
      </c>
      <c r="C53" s="657" t="s">
        <v>103</v>
      </c>
      <c r="D53" s="192" t="s">
        <v>57</v>
      </c>
      <c r="E53" s="193">
        <v>222.96</v>
      </c>
      <c r="F53" s="194">
        <v>8</v>
      </c>
      <c r="G53" s="194"/>
      <c r="H53" s="194"/>
      <c r="I53" s="194"/>
      <c r="J53" s="193">
        <f>F53+H53-I53</f>
        <v>8</v>
      </c>
      <c r="K53" s="193">
        <f>J53*E53</f>
        <v>1783.68</v>
      </c>
      <c r="L53" s="193"/>
      <c r="M53" s="193"/>
      <c r="N53" s="193"/>
      <c r="O53" s="622">
        <f>J53*E53</f>
        <v>1783.68</v>
      </c>
      <c r="P53" s="194">
        <f>'2.1.1.1'!R24</f>
        <v>8</v>
      </c>
      <c r="Q53" s="622">
        <f>TRUNC(P53*E53,2)</f>
        <v>1783.68</v>
      </c>
      <c r="R53" s="745">
        <f>'2.1.1.1'!R25</f>
        <v>0</v>
      </c>
      <c r="S53" s="746">
        <f t="shared" ref="S53" si="56">U53-Q53</f>
        <v>0</v>
      </c>
      <c r="T53" s="194">
        <f>R53+P53</f>
        <v>8</v>
      </c>
      <c r="U53" s="630">
        <f>TRUNC(T53*E53,2)</f>
        <v>1783.68</v>
      </c>
      <c r="V53" s="194">
        <f t="shared" si="55"/>
        <v>0</v>
      </c>
      <c r="W53" s="630">
        <f t="shared" ref="W53" si="57">V53*E53</f>
        <v>0</v>
      </c>
    </row>
    <row r="54" spans="1:23">
      <c r="A54" s="138"/>
      <c r="B54" s="132"/>
      <c r="C54" s="123"/>
      <c r="D54" s="123"/>
      <c r="E54" s="123"/>
      <c r="F54" s="123"/>
      <c r="G54" s="123"/>
      <c r="H54" s="123"/>
      <c r="I54" s="123"/>
      <c r="J54" s="123"/>
      <c r="K54" s="123"/>
      <c r="L54" s="123"/>
      <c r="M54" s="123"/>
      <c r="N54" s="123"/>
      <c r="O54" s="623"/>
      <c r="P54" s="123"/>
      <c r="Q54" s="623"/>
      <c r="R54" s="791"/>
      <c r="S54" s="792"/>
      <c r="T54" s="123"/>
      <c r="U54" s="631"/>
      <c r="V54" s="123"/>
      <c r="W54" s="631"/>
    </row>
    <row r="55" spans="1:23" s="131" customFormat="1">
      <c r="A55" s="137" t="s">
        <v>104</v>
      </c>
      <c r="B55" s="133"/>
      <c r="C55" s="658" t="s">
        <v>105</v>
      </c>
      <c r="D55" s="126"/>
      <c r="E55" s="127"/>
      <c r="F55" s="128"/>
      <c r="G55" s="128"/>
      <c r="H55" s="128"/>
      <c r="I55" s="128"/>
      <c r="J55" s="129"/>
      <c r="K55" s="129">
        <f>SUBTOTAL(9,K56:K57)</f>
        <v>2452.7690000000002</v>
      </c>
      <c r="L55" s="129"/>
      <c r="M55" s="129"/>
      <c r="N55" s="129"/>
      <c r="O55" s="624"/>
      <c r="P55" s="130"/>
      <c r="Q55" s="624">
        <f>SUBTOTAL(9,Q56:Q57)</f>
        <v>2452.7600000000002</v>
      </c>
      <c r="R55" s="743"/>
      <c r="S55" s="744">
        <f>SUBTOTAL(9,S56:S57)</f>
        <v>0</v>
      </c>
      <c r="T55" s="129"/>
      <c r="U55" s="624">
        <f>SUBTOTAL(9,U56:U57)</f>
        <v>2452.7600000000002</v>
      </c>
      <c r="V55" s="129">
        <f t="shared" si="55"/>
        <v>0</v>
      </c>
      <c r="W55" s="624">
        <f t="shared" ref="W55" si="58">J55-U55</f>
        <v>-2452.7600000000002</v>
      </c>
    </row>
    <row r="56" spans="1:23">
      <c r="A56" s="190" t="s">
        <v>106</v>
      </c>
      <c r="B56" s="191">
        <v>10402</v>
      </c>
      <c r="C56" s="657" t="s">
        <v>108</v>
      </c>
      <c r="D56" s="192" t="s">
        <v>57</v>
      </c>
      <c r="E56" s="193">
        <v>3.74</v>
      </c>
      <c r="F56" s="194">
        <v>200.9</v>
      </c>
      <c r="G56" s="194"/>
      <c r="H56" s="194"/>
      <c r="I56" s="194"/>
      <c r="J56" s="193">
        <f>F56+H56-I56</f>
        <v>200.9</v>
      </c>
      <c r="K56" s="193">
        <f>J56*E56</f>
        <v>751.3660000000001</v>
      </c>
      <c r="L56" s="193"/>
      <c r="M56" s="193"/>
      <c r="N56" s="193"/>
      <c r="O56" s="622">
        <f>J56*E56</f>
        <v>751.3660000000001</v>
      </c>
      <c r="P56" s="194">
        <v>200.9</v>
      </c>
      <c r="Q56" s="622">
        <f>TRUNC(P56*E56,2)</f>
        <v>751.36</v>
      </c>
      <c r="R56" s="745">
        <v>0</v>
      </c>
      <c r="S56" s="746">
        <f t="shared" ref="S56:S57" si="59">U56-Q56</f>
        <v>0</v>
      </c>
      <c r="T56" s="194">
        <f>R56+P56</f>
        <v>200.9</v>
      </c>
      <c r="U56" s="630">
        <f>TRUNC(T56*E56,2)</f>
        <v>751.36</v>
      </c>
      <c r="V56" s="194">
        <f t="shared" si="55"/>
        <v>0</v>
      </c>
      <c r="W56" s="630">
        <f t="shared" ref="W56:W57" si="60">V56*E56</f>
        <v>0</v>
      </c>
    </row>
    <row r="57" spans="1:23" ht="38.25">
      <c r="A57" s="190" t="s">
        <v>107</v>
      </c>
      <c r="B57" s="191">
        <v>30304</v>
      </c>
      <c r="C57" s="657" t="s">
        <v>109</v>
      </c>
      <c r="D57" s="192" t="s">
        <v>58</v>
      </c>
      <c r="E57" s="193">
        <v>56.45</v>
      </c>
      <c r="F57" s="194">
        <v>30.14</v>
      </c>
      <c r="G57" s="194"/>
      <c r="H57" s="194"/>
      <c r="I57" s="194"/>
      <c r="J57" s="193">
        <f>F57+H57-I57</f>
        <v>30.14</v>
      </c>
      <c r="K57" s="193">
        <f>J57*E57</f>
        <v>1701.403</v>
      </c>
      <c r="L57" s="193"/>
      <c r="M57" s="193"/>
      <c r="N57" s="193"/>
      <c r="O57" s="622">
        <f>J57*E57</f>
        <v>1701.403</v>
      </c>
      <c r="P57" s="194">
        <v>30.14</v>
      </c>
      <c r="Q57" s="622">
        <f t="shared" ref="Q57" si="61">TRUNC(P57*E57,2)</f>
        <v>1701.4</v>
      </c>
      <c r="R57" s="745">
        <v>0</v>
      </c>
      <c r="S57" s="746">
        <f t="shared" si="59"/>
        <v>0</v>
      </c>
      <c r="T57" s="194">
        <f t="shared" ref="T57" si="62">R57+P57</f>
        <v>30.14</v>
      </c>
      <c r="U57" s="630">
        <f t="shared" ref="U57" si="63">TRUNC(T57*E57,2)</f>
        <v>1701.4</v>
      </c>
      <c r="V57" s="194">
        <f t="shared" si="55"/>
        <v>0</v>
      </c>
      <c r="W57" s="630">
        <f t="shared" si="60"/>
        <v>0</v>
      </c>
    </row>
    <row r="58" spans="1:23">
      <c r="A58" s="138"/>
      <c r="B58" s="132"/>
      <c r="C58" s="123"/>
      <c r="D58" s="123"/>
      <c r="E58" s="123"/>
      <c r="F58" s="123"/>
      <c r="G58" s="123"/>
      <c r="H58" s="123"/>
      <c r="I58" s="123"/>
      <c r="J58" s="123"/>
      <c r="K58" s="123"/>
      <c r="L58" s="123"/>
      <c r="M58" s="123"/>
      <c r="N58" s="123"/>
      <c r="O58" s="623"/>
      <c r="P58" s="123"/>
      <c r="Q58" s="623"/>
      <c r="R58" s="791"/>
      <c r="S58" s="792"/>
      <c r="T58" s="123"/>
      <c r="U58" s="631"/>
      <c r="V58" s="123"/>
      <c r="W58" s="631"/>
    </row>
    <row r="59" spans="1:23" s="213" customFormat="1">
      <c r="A59" s="210" t="s">
        <v>22</v>
      </c>
      <c r="B59" s="211"/>
      <c r="C59" s="655" t="s">
        <v>56</v>
      </c>
      <c r="D59" s="197"/>
      <c r="E59" s="198"/>
      <c r="F59" s="199"/>
      <c r="G59" s="199"/>
      <c r="H59" s="199"/>
      <c r="I59" s="199"/>
      <c r="J59" s="200"/>
      <c r="K59" s="200">
        <f>SUBTOTAL(9,K60:K64)</f>
        <v>4949.4133999999995</v>
      </c>
      <c r="L59" s="200"/>
      <c r="M59" s="200"/>
      <c r="N59" s="200"/>
      <c r="O59" s="620"/>
      <c r="P59" s="201"/>
      <c r="Q59" s="620">
        <f>SUBTOTAL(9,Q60:Q64)</f>
        <v>4949.41</v>
      </c>
      <c r="R59" s="743"/>
      <c r="S59" s="744">
        <f>SUBTOTAL(9,S60:S64)</f>
        <v>0</v>
      </c>
      <c r="T59" s="200"/>
      <c r="U59" s="620">
        <f>SUBTOTAL(9,U60:U64)</f>
        <v>4949.41</v>
      </c>
      <c r="V59" s="200">
        <f t="shared" ref="V59:V67" si="64">F59-T59</f>
        <v>0</v>
      </c>
      <c r="W59" s="620">
        <f>SUBTOTAL(9,W60:W64)</f>
        <v>0</v>
      </c>
    </row>
    <row r="60" spans="1:23" s="131" customFormat="1">
      <c r="A60" s="137" t="s">
        <v>110</v>
      </c>
      <c r="B60" s="133"/>
      <c r="C60" s="658" t="s">
        <v>111</v>
      </c>
      <c r="D60" s="126"/>
      <c r="E60" s="127"/>
      <c r="F60" s="128"/>
      <c r="G60" s="128"/>
      <c r="H60" s="128"/>
      <c r="I60" s="128"/>
      <c r="J60" s="129"/>
      <c r="K60" s="129">
        <f>SUBTOTAL(9,K61:K64)</f>
        <v>4949.4133999999995</v>
      </c>
      <c r="L60" s="129"/>
      <c r="M60" s="129"/>
      <c r="N60" s="129"/>
      <c r="O60" s="624"/>
      <c r="P60" s="130"/>
      <c r="Q60" s="624">
        <f>SUBTOTAL(9,Q61:Q64)</f>
        <v>4949.41</v>
      </c>
      <c r="R60" s="743"/>
      <c r="S60" s="744">
        <f>SUBTOTAL(9,S61:S64)</f>
        <v>0</v>
      </c>
      <c r="T60" s="129"/>
      <c r="U60" s="624">
        <f>SUBTOTAL(9,U61:U64)</f>
        <v>4949.41</v>
      </c>
      <c r="V60" s="129">
        <f t="shared" si="64"/>
        <v>0</v>
      </c>
      <c r="W60" s="624">
        <f>SUBTOTAL(9,W61:W64)</f>
        <v>0</v>
      </c>
    </row>
    <row r="61" spans="1:23">
      <c r="A61" s="190" t="s">
        <v>112</v>
      </c>
      <c r="B61" s="191">
        <v>30103</v>
      </c>
      <c r="C61" s="657" t="s">
        <v>116</v>
      </c>
      <c r="D61" s="192" t="s">
        <v>58</v>
      </c>
      <c r="E61" s="193">
        <v>9.81</v>
      </c>
      <c r="F61" s="194">
        <v>75.569999999999993</v>
      </c>
      <c r="G61" s="194"/>
      <c r="H61" s="194"/>
      <c r="I61" s="194"/>
      <c r="J61" s="193">
        <f>F61+H61-I61</f>
        <v>75.569999999999993</v>
      </c>
      <c r="K61" s="193">
        <f>J61*E61</f>
        <v>741.34169999999995</v>
      </c>
      <c r="L61" s="193"/>
      <c r="M61" s="193"/>
      <c r="N61" s="193"/>
      <c r="O61" s="622">
        <f>J61*E61</f>
        <v>741.34169999999995</v>
      </c>
      <c r="P61" s="194">
        <v>75.569999999999993</v>
      </c>
      <c r="Q61" s="622">
        <f t="shared" ref="Q61" si="65">TRUNC(P61*E61,2)</f>
        <v>741.34</v>
      </c>
      <c r="R61" s="745">
        <v>0</v>
      </c>
      <c r="S61" s="746">
        <f t="shared" ref="S61" si="66">U61-Q61</f>
        <v>0</v>
      </c>
      <c r="T61" s="194">
        <f t="shared" ref="T61" si="67">R61+P61</f>
        <v>75.569999999999993</v>
      </c>
      <c r="U61" s="630">
        <f t="shared" ref="U61" si="68">TRUNC(T61*E61,2)</f>
        <v>741.34</v>
      </c>
      <c r="V61" s="194">
        <f t="shared" si="64"/>
        <v>0</v>
      </c>
      <c r="W61" s="630">
        <f t="shared" ref="W61:W64" si="69">V61*E61</f>
        <v>0</v>
      </c>
    </row>
    <row r="62" spans="1:23" ht="25.5">
      <c r="A62" s="190" t="s">
        <v>113</v>
      </c>
      <c r="B62" s="191">
        <v>30210</v>
      </c>
      <c r="C62" s="657" t="s">
        <v>117</v>
      </c>
      <c r="D62" s="192" t="s">
        <v>58</v>
      </c>
      <c r="E62" s="193">
        <v>25.99</v>
      </c>
      <c r="F62" s="194">
        <v>12.88</v>
      </c>
      <c r="G62" s="194"/>
      <c r="H62" s="194"/>
      <c r="I62" s="194"/>
      <c r="J62" s="193">
        <f t="shared" ref="J62:J64" si="70">F62+H62-I62</f>
        <v>12.88</v>
      </c>
      <c r="K62" s="193">
        <f t="shared" ref="K62:K64" si="71">J62*E62</f>
        <v>334.75119999999998</v>
      </c>
      <c r="L62" s="193"/>
      <c r="M62" s="193"/>
      <c r="N62" s="193"/>
      <c r="O62" s="622">
        <f t="shared" ref="O62:O64" si="72">J62*E62</f>
        <v>334.75119999999998</v>
      </c>
      <c r="P62" s="194">
        <v>12.88</v>
      </c>
      <c r="Q62" s="622">
        <f>TRUNC(P62*E62,2)</f>
        <v>334.75</v>
      </c>
      <c r="R62" s="745">
        <v>0</v>
      </c>
      <c r="S62" s="746">
        <f>U62-Q62</f>
        <v>0</v>
      </c>
      <c r="T62" s="194">
        <f>R62+P62</f>
        <v>12.88</v>
      </c>
      <c r="U62" s="630">
        <f>TRUNC(T62*E62,2)</f>
        <v>334.75</v>
      </c>
      <c r="V62" s="194">
        <f t="shared" si="64"/>
        <v>0</v>
      </c>
      <c r="W62" s="630">
        <f t="shared" si="69"/>
        <v>0</v>
      </c>
    </row>
    <row r="63" spans="1:23">
      <c r="A63" s="190" t="s">
        <v>114</v>
      </c>
      <c r="B63" s="191">
        <v>10404</v>
      </c>
      <c r="C63" s="657" t="s">
        <v>118</v>
      </c>
      <c r="D63" s="192" t="s">
        <v>59</v>
      </c>
      <c r="E63" s="193">
        <v>111.49</v>
      </c>
      <c r="F63" s="194">
        <v>3</v>
      </c>
      <c r="G63" s="194"/>
      <c r="H63" s="194"/>
      <c r="I63" s="194"/>
      <c r="J63" s="193">
        <f t="shared" si="70"/>
        <v>3</v>
      </c>
      <c r="K63" s="193">
        <f t="shared" si="71"/>
        <v>334.46999999999997</v>
      </c>
      <c r="L63" s="193"/>
      <c r="M63" s="193"/>
      <c r="N63" s="193"/>
      <c r="O63" s="622">
        <f t="shared" si="72"/>
        <v>334.46999999999997</v>
      </c>
      <c r="P63" s="194">
        <v>3</v>
      </c>
      <c r="Q63" s="622">
        <f t="shared" ref="Q63:Q64" si="73">TRUNC(P63*E63,2)</f>
        <v>334.47</v>
      </c>
      <c r="R63" s="745">
        <v>0</v>
      </c>
      <c r="S63" s="746">
        <f t="shared" ref="S63:S64" si="74">U63-Q63</f>
        <v>0</v>
      </c>
      <c r="T63" s="194">
        <f t="shared" ref="T63:T64" si="75">R63+P63</f>
        <v>3</v>
      </c>
      <c r="U63" s="630">
        <f t="shared" ref="U63:U64" si="76">TRUNC(T63*E63,2)</f>
        <v>334.47</v>
      </c>
      <c r="V63" s="194">
        <f t="shared" si="64"/>
        <v>0</v>
      </c>
      <c r="W63" s="630">
        <f t="shared" si="69"/>
        <v>0</v>
      </c>
    </row>
    <row r="64" spans="1:23" ht="38.25">
      <c r="A64" s="190" t="s">
        <v>115</v>
      </c>
      <c r="B64" s="191">
        <v>30304</v>
      </c>
      <c r="C64" s="657" t="s">
        <v>109</v>
      </c>
      <c r="D64" s="192" t="s">
        <v>58</v>
      </c>
      <c r="E64" s="193">
        <v>56.45</v>
      </c>
      <c r="F64" s="194">
        <v>62.69</v>
      </c>
      <c r="G64" s="194"/>
      <c r="H64" s="194"/>
      <c r="I64" s="194"/>
      <c r="J64" s="193">
        <f t="shared" si="70"/>
        <v>62.69</v>
      </c>
      <c r="K64" s="193">
        <f t="shared" si="71"/>
        <v>3538.8505</v>
      </c>
      <c r="L64" s="193"/>
      <c r="M64" s="193"/>
      <c r="N64" s="193"/>
      <c r="O64" s="622">
        <f t="shared" si="72"/>
        <v>3538.8505</v>
      </c>
      <c r="P64" s="194">
        <v>62.69</v>
      </c>
      <c r="Q64" s="622">
        <f t="shared" si="73"/>
        <v>3538.85</v>
      </c>
      <c r="R64" s="745">
        <v>0</v>
      </c>
      <c r="S64" s="746">
        <f t="shared" si="74"/>
        <v>0</v>
      </c>
      <c r="T64" s="194">
        <f t="shared" si="75"/>
        <v>62.69</v>
      </c>
      <c r="U64" s="630">
        <f t="shared" si="76"/>
        <v>3538.85</v>
      </c>
      <c r="V64" s="194">
        <f t="shared" si="64"/>
        <v>0</v>
      </c>
      <c r="W64" s="630">
        <f t="shared" si="69"/>
        <v>0</v>
      </c>
    </row>
    <row r="65" spans="1:23" s="213" customFormat="1">
      <c r="A65" s="210" t="s">
        <v>23</v>
      </c>
      <c r="B65" s="211"/>
      <c r="C65" s="655" t="s">
        <v>119</v>
      </c>
      <c r="D65" s="197"/>
      <c r="E65" s="198"/>
      <c r="F65" s="199"/>
      <c r="G65" s="199"/>
      <c r="H65" s="199"/>
      <c r="I65" s="199"/>
      <c r="J65" s="200"/>
      <c r="K65" s="200">
        <f>SUBTOTAL(9,K66:K137)</f>
        <v>370258.19620000012</v>
      </c>
      <c r="L65" s="200"/>
      <c r="M65" s="200"/>
      <c r="N65" s="200"/>
      <c r="O65" s="620"/>
      <c r="P65" s="201"/>
      <c r="Q65" s="620">
        <f>SUBTOTAL(9,Q66:Q137)</f>
        <v>359154.30000000022</v>
      </c>
      <c r="R65" s="743"/>
      <c r="S65" s="744">
        <f>SUBTOTAL(9,S66:S137)</f>
        <v>8746.6</v>
      </c>
      <c r="T65" s="200"/>
      <c r="U65" s="620">
        <f>SUBTOTAL(9,U66:U137)</f>
        <v>368777.77000000019</v>
      </c>
      <c r="V65" s="200">
        <f t="shared" si="64"/>
        <v>0</v>
      </c>
      <c r="W65" s="620">
        <f>SUBTOTAL(9,W66:W137)</f>
        <v>10226.175799999992</v>
      </c>
    </row>
    <row r="66" spans="1:23" s="131" customFormat="1">
      <c r="A66" s="137" t="s">
        <v>121</v>
      </c>
      <c r="B66" s="133"/>
      <c r="C66" s="658" t="s">
        <v>98</v>
      </c>
      <c r="D66" s="126"/>
      <c r="E66" s="127"/>
      <c r="F66" s="128"/>
      <c r="G66" s="128"/>
      <c r="H66" s="128"/>
      <c r="I66" s="128"/>
      <c r="J66" s="129"/>
      <c r="K66" s="129">
        <f>SUBTOTAL(9,K67:K68)</f>
        <v>2421.797</v>
      </c>
      <c r="L66" s="129"/>
      <c r="M66" s="129"/>
      <c r="N66" s="129"/>
      <c r="O66" s="624"/>
      <c r="P66" s="130"/>
      <c r="Q66" s="624">
        <f>SUBTOTAL(9,Q67)</f>
        <v>1544.92</v>
      </c>
      <c r="R66" s="743"/>
      <c r="S66" s="744">
        <f>SUBTOTAL(9,S67)</f>
        <v>0</v>
      </c>
      <c r="T66" s="129"/>
      <c r="U66" s="624">
        <f>SUBTOTAL(9,U67)</f>
        <v>1544.92</v>
      </c>
      <c r="V66" s="129">
        <f t="shared" si="64"/>
        <v>0</v>
      </c>
      <c r="W66" s="624">
        <f>SUBTOTAL(9,W67)</f>
        <v>0</v>
      </c>
    </row>
    <row r="67" spans="1:23" ht="14.25" customHeight="1">
      <c r="A67" s="190" t="s">
        <v>120</v>
      </c>
      <c r="B67" s="191">
        <v>10501</v>
      </c>
      <c r="C67" s="657" t="s">
        <v>122</v>
      </c>
      <c r="D67" s="192" t="s">
        <v>57</v>
      </c>
      <c r="E67" s="193">
        <v>7.69</v>
      </c>
      <c r="F67" s="194">
        <v>200.9</v>
      </c>
      <c r="G67" s="194"/>
      <c r="H67" s="194"/>
      <c r="I67" s="194"/>
      <c r="J67" s="193">
        <f t="shared" ref="J67" si="77">F67+H67-I67</f>
        <v>200.9</v>
      </c>
      <c r="K67" s="193">
        <f t="shared" ref="K67" si="78">J67*E67</f>
        <v>1544.921</v>
      </c>
      <c r="L67" s="193"/>
      <c r="M67" s="193"/>
      <c r="N67" s="193"/>
      <c r="O67" s="622">
        <f t="shared" ref="O67" si="79">J67*E67</f>
        <v>1544.921</v>
      </c>
      <c r="P67" s="194">
        <f>'2.3.1.1'!R18</f>
        <v>200.9</v>
      </c>
      <c r="Q67" s="622">
        <f t="shared" ref="Q67" si="80">TRUNC(P67*E67,2)</f>
        <v>1544.92</v>
      </c>
      <c r="R67" s="745">
        <f>'2.3.1.1'!R19</f>
        <v>0</v>
      </c>
      <c r="S67" s="746">
        <f t="shared" ref="S67" si="81">U67-Q67</f>
        <v>0</v>
      </c>
      <c r="T67" s="194">
        <f t="shared" ref="T67:T68" si="82">R67+P67</f>
        <v>200.9</v>
      </c>
      <c r="U67" s="630">
        <f t="shared" ref="U67:U68" si="83">TRUNC(T67*E67,2)</f>
        <v>1544.92</v>
      </c>
      <c r="V67" s="194">
        <f t="shared" si="64"/>
        <v>0</v>
      </c>
      <c r="W67" s="630">
        <f t="shared" ref="W67:W68" si="84">V67*E67</f>
        <v>0</v>
      </c>
    </row>
    <row r="68" spans="1:23">
      <c r="A68" s="190" t="s">
        <v>1094</v>
      </c>
      <c r="B68" s="191" t="str">
        <f>REPLANILHAMENTO!B53</f>
        <v>020346</v>
      </c>
      <c r="C68" s="657" t="str">
        <f>REPLANILHAMENTO!D53</f>
        <v>Locação de andaime metálico para fachada - tipo torre (aluguel mensal)</v>
      </c>
      <c r="D68" s="192" t="str">
        <f>REPLANILHAMENTO!E53</f>
        <v>m</v>
      </c>
      <c r="E68" s="193">
        <f>REPLANILHAMENTO!F53</f>
        <v>8.0299999999999994</v>
      </c>
      <c r="F68" s="194">
        <v>0</v>
      </c>
      <c r="G68" s="194"/>
      <c r="H68" s="194">
        <f>REPLANILHAMENTO!H53</f>
        <v>109.2</v>
      </c>
      <c r="I68" s="194"/>
      <c r="J68" s="194">
        <f>F68+H68-I68</f>
        <v>109.2</v>
      </c>
      <c r="K68" s="193">
        <f>J68*E68</f>
        <v>876.87599999999998</v>
      </c>
      <c r="L68" s="193">
        <f>H68*E68</f>
        <v>876.87599999999998</v>
      </c>
      <c r="M68" s="193"/>
      <c r="N68" s="193"/>
      <c r="O68" s="622">
        <f>K68+L68-N68</f>
        <v>1753.752</v>
      </c>
      <c r="P68" s="560">
        <v>109.2</v>
      </c>
      <c r="Q68" s="622">
        <v>0</v>
      </c>
      <c r="R68" s="745">
        <v>0</v>
      </c>
      <c r="S68" s="746">
        <f>R68*E68</f>
        <v>0</v>
      </c>
      <c r="T68" s="622">
        <f t="shared" si="82"/>
        <v>109.2</v>
      </c>
      <c r="U68" s="622">
        <f t="shared" si="83"/>
        <v>876.87</v>
      </c>
      <c r="V68" s="194">
        <f>J68-T68</f>
        <v>0</v>
      </c>
      <c r="W68" s="630">
        <f t="shared" si="84"/>
        <v>0</v>
      </c>
    </row>
    <row r="69" spans="1:23">
      <c r="A69" s="138"/>
      <c r="B69" s="132"/>
      <c r="C69" s="123"/>
      <c r="D69" s="123"/>
      <c r="E69" s="123"/>
      <c r="F69" s="123"/>
      <c r="G69" s="123"/>
      <c r="H69" s="123"/>
      <c r="I69" s="123"/>
      <c r="J69" s="123"/>
      <c r="K69" s="123"/>
      <c r="L69" s="123"/>
      <c r="M69" s="123"/>
      <c r="N69" s="123"/>
      <c r="O69" s="623"/>
      <c r="P69" s="123"/>
      <c r="Q69" s="623"/>
      <c r="R69" s="791"/>
      <c r="S69" s="792"/>
      <c r="T69" s="123"/>
      <c r="U69" s="631"/>
      <c r="V69" s="123"/>
      <c r="W69" s="631"/>
    </row>
    <row r="70" spans="1:23" s="131" customFormat="1">
      <c r="A70" s="137" t="s">
        <v>123</v>
      </c>
      <c r="B70" s="133"/>
      <c r="C70" s="658" t="s">
        <v>124</v>
      </c>
      <c r="D70" s="126"/>
      <c r="E70" s="127"/>
      <c r="F70" s="128"/>
      <c r="G70" s="128"/>
      <c r="H70" s="128"/>
      <c r="I70" s="128"/>
      <c r="J70" s="129">
        <v>121328.59</v>
      </c>
      <c r="K70" s="129">
        <f>SUBTOTAL(9,K71:K81)</f>
        <v>121328.59760000001</v>
      </c>
      <c r="L70" s="129"/>
      <c r="M70" s="129"/>
      <c r="N70" s="129"/>
      <c r="O70" s="624"/>
      <c r="P70" s="130"/>
      <c r="Q70" s="624">
        <f>SUBTOTAL(9,Q71:Q81)</f>
        <v>116536.23</v>
      </c>
      <c r="R70" s="743"/>
      <c r="S70" s="744">
        <f>SUBTOTAL(9,S71:S81)</f>
        <v>0</v>
      </c>
      <c r="T70" s="129"/>
      <c r="U70" s="624">
        <f>SUBTOTAL(9,U71:U81)</f>
        <v>116536.23</v>
      </c>
      <c r="V70" s="129">
        <f t="shared" ref="V70:V84" si="85">F70-T70</f>
        <v>0</v>
      </c>
      <c r="W70" s="624">
        <f>SUBTOTAL(9,W71:W81)</f>
        <v>4791.6359999999968</v>
      </c>
    </row>
    <row r="71" spans="1:23" ht="25.5">
      <c r="A71" s="190" t="s">
        <v>125</v>
      </c>
      <c r="B71" s="191" t="s">
        <v>136</v>
      </c>
      <c r="C71" s="657" t="s">
        <v>141</v>
      </c>
      <c r="D71" s="192" t="s">
        <v>60</v>
      </c>
      <c r="E71" s="193">
        <v>462.96</v>
      </c>
      <c r="F71" s="194">
        <v>85</v>
      </c>
      <c r="G71" s="194"/>
      <c r="H71" s="194"/>
      <c r="I71" s="194"/>
      <c r="J71" s="193">
        <f t="shared" ref="J71:J81" si="86">F71+H71-I71</f>
        <v>85</v>
      </c>
      <c r="K71" s="193">
        <f t="shared" ref="K71:K81" si="87">J71*E71</f>
        <v>39351.599999999999</v>
      </c>
      <c r="L71" s="193"/>
      <c r="M71" s="193"/>
      <c r="N71" s="193"/>
      <c r="O71" s="622">
        <f t="shared" ref="O71:O81" si="88">J71*E71</f>
        <v>39351.599999999999</v>
      </c>
      <c r="P71" s="194">
        <f>'2.3.2.1'!R26</f>
        <v>74.650000000000006</v>
      </c>
      <c r="Q71" s="622">
        <f t="shared" ref="Q71" si="89">TRUNC(P71*E71,2)</f>
        <v>34559.96</v>
      </c>
      <c r="R71" s="745">
        <f>'2.3.2.1'!R27</f>
        <v>0</v>
      </c>
      <c r="S71" s="746">
        <f t="shared" ref="S71" si="90">U71-Q71</f>
        <v>0</v>
      </c>
      <c r="T71" s="194">
        <f>R71+P71</f>
        <v>74.650000000000006</v>
      </c>
      <c r="U71" s="630">
        <f t="shared" ref="U71" si="91">TRUNC(T71*E71,2)</f>
        <v>34559.96</v>
      </c>
      <c r="V71" s="194">
        <f t="shared" si="85"/>
        <v>10.349999999999994</v>
      </c>
      <c r="W71" s="630">
        <f t="shared" ref="W71:W81" si="92">V71*E71</f>
        <v>4791.6359999999968</v>
      </c>
    </row>
    <row r="72" spans="1:23">
      <c r="A72" s="190" t="s">
        <v>126</v>
      </c>
      <c r="B72" s="191" t="s">
        <v>137</v>
      </c>
      <c r="C72" s="657" t="s">
        <v>142</v>
      </c>
      <c r="D72" s="192" t="s">
        <v>49</v>
      </c>
      <c r="E72" s="193">
        <v>596.34</v>
      </c>
      <c r="F72" s="194">
        <v>35.71</v>
      </c>
      <c r="G72" s="194"/>
      <c r="H72" s="194"/>
      <c r="I72" s="194"/>
      <c r="J72" s="194">
        <f t="shared" si="86"/>
        <v>35.71</v>
      </c>
      <c r="K72" s="193">
        <f t="shared" si="87"/>
        <v>21295.3014</v>
      </c>
      <c r="L72" s="193"/>
      <c r="M72" s="193"/>
      <c r="N72" s="193"/>
      <c r="O72" s="622">
        <f t="shared" si="88"/>
        <v>21295.3014</v>
      </c>
      <c r="P72" s="194">
        <f>'2.3.2.2'!R18</f>
        <v>35.708800000000004</v>
      </c>
      <c r="Q72" s="622">
        <f>TRUNC(P72*E72,2)</f>
        <v>21294.58</v>
      </c>
      <c r="R72" s="745">
        <v>0</v>
      </c>
      <c r="S72" s="795">
        <f>U72-Q72</f>
        <v>0</v>
      </c>
      <c r="T72" s="194">
        <f>R72+P72</f>
        <v>35.708800000000004</v>
      </c>
      <c r="U72" s="630">
        <f>TRUNC(T72*E72,2)</f>
        <v>21294.58</v>
      </c>
      <c r="V72" s="194">
        <v>0</v>
      </c>
      <c r="W72" s="630">
        <f t="shared" si="92"/>
        <v>0</v>
      </c>
    </row>
    <row r="73" spans="1:23" ht="27" customHeight="1">
      <c r="A73" s="190" t="s">
        <v>127</v>
      </c>
      <c r="B73" s="191" t="s">
        <v>138</v>
      </c>
      <c r="C73" s="657" t="s">
        <v>143</v>
      </c>
      <c r="D73" s="192" t="s">
        <v>29</v>
      </c>
      <c r="E73" s="193">
        <v>4.82</v>
      </c>
      <c r="F73" s="194">
        <v>512</v>
      </c>
      <c r="G73" s="194"/>
      <c r="H73" s="194"/>
      <c r="I73" s="194"/>
      <c r="J73" s="193">
        <f t="shared" si="86"/>
        <v>512</v>
      </c>
      <c r="K73" s="193">
        <f t="shared" si="87"/>
        <v>2467.84</v>
      </c>
      <c r="L73" s="193"/>
      <c r="M73" s="193"/>
      <c r="N73" s="193"/>
      <c r="O73" s="622">
        <f t="shared" si="88"/>
        <v>2467.84</v>
      </c>
      <c r="P73" s="194">
        <f>'2.3.2.3'!R18</f>
        <v>512</v>
      </c>
      <c r="Q73" s="622">
        <f t="shared" ref="Q73:Q79" si="93">TRUNC(P73*E73,2)</f>
        <v>2467.84</v>
      </c>
      <c r="R73" s="745">
        <f>'2.3.2.3'!R19</f>
        <v>0</v>
      </c>
      <c r="S73" s="746">
        <f t="shared" ref="S73:S79" si="94">U73-Q73</f>
        <v>0</v>
      </c>
      <c r="T73" s="194">
        <f t="shared" ref="T73:T79" si="95">R73+P73</f>
        <v>512</v>
      </c>
      <c r="U73" s="630">
        <f t="shared" ref="U73:U79" si="96">TRUNC(T73*E73,2)</f>
        <v>2467.84</v>
      </c>
      <c r="V73" s="194">
        <f>J73-T73</f>
        <v>0</v>
      </c>
      <c r="W73" s="630">
        <f t="shared" si="92"/>
        <v>0</v>
      </c>
    </row>
    <row r="74" spans="1:23" ht="25.5">
      <c r="A74" s="190" t="s">
        <v>128</v>
      </c>
      <c r="B74" s="191" t="s">
        <v>139</v>
      </c>
      <c r="C74" s="657" t="s">
        <v>144</v>
      </c>
      <c r="D74" s="192" t="s">
        <v>29</v>
      </c>
      <c r="E74" s="193">
        <v>6.12</v>
      </c>
      <c r="F74" s="194">
        <v>4419.01</v>
      </c>
      <c r="G74" s="194"/>
      <c r="H74" s="194"/>
      <c r="I74" s="194"/>
      <c r="J74" s="193">
        <f t="shared" si="86"/>
        <v>4419.01</v>
      </c>
      <c r="K74" s="193">
        <f t="shared" si="87"/>
        <v>27044.341200000003</v>
      </c>
      <c r="L74" s="193"/>
      <c r="M74" s="193"/>
      <c r="N74" s="193"/>
      <c r="O74" s="622">
        <f t="shared" si="88"/>
        <v>27044.341200000003</v>
      </c>
      <c r="P74" s="194">
        <f>'2.3.2.4'!R18</f>
        <v>4419.01</v>
      </c>
      <c r="Q74" s="622">
        <f t="shared" si="93"/>
        <v>27044.34</v>
      </c>
      <c r="R74" s="745">
        <f>'2.3.2.4'!R19</f>
        <v>0</v>
      </c>
      <c r="S74" s="746">
        <f t="shared" si="94"/>
        <v>0</v>
      </c>
      <c r="T74" s="194">
        <f t="shared" si="95"/>
        <v>4419.01</v>
      </c>
      <c r="U74" s="630">
        <f t="shared" si="96"/>
        <v>27044.34</v>
      </c>
      <c r="V74" s="194">
        <f t="shared" ref="V74:V81" si="97">J74-T74</f>
        <v>0</v>
      </c>
      <c r="W74" s="630">
        <f t="shared" si="92"/>
        <v>0</v>
      </c>
    </row>
    <row r="75" spans="1:23" ht="25.5">
      <c r="A75" s="190" t="s">
        <v>129</v>
      </c>
      <c r="B75" s="191">
        <v>30101</v>
      </c>
      <c r="C75" s="657" t="s">
        <v>145</v>
      </c>
      <c r="D75" s="192" t="s">
        <v>58</v>
      </c>
      <c r="E75" s="193">
        <v>48.58</v>
      </c>
      <c r="F75" s="194">
        <v>6.3</v>
      </c>
      <c r="G75" s="194"/>
      <c r="H75" s="194"/>
      <c r="I75" s="194"/>
      <c r="J75" s="193">
        <f t="shared" si="86"/>
        <v>6.3</v>
      </c>
      <c r="K75" s="193">
        <f t="shared" si="87"/>
        <v>306.05399999999997</v>
      </c>
      <c r="L75" s="193"/>
      <c r="M75" s="193"/>
      <c r="N75" s="193"/>
      <c r="O75" s="622">
        <f t="shared" si="88"/>
        <v>306.05399999999997</v>
      </c>
      <c r="P75" s="194">
        <f>'2.3.2.5'!R18</f>
        <v>6.3</v>
      </c>
      <c r="Q75" s="622">
        <f t="shared" si="93"/>
        <v>306.05</v>
      </c>
      <c r="R75" s="745">
        <f>'2.3.2.5'!R19</f>
        <v>0</v>
      </c>
      <c r="S75" s="746">
        <f t="shared" si="94"/>
        <v>0</v>
      </c>
      <c r="T75" s="194">
        <f t="shared" si="95"/>
        <v>6.3</v>
      </c>
      <c r="U75" s="630">
        <f t="shared" si="96"/>
        <v>306.05</v>
      </c>
      <c r="V75" s="194">
        <f t="shared" si="97"/>
        <v>0</v>
      </c>
      <c r="W75" s="630">
        <f t="shared" si="92"/>
        <v>0</v>
      </c>
    </row>
    <row r="76" spans="1:23" ht="63" customHeight="1">
      <c r="A76" s="190" t="s">
        <v>130</v>
      </c>
      <c r="B76" s="191">
        <v>40339</v>
      </c>
      <c r="C76" s="657" t="s">
        <v>146</v>
      </c>
      <c r="D76" s="192" t="s">
        <v>57</v>
      </c>
      <c r="E76" s="193">
        <v>91.04</v>
      </c>
      <c r="F76" s="194">
        <v>108</v>
      </c>
      <c r="G76" s="194"/>
      <c r="H76" s="194"/>
      <c r="I76" s="194"/>
      <c r="J76" s="193">
        <f t="shared" si="86"/>
        <v>108</v>
      </c>
      <c r="K76" s="193">
        <f t="shared" si="87"/>
        <v>9832.3200000000015</v>
      </c>
      <c r="L76" s="193"/>
      <c r="M76" s="193"/>
      <c r="N76" s="193"/>
      <c r="O76" s="622">
        <f t="shared" si="88"/>
        <v>9832.3200000000015</v>
      </c>
      <c r="P76" s="194">
        <v>108</v>
      </c>
      <c r="Q76" s="622">
        <f t="shared" si="93"/>
        <v>9832.32</v>
      </c>
      <c r="R76" s="745">
        <v>0</v>
      </c>
      <c r="S76" s="746">
        <f t="shared" si="94"/>
        <v>0</v>
      </c>
      <c r="T76" s="194">
        <f t="shared" si="95"/>
        <v>108</v>
      </c>
      <c r="U76" s="630">
        <f t="shared" si="96"/>
        <v>9832.32</v>
      </c>
      <c r="V76" s="194">
        <f t="shared" si="97"/>
        <v>0</v>
      </c>
      <c r="W76" s="630">
        <f t="shared" si="92"/>
        <v>0</v>
      </c>
    </row>
    <row r="77" spans="1:23" ht="25.5">
      <c r="A77" s="190" t="s">
        <v>131</v>
      </c>
      <c r="B77" s="191">
        <v>40328</v>
      </c>
      <c r="C77" s="657" t="s">
        <v>147</v>
      </c>
      <c r="D77" s="192" t="s">
        <v>29</v>
      </c>
      <c r="E77" s="193">
        <v>7.98</v>
      </c>
      <c r="F77" s="194">
        <v>594</v>
      </c>
      <c r="G77" s="194"/>
      <c r="H77" s="194"/>
      <c r="I77" s="194"/>
      <c r="J77" s="193">
        <f t="shared" si="86"/>
        <v>594</v>
      </c>
      <c r="K77" s="193">
        <f t="shared" si="87"/>
        <v>4740.12</v>
      </c>
      <c r="L77" s="193"/>
      <c r="M77" s="193"/>
      <c r="N77" s="193"/>
      <c r="O77" s="622">
        <f t="shared" si="88"/>
        <v>4740.12</v>
      </c>
      <c r="P77" s="194">
        <v>594</v>
      </c>
      <c r="Q77" s="622">
        <f t="shared" si="93"/>
        <v>4740.12</v>
      </c>
      <c r="R77" s="745">
        <v>0</v>
      </c>
      <c r="S77" s="746">
        <f t="shared" si="94"/>
        <v>0</v>
      </c>
      <c r="T77" s="194">
        <f t="shared" si="95"/>
        <v>594</v>
      </c>
      <c r="U77" s="630">
        <f t="shared" si="96"/>
        <v>4740.12</v>
      </c>
      <c r="V77" s="194">
        <f t="shared" si="97"/>
        <v>0</v>
      </c>
      <c r="W77" s="630">
        <f t="shared" si="92"/>
        <v>0</v>
      </c>
    </row>
    <row r="78" spans="1:23" ht="25.5">
      <c r="A78" s="190" t="s">
        <v>132</v>
      </c>
      <c r="B78" s="191">
        <v>40245</v>
      </c>
      <c r="C78" s="657" t="s">
        <v>148</v>
      </c>
      <c r="D78" s="192" t="s">
        <v>29</v>
      </c>
      <c r="E78" s="193">
        <v>8.41</v>
      </c>
      <c r="F78" s="194">
        <v>40</v>
      </c>
      <c r="G78" s="194"/>
      <c r="H78" s="194"/>
      <c r="I78" s="194"/>
      <c r="J78" s="193">
        <f t="shared" si="86"/>
        <v>40</v>
      </c>
      <c r="K78" s="193">
        <f t="shared" si="87"/>
        <v>336.4</v>
      </c>
      <c r="L78" s="193"/>
      <c r="M78" s="193"/>
      <c r="N78" s="193"/>
      <c r="O78" s="622">
        <f t="shared" si="88"/>
        <v>336.4</v>
      </c>
      <c r="P78" s="194">
        <v>40</v>
      </c>
      <c r="Q78" s="622">
        <f t="shared" si="93"/>
        <v>336.4</v>
      </c>
      <c r="R78" s="745">
        <v>0</v>
      </c>
      <c r="S78" s="746">
        <f t="shared" si="94"/>
        <v>0</v>
      </c>
      <c r="T78" s="194">
        <f t="shared" si="95"/>
        <v>40</v>
      </c>
      <c r="U78" s="630">
        <f t="shared" si="96"/>
        <v>336.4</v>
      </c>
      <c r="V78" s="194">
        <f t="shared" si="97"/>
        <v>0</v>
      </c>
      <c r="W78" s="630">
        <f t="shared" si="92"/>
        <v>0</v>
      </c>
    </row>
    <row r="79" spans="1:23" ht="25.5">
      <c r="A79" s="190" t="s">
        <v>133</v>
      </c>
      <c r="B79" s="191">
        <v>40246</v>
      </c>
      <c r="C79" s="657" t="s">
        <v>149</v>
      </c>
      <c r="D79" s="192" t="s">
        <v>29</v>
      </c>
      <c r="E79" s="193">
        <v>8.08</v>
      </c>
      <c r="F79" s="194">
        <v>29</v>
      </c>
      <c r="G79" s="194"/>
      <c r="H79" s="194"/>
      <c r="I79" s="194"/>
      <c r="J79" s="193">
        <f t="shared" si="86"/>
        <v>29</v>
      </c>
      <c r="K79" s="193">
        <f t="shared" si="87"/>
        <v>234.32</v>
      </c>
      <c r="L79" s="193"/>
      <c r="M79" s="193"/>
      <c r="N79" s="193"/>
      <c r="O79" s="622">
        <f t="shared" si="88"/>
        <v>234.32</v>
      </c>
      <c r="P79" s="194">
        <v>29</v>
      </c>
      <c r="Q79" s="622">
        <f t="shared" si="93"/>
        <v>234.32</v>
      </c>
      <c r="R79" s="745">
        <v>0</v>
      </c>
      <c r="S79" s="746">
        <f t="shared" si="94"/>
        <v>0</v>
      </c>
      <c r="T79" s="194">
        <f t="shared" si="95"/>
        <v>29</v>
      </c>
      <c r="U79" s="630">
        <f t="shared" si="96"/>
        <v>234.32</v>
      </c>
      <c r="V79" s="194">
        <f t="shared" si="97"/>
        <v>0</v>
      </c>
      <c r="W79" s="630">
        <f t="shared" si="92"/>
        <v>0</v>
      </c>
    </row>
    <row r="80" spans="1:23" ht="42.75" customHeight="1">
      <c r="A80" s="190" t="s">
        <v>134</v>
      </c>
      <c r="B80" s="191" t="s">
        <v>140</v>
      </c>
      <c r="C80" s="657" t="s">
        <v>150</v>
      </c>
      <c r="D80" s="192" t="s">
        <v>58</v>
      </c>
      <c r="E80" s="193">
        <v>486.08</v>
      </c>
      <c r="F80" s="194">
        <v>14.5</v>
      </c>
      <c r="G80" s="194"/>
      <c r="H80" s="194"/>
      <c r="I80" s="194"/>
      <c r="J80" s="193">
        <f t="shared" si="86"/>
        <v>14.5</v>
      </c>
      <c r="K80" s="193">
        <f t="shared" si="87"/>
        <v>7048.16</v>
      </c>
      <c r="L80" s="193"/>
      <c r="M80" s="193"/>
      <c r="N80" s="193"/>
      <c r="O80" s="622">
        <f t="shared" si="88"/>
        <v>7048.16</v>
      </c>
      <c r="P80" s="194">
        <v>14.5</v>
      </c>
      <c r="Q80" s="622">
        <f>TRUNC(P80*E80,2)</f>
        <v>7048.16</v>
      </c>
      <c r="R80" s="745">
        <v>0</v>
      </c>
      <c r="S80" s="746">
        <f>U80-Q80</f>
        <v>0</v>
      </c>
      <c r="T80" s="194">
        <f>R80+P80</f>
        <v>14.5</v>
      </c>
      <c r="U80" s="630">
        <f>TRUNC(T80*E80,2)</f>
        <v>7048.16</v>
      </c>
      <c r="V80" s="194">
        <f t="shared" si="97"/>
        <v>0</v>
      </c>
      <c r="W80" s="630">
        <f t="shared" si="92"/>
        <v>0</v>
      </c>
    </row>
    <row r="81" spans="1:23">
      <c r="A81" s="190" t="s">
        <v>135</v>
      </c>
      <c r="B81" s="191">
        <v>40813</v>
      </c>
      <c r="C81" s="657" t="s">
        <v>151</v>
      </c>
      <c r="D81" s="192" t="s">
        <v>57</v>
      </c>
      <c r="E81" s="193">
        <v>64.3</v>
      </c>
      <c r="F81" s="194">
        <v>134.87</v>
      </c>
      <c r="G81" s="194"/>
      <c r="H81" s="194"/>
      <c r="I81" s="194"/>
      <c r="J81" s="193">
        <f t="shared" si="86"/>
        <v>134.87</v>
      </c>
      <c r="K81" s="193">
        <f t="shared" si="87"/>
        <v>8672.1409999999996</v>
      </c>
      <c r="L81" s="193"/>
      <c r="M81" s="193"/>
      <c r="N81" s="193"/>
      <c r="O81" s="622">
        <f t="shared" si="88"/>
        <v>8672.1409999999996</v>
      </c>
      <c r="P81" s="194">
        <v>134.87</v>
      </c>
      <c r="Q81" s="622">
        <f>TRUNC(P81*E81,2)</f>
        <v>8672.14</v>
      </c>
      <c r="R81" s="745">
        <v>0</v>
      </c>
      <c r="S81" s="746">
        <f>U81-Q81</f>
        <v>0</v>
      </c>
      <c r="T81" s="194">
        <f>R81+P81</f>
        <v>134.87</v>
      </c>
      <c r="U81" s="630">
        <f>TRUNC(T81*E81,2)</f>
        <v>8672.14</v>
      </c>
      <c r="V81" s="194">
        <f t="shared" si="97"/>
        <v>0</v>
      </c>
      <c r="W81" s="630">
        <f t="shared" si="92"/>
        <v>0</v>
      </c>
    </row>
    <row r="82" spans="1:23">
      <c r="A82" s="138"/>
      <c r="B82" s="132"/>
      <c r="C82" s="123"/>
      <c r="D82" s="123"/>
      <c r="E82" s="123"/>
      <c r="F82" s="123"/>
      <c r="G82" s="123"/>
      <c r="H82" s="123"/>
      <c r="I82" s="123"/>
      <c r="J82" s="123"/>
      <c r="K82" s="123"/>
      <c r="L82" s="123"/>
      <c r="M82" s="123"/>
      <c r="N82" s="123"/>
      <c r="O82" s="623"/>
      <c r="P82" s="123"/>
      <c r="Q82" s="623"/>
      <c r="R82" s="791"/>
      <c r="S82" s="792"/>
      <c r="T82" s="123"/>
      <c r="U82" s="631"/>
      <c r="V82" s="123"/>
      <c r="W82" s="631"/>
    </row>
    <row r="83" spans="1:23" s="131" customFormat="1">
      <c r="A83" s="137" t="s">
        <v>152</v>
      </c>
      <c r="B83" s="133"/>
      <c r="C83" s="658" t="s">
        <v>153</v>
      </c>
      <c r="D83" s="126"/>
      <c r="E83" s="127"/>
      <c r="F83" s="128"/>
      <c r="G83" s="128"/>
      <c r="H83" s="128"/>
      <c r="I83" s="128"/>
      <c r="J83" s="129"/>
      <c r="K83" s="129">
        <f>SUBTOTAL(9,K84)</f>
        <v>15164.919</v>
      </c>
      <c r="L83" s="129"/>
      <c r="M83" s="129"/>
      <c r="N83" s="129"/>
      <c r="O83" s="624"/>
      <c r="P83" s="130"/>
      <c r="Q83" s="624">
        <f>SUBTOTAL(9,Q84)</f>
        <v>15164.91</v>
      </c>
      <c r="R83" s="743"/>
      <c r="S83" s="744">
        <f>SUBTOTAL(9,S84)</f>
        <v>0</v>
      </c>
      <c r="T83" s="129"/>
      <c r="U83" s="624">
        <f>SUBTOTAL(9,U84)</f>
        <v>15164.91</v>
      </c>
      <c r="V83" s="129">
        <f t="shared" si="85"/>
        <v>0</v>
      </c>
      <c r="W83" s="624">
        <f>SUBTOTAL(9,W84)</f>
        <v>0</v>
      </c>
    </row>
    <row r="84" spans="1:23" ht="25.5">
      <c r="A84" s="190" t="s">
        <v>154</v>
      </c>
      <c r="B84" s="191" t="s">
        <v>155</v>
      </c>
      <c r="C84" s="657" t="s">
        <v>156</v>
      </c>
      <c r="D84" s="192" t="s">
        <v>50</v>
      </c>
      <c r="E84" s="193">
        <v>91.41</v>
      </c>
      <c r="F84" s="194">
        <v>165.9</v>
      </c>
      <c r="G84" s="194"/>
      <c r="H84" s="194"/>
      <c r="I84" s="194"/>
      <c r="J84" s="193">
        <f>F84+H84-I84</f>
        <v>165.9</v>
      </c>
      <c r="K84" s="193">
        <f t="shared" ref="K84" si="98">J84*E84</f>
        <v>15164.919</v>
      </c>
      <c r="L84" s="193"/>
      <c r="M84" s="193"/>
      <c r="N84" s="193"/>
      <c r="O84" s="622">
        <f t="shared" ref="O84" si="99">J84*E84</f>
        <v>15164.919</v>
      </c>
      <c r="P84" s="194">
        <v>165.9</v>
      </c>
      <c r="Q84" s="622">
        <f t="shared" ref="Q84" si="100">TRUNC(P84*E84,2)</f>
        <v>15164.91</v>
      </c>
      <c r="R84" s="745">
        <v>0</v>
      </c>
      <c r="S84" s="746">
        <f t="shared" ref="S84" si="101">U84-Q84</f>
        <v>0</v>
      </c>
      <c r="T84" s="194">
        <f t="shared" ref="T84" si="102">R84+P84</f>
        <v>165.9</v>
      </c>
      <c r="U84" s="630">
        <f t="shared" ref="U84" si="103">TRUNC(T84*E84,2)</f>
        <v>15164.91</v>
      </c>
      <c r="V84" s="194">
        <f t="shared" si="85"/>
        <v>0</v>
      </c>
      <c r="W84" s="630">
        <f t="shared" ref="W84" si="104">V84*E84</f>
        <v>0</v>
      </c>
    </row>
    <row r="85" spans="1:23">
      <c r="A85" s="138"/>
      <c r="B85" s="132"/>
      <c r="C85" s="123"/>
      <c r="D85" s="123"/>
      <c r="E85" s="123"/>
      <c r="F85" s="123"/>
      <c r="G85" s="123"/>
      <c r="H85" s="123"/>
      <c r="I85" s="123"/>
      <c r="J85" s="123"/>
      <c r="K85" s="123"/>
      <c r="L85" s="123"/>
      <c r="M85" s="123"/>
      <c r="N85" s="123"/>
      <c r="O85" s="623"/>
      <c r="P85" s="123"/>
      <c r="Q85" s="623"/>
      <c r="R85" s="791"/>
      <c r="S85" s="792"/>
      <c r="T85" s="123"/>
      <c r="U85" s="631"/>
      <c r="V85" s="123"/>
      <c r="W85" s="631"/>
    </row>
    <row r="86" spans="1:23" s="131" customFormat="1">
      <c r="A86" s="137" t="s">
        <v>157</v>
      </c>
      <c r="B86" s="133"/>
      <c r="C86" s="658" t="s">
        <v>158</v>
      </c>
      <c r="D86" s="126"/>
      <c r="E86" s="127"/>
      <c r="F86" s="128"/>
      <c r="G86" s="128"/>
      <c r="H86" s="128"/>
      <c r="I86" s="128"/>
      <c r="J86" s="129"/>
      <c r="K86" s="129">
        <f>SUBTOTAL(9,K87:K89)</f>
        <v>3771.0080999999996</v>
      </c>
      <c r="L86" s="129"/>
      <c r="M86" s="129"/>
      <c r="N86" s="129"/>
      <c r="O86" s="624"/>
      <c r="P86" s="130"/>
      <c r="Q86" s="624">
        <f>SUBTOTAL(9,Q87:Q89)</f>
        <v>3771.0000000000005</v>
      </c>
      <c r="R86" s="743"/>
      <c r="S86" s="744">
        <f>SUBTOTAL(9,S87:S89)</f>
        <v>0</v>
      </c>
      <c r="T86" s="129"/>
      <c r="U86" s="624">
        <f>SUBTOTAL(9,U87:U89)</f>
        <v>3771.0000000000005</v>
      </c>
      <c r="V86" s="129">
        <f t="shared" ref="V86:V89" si="105">F86-T86</f>
        <v>0</v>
      </c>
      <c r="W86" s="624">
        <f>SUBTOTAL(9,W87:W89)</f>
        <v>0</v>
      </c>
    </row>
    <row r="87" spans="1:23" ht="25.5">
      <c r="A87" s="190" t="s">
        <v>159</v>
      </c>
      <c r="B87" s="191" t="s">
        <v>155</v>
      </c>
      <c r="C87" s="657" t="s">
        <v>156</v>
      </c>
      <c r="D87" s="192" t="s">
        <v>50</v>
      </c>
      <c r="E87" s="193">
        <v>91.41</v>
      </c>
      <c r="F87" s="194">
        <v>29.33</v>
      </c>
      <c r="G87" s="194"/>
      <c r="H87" s="194"/>
      <c r="I87" s="194"/>
      <c r="J87" s="193">
        <f>F87+H87-I87</f>
        <v>29.33</v>
      </c>
      <c r="K87" s="193">
        <f t="shared" ref="K87:K89" si="106">J87*E87</f>
        <v>2681.0552999999995</v>
      </c>
      <c r="L87" s="193"/>
      <c r="M87" s="193"/>
      <c r="N87" s="193"/>
      <c r="O87" s="622">
        <f t="shared" ref="O87:O89" si="107">J87*E87</f>
        <v>2681.0552999999995</v>
      </c>
      <c r="P87" s="194">
        <v>29.33</v>
      </c>
      <c r="Q87" s="622">
        <f t="shared" ref="Q87" si="108">TRUNC(P87*E87,2)</f>
        <v>2681.05</v>
      </c>
      <c r="R87" s="745">
        <v>0</v>
      </c>
      <c r="S87" s="746">
        <f t="shared" ref="S87" si="109">U87-Q87</f>
        <v>0</v>
      </c>
      <c r="T87" s="194">
        <f t="shared" ref="T87" si="110">R87+P87</f>
        <v>29.33</v>
      </c>
      <c r="U87" s="630">
        <f t="shared" ref="U87" si="111">TRUNC(T87*E87,2)</f>
        <v>2681.05</v>
      </c>
      <c r="V87" s="194">
        <f t="shared" si="105"/>
        <v>0</v>
      </c>
      <c r="W87" s="630">
        <f t="shared" ref="W87:W89" si="112">V87*E87</f>
        <v>0</v>
      </c>
    </row>
    <row r="88" spans="1:23">
      <c r="A88" s="190" t="s">
        <v>160</v>
      </c>
      <c r="B88" s="191">
        <v>200323</v>
      </c>
      <c r="C88" s="657" t="s">
        <v>162</v>
      </c>
      <c r="D88" s="192" t="s">
        <v>58</v>
      </c>
      <c r="E88" s="193">
        <v>125.94</v>
      </c>
      <c r="F88" s="194">
        <v>6.62</v>
      </c>
      <c r="G88" s="194"/>
      <c r="H88" s="194"/>
      <c r="I88" s="194"/>
      <c r="J88" s="193">
        <f t="shared" ref="J88:J89" si="113">F88+H88-I88</f>
        <v>6.62</v>
      </c>
      <c r="K88" s="193">
        <f t="shared" si="106"/>
        <v>833.72280000000001</v>
      </c>
      <c r="L88" s="193"/>
      <c r="M88" s="193"/>
      <c r="N88" s="193"/>
      <c r="O88" s="622">
        <f t="shared" si="107"/>
        <v>833.72280000000001</v>
      </c>
      <c r="P88" s="194">
        <v>6.62</v>
      </c>
      <c r="Q88" s="622">
        <f>TRUNC(P88*E88,2)</f>
        <v>833.72</v>
      </c>
      <c r="R88" s="745"/>
      <c r="S88" s="746">
        <f>U88-Q88</f>
        <v>0</v>
      </c>
      <c r="T88" s="194">
        <f>R88+P88</f>
        <v>6.62</v>
      </c>
      <c r="U88" s="630">
        <f>TRUNC(T88*E88,2)</f>
        <v>833.72</v>
      </c>
      <c r="V88" s="194">
        <f t="shared" si="105"/>
        <v>0</v>
      </c>
      <c r="W88" s="630">
        <f t="shared" si="112"/>
        <v>0</v>
      </c>
    </row>
    <row r="89" spans="1:23" ht="42" customHeight="1">
      <c r="A89" s="190" t="s">
        <v>161</v>
      </c>
      <c r="B89" s="191">
        <v>50501</v>
      </c>
      <c r="C89" s="657" t="s">
        <v>916</v>
      </c>
      <c r="D89" s="192" t="s">
        <v>57</v>
      </c>
      <c r="E89" s="193">
        <v>94.9</v>
      </c>
      <c r="F89" s="194">
        <v>2.7</v>
      </c>
      <c r="G89" s="194"/>
      <c r="H89" s="194"/>
      <c r="I89" s="194"/>
      <c r="J89" s="193">
        <f t="shared" si="113"/>
        <v>2.7</v>
      </c>
      <c r="K89" s="193">
        <f t="shared" si="106"/>
        <v>256.23</v>
      </c>
      <c r="L89" s="193"/>
      <c r="M89" s="193"/>
      <c r="N89" s="193"/>
      <c r="O89" s="622">
        <f t="shared" si="107"/>
        <v>256.23</v>
      </c>
      <c r="P89" s="194">
        <v>2.7</v>
      </c>
      <c r="Q89" s="622">
        <f t="shared" ref="Q89" si="114">TRUNC(P89*E89,2)</f>
        <v>256.23</v>
      </c>
      <c r="R89" s="745"/>
      <c r="S89" s="746">
        <f t="shared" ref="S89" si="115">U89-Q89</f>
        <v>0</v>
      </c>
      <c r="T89" s="194">
        <f t="shared" ref="T89" si="116">R89+P89</f>
        <v>2.7</v>
      </c>
      <c r="U89" s="630">
        <f t="shared" ref="U89" si="117">TRUNC(T89*E89,2)</f>
        <v>256.23</v>
      </c>
      <c r="V89" s="194">
        <f t="shared" si="105"/>
        <v>0</v>
      </c>
      <c r="W89" s="630">
        <f t="shared" si="112"/>
        <v>0</v>
      </c>
    </row>
    <row r="90" spans="1:23">
      <c r="A90" s="138"/>
      <c r="B90" s="132"/>
      <c r="C90" s="123"/>
      <c r="D90" s="123"/>
      <c r="E90" s="123"/>
      <c r="F90" s="123"/>
      <c r="G90" s="123"/>
      <c r="H90" s="123"/>
      <c r="I90" s="123"/>
      <c r="J90" s="123"/>
      <c r="K90" s="123"/>
      <c r="L90" s="123"/>
      <c r="M90" s="123"/>
      <c r="N90" s="123"/>
      <c r="O90" s="623"/>
      <c r="P90" s="123"/>
      <c r="Q90" s="623"/>
      <c r="R90" s="791"/>
      <c r="S90" s="792"/>
      <c r="T90" s="123"/>
      <c r="U90" s="631"/>
      <c r="V90" s="123"/>
      <c r="W90" s="631"/>
    </row>
    <row r="91" spans="1:23" s="131" customFormat="1">
      <c r="A91" s="137" t="s">
        <v>163</v>
      </c>
      <c r="B91" s="133"/>
      <c r="C91" s="658" t="s">
        <v>164</v>
      </c>
      <c r="D91" s="126"/>
      <c r="E91" s="127"/>
      <c r="F91" s="128"/>
      <c r="G91" s="128"/>
      <c r="H91" s="128"/>
      <c r="I91" s="128"/>
      <c r="J91" s="129"/>
      <c r="K91" s="129">
        <f>SUBTOTAL(9,K92:K96)</f>
        <v>9601.4940000000006</v>
      </c>
      <c r="L91" s="129"/>
      <c r="M91" s="129"/>
      <c r="N91" s="129"/>
      <c r="O91" s="624"/>
      <c r="P91" s="130"/>
      <c r="Q91" s="624">
        <f>SUBTOTAL(9,Q92:Q96)</f>
        <v>9601.49</v>
      </c>
      <c r="R91" s="743"/>
      <c r="S91" s="744">
        <f>SUBTOTAL(9,S92:S96)</f>
        <v>0</v>
      </c>
      <c r="T91" s="129"/>
      <c r="U91" s="624">
        <f>SUBTOTAL(9,U92:U96)</f>
        <v>9601.49</v>
      </c>
      <c r="V91" s="129">
        <f t="shared" ref="V91:V96" si="118">F91-T91</f>
        <v>0</v>
      </c>
      <c r="W91" s="624">
        <f>SUBTOTAL(9,W92:W96)</f>
        <v>0</v>
      </c>
    </row>
    <row r="92" spans="1:23" ht="51">
      <c r="A92" s="190" t="s">
        <v>165</v>
      </c>
      <c r="B92" s="191">
        <v>40339</v>
      </c>
      <c r="C92" s="657" t="s">
        <v>184</v>
      </c>
      <c r="D92" s="192" t="s">
        <v>57</v>
      </c>
      <c r="E92" s="193">
        <v>91.04</v>
      </c>
      <c r="F92" s="194">
        <v>51</v>
      </c>
      <c r="G92" s="194"/>
      <c r="H92" s="194"/>
      <c r="I92" s="194"/>
      <c r="J92" s="193">
        <f t="shared" ref="J92:J96" si="119">F92+H92-I92</f>
        <v>51</v>
      </c>
      <c r="K92" s="193">
        <f t="shared" ref="K92:K96" si="120">J92*E92</f>
        <v>4643.04</v>
      </c>
      <c r="L92" s="193"/>
      <c r="M92" s="193"/>
      <c r="N92" s="193"/>
      <c r="O92" s="622">
        <f t="shared" ref="O92:O96" si="121">J92*E92</f>
        <v>4643.04</v>
      </c>
      <c r="P92" s="194">
        <v>51</v>
      </c>
      <c r="Q92" s="622">
        <f t="shared" ref="Q92" si="122">TRUNC(P92*E92,2)</f>
        <v>4643.04</v>
      </c>
      <c r="R92" s="745">
        <v>0</v>
      </c>
      <c r="S92" s="746">
        <f t="shared" ref="S92" si="123">U92-Q92</f>
        <v>0</v>
      </c>
      <c r="T92" s="194">
        <f t="shared" ref="T92" si="124">R92+P92</f>
        <v>51</v>
      </c>
      <c r="U92" s="630">
        <f t="shared" ref="U92" si="125">TRUNC(T92*E92,2)</f>
        <v>4643.04</v>
      </c>
      <c r="V92" s="194">
        <f t="shared" si="118"/>
        <v>0</v>
      </c>
      <c r="W92" s="630">
        <f t="shared" ref="W92:W96" si="126">V92*E92</f>
        <v>0</v>
      </c>
    </row>
    <row r="93" spans="1:23" ht="25.5">
      <c r="A93" s="190" t="s">
        <v>166</v>
      </c>
      <c r="B93" s="191">
        <v>40328</v>
      </c>
      <c r="C93" s="657" t="s">
        <v>147</v>
      </c>
      <c r="D93" s="192" t="s">
        <v>29</v>
      </c>
      <c r="E93" s="193">
        <v>7.98</v>
      </c>
      <c r="F93" s="194">
        <v>160</v>
      </c>
      <c r="G93" s="194"/>
      <c r="H93" s="194"/>
      <c r="I93" s="194"/>
      <c r="J93" s="193">
        <f t="shared" si="119"/>
        <v>160</v>
      </c>
      <c r="K93" s="193">
        <f t="shared" si="120"/>
        <v>1276.8000000000002</v>
      </c>
      <c r="L93" s="193"/>
      <c r="M93" s="193"/>
      <c r="N93" s="193"/>
      <c r="O93" s="622">
        <f t="shared" si="121"/>
        <v>1276.8000000000002</v>
      </c>
      <c r="P93" s="194">
        <v>160</v>
      </c>
      <c r="Q93" s="622">
        <f>TRUNC(P93*E93,2)</f>
        <v>1276.8</v>
      </c>
      <c r="R93" s="745">
        <v>0</v>
      </c>
      <c r="S93" s="746">
        <f>U93-Q93</f>
        <v>0</v>
      </c>
      <c r="T93" s="194">
        <f>R93+P93</f>
        <v>160</v>
      </c>
      <c r="U93" s="630">
        <f>TRUNC(T93*E93,2)</f>
        <v>1276.8</v>
      </c>
      <c r="V93" s="194">
        <f t="shared" si="118"/>
        <v>0</v>
      </c>
      <c r="W93" s="630">
        <f t="shared" si="126"/>
        <v>0</v>
      </c>
    </row>
    <row r="94" spans="1:23" ht="25.5">
      <c r="A94" s="190" t="s">
        <v>167</v>
      </c>
      <c r="B94" s="191">
        <v>40245</v>
      </c>
      <c r="C94" s="657" t="s">
        <v>148</v>
      </c>
      <c r="D94" s="192" t="s">
        <v>29</v>
      </c>
      <c r="E94" s="193">
        <v>8.41</v>
      </c>
      <c r="F94" s="194">
        <v>199</v>
      </c>
      <c r="G94" s="194"/>
      <c r="H94" s="194"/>
      <c r="I94" s="194"/>
      <c r="J94" s="193">
        <f t="shared" si="119"/>
        <v>199</v>
      </c>
      <c r="K94" s="193">
        <f t="shared" si="120"/>
        <v>1673.59</v>
      </c>
      <c r="L94" s="193"/>
      <c r="M94" s="193"/>
      <c r="N94" s="193"/>
      <c r="O94" s="622">
        <f t="shared" si="121"/>
        <v>1673.59</v>
      </c>
      <c r="P94" s="194">
        <v>199</v>
      </c>
      <c r="Q94" s="622">
        <f t="shared" ref="Q94:Q96" si="127">TRUNC(P94*E94,2)</f>
        <v>1673.59</v>
      </c>
      <c r="R94" s="745">
        <v>0</v>
      </c>
      <c r="S94" s="746">
        <f t="shared" ref="S94:S96" si="128">U94-Q94</f>
        <v>0</v>
      </c>
      <c r="T94" s="194">
        <f t="shared" ref="T94:T96" si="129">R94+P94</f>
        <v>199</v>
      </c>
      <c r="U94" s="630">
        <f t="shared" ref="U94:U96" si="130">TRUNC(T94*E94,2)</f>
        <v>1673.59</v>
      </c>
      <c r="V94" s="194">
        <f t="shared" si="118"/>
        <v>0</v>
      </c>
      <c r="W94" s="630">
        <f t="shared" si="126"/>
        <v>0</v>
      </c>
    </row>
    <row r="95" spans="1:23" ht="25.5">
      <c r="A95" s="190" t="s">
        <v>168</v>
      </c>
      <c r="B95" s="191">
        <v>40246</v>
      </c>
      <c r="C95" s="657" t="s">
        <v>149</v>
      </c>
      <c r="D95" s="192" t="s">
        <v>29</v>
      </c>
      <c r="E95" s="193">
        <v>8.08</v>
      </c>
      <c r="F95" s="194">
        <v>50</v>
      </c>
      <c r="G95" s="194"/>
      <c r="H95" s="194"/>
      <c r="I95" s="194"/>
      <c r="J95" s="193">
        <f t="shared" si="119"/>
        <v>50</v>
      </c>
      <c r="K95" s="193">
        <f t="shared" si="120"/>
        <v>404</v>
      </c>
      <c r="L95" s="193"/>
      <c r="M95" s="193"/>
      <c r="N95" s="193"/>
      <c r="O95" s="622">
        <f t="shared" si="121"/>
        <v>404</v>
      </c>
      <c r="P95" s="194">
        <v>50</v>
      </c>
      <c r="Q95" s="622">
        <f t="shared" si="127"/>
        <v>404</v>
      </c>
      <c r="R95" s="745">
        <v>0</v>
      </c>
      <c r="S95" s="746">
        <f t="shared" si="128"/>
        <v>0</v>
      </c>
      <c r="T95" s="194">
        <f t="shared" si="129"/>
        <v>50</v>
      </c>
      <c r="U95" s="630">
        <f t="shared" si="130"/>
        <v>404</v>
      </c>
      <c r="V95" s="194">
        <f t="shared" si="118"/>
        <v>0</v>
      </c>
      <c r="W95" s="630">
        <f t="shared" si="126"/>
        <v>0</v>
      </c>
    </row>
    <row r="96" spans="1:23" ht="38.25">
      <c r="A96" s="190" t="s">
        <v>169</v>
      </c>
      <c r="B96" s="191" t="s">
        <v>140</v>
      </c>
      <c r="C96" s="657" t="s">
        <v>150</v>
      </c>
      <c r="D96" s="192" t="s">
        <v>58</v>
      </c>
      <c r="E96" s="193">
        <v>486.08</v>
      </c>
      <c r="F96" s="194">
        <v>3.3</v>
      </c>
      <c r="G96" s="194"/>
      <c r="H96" s="194"/>
      <c r="I96" s="194"/>
      <c r="J96" s="193">
        <f t="shared" si="119"/>
        <v>3.3</v>
      </c>
      <c r="K96" s="193">
        <f t="shared" si="120"/>
        <v>1604.0639999999999</v>
      </c>
      <c r="L96" s="193"/>
      <c r="M96" s="193"/>
      <c r="N96" s="193"/>
      <c r="O96" s="622">
        <f t="shared" si="121"/>
        <v>1604.0639999999999</v>
      </c>
      <c r="P96" s="194">
        <v>3.3</v>
      </c>
      <c r="Q96" s="622">
        <f t="shared" si="127"/>
        <v>1604.06</v>
      </c>
      <c r="R96" s="745">
        <v>0</v>
      </c>
      <c r="S96" s="746">
        <f t="shared" si="128"/>
        <v>0</v>
      </c>
      <c r="T96" s="194">
        <f t="shared" si="129"/>
        <v>3.3</v>
      </c>
      <c r="U96" s="630">
        <f t="shared" si="130"/>
        <v>1604.06</v>
      </c>
      <c r="V96" s="194">
        <f t="shared" si="118"/>
        <v>0</v>
      </c>
      <c r="W96" s="630">
        <f t="shared" si="126"/>
        <v>0</v>
      </c>
    </row>
    <row r="97" spans="1:23">
      <c r="A97" s="138"/>
      <c r="B97" s="132"/>
      <c r="C97" s="123"/>
      <c r="D97" s="123"/>
      <c r="E97" s="123"/>
      <c r="F97" s="123"/>
      <c r="G97" s="123"/>
      <c r="H97" s="123"/>
      <c r="I97" s="123"/>
      <c r="J97" s="123"/>
      <c r="K97" s="123"/>
      <c r="L97" s="123"/>
      <c r="M97" s="123"/>
      <c r="N97" s="123"/>
      <c r="O97" s="623"/>
      <c r="P97" s="123"/>
      <c r="Q97" s="623"/>
      <c r="R97" s="791"/>
      <c r="S97" s="792"/>
      <c r="T97" s="123"/>
      <c r="U97" s="631"/>
      <c r="V97" s="123"/>
      <c r="W97" s="631"/>
    </row>
    <row r="98" spans="1:23" s="131" customFormat="1">
      <c r="A98" s="137" t="s">
        <v>170</v>
      </c>
      <c r="B98" s="133"/>
      <c r="C98" s="658" t="s">
        <v>171</v>
      </c>
      <c r="D98" s="126"/>
      <c r="E98" s="127"/>
      <c r="F98" s="128"/>
      <c r="G98" s="128"/>
      <c r="H98" s="128"/>
      <c r="I98" s="128"/>
      <c r="J98" s="129"/>
      <c r="K98" s="129">
        <f>SUBTOTAL(9,K99:K103)</f>
        <v>20580.705999999998</v>
      </c>
      <c r="L98" s="129"/>
      <c r="M98" s="129"/>
      <c r="N98" s="129"/>
      <c r="O98" s="624"/>
      <c r="P98" s="130"/>
      <c r="Q98" s="624">
        <f>SUBTOTAL(9,Q99:Q103)</f>
        <v>20580.7</v>
      </c>
      <c r="R98" s="743"/>
      <c r="S98" s="744">
        <f>SUBTOTAL(9,S99:S103)</f>
        <v>0</v>
      </c>
      <c r="T98" s="129"/>
      <c r="U98" s="624">
        <f>SUBTOTAL(9,U99:U103)</f>
        <v>20580.7</v>
      </c>
      <c r="V98" s="129">
        <f t="shared" ref="V98:V103" si="131">F98-T98</f>
        <v>0</v>
      </c>
      <c r="W98" s="624">
        <f>SUBTOTAL(9,W99:W103)</f>
        <v>0</v>
      </c>
    </row>
    <row r="99" spans="1:23" ht="51">
      <c r="A99" s="190" t="s">
        <v>172</v>
      </c>
      <c r="B99" s="191">
        <v>40339</v>
      </c>
      <c r="C99" s="657" t="s">
        <v>146</v>
      </c>
      <c r="D99" s="192" t="s">
        <v>57</v>
      </c>
      <c r="E99" s="193">
        <v>91.04</v>
      </c>
      <c r="F99" s="194">
        <v>100</v>
      </c>
      <c r="G99" s="194"/>
      <c r="H99" s="194"/>
      <c r="I99" s="194"/>
      <c r="J99" s="193">
        <f t="shared" ref="J99:J103" si="132">F99+H99-I99</f>
        <v>100</v>
      </c>
      <c r="K99" s="193">
        <f t="shared" ref="K99:K103" si="133">J99*E99</f>
        <v>9104</v>
      </c>
      <c r="L99" s="193"/>
      <c r="M99" s="193"/>
      <c r="N99" s="193"/>
      <c r="O99" s="622">
        <f t="shared" ref="O99:O103" si="134">J99*E99</f>
        <v>9104</v>
      </c>
      <c r="P99" s="194">
        <v>100</v>
      </c>
      <c r="Q99" s="622">
        <f t="shared" ref="Q99" si="135">TRUNC(P99*E99,2)</f>
        <v>9104</v>
      </c>
      <c r="R99" s="745">
        <v>0</v>
      </c>
      <c r="S99" s="746">
        <f t="shared" ref="S99" si="136">U99-Q99</f>
        <v>0</v>
      </c>
      <c r="T99" s="194">
        <f t="shared" ref="T99" si="137">R99+P99</f>
        <v>100</v>
      </c>
      <c r="U99" s="630">
        <f t="shared" ref="U99" si="138">TRUNC(T99*E99,2)</f>
        <v>9104</v>
      </c>
      <c r="V99" s="194">
        <f t="shared" si="131"/>
        <v>0</v>
      </c>
      <c r="W99" s="630">
        <f t="shared" ref="W99:W103" si="139">V99*E99</f>
        <v>0</v>
      </c>
    </row>
    <row r="100" spans="1:23" ht="25.5">
      <c r="A100" s="190" t="s">
        <v>173</v>
      </c>
      <c r="B100" s="191">
        <v>40328</v>
      </c>
      <c r="C100" s="657" t="s">
        <v>147</v>
      </c>
      <c r="D100" s="192" t="s">
        <v>29</v>
      </c>
      <c r="E100" s="193">
        <v>7.98</v>
      </c>
      <c r="F100" s="194">
        <v>481</v>
      </c>
      <c r="G100" s="194"/>
      <c r="H100" s="194"/>
      <c r="I100" s="194"/>
      <c r="J100" s="193">
        <f t="shared" si="132"/>
        <v>481</v>
      </c>
      <c r="K100" s="193">
        <f t="shared" si="133"/>
        <v>3838.38</v>
      </c>
      <c r="L100" s="193"/>
      <c r="M100" s="193"/>
      <c r="N100" s="193"/>
      <c r="O100" s="622">
        <f t="shared" si="134"/>
        <v>3838.38</v>
      </c>
      <c r="P100" s="194">
        <v>481</v>
      </c>
      <c r="Q100" s="622">
        <f>TRUNC(P100*E100,2)</f>
        <v>3838.38</v>
      </c>
      <c r="R100" s="745">
        <v>0</v>
      </c>
      <c r="S100" s="746">
        <f>U100-Q100</f>
        <v>0</v>
      </c>
      <c r="T100" s="194">
        <f>R100+P100</f>
        <v>481</v>
      </c>
      <c r="U100" s="630">
        <f>TRUNC(T100*E100,2)</f>
        <v>3838.38</v>
      </c>
      <c r="V100" s="194">
        <f t="shared" si="131"/>
        <v>0</v>
      </c>
      <c r="W100" s="630">
        <f t="shared" si="139"/>
        <v>0</v>
      </c>
    </row>
    <row r="101" spans="1:23" ht="25.5">
      <c r="A101" s="190" t="s">
        <v>174</v>
      </c>
      <c r="B101" s="191">
        <v>40245</v>
      </c>
      <c r="C101" s="657" t="s">
        <v>148</v>
      </c>
      <c r="D101" s="192" t="s">
        <v>29</v>
      </c>
      <c r="E101" s="193">
        <v>8.41</v>
      </c>
      <c r="F101" s="194">
        <v>287</v>
      </c>
      <c r="G101" s="194"/>
      <c r="H101" s="194"/>
      <c r="I101" s="194"/>
      <c r="J101" s="193">
        <f t="shared" si="132"/>
        <v>287</v>
      </c>
      <c r="K101" s="193">
        <f t="shared" si="133"/>
        <v>2413.67</v>
      </c>
      <c r="L101" s="193"/>
      <c r="M101" s="193"/>
      <c r="N101" s="193"/>
      <c r="O101" s="622">
        <f t="shared" si="134"/>
        <v>2413.67</v>
      </c>
      <c r="P101" s="194">
        <v>287</v>
      </c>
      <c r="Q101" s="622">
        <f t="shared" ref="Q101:Q103" si="140">TRUNC(P101*E101,2)</f>
        <v>2413.67</v>
      </c>
      <c r="R101" s="745">
        <v>0</v>
      </c>
      <c r="S101" s="746">
        <f t="shared" ref="S101:S103" si="141">U101-Q101</f>
        <v>0</v>
      </c>
      <c r="T101" s="194">
        <f t="shared" ref="T101:T103" si="142">R101+P101</f>
        <v>287</v>
      </c>
      <c r="U101" s="630">
        <f t="shared" ref="U101:U103" si="143">TRUNC(T101*E101,2)</f>
        <v>2413.67</v>
      </c>
      <c r="V101" s="194">
        <f t="shared" si="131"/>
        <v>0</v>
      </c>
      <c r="W101" s="630">
        <f t="shared" si="139"/>
        <v>0</v>
      </c>
    </row>
    <row r="102" spans="1:23" ht="25.5">
      <c r="A102" s="190" t="s">
        <v>175</v>
      </c>
      <c r="B102" s="191">
        <v>40246</v>
      </c>
      <c r="C102" s="657" t="s">
        <v>149</v>
      </c>
      <c r="D102" s="192" t="s">
        <v>29</v>
      </c>
      <c r="E102" s="193">
        <v>8.08</v>
      </c>
      <c r="F102" s="194">
        <v>33</v>
      </c>
      <c r="G102" s="194"/>
      <c r="H102" s="194"/>
      <c r="I102" s="194"/>
      <c r="J102" s="193">
        <f t="shared" si="132"/>
        <v>33</v>
      </c>
      <c r="K102" s="193">
        <f t="shared" si="133"/>
        <v>266.64</v>
      </c>
      <c r="L102" s="193"/>
      <c r="M102" s="193"/>
      <c r="N102" s="193"/>
      <c r="O102" s="622">
        <f t="shared" si="134"/>
        <v>266.64</v>
      </c>
      <c r="P102" s="194">
        <v>33</v>
      </c>
      <c r="Q102" s="622">
        <f t="shared" si="140"/>
        <v>266.64</v>
      </c>
      <c r="R102" s="745">
        <v>0</v>
      </c>
      <c r="S102" s="746">
        <f t="shared" si="141"/>
        <v>0</v>
      </c>
      <c r="T102" s="194">
        <f t="shared" si="142"/>
        <v>33</v>
      </c>
      <c r="U102" s="630">
        <f t="shared" si="143"/>
        <v>266.64</v>
      </c>
      <c r="V102" s="194">
        <f t="shared" si="131"/>
        <v>0</v>
      </c>
      <c r="W102" s="630">
        <f t="shared" si="139"/>
        <v>0</v>
      </c>
    </row>
    <row r="103" spans="1:23" ht="51">
      <c r="A103" s="190" t="s">
        <v>176</v>
      </c>
      <c r="B103" s="191" t="s">
        <v>140</v>
      </c>
      <c r="C103" s="657" t="s">
        <v>177</v>
      </c>
      <c r="D103" s="192" t="s">
        <v>58</v>
      </c>
      <c r="E103" s="193">
        <v>486.08</v>
      </c>
      <c r="F103" s="194">
        <v>10.199999999999999</v>
      </c>
      <c r="G103" s="194"/>
      <c r="H103" s="194"/>
      <c r="I103" s="194"/>
      <c r="J103" s="193">
        <f t="shared" si="132"/>
        <v>10.199999999999999</v>
      </c>
      <c r="K103" s="193">
        <f t="shared" si="133"/>
        <v>4958.0159999999996</v>
      </c>
      <c r="L103" s="193"/>
      <c r="M103" s="193"/>
      <c r="N103" s="193"/>
      <c r="O103" s="622">
        <f t="shared" si="134"/>
        <v>4958.0159999999996</v>
      </c>
      <c r="P103" s="194">
        <v>10.199999999999999</v>
      </c>
      <c r="Q103" s="622">
        <f t="shared" si="140"/>
        <v>4958.01</v>
      </c>
      <c r="R103" s="745">
        <v>0</v>
      </c>
      <c r="S103" s="746">
        <f t="shared" si="141"/>
        <v>0</v>
      </c>
      <c r="T103" s="194">
        <f t="shared" si="142"/>
        <v>10.199999999999999</v>
      </c>
      <c r="U103" s="630">
        <f t="shared" si="143"/>
        <v>4958.01</v>
      </c>
      <c r="V103" s="194">
        <f t="shared" si="131"/>
        <v>0</v>
      </c>
      <c r="W103" s="630">
        <f t="shared" si="139"/>
        <v>0</v>
      </c>
    </row>
    <row r="104" spans="1:23">
      <c r="A104" s="138"/>
      <c r="B104" s="132"/>
      <c r="C104" s="123"/>
      <c r="D104" s="123"/>
      <c r="E104" s="123"/>
      <c r="F104" s="123"/>
      <c r="G104" s="123"/>
      <c r="H104" s="123"/>
      <c r="I104" s="123"/>
      <c r="J104" s="123"/>
      <c r="K104" s="123"/>
      <c r="L104" s="123"/>
      <c r="M104" s="123"/>
      <c r="N104" s="123"/>
      <c r="O104" s="623"/>
      <c r="P104" s="123"/>
      <c r="Q104" s="623"/>
      <c r="R104" s="791"/>
      <c r="S104" s="792"/>
      <c r="T104" s="123"/>
      <c r="U104" s="631"/>
      <c r="V104" s="123"/>
      <c r="W104" s="631"/>
    </row>
    <row r="105" spans="1:23" s="131" customFormat="1">
      <c r="A105" s="137" t="s">
        <v>178</v>
      </c>
      <c r="B105" s="133"/>
      <c r="C105" s="658" t="s">
        <v>179</v>
      </c>
      <c r="D105" s="126"/>
      <c r="E105" s="127"/>
      <c r="F105" s="128"/>
      <c r="G105" s="128"/>
      <c r="H105" s="128"/>
      <c r="I105" s="128"/>
      <c r="J105" s="129"/>
      <c r="K105" s="129">
        <f>SUBTOTAL(9,K106:K109)</f>
        <v>23928.707199999997</v>
      </c>
      <c r="L105" s="129"/>
      <c r="M105" s="129"/>
      <c r="N105" s="129"/>
      <c r="O105" s="624"/>
      <c r="P105" s="130"/>
      <c r="Q105" s="624">
        <f>SUBTOTAL(9,Q106:Q109)</f>
        <v>23928.7</v>
      </c>
      <c r="R105" s="743"/>
      <c r="S105" s="744">
        <f>SUBTOTAL(9,S106:S109)</f>
        <v>0</v>
      </c>
      <c r="T105" s="129"/>
      <c r="U105" s="624">
        <f>SUBTOTAL(9,U106:U109)</f>
        <v>23928.7</v>
      </c>
      <c r="V105" s="129">
        <f t="shared" ref="V105:V186" si="144">F105-T105</f>
        <v>0</v>
      </c>
      <c r="W105" s="624">
        <f>SUBTOTAL(9,W106:W109)</f>
        <v>0</v>
      </c>
    </row>
    <row r="106" spans="1:23" ht="51">
      <c r="A106" s="190" t="s">
        <v>180</v>
      </c>
      <c r="B106" s="191">
        <v>40339</v>
      </c>
      <c r="C106" s="657" t="s">
        <v>184</v>
      </c>
      <c r="D106" s="192" t="s">
        <v>57</v>
      </c>
      <c r="E106" s="193">
        <v>91.04</v>
      </c>
      <c r="F106" s="194">
        <v>33</v>
      </c>
      <c r="G106" s="194"/>
      <c r="H106" s="194"/>
      <c r="I106" s="194"/>
      <c r="J106" s="193">
        <f t="shared" ref="J106:J109" si="145">F106+H106-I106</f>
        <v>33</v>
      </c>
      <c r="K106" s="193">
        <f t="shared" ref="K106:K109" si="146">J106*E106</f>
        <v>3004.32</v>
      </c>
      <c r="L106" s="193"/>
      <c r="M106" s="193"/>
      <c r="N106" s="193"/>
      <c r="O106" s="622">
        <f t="shared" ref="O106:O109" si="147">J106*E106</f>
        <v>3004.32</v>
      </c>
      <c r="P106" s="194">
        <v>33</v>
      </c>
      <c r="Q106" s="622">
        <f t="shared" ref="Q106" si="148">TRUNC(P106*E106,2)</f>
        <v>3004.32</v>
      </c>
      <c r="R106" s="745">
        <v>0</v>
      </c>
      <c r="S106" s="746">
        <f t="shared" ref="S106" si="149">U106-Q106</f>
        <v>0</v>
      </c>
      <c r="T106" s="194">
        <f t="shared" ref="T106" si="150">R106+P106</f>
        <v>33</v>
      </c>
      <c r="U106" s="630">
        <f t="shared" ref="U106" si="151">TRUNC(T106*E106,2)</f>
        <v>3004.32</v>
      </c>
      <c r="V106" s="194">
        <f t="shared" si="144"/>
        <v>0</v>
      </c>
      <c r="W106" s="630">
        <f t="shared" ref="W106:W109" si="152">V106*E106</f>
        <v>0</v>
      </c>
    </row>
    <row r="107" spans="1:23" ht="25.5">
      <c r="A107" s="190" t="s">
        <v>181</v>
      </c>
      <c r="B107" s="191">
        <v>40328</v>
      </c>
      <c r="C107" s="657" t="s">
        <v>147</v>
      </c>
      <c r="D107" s="192" t="s">
        <v>29</v>
      </c>
      <c r="E107" s="193">
        <v>7.98</v>
      </c>
      <c r="F107" s="194">
        <v>344</v>
      </c>
      <c r="G107" s="194"/>
      <c r="H107" s="194"/>
      <c r="I107" s="194"/>
      <c r="J107" s="193">
        <f t="shared" si="145"/>
        <v>344</v>
      </c>
      <c r="K107" s="193">
        <f t="shared" si="146"/>
        <v>2745.1200000000003</v>
      </c>
      <c r="L107" s="193"/>
      <c r="M107" s="193"/>
      <c r="N107" s="193"/>
      <c r="O107" s="622">
        <f t="shared" si="147"/>
        <v>2745.1200000000003</v>
      </c>
      <c r="P107" s="194">
        <v>344</v>
      </c>
      <c r="Q107" s="622">
        <f>TRUNC(P107*E107,2)</f>
        <v>2745.12</v>
      </c>
      <c r="R107" s="745">
        <v>0</v>
      </c>
      <c r="S107" s="746">
        <f>U107-Q107</f>
        <v>0</v>
      </c>
      <c r="T107" s="194">
        <f>R107+P107</f>
        <v>344</v>
      </c>
      <c r="U107" s="630">
        <f>TRUNC(T107*E107,2)</f>
        <v>2745.12</v>
      </c>
      <c r="V107" s="194">
        <f t="shared" si="144"/>
        <v>0</v>
      </c>
      <c r="W107" s="630">
        <f t="shared" si="152"/>
        <v>0</v>
      </c>
    </row>
    <row r="108" spans="1:23" ht="51">
      <c r="A108" s="190" t="s">
        <v>182</v>
      </c>
      <c r="B108" s="191" t="s">
        <v>140</v>
      </c>
      <c r="C108" s="657" t="s">
        <v>177</v>
      </c>
      <c r="D108" s="192" t="s">
        <v>58</v>
      </c>
      <c r="E108" s="193">
        <v>486.08</v>
      </c>
      <c r="F108" s="194">
        <v>7.34</v>
      </c>
      <c r="G108" s="194"/>
      <c r="H108" s="194"/>
      <c r="I108" s="194"/>
      <c r="J108" s="193">
        <f t="shared" si="145"/>
        <v>7.34</v>
      </c>
      <c r="K108" s="193">
        <f t="shared" si="146"/>
        <v>3567.8271999999997</v>
      </c>
      <c r="L108" s="193"/>
      <c r="M108" s="193"/>
      <c r="N108" s="193"/>
      <c r="O108" s="622">
        <f t="shared" si="147"/>
        <v>3567.8271999999997</v>
      </c>
      <c r="P108" s="194">
        <v>7.34</v>
      </c>
      <c r="Q108" s="622">
        <f t="shared" ref="Q108:Q109" si="153">TRUNC(P108*E108,2)</f>
        <v>3567.82</v>
      </c>
      <c r="R108" s="745">
        <v>0</v>
      </c>
      <c r="S108" s="746">
        <f t="shared" ref="S108:S109" si="154">U108-Q108</f>
        <v>0</v>
      </c>
      <c r="T108" s="194">
        <f t="shared" ref="T108:T109" si="155">R108+P108</f>
        <v>7.34</v>
      </c>
      <c r="U108" s="630">
        <f t="shared" ref="U108:U109" si="156">TRUNC(T108*E108,2)</f>
        <v>3567.82</v>
      </c>
      <c r="V108" s="194">
        <f t="shared" si="144"/>
        <v>0</v>
      </c>
      <c r="W108" s="630">
        <f t="shared" si="152"/>
        <v>0</v>
      </c>
    </row>
    <row r="109" spans="1:23" ht="25.5">
      <c r="A109" s="190" t="s">
        <v>183</v>
      </c>
      <c r="B109" s="191">
        <v>40602</v>
      </c>
      <c r="C109" s="657" t="s">
        <v>185</v>
      </c>
      <c r="D109" s="192" t="s">
        <v>57</v>
      </c>
      <c r="E109" s="193">
        <v>79.41</v>
      </c>
      <c r="F109" s="194">
        <v>184</v>
      </c>
      <c r="G109" s="194"/>
      <c r="H109" s="194"/>
      <c r="I109" s="194"/>
      <c r="J109" s="193">
        <f t="shared" si="145"/>
        <v>184</v>
      </c>
      <c r="K109" s="193">
        <f t="shared" si="146"/>
        <v>14611.439999999999</v>
      </c>
      <c r="L109" s="193"/>
      <c r="M109" s="193"/>
      <c r="N109" s="193"/>
      <c r="O109" s="622">
        <f t="shared" si="147"/>
        <v>14611.439999999999</v>
      </c>
      <c r="P109" s="194">
        <v>184</v>
      </c>
      <c r="Q109" s="622">
        <f t="shared" si="153"/>
        <v>14611.44</v>
      </c>
      <c r="R109" s="745">
        <v>0</v>
      </c>
      <c r="S109" s="746">
        <f t="shared" si="154"/>
        <v>0</v>
      </c>
      <c r="T109" s="194">
        <f t="shared" si="155"/>
        <v>184</v>
      </c>
      <c r="U109" s="630">
        <f t="shared" si="156"/>
        <v>14611.44</v>
      </c>
      <c r="V109" s="194">
        <f t="shared" si="144"/>
        <v>0</v>
      </c>
      <c r="W109" s="630">
        <f t="shared" si="152"/>
        <v>0</v>
      </c>
    </row>
    <row r="110" spans="1:23">
      <c r="A110" s="138"/>
      <c r="B110" s="132"/>
      <c r="C110" s="123"/>
      <c r="D110" s="123"/>
      <c r="E110" s="123"/>
      <c r="F110" s="123"/>
      <c r="G110" s="123"/>
      <c r="H110" s="123"/>
      <c r="I110" s="123"/>
      <c r="J110" s="123"/>
      <c r="K110" s="123"/>
      <c r="L110" s="123"/>
      <c r="M110" s="123"/>
      <c r="N110" s="123"/>
      <c r="O110" s="623"/>
      <c r="P110" s="123"/>
      <c r="Q110" s="623"/>
      <c r="R110" s="791"/>
      <c r="S110" s="792"/>
      <c r="T110" s="123"/>
      <c r="U110" s="631"/>
      <c r="V110" s="123"/>
      <c r="W110" s="631"/>
    </row>
    <row r="111" spans="1:23" s="131" customFormat="1">
      <c r="A111" s="137" t="s">
        <v>186</v>
      </c>
      <c r="B111" s="133"/>
      <c r="C111" s="658" t="s">
        <v>187</v>
      </c>
      <c r="D111" s="126"/>
      <c r="E111" s="127"/>
      <c r="F111" s="128"/>
      <c r="G111" s="128"/>
      <c r="H111" s="128"/>
      <c r="I111" s="128"/>
      <c r="J111" s="129"/>
      <c r="K111" s="129">
        <f>SUBTOTAL(9,K112:K117)</f>
        <v>52096.830300000009</v>
      </c>
      <c r="L111" s="129"/>
      <c r="M111" s="129"/>
      <c r="N111" s="129"/>
      <c r="O111" s="624"/>
      <c r="P111" s="130"/>
      <c r="Q111" s="624">
        <f>SUBTOTAL(9,Q112:Q117)</f>
        <v>52096.80000000001</v>
      </c>
      <c r="R111" s="743"/>
      <c r="S111" s="744">
        <f>SUBTOTAL(9,S112:S117)</f>
        <v>0</v>
      </c>
      <c r="T111" s="129"/>
      <c r="U111" s="624">
        <f>SUBTOTAL(9,U112:U117)</f>
        <v>52096.80000000001</v>
      </c>
      <c r="V111" s="129">
        <f t="shared" si="144"/>
        <v>0</v>
      </c>
      <c r="W111" s="624">
        <f>SUBTOTAL(9,W112:W117)</f>
        <v>0</v>
      </c>
    </row>
    <row r="112" spans="1:23" ht="51">
      <c r="A112" s="190" t="s">
        <v>188</v>
      </c>
      <c r="B112" s="191">
        <v>90102</v>
      </c>
      <c r="C112" s="657" t="s">
        <v>194</v>
      </c>
      <c r="D112" s="192" t="s">
        <v>57</v>
      </c>
      <c r="E112" s="193">
        <v>89.99</v>
      </c>
      <c r="F112" s="194">
        <v>208.03</v>
      </c>
      <c r="G112" s="194"/>
      <c r="H112" s="194"/>
      <c r="I112" s="194"/>
      <c r="J112" s="193">
        <f t="shared" ref="J112:J117" si="157">F112+H112-I112</f>
        <v>208.03</v>
      </c>
      <c r="K112" s="193">
        <f t="shared" ref="K112:K117" si="158">J112*E112</f>
        <v>18720.619699999999</v>
      </c>
      <c r="L112" s="193"/>
      <c r="M112" s="193"/>
      <c r="N112" s="193"/>
      <c r="O112" s="622">
        <f t="shared" ref="O112:O118" si="159">J112*E112</f>
        <v>18720.619699999999</v>
      </c>
      <c r="P112" s="194">
        <v>208.03</v>
      </c>
      <c r="Q112" s="622">
        <f t="shared" ref="Q112" si="160">TRUNC(P112*E112,2)</f>
        <v>18720.61</v>
      </c>
      <c r="R112" s="745">
        <v>0</v>
      </c>
      <c r="S112" s="746">
        <f t="shared" ref="S112" si="161">U112-Q112</f>
        <v>0</v>
      </c>
      <c r="T112" s="194">
        <f t="shared" ref="T112" si="162">R112+P112</f>
        <v>208.03</v>
      </c>
      <c r="U112" s="630">
        <f t="shared" ref="U112" si="163">TRUNC(T112*E112,2)</f>
        <v>18720.61</v>
      </c>
      <c r="V112" s="194">
        <f t="shared" si="144"/>
        <v>0</v>
      </c>
      <c r="W112" s="630">
        <f t="shared" ref="W112:W117" si="164">V112*E112</f>
        <v>0</v>
      </c>
    </row>
    <row r="113" spans="1:23" ht="51">
      <c r="A113" s="190" t="s">
        <v>189</v>
      </c>
      <c r="B113" s="191">
        <v>90223</v>
      </c>
      <c r="C113" s="657" t="s">
        <v>195</v>
      </c>
      <c r="D113" s="192" t="s">
        <v>57</v>
      </c>
      <c r="E113" s="193">
        <v>124.46</v>
      </c>
      <c r="F113" s="194">
        <v>209.41</v>
      </c>
      <c r="G113" s="194"/>
      <c r="H113" s="194"/>
      <c r="I113" s="194"/>
      <c r="J113" s="193">
        <f t="shared" si="157"/>
        <v>209.41</v>
      </c>
      <c r="K113" s="193">
        <f t="shared" si="158"/>
        <v>26063.168599999997</v>
      </c>
      <c r="L113" s="193"/>
      <c r="M113" s="193"/>
      <c r="N113" s="193"/>
      <c r="O113" s="622">
        <f t="shared" si="159"/>
        <v>26063.168599999997</v>
      </c>
      <c r="P113" s="194">
        <v>209.41</v>
      </c>
      <c r="Q113" s="622">
        <f>TRUNC(P113*E113,2)</f>
        <v>26063.16</v>
      </c>
      <c r="R113" s="745">
        <v>0</v>
      </c>
      <c r="S113" s="746">
        <f>U113-Q113</f>
        <v>0</v>
      </c>
      <c r="T113" s="194">
        <f>R113+P113</f>
        <v>209.41</v>
      </c>
      <c r="U113" s="630">
        <f>TRUNC(T113*E113,2)</f>
        <v>26063.16</v>
      </c>
      <c r="V113" s="194">
        <f t="shared" si="144"/>
        <v>0</v>
      </c>
      <c r="W113" s="630">
        <f t="shared" si="164"/>
        <v>0</v>
      </c>
    </row>
    <row r="114" spans="1:23" ht="51">
      <c r="A114" s="190" t="s">
        <v>190</v>
      </c>
      <c r="B114" s="191">
        <v>40339</v>
      </c>
      <c r="C114" s="657" t="s">
        <v>196</v>
      </c>
      <c r="D114" s="192" t="s">
        <v>57</v>
      </c>
      <c r="E114" s="193">
        <v>91.04</v>
      </c>
      <c r="F114" s="194">
        <v>23.5</v>
      </c>
      <c r="G114" s="194"/>
      <c r="H114" s="194"/>
      <c r="I114" s="194"/>
      <c r="J114" s="193">
        <f t="shared" si="157"/>
        <v>23.5</v>
      </c>
      <c r="K114" s="193">
        <f t="shared" si="158"/>
        <v>2139.44</v>
      </c>
      <c r="L114" s="193"/>
      <c r="M114" s="193"/>
      <c r="N114" s="193"/>
      <c r="O114" s="622">
        <f t="shared" si="159"/>
        <v>2139.44</v>
      </c>
      <c r="P114" s="194">
        <v>23.5</v>
      </c>
      <c r="Q114" s="622">
        <f t="shared" ref="Q114:Q118" si="165">TRUNC(P114*E114,2)</f>
        <v>2139.44</v>
      </c>
      <c r="R114" s="745">
        <v>0</v>
      </c>
      <c r="S114" s="746">
        <f t="shared" ref="S114:S116" si="166">U114-Q114</f>
        <v>0</v>
      </c>
      <c r="T114" s="194">
        <f t="shared" ref="T114:T118" si="167">R114+P114</f>
        <v>23.5</v>
      </c>
      <c r="U114" s="630">
        <f t="shared" ref="U114:U117" si="168">TRUNC(T114*E114,2)</f>
        <v>2139.44</v>
      </c>
      <c r="V114" s="194">
        <f t="shared" si="144"/>
        <v>0</v>
      </c>
      <c r="W114" s="630">
        <f t="shared" si="164"/>
        <v>0</v>
      </c>
    </row>
    <row r="115" spans="1:23" ht="25.5">
      <c r="A115" s="190" t="s">
        <v>191</v>
      </c>
      <c r="B115" s="191">
        <v>40328</v>
      </c>
      <c r="C115" s="657" t="s">
        <v>197</v>
      </c>
      <c r="D115" s="192" t="s">
        <v>29</v>
      </c>
      <c r="E115" s="193">
        <v>7.98</v>
      </c>
      <c r="F115" s="194">
        <v>112</v>
      </c>
      <c r="G115" s="194"/>
      <c r="H115" s="194"/>
      <c r="I115" s="194"/>
      <c r="J115" s="193">
        <f t="shared" si="157"/>
        <v>112</v>
      </c>
      <c r="K115" s="193">
        <f t="shared" si="158"/>
        <v>893.76</v>
      </c>
      <c r="L115" s="193"/>
      <c r="M115" s="193"/>
      <c r="N115" s="193"/>
      <c r="O115" s="622">
        <f t="shared" si="159"/>
        <v>893.76</v>
      </c>
      <c r="P115" s="194">
        <v>112</v>
      </c>
      <c r="Q115" s="622">
        <f t="shared" si="165"/>
        <v>893.76</v>
      </c>
      <c r="R115" s="745">
        <v>0</v>
      </c>
      <c r="S115" s="746">
        <f t="shared" si="166"/>
        <v>0</v>
      </c>
      <c r="T115" s="194">
        <f t="shared" si="167"/>
        <v>112</v>
      </c>
      <c r="U115" s="630">
        <f t="shared" si="168"/>
        <v>893.76</v>
      </c>
      <c r="V115" s="194">
        <f t="shared" si="144"/>
        <v>0</v>
      </c>
      <c r="W115" s="630">
        <f t="shared" si="164"/>
        <v>0</v>
      </c>
    </row>
    <row r="116" spans="1:23" ht="51">
      <c r="A116" s="190" t="s">
        <v>192</v>
      </c>
      <c r="B116" s="191" t="s">
        <v>140</v>
      </c>
      <c r="C116" s="657" t="s">
        <v>198</v>
      </c>
      <c r="D116" s="192" t="s">
        <v>58</v>
      </c>
      <c r="E116" s="193">
        <v>486.08</v>
      </c>
      <c r="F116" s="194">
        <v>1.2</v>
      </c>
      <c r="G116" s="194"/>
      <c r="H116" s="194"/>
      <c r="I116" s="194"/>
      <c r="J116" s="193">
        <f t="shared" si="157"/>
        <v>1.2</v>
      </c>
      <c r="K116" s="193">
        <f t="shared" si="158"/>
        <v>583.29599999999994</v>
      </c>
      <c r="L116" s="193"/>
      <c r="M116" s="193"/>
      <c r="N116" s="193"/>
      <c r="O116" s="622">
        <f t="shared" si="159"/>
        <v>583.29599999999994</v>
      </c>
      <c r="P116" s="194">
        <v>1.2</v>
      </c>
      <c r="Q116" s="622">
        <f t="shared" si="165"/>
        <v>583.29</v>
      </c>
      <c r="R116" s="745">
        <v>0</v>
      </c>
      <c r="S116" s="746">
        <f t="shared" si="166"/>
        <v>0</v>
      </c>
      <c r="T116" s="194">
        <f t="shared" si="167"/>
        <v>1.2</v>
      </c>
      <c r="U116" s="630">
        <f t="shared" si="168"/>
        <v>583.29</v>
      </c>
      <c r="V116" s="194">
        <f t="shared" si="144"/>
        <v>0</v>
      </c>
      <c r="W116" s="630">
        <f t="shared" si="164"/>
        <v>0</v>
      </c>
    </row>
    <row r="117" spans="1:23" ht="51">
      <c r="A117" s="190" t="s">
        <v>193</v>
      </c>
      <c r="B117" s="191">
        <v>50602</v>
      </c>
      <c r="C117" s="657" t="s">
        <v>199</v>
      </c>
      <c r="D117" s="192" t="s">
        <v>57</v>
      </c>
      <c r="E117" s="193">
        <v>62.2</v>
      </c>
      <c r="F117" s="194">
        <v>59.43</v>
      </c>
      <c r="G117" s="194"/>
      <c r="H117" s="194"/>
      <c r="I117" s="194"/>
      <c r="J117" s="193">
        <f t="shared" si="157"/>
        <v>59.43</v>
      </c>
      <c r="K117" s="193">
        <f t="shared" si="158"/>
        <v>3696.5460000000003</v>
      </c>
      <c r="L117" s="193"/>
      <c r="M117" s="193"/>
      <c r="N117" s="193"/>
      <c r="O117" s="622">
        <f t="shared" si="159"/>
        <v>3696.5460000000003</v>
      </c>
      <c r="P117" s="194">
        <v>59.43</v>
      </c>
      <c r="Q117" s="622">
        <f t="shared" si="165"/>
        <v>3696.54</v>
      </c>
      <c r="R117" s="745">
        <v>0</v>
      </c>
      <c r="S117" s="746">
        <f t="shared" ref="S117" si="169">U117-Q117</f>
        <v>0</v>
      </c>
      <c r="T117" s="194">
        <f t="shared" si="167"/>
        <v>59.43</v>
      </c>
      <c r="U117" s="630">
        <f t="shared" si="168"/>
        <v>3696.54</v>
      </c>
      <c r="V117" s="194">
        <f t="shared" si="144"/>
        <v>0</v>
      </c>
      <c r="W117" s="630">
        <f t="shared" si="164"/>
        <v>0</v>
      </c>
    </row>
    <row r="118" spans="1:23" s="765" customFormat="1" ht="37.5" customHeight="1">
      <c r="A118" s="758" t="s">
        <v>1502</v>
      </c>
      <c r="B118" s="759" t="s">
        <v>1503</v>
      </c>
      <c r="C118" s="760" t="s">
        <v>1504</v>
      </c>
      <c r="D118" s="761" t="s">
        <v>57</v>
      </c>
      <c r="E118" s="757">
        <f>194.32*1.2993*0.905</f>
        <v>228.49437827999998</v>
      </c>
      <c r="F118" s="762">
        <v>0</v>
      </c>
      <c r="G118" s="762">
        <v>38.28</v>
      </c>
      <c r="H118" s="762"/>
      <c r="I118" s="762"/>
      <c r="J118" s="762">
        <f>F118+G118+H118-I118</f>
        <v>38.28</v>
      </c>
      <c r="K118" s="757"/>
      <c r="L118" s="765">
        <v>0</v>
      </c>
      <c r="M118" s="757">
        <f>J118*E118</f>
        <v>8746.7648005583997</v>
      </c>
      <c r="N118" s="757"/>
      <c r="O118" s="757">
        <f t="shared" si="159"/>
        <v>8746.7648005583997</v>
      </c>
      <c r="P118" s="762">
        <v>0</v>
      </c>
      <c r="Q118" s="757">
        <f t="shared" si="165"/>
        <v>0</v>
      </c>
      <c r="R118" s="787">
        <v>38.28</v>
      </c>
      <c r="S118" s="788">
        <f>U118-Q118</f>
        <v>8746.6</v>
      </c>
      <c r="T118" s="762">
        <f t="shared" si="167"/>
        <v>38.28</v>
      </c>
      <c r="U118" s="764">
        <f>TRUNC(T118*E118,2)-0.16</f>
        <v>8746.6</v>
      </c>
      <c r="V118" s="762">
        <f>J118-T118</f>
        <v>0</v>
      </c>
      <c r="W118" s="764"/>
    </row>
    <row r="119" spans="1:23">
      <c r="A119" s="138"/>
      <c r="B119" s="132"/>
      <c r="C119" s="123"/>
      <c r="D119" s="123"/>
      <c r="E119" s="123"/>
      <c r="F119" s="123"/>
      <c r="G119" s="123"/>
      <c r="H119" s="123"/>
      <c r="I119" s="123"/>
      <c r="J119" s="123"/>
      <c r="K119" s="123"/>
      <c r="L119" s="123"/>
      <c r="M119" s="123"/>
      <c r="N119" s="123"/>
      <c r="O119" s="623"/>
      <c r="P119" s="123"/>
      <c r="Q119" s="623"/>
      <c r="R119" s="791"/>
      <c r="S119" s="792"/>
      <c r="T119" s="123"/>
      <c r="U119" s="631"/>
      <c r="V119" s="123"/>
      <c r="W119" s="631"/>
    </row>
    <row r="120" spans="1:23" s="131" customFormat="1">
      <c r="A120" s="137" t="s">
        <v>200</v>
      </c>
      <c r="B120" s="133"/>
      <c r="C120" s="658" t="s">
        <v>201</v>
      </c>
      <c r="D120" s="126"/>
      <c r="E120" s="127"/>
      <c r="F120" s="128"/>
      <c r="G120" s="128"/>
      <c r="H120" s="128"/>
      <c r="I120" s="128"/>
      <c r="J120" s="129"/>
      <c r="K120" s="129">
        <f>SUBTOTAL(9,K121:K124)</f>
        <v>6351.6699999999992</v>
      </c>
      <c r="L120" s="129"/>
      <c r="M120" s="129"/>
      <c r="N120" s="129"/>
      <c r="O120" s="624"/>
      <c r="P120" s="130"/>
      <c r="Q120" s="624">
        <f>SUBTOTAL(9,Q121:Q124)</f>
        <v>6351.66</v>
      </c>
      <c r="R120" s="743"/>
      <c r="S120" s="744">
        <f>SUBTOTAL(9,S121:S124)</f>
        <v>0</v>
      </c>
      <c r="T120" s="129"/>
      <c r="U120" s="624">
        <f>SUBTOTAL(9,U121:U124)</f>
        <v>6351.66</v>
      </c>
      <c r="V120" s="129">
        <f t="shared" si="144"/>
        <v>0</v>
      </c>
      <c r="W120" s="624">
        <f>SUBTOTAL(9,W121:W124)</f>
        <v>0</v>
      </c>
    </row>
    <row r="121" spans="1:23" ht="25.5">
      <c r="A121" s="190" t="s">
        <v>202</v>
      </c>
      <c r="B121" s="191" t="s">
        <v>206</v>
      </c>
      <c r="C121" s="657" t="s">
        <v>207</v>
      </c>
      <c r="D121" s="192" t="s">
        <v>60</v>
      </c>
      <c r="E121" s="193">
        <v>72.83</v>
      </c>
      <c r="F121" s="194">
        <v>39.799999999999997</v>
      </c>
      <c r="G121" s="194"/>
      <c r="H121" s="194"/>
      <c r="I121" s="194"/>
      <c r="J121" s="193">
        <f t="shared" ref="J121:J124" si="170">F121+H121-I121</f>
        <v>39.799999999999997</v>
      </c>
      <c r="K121" s="193">
        <f t="shared" ref="K121:K124" si="171">J121*E121</f>
        <v>2898.6339999999996</v>
      </c>
      <c r="L121" s="193"/>
      <c r="M121" s="193"/>
      <c r="N121" s="193"/>
      <c r="O121" s="622">
        <f t="shared" ref="O121:O124" si="172">J121*E121</f>
        <v>2898.6339999999996</v>
      </c>
      <c r="P121" s="194">
        <v>39.799999999999997</v>
      </c>
      <c r="Q121" s="622">
        <f t="shared" ref="Q121" si="173">TRUNC(P121*E121,2)</f>
        <v>2898.63</v>
      </c>
      <c r="R121" s="745">
        <v>0</v>
      </c>
      <c r="S121" s="746">
        <f t="shared" ref="S121" si="174">U121-Q121</f>
        <v>0</v>
      </c>
      <c r="T121" s="194">
        <f t="shared" ref="T121" si="175">R121+P121</f>
        <v>39.799999999999997</v>
      </c>
      <c r="U121" s="630">
        <f t="shared" ref="U121" si="176">TRUNC(T121*E121,2)</f>
        <v>2898.63</v>
      </c>
      <c r="V121" s="194">
        <f t="shared" si="144"/>
        <v>0</v>
      </c>
      <c r="W121" s="630">
        <f t="shared" ref="W121:W124" si="177">V121*E121</f>
        <v>0</v>
      </c>
    </row>
    <row r="122" spans="1:23">
      <c r="A122" s="190" t="s">
        <v>203</v>
      </c>
      <c r="B122" s="191">
        <v>90302</v>
      </c>
      <c r="C122" s="657" t="s">
        <v>208</v>
      </c>
      <c r="D122" s="192" t="s">
        <v>51</v>
      </c>
      <c r="E122" s="193">
        <v>31.38</v>
      </c>
      <c r="F122" s="194">
        <v>62.2</v>
      </c>
      <c r="G122" s="194"/>
      <c r="H122" s="194"/>
      <c r="I122" s="194"/>
      <c r="J122" s="193">
        <f t="shared" si="170"/>
        <v>62.2</v>
      </c>
      <c r="K122" s="193">
        <f t="shared" si="171"/>
        <v>1951.836</v>
      </c>
      <c r="L122" s="193"/>
      <c r="M122" s="193"/>
      <c r="N122" s="193"/>
      <c r="O122" s="622">
        <f t="shared" si="172"/>
        <v>1951.836</v>
      </c>
      <c r="P122" s="194">
        <v>62.2</v>
      </c>
      <c r="Q122" s="622">
        <f>TRUNC(P122*E122,2)</f>
        <v>1951.83</v>
      </c>
      <c r="R122" s="745">
        <v>0</v>
      </c>
      <c r="S122" s="746">
        <f>U122-Q122</f>
        <v>0</v>
      </c>
      <c r="T122" s="194">
        <f>R122+P122</f>
        <v>62.2</v>
      </c>
      <c r="U122" s="630">
        <f>TRUNC(T122*E122,2)</f>
        <v>1951.83</v>
      </c>
      <c r="V122" s="194">
        <f t="shared" si="144"/>
        <v>0</v>
      </c>
      <c r="W122" s="630">
        <f t="shared" si="177"/>
        <v>0</v>
      </c>
    </row>
    <row r="123" spans="1:23" ht="25.5">
      <c r="A123" s="190" t="s">
        <v>204</v>
      </c>
      <c r="B123" s="191">
        <v>141909</v>
      </c>
      <c r="C123" s="657" t="s">
        <v>209</v>
      </c>
      <c r="D123" s="192" t="s">
        <v>51</v>
      </c>
      <c r="E123" s="193">
        <v>61.57</v>
      </c>
      <c r="F123" s="194">
        <v>10</v>
      </c>
      <c r="G123" s="194"/>
      <c r="H123" s="194"/>
      <c r="I123" s="194"/>
      <c r="J123" s="193">
        <f t="shared" si="170"/>
        <v>10</v>
      </c>
      <c r="K123" s="193">
        <f t="shared" si="171"/>
        <v>615.70000000000005</v>
      </c>
      <c r="L123" s="193"/>
      <c r="M123" s="193"/>
      <c r="N123" s="193"/>
      <c r="O123" s="622">
        <f t="shared" si="172"/>
        <v>615.70000000000005</v>
      </c>
      <c r="P123" s="194">
        <v>10</v>
      </c>
      <c r="Q123" s="622">
        <f t="shared" ref="Q123:Q124" si="178">TRUNC(P123*E123,2)</f>
        <v>615.70000000000005</v>
      </c>
      <c r="R123" s="745">
        <v>0</v>
      </c>
      <c r="S123" s="746">
        <f t="shared" ref="S123:S124" si="179">U123-Q123</f>
        <v>0</v>
      </c>
      <c r="T123" s="194">
        <f t="shared" ref="T123:T124" si="180">R123+P123</f>
        <v>10</v>
      </c>
      <c r="U123" s="630">
        <f t="shared" ref="U123:U124" si="181">TRUNC(T123*E123,2)</f>
        <v>615.70000000000005</v>
      </c>
      <c r="V123" s="194">
        <f t="shared" si="144"/>
        <v>0</v>
      </c>
      <c r="W123" s="630">
        <f t="shared" si="177"/>
        <v>0</v>
      </c>
    </row>
    <row r="124" spans="1:23" ht="35.25" customHeight="1">
      <c r="A124" s="190" t="s">
        <v>205</v>
      </c>
      <c r="B124" s="191">
        <v>140904</v>
      </c>
      <c r="C124" s="657" t="s">
        <v>210</v>
      </c>
      <c r="D124" s="192" t="s">
        <v>51</v>
      </c>
      <c r="E124" s="193">
        <v>80.5</v>
      </c>
      <c r="F124" s="194">
        <v>11</v>
      </c>
      <c r="G124" s="194"/>
      <c r="H124" s="194"/>
      <c r="I124" s="194"/>
      <c r="J124" s="193">
        <f t="shared" si="170"/>
        <v>11</v>
      </c>
      <c r="K124" s="193">
        <f t="shared" si="171"/>
        <v>885.5</v>
      </c>
      <c r="L124" s="193"/>
      <c r="M124" s="193"/>
      <c r="N124" s="193"/>
      <c r="O124" s="622">
        <f t="shared" si="172"/>
        <v>885.5</v>
      </c>
      <c r="P124" s="194">
        <v>11</v>
      </c>
      <c r="Q124" s="622">
        <f t="shared" si="178"/>
        <v>885.5</v>
      </c>
      <c r="R124" s="745"/>
      <c r="S124" s="746">
        <f t="shared" si="179"/>
        <v>0</v>
      </c>
      <c r="T124" s="194">
        <f t="shared" si="180"/>
        <v>11</v>
      </c>
      <c r="U124" s="630">
        <f t="shared" si="181"/>
        <v>885.5</v>
      </c>
      <c r="V124" s="194">
        <f t="shared" si="144"/>
        <v>0</v>
      </c>
      <c r="W124" s="630">
        <f t="shared" si="177"/>
        <v>0</v>
      </c>
    </row>
    <row r="125" spans="1:23">
      <c r="A125" s="138"/>
      <c r="B125" s="132"/>
      <c r="C125" s="123"/>
      <c r="D125" s="123"/>
      <c r="E125" s="123"/>
      <c r="F125" s="123"/>
      <c r="G125" s="123"/>
      <c r="H125" s="123"/>
      <c r="I125" s="123"/>
      <c r="J125" s="123"/>
      <c r="K125" s="123"/>
      <c r="L125" s="123"/>
      <c r="M125" s="123"/>
      <c r="N125" s="123"/>
      <c r="O125" s="623"/>
      <c r="P125" s="123"/>
      <c r="Q125" s="623"/>
      <c r="R125" s="791"/>
      <c r="S125" s="792"/>
      <c r="T125" s="123"/>
      <c r="U125" s="631"/>
      <c r="V125" s="123"/>
      <c r="W125" s="631"/>
    </row>
    <row r="126" spans="1:23" s="131" customFormat="1">
      <c r="A126" s="137" t="s">
        <v>211</v>
      </c>
      <c r="B126" s="133"/>
      <c r="C126" s="658" t="s">
        <v>212</v>
      </c>
      <c r="D126" s="126"/>
      <c r="E126" s="127"/>
      <c r="F126" s="128"/>
      <c r="G126" s="128"/>
      <c r="H126" s="128"/>
      <c r="I126" s="128"/>
      <c r="J126" s="129"/>
      <c r="K126" s="129">
        <f>SUBTOTAL(9,K127:K137)</f>
        <v>115012.46699999998</v>
      </c>
      <c r="L126" s="129"/>
      <c r="M126" s="129"/>
      <c r="N126" s="129"/>
      <c r="O126" s="624"/>
      <c r="P126" s="130"/>
      <c r="Q126" s="624">
        <f>SUBTOTAL(9,Q127:Q137)</f>
        <v>109577.89</v>
      </c>
      <c r="R126" s="743"/>
      <c r="S126" s="744">
        <f>SUBTOTAL(9,S127:S137)</f>
        <v>0</v>
      </c>
      <c r="T126" s="129"/>
      <c r="U126" s="624">
        <f>SUBTOTAL(9,U127:U137)</f>
        <v>109577.89</v>
      </c>
      <c r="V126" s="129">
        <f t="shared" si="144"/>
        <v>0</v>
      </c>
      <c r="W126" s="624">
        <f>SUBTOTAL(9,W127:W137)</f>
        <v>5434.539799999995</v>
      </c>
    </row>
    <row r="127" spans="1:23">
      <c r="A127" s="190" t="s">
        <v>213</v>
      </c>
      <c r="B127" s="191" t="s">
        <v>224</v>
      </c>
      <c r="C127" s="657" t="s">
        <v>229</v>
      </c>
      <c r="D127" s="192" t="s">
        <v>50</v>
      </c>
      <c r="E127" s="193">
        <v>280.31</v>
      </c>
      <c r="F127" s="194">
        <v>118.46</v>
      </c>
      <c r="G127" s="194"/>
      <c r="H127" s="194"/>
      <c r="I127" s="194"/>
      <c r="J127" s="193">
        <f t="shared" ref="J127:J137" si="182">F127+H127-I127</f>
        <v>118.46</v>
      </c>
      <c r="K127" s="193">
        <f t="shared" ref="K127:K137" si="183">J127*E127</f>
        <v>33205.522599999997</v>
      </c>
      <c r="L127" s="193"/>
      <c r="M127" s="193"/>
      <c r="N127" s="193"/>
      <c r="O127" s="622">
        <f t="shared" ref="O127:O137" si="184">J127*E127</f>
        <v>33205.522599999997</v>
      </c>
      <c r="P127" s="194">
        <v>118.46</v>
      </c>
      <c r="Q127" s="622">
        <f t="shared" ref="Q127" si="185">TRUNC(P127*E127,2)</f>
        <v>33205.519999999997</v>
      </c>
      <c r="R127" s="745">
        <v>0</v>
      </c>
      <c r="S127" s="746">
        <f t="shared" ref="S127" si="186">U127-Q127</f>
        <v>0</v>
      </c>
      <c r="T127" s="194">
        <f t="shared" ref="T127" si="187">R127+P127</f>
        <v>118.46</v>
      </c>
      <c r="U127" s="630">
        <f t="shared" ref="U127" si="188">TRUNC(T127*E127,2)</f>
        <v>33205.519999999997</v>
      </c>
      <c r="V127" s="194">
        <f t="shared" si="144"/>
        <v>0</v>
      </c>
      <c r="W127" s="630">
        <f t="shared" ref="W127:W137" si="189">V127*E127</f>
        <v>0</v>
      </c>
    </row>
    <row r="128" spans="1:23">
      <c r="A128" s="190" t="s">
        <v>214</v>
      </c>
      <c r="B128" s="191" t="s">
        <v>225</v>
      </c>
      <c r="C128" s="657" t="s">
        <v>230</v>
      </c>
      <c r="D128" s="192" t="s">
        <v>50</v>
      </c>
      <c r="E128" s="193">
        <v>645.84</v>
      </c>
      <c r="F128" s="194">
        <v>11.14</v>
      </c>
      <c r="G128" s="194"/>
      <c r="H128" s="194"/>
      <c r="I128" s="194"/>
      <c r="J128" s="193">
        <f t="shared" si="182"/>
        <v>11.14</v>
      </c>
      <c r="K128" s="193">
        <f t="shared" si="183"/>
        <v>7194.6576000000005</v>
      </c>
      <c r="L128" s="193"/>
      <c r="M128" s="193"/>
      <c r="N128" s="193"/>
      <c r="O128" s="622">
        <f t="shared" si="184"/>
        <v>7194.6576000000005</v>
      </c>
      <c r="P128" s="194">
        <v>11.14</v>
      </c>
      <c r="Q128" s="622">
        <f>TRUNC(P128*E128,2)</f>
        <v>7194.65</v>
      </c>
      <c r="R128" s="745">
        <v>0</v>
      </c>
      <c r="S128" s="746">
        <f>U128-Q128</f>
        <v>0</v>
      </c>
      <c r="T128" s="194">
        <f>R128+P128</f>
        <v>11.14</v>
      </c>
      <c r="U128" s="630">
        <f>TRUNC(T128*E128,2)</f>
        <v>7194.65</v>
      </c>
      <c r="V128" s="194">
        <f t="shared" si="144"/>
        <v>0</v>
      </c>
      <c r="W128" s="630">
        <f t="shared" si="189"/>
        <v>0</v>
      </c>
    </row>
    <row r="129" spans="1:24" ht="25.5">
      <c r="A129" s="190" t="s">
        <v>215</v>
      </c>
      <c r="B129" s="191" t="s">
        <v>226</v>
      </c>
      <c r="C129" s="657" t="s">
        <v>231</v>
      </c>
      <c r="D129" s="192" t="s">
        <v>50</v>
      </c>
      <c r="E129" s="193">
        <v>651.87</v>
      </c>
      <c r="F129" s="194">
        <v>11.25</v>
      </c>
      <c r="G129" s="194"/>
      <c r="H129" s="194"/>
      <c r="I129" s="194"/>
      <c r="J129" s="193">
        <f t="shared" si="182"/>
        <v>11.25</v>
      </c>
      <c r="K129" s="193">
        <f t="shared" si="183"/>
        <v>7333.5375000000004</v>
      </c>
      <c r="L129" s="193"/>
      <c r="M129" s="193"/>
      <c r="N129" s="193"/>
      <c r="O129" s="622">
        <f t="shared" si="184"/>
        <v>7333.5375000000004</v>
      </c>
      <c r="P129" s="194">
        <v>11.25</v>
      </c>
      <c r="Q129" s="622">
        <f t="shared" ref="Q129:Q137" si="190">TRUNC(P129*E129,2)</f>
        <v>7333.53</v>
      </c>
      <c r="R129" s="745">
        <v>0</v>
      </c>
      <c r="S129" s="746">
        <f t="shared" ref="S129:S137" si="191">U129-Q129</f>
        <v>0</v>
      </c>
      <c r="T129" s="194">
        <f t="shared" ref="T129:T137" si="192">R129+P129</f>
        <v>11.25</v>
      </c>
      <c r="U129" s="630">
        <f t="shared" ref="U129:U137" si="193">TRUNC(T129*E129,2)</f>
        <v>7333.53</v>
      </c>
      <c r="V129" s="194">
        <f t="shared" si="144"/>
        <v>0</v>
      </c>
      <c r="W129" s="630">
        <f t="shared" si="189"/>
        <v>0</v>
      </c>
    </row>
    <row r="130" spans="1:24" ht="25.5">
      <c r="A130" s="190" t="s">
        <v>216</v>
      </c>
      <c r="B130" s="191">
        <v>210322</v>
      </c>
      <c r="C130" s="657" t="s">
        <v>232</v>
      </c>
      <c r="D130" s="192" t="s">
        <v>51</v>
      </c>
      <c r="E130" s="193">
        <v>91.5</v>
      </c>
      <c r="F130" s="194">
        <v>17.55</v>
      </c>
      <c r="G130" s="194"/>
      <c r="H130" s="194"/>
      <c r="I130" s="194"/>
      <c r="J130" s="193">
        <f t="shared" si="182"/>
        <v>17.55</v>
      </c>
      <c r="K130" s="193">
        <f t="shared" si="183"/>
        <v>1605.825</v>
      </c>
      <c r="L130" s="193"/>
      <c r="M130" s="193"/>
      <c r="N130" s="193"/>
      <c r="O130" s="622">
        <f t="shared" si="184"/>
        <v>1605.825</v>
      </c>
      <c r="P130" s="194">
        <v>0</v>
      </c>
      <c r="Q130" s="622">
        <f t="shared" si="190"/>
        <v>0</v>
      </c>
      <c r="R130" s="745">
        <v>0</v>
      </c>
      <c r="S130" s="746">
        <f t="shared" si="191"/>
        <v>0</v>
      </c>
      <c r="T130" s="194">
        <f t="shared" si="192"/>
        <v>0</v>
      </c>
      <c r="U130" s="630">
        <f t="shared" si="193"/>
        <v>0</v>
      </c>
      <c r="V130" s="194">
        <f t="shared" si="144"/>
        <v>17.55</v>
      </c>
      <c r="W130" s="630">
        <f t="shared" si="189"/>
        <v>1605.825</v>
      </c>
    </row>
    <row r="131" spans="1:24" ht="25.5">
      <c r="A131" s="190" t="s">
        <v>217</v>
      </c>
      <c r="B131" s="191" t="s">
        <v>227</v>
      </c>
      <c r="C131" s="657" t="s">
        <v>233</v>
      </c>
      <c r="D131" s="192" t="s">
        <v>51</v>
      </c>
      <c r="E131" s="193">
        <v>366.23</v>
      </c>
      <c r="F131" s="194">
        <v>4.1500000000000004</v>
      </c>
      <c r="G131" s="194"/>
      <c r="H131" s="194"/>
      <c r="I131" s="194"/>
      <c r="J131" s="193">
        <f t="shared" si="182"/>
        <v>4.1500000000000004</v>
      </c>
      <c r="K131" s="193">
        <f t="shared" si="183"/>
        <v>1519.8545000000001</v>
      </c>
      <c r="L131" s="193"/>
      <c r="M131" s="193"/>
      <c r="N131" s="193"/>
      <c r="O131" s="622">
        <f t="shared" si="184"/>
        <v>1519.8545000000001</v>
      </c>
      <c r="P131" s="194">
        <v>0</v>
      </c>
      <c r="Q131" s="622">
        <f t="shared" si="190"/>
        <v>0</v>
      </c>
      <c r="R131" s="745">
        <v>0</v>
      </c>
      <c r="S131" s="746">
        <f t="shared" si="191"/>
        <v>0</v>
      </c>
      <c r="T131" s="194">
        <f t="shared" si="192"/>
        <v>0</v>
      </c>
      <c r="U131" s="630">
        <f t="shared" si="193"/>
        <v>0</v>
      </c>
      <c r="V131" s="194">
        <f t="shared" si="144"/>
        <v>4.1500000000000004</v>
      </c>
      <c r="W131" s="630">
        <f t="shared" si="189"/>
        <v>1519.8545000000001</v>
      </c>
    </row>
    <row r="132" spans="1:24" ht="51">
      <c r="A132" s="190" t="s">
        <v>218</v>
      </c>
      <c r="B132" s="191">
        <v>50608</v>
      </c>
      <c r="C132" s="657" t="s">
        <v>234</v>
      </c>
      <c r="D132" s="192" t="s">
        <v>57</v>
      </c>
      <c r="E132" s="193">
        <v>88.68</v>
      </c>
      <c r="F132" s="194">
        <v>6.97</v>
      </c>
      <c r="G132" s="194"/>
      <c r="H132" s="194"/>
      <c r="I132" s="194"/>
      <c r="J132" s="193">
        <f t="shared" si="182"/>
        <v>6.97</v>
      </c>
      <c r="K132" s="193">
        <f t="shared" si="183"/>
        <v>618.09960000000001</v>
      </c>
      <c r="L132" s="193"/>
      <c r="M132" s="193"/>
      <c r="N132" s="193"/>
      <c r="O132" s="622">
        <f t="shared" si="184"/>
        <v>618.09960000000001</v>
      </c>
      <c r="P132" s="194">
        <v>6.97</v>
      </c>
      <c r="Q132" s="622">
        <f t="shared" si="190"/>
        <v>618.09</v>
      </c>
      <c r="R132" s="745">
        <v>0</v>
      </c>
      <c r="S132" s="746">
        <f t="shared" si="191"/>
        <v>0</v>
      </c>
      <c r="T132" s="194">
        <f t="shared" si="192"/>
        <v>6.97</v>
      </c>
      <c r="U132" s="630">
        <f t="shared" si="193"/>
        <v>618.09</v>
      </c>
      <c r="V132" s="194">
        <f t="shared" si="144"/>
        <v>0</v>
      </c>
      <c r="W132" s="630">
        <f t="shared" si="189"/>
        <v>0</v>
      </c>
    </row>
    <row r="133" spans="1:24" ht="25.5">
      <c r="A133" s="190" t="s">
        <v>219</v>
      </c>
      <c r="B133" s="191">
        <v>120101</v>
      </c>
      <c r="C133" s="657" t="s">
        <v>235</v>
      </c>
      <c r="D133" s="192" t="s">
        <v>57</v>
      </c>
      <c r="E133" s="193">
        <v>5.64</v>
      </c>
      <c r="F133" s="194">
        <v>540.16999999999996</v>
      </c>
      <c r="G133" s="194"/>
      <c r="H133" s="194"/>
      <c r="I133" s="194"/>
      <c r="J133" s="193">
        <f t="shared" si="182"/>
        <v>540.16999999999996</v>
      </c>
      <c r="K133" s="193">
        <f t="shared" si="183"/>
        <v>3046.5587999999998</v>
      </c>
      <c r="L133" s="193"/>
      <c r="M133" s="193"/>
      <c r="N133" s="193"/>
      <c r="O133" s="622">
        <f t="shared" si="184"/>
        <v>3046.5587999999998</v>
      </c>
      <c r="P133" s="194">
        <v>410.72</v>
      </c>
      <c r="Q133" s="622">
        <f t="shared" si="190"/>
        <v>2316.46</v>
      </c>
      <c r="R133" s="745">
        <v>0</v>
      </c>
      <c r="S133" s="746">
        <f t="shared" si="191"/>
        <v>0</v>
      </c>
      <c r="T133" s="194">
        <f t="shared" si="192"/>
        <v>410.72</v>
      </c>
      <c r="U133" s="630">
        <f t="shared" si="193"/>
        <v>2316.46</v>
      </c>
      <c r="V133" s="194">
        <f t="shared" si="144"/>
        <v>129.44999999999993</v>
      </c>
      <c r="W133" s="630">
        <f t="shared" si="189"/>
        <v>730.09799999999962</v>
      </c>
    </row>
    <row r="134" spans="1:24" ht="25.5">
      <c r="A134" s="190" t="s">
        <v>220</v>
      </c>
      <c r="B134" s="191">
        <v>120303</v>
      </c>
      <c r="C134" s="657" t="s">
        <v>236</v>
      </c>
      <c r="D134" s="192" t="s">
        <v>57</v>
      </c>
      <c r="E134" s="193">
        <v>49.24</v>
      </c>
      <c r="F134" s="194">
        <v>540.16999999999996</v>
      </c>
      <c r="G134" s="194"/>
      <c r="H134" s="194"/>
      <c r="I134" s="194"/>
      <c r="J134" s="193">
        <f t="shared" si="182"/>
        <v>540.16999999999996</v>
      </c>
      <c r="K134" s="193">
        <f t="shared" si="183"/>
        <v>26597.970799999999</v>
      </c>
      <c r="L134" s="193"/>
      <c r="M134" s="193"/>
      <c r="N134" s="193"/>
      <c r="O134" s="622">
        <f t="shared" si="184"/>
        <v>26597.970799999999</v>
      </c>
      <c r="P134" s="194">
        <v>500.72</v>
      </c>
      <c r="Q134" s="622">
        <f t="shared" si="190"/>
        <v>24655.45</v>
      </c>
      <c r="R134" s="745"/>
      <c r="S134" s="746">
        <f t="shared" si="191"/>
        <v>0</v>
      </c>
      <c r="T134" s="194">
        <f t="shared" si="192"/>
        <v>500.72</v>
      </c>
      <c r="U134" s="630">
        <f t="shared" si="193"/>
        <v>24655.45</v>
      </c>
      <c r="V134" s="194">
        <f t="shared" si="144"/>
        <v>39.449999999999932</v>
      </c>
      <c r="W134" s="630">
        <f t="shared" si="189"/>
        <v>1942.5179999999966</v>
      </c>
      <c r="X134" s="640" t="s">
        <v>1489</v>
      </c>
    </row>
    <row r="135" spans="1:24" ht="25.5">
      <c r="A135" s="190" t="s">
        <v>221</v>
      </c>
      <c r="B135" s="191">
        <v>190117</v>
      </c>
      <c r="C135" s="657" t="s">
        <v>237</v>
      </c>
      <c r="D135" s="192" t="s">
        <v>57</v>
      </c>
      <c r="E135" s="193">
        <v>18.27</v>
      </c>
      <c r="F135" s="194">
        <v>540.16999999999996</v>
      </c>
      <c r="G135" s="194"/>
      <c r="H135" s="194"/>
      <c r="I135" s="194"/>
      <c r="J135" s="193">
        <f t="shared" si="182"/>
        <v>540.16999999999996</v>
      </c>
      <c r="K135" s="193">
        <f t="shared" si="183"/>
        <v>9868.9058999999997</v>
      </c>
      <c r="L135" s="193"/>
      <c r="M135" s="193"/>
      <c r="N135" s="193"/>
      <c r="O135" s="622">
        <f t="shared" si="184"/>
        <v>9868.9058999999997</v>
      </c>
      <c r="P135" s="194">
        <v>560.08000000000004</v>
      </c>
      <c r="Q135" s="622">
        <f t="shared" si="190"/>
        <v>10232.66</v>
      </c>
      <c r="R135" s="745"/>
      <c r="S135" s="746">
        <f t="shared" si="191"/>
        <v>0</v>
      </c>
      <c r="T135" s="194">
        <f t="shared" si="192"/>
        <v>560.08000000000004</v>
      </c>
      <c r="U135" s="630">
        <f t="shared" si="193"/>
        <v>10232.66</v>
      </c>
      <c r="V135" s="194">
        <f t="shared" si="144"/>
        <v>-19.910000000000082</v>
      </c>
      <c r="W135" s="630">
        <f t="shared" si="189"/>
        <v>-363.75570000000147</v>
      </c>
      <c r="X135" s="640" t="s">
        <v>1490</v>
      </c>
    </row>
    <row r="136" spans="1:24" ht="51">
      <c r="A136" s="190" t="s">
        <v>222</v>
      </c>
      <c r="B136" s="191">
        <v>130230</v>
      </c>
      <c r="C136" s="657" t="s">
        <v>238</v>
      </c>
      <c r="D136" s="192" t="s">
        <v>57</v>
      </c>
      <c r="E136" s="193">
        <v>106.19</v>
      </c>
      <c r="F136" s="194">
        <v>157.13</v>
      </c>
      <c r="G136" s="194"/>
      <c r="H136" s="194"/>
      <c r="I136" s="194"/>
      <c r="J136" s="193">
        <f t="shared" si="182"/>
        <v>157.13</v>
      </c>
      <c r="K136" s="193">
        <f t="shared" si="183"/>
        <v>16685.634699999999</v>
      </c>
      <c r="L136" s="193"/>
      <c r="M136" s="193"/>
      <c r="N136" s="193"/>
      <c r="O136" s="622">
        <f t="shared" si="184"/>
        <v>16685.634699999999</v>
      </c>
      <c r="P136" s="194">
        <v>157.13</v>
      </c>
      <c r="Q136" s="622">
        <f t="shared" si="190"/>
        <v>16685.63</v>
      </c>
      <c r="R136" s="745">
        <v>0</v>
      </c>
      <c r="S136" s="746">
        <f t="shared" si="191"/>
        <v>0</v>
      </c>
      <c r="T136" s="194">
        <f t="shared" si="192"/>
        <v>157.13</v>
      </c>
      <c r="U136" s="630">
        <f t="shared" si="193"/>
        <v>16685.63</v>
      </c>
      <c r="V136" s="194">
        <f t="shared" si="144"/>
        <v>0</v>
      </c>
      <c r="W136" s="630">
        <f t="shared" si="189"/>
        <v>0</v>
      </c>
    </row>
    <row r="137" spans="1:24" ht="25.5">
      <c r="A137" s="190" t="s">
        <v>223</v>
      </c>
      <c r="B137" s="191" t="s">
        <v>228</v>
      </c>
      <c r="C137" s="657" t="s">
        <v>239</v>
      </c>
      <c r="D137" s="192" t="s">
        <v>72</v>
      </c>
      <c r="E137" s="193">
        <v>333.45</v>
      </c>
      <c r="F137" s="194">
        <v>22</v>
      </c>
      <c r="G137" s="194"/>
      <c r="H137" s="194"/>
      <c r="I137" s="194"/>
      <c r="J137" s="193">
        <f t="shared" si="182"/>
        <v>22</v>
      </c>
      <c r="K137" s="193">
        <f t="shared" si="183"/>
        <v>7335.9</v>
      </c>
      <c r="L137" s="193"/>
      <c r="M137" s="193"/>
      <c r="N137" s="193"/>
      <c r="O137" s="622">
        <f t="shared" si="184"/>
        <v>7335.9</v>
      </c>
      <c r="P137" s="194">
        <v>22</v>
      </c>
      <c r="Q137" s="622">
        <f t="shared" si="190"/>
        <v>7335.9</v>
      </c>
      <c r="R137" s="745">
        <v>0</v>
      </c>
      <c r="S137" s="746">
        <f t="shared" si="191"/>
        <v>0</v>
      </c>
      <c r="T137" s="194">
        <f t="shared" si="192"/>
        <v>22</v>
      </c>
      <c r="U137" s="630">
        <f t="shared" si="193"/>
        <v>7335.9</v>
      </c>
      <c r="V137" s="194">
        <f t="shared" si="144"/>
        <v>0</v>
      </c>
      <c r="W137" s="630">
        <f t="shared" si="189"/>
        <v>0</v>
      </c>
    </row>
    <row r="138" spans="1:24">
      <c r="A138" s="138"/>
      <c r="B138" s="132"/>
      <c r="C138" s="123"/>
      <c r="D138" s="123"/>
      <c r="E138" s="123"/>
      <c r="F138" s="123"/>
      <c r="G138" s="123"/>
      <c r="H138" s="123"/>
      <c r="I138" s="123"/>
      <c r="J138" s="123"/>
      <c r="K138" s="123"/>
      <c r="L138" s="123"/>
      <c r="M138" s="123"/>
      <c r="N138" s="123"/>
      <c r="O138" s="623"/>
      <c r="P138" s="123"/>
      <c r="Q138" s="623"/>
      <c r="R138" s="791"/>
      <c r="S138" s="792"/>
      <c r="T138" s="123"/>
      <c r="U138" s="631"/>
      <c r="V138" s="123"/>
      <c r="W138" s="631"/>
    </row>
    <row r="139" spans="1:24" s="213" customFormat="1">
      <c r="A139" s="210" t="s">
        <v>24</v>
      </c>
      <c r="B139" s="211"/>
      <c r="C139" s="655" t="s">
        <v>240</v>
      </c>
      <c r="D139" s="197"/>
      <c r="E139" s="198"/>
      <c r="F139" s="199"/>
      <c r="G139" s="199"/>
      <c r="H139" s="199"/>
      <c r="I139" s="199"/>
      <c r="J139" s="200"/>
      <c r="K139" s="200">
        <f>SUBTOTAL(9,K140:K176)</f>
        <v>597315.99990000005</v>
      </c>
      <c r="L139" s="200"/>
      <c r="M139" s="200"/>
      <c r="N139" s="200"/>
      <c r="O139" s="620"/>
      <c r="P139" s="201"/>
      <c r="Q139" s="620">
        <f>SUBTOTAL(9,Q140:Q176)</f>
        <v>605085.64999999991</v>
      </c>
      <c r="R139" s="743"/>
      <c r="S139" s="744">
        <f>SUBTOTAL(9,S140:S176)</f>
        <v>285075.05499999999</v>
      </c>
      <c r="T139" s="200"/>
      <c r="U139" s="620">
        <f>SUBTOTAL(9,U140:U176)</f>
        <v>890160.70000000019</v>
      </c>
      <c r="V139" s="200">
        <f t="shared" si="144"/>
        <v>0</v>
      </c>
      <c r="W139" s="620">
        <f>SUBTOTAL(9,W140:W176)</f>
        <v>0</v>
      </c>
    </row>
    <row r="140" spans="1:24" s="131" customFormat="1">
      <c r="A140" s="137" t="s">
        <v>241</v>
      </c>
      <c r="B140" s="133"/>
      <c r="C140" s="658" t="s">
        <v>242</v>
      </c>
      <c r="D140" s="126"/>
      <c r="E140" s="127"/>
      <c r="F140" s="128"/>
      <c r="G140" s="128"/>
      <c r="H140" s="128"/>
      <c r="I140" s="128"/>
      <c r="J140" s="129"/>
      <c r="K140" s="129">
        <f>SUBTOTAL(9,K141:K152)</f>
        <v>296584.22210000007</v>
      </c>
      <c r="L140" s="129"/>
      <c r="M140" s="129"/>
      <c r="N140" s="129"/>
      <c r="O140" s="624"/>
      <c r="P140" s="130"/>
      <c r="Q140" s="624">
        <f>SUBTOTAL(9,Q141:Q152)</f>
        <v>304353.90000000002</v>
      </c>
      <c r="R140" s="743"/>
      <c r="S140" s="744">
        <f>SUBTOTAL(9,S141:S152)</f>
        <v>0</v>
      </c>
      <c r="T140" s="129"/>
      <c r="U140" s="624">
        <f>SUBTOTAL(9,U141:U152)</f>
        <v>304353.90000000002</v>
      </c>
      <c r="V140" s="129">
        <f t="shared" si="144"/>
        <v>0</v>
      </c>
      <c r="W140" s="624">
        <f>SUBTOTAL(9,W141:W152)</f>
        <v>0</v>
      </c>
    </row>
    <row r="141" spans="1:24" ht="25.5">
      <c r="A141" s="190" t="s">
        <v>243</v>
      </c>
      <c r="B141" s="191">
        <v>40405</v>
      </c>
      <c r="C141" s="657" t="s">
        <v>264</v>
      </c>
      <c r="D141" s="192" t="s">
        <v>57</v>
      </c>
      <c r="E141" s="193">
        <v>86.33</v>
      </c>
      <c r="F141" s="194">
        <v>341</v>
      </c>
      <c r="G141" s="194"/>
      <c r="H141" s="194">
        <f>REPLANILHAMENTO!H115</f>
        <v>90</v>
      </c>
      <c r="I141" s="194">
        <v>0</v>
      </c>
      <c r="J141" s="193">
        <f>F141+H141-I141</f>
        <v>431</v>
      </c>
      <c r="K141" s="193">
        <f>F141*E141</f>
        <v>29438.53</v>
      </c>
      <c r="L141" s="193">
        <f>H141*E141</f>
        <v>7769.7</v>
      </c>
      <c r="M141" s="193"/>
      <c r="N141" s="193"/>
      <c r="O141" s="622">
        <f>J141*E141</f>
        <v>37208.229999999996</v>
      </c>
      <c r="P141" s="194">
        <f>'2.4.1.1'!R24</f>
        <v>431</v>
      </c>
      <c r="Q141" s="622">
        <f t="shared" ref="Q141:Q152" si="194">TRUNC(P141*E141,2)</f>
        <v>37208.230000000003</v>
      </c>
      <c r="R141" s="745">
        <f>'2.4.1.1'!R25</f>
        <v>0</v>
      </c>
      <c r="S141" s="746">
        <f t="shared" ref="S141:S152" si="195">U141-Q141</f>
        <v>0</v>
      </c>
      <c r="T141" s="194">
        <f>R141+P141</f>
        <v>431</v>
      </c>
      <c r="U141" s="630">
        <f>TRUNC(T141*E141,2)</f>
        <v>37208.230000000003</v>
      </c>
      <c r="V141" s="194">
        <v>0</v>
      </c>
      <c r="W141" s="630">
        <v>0</v>
      </c>
    </row>
    <row r="142" spans="1:24" ht="25.5">
      <c r="A142" s="190" t="s">
        <v>244</v>
      </c>
      <c r="B142" s="191" t="s">
        <v>255</v>
      </c>
      <c r="C142" s="657" t="s">
        <v>265</v>
      </c>
      <c r="D142" s="192" t="s">
        <v>29</v>
      </c>
      <c r="E142" s="193">
        <v>7.33</v>
      </c>
      <c r="F142" s="194">
        <v>3966.02</v>
      </c>
      <c r="G142" s="194"/>
      <c r="H142" s="194"/>
      <c r="I142" s="194"/>
      <c r="J142" s="193">
        <f t="shared" ref="J142:J172" si="196">F142+H142-I142</f>
        <v>3966.02</v>
      </c>
      <c r="K142" s="193">
        <f t="shared" ref="K142:K172" si="197">J142*E142</f>
        <v>29070.926599999999</v>
      </c>
      <c r="L142" s="193"/>
      <c r="M142" s="193"/>
      <c r="N142" s="193"/>
      <c r="O142" s="622">
        <f t="shared" ref="O142:O173" si="198">J142*E142</f>
        <v>29070.926599999999</v>
      </c>
      <c r="P142" s="194">
        <f>'2.4.1.2 '!R25</f>
        <v>3966.02</v>
      </c>
      <c r="Q142" s="622">
        <f t="shared" si="194"/>
        <v>29070.92</v>
      </c>
      <c r="R142" s="745">
        <f>'2.4.1.2 '!R26</f>
        <v>0</v>
      </c>
      <c r="S142" s="746">
        <f t="shared" si="195"/>
        <v>0</v>
      </c>
      <c r="T142" s="194">
        <f>R142+P142</f>
        <v>3966.02</v>
      </c>
      <c r="U142" s="630">
        <f t="shared" ref="U142:U152" si="199">TRUNC(T142*E142,2)</f>
        <v>29070.92</v>
      </c>
      <c r="V142" s="194">
        <f t="shared" ref="V142:V150" si="200">F142-T142</f>
        <v>0</v>
      </c>
      <c r="W142" s="630">
        <f t="shared" ref="W142:W152" si="201">V142*E142</f>
        <v>0</v>
      </c>
    </row>
    <row r="143" spans="1:24" ht="25.5">
      <c r="A143" s="190" t="s">
        <v>245</v>
      </c>
      <c r="B143" s="191">
        <v>40328</v>
      </c>
      <c r="C143" s="657" t="s">
        <v>147</v>
      </c>
      <c r="D143" s="192" t="s">
        <v>29</v>
      </c>
      <c r="E143" s="193">
        <v>7.98</v>
      </c>
      <c r="F143" s="194">
        <v>1880</v>
      </c>
      <c r="G143" s="194"/>
      <c r="H143" s="194"/>
      <c r="I143" s="194"/>
      <c r="J143" s="193">
        <f t="shared" si="196"/>
        <v>1880</v>
      </c>
      <c r="K143" s="193">
        <f t="shared" si="197"/>
        <v>15002.400000000001</v>
      </c>
      <c r="L143" s="193"/>
      <c r="M143" s="193"/>
      <c r="N143" s="193"/>
      <c r="O143" s="622">
        <f t="shared" si="198"/>
        <v>15002.400000000001</v>
      </c>
      <c r="P143" s="194">
        <f>'2.4.1.3 '!R25</f>
        <v>1880</v>
      </c>
      <c r="Q143" s="622">
        <f t="shared" si="194"/>
        <v>15002.4</v>
      </c>
      <c r="R143" s="745">
        <f>'2.4.1.3 '!R26</f>
        <v>0</v>
      </c>
      <c r="S143" s="746">
        <f t="shared" si="195"/>
        <v>0</v>
      </c>
      <c r="T143" s="194">
        <f t="shared" ref="T143:T155" si="202">R143+P143</f>
        <v>1880</v>
      </c>
      <c r="U143" s="630">
        <f t="shared" si="199"/>
        <v>15002.4</v>
      </c>
      <c r="V143" s="194">
        <f t="shared" si="200"/>
        <v>0</v>
      </c>
      <c r="W143" s="630">
        <f t="shared" si="201"/>
        <v>0</v>
      </c>
    </row>
    <row r="144" spans="1:24">
      <c r="A144" s="190" t="s">
        <v>246</v>
      </c>
      <c r="B144" s="191" t="s">
        <v>256</v>
      </c>
      <c r="C144" s="657" t="s">
        <v>266</v>
      </c>
      <c r="D144" s="192" t="s">
        <v>29</v>
      </c>
      <c r="E144" s="193">
        <v>11.02</v>
      </c>
      <c r="F144" s="194">
        <v>73</v>
      </c>
      <c r="G144" s="194"/>
      <c r="H144" s="194"/>
      <c r="I144" s="194"/>
      <c r="J144" s="193">
        <f t="shared" si="196"/>
        <v>73</v>
      </c>
      <c r="K144" s="193">
        <f t="shared" si="197"/>
        <v>804.45999999999992</v>
      </c>
      <c r="L144" s="193"/>
      <c r="M144" s="193"/>
      <c r="N144" s="193"/>
      <c r="O144" s="622">
        <f t="shared" si="198"/>
        <v>804.45999999999992</v>
      </c>
      <c r="P144" s="194">
        <f>'2.4.1.4'!R25</f>
        <v>73</v>
      </c>
      <c r="Q144" s="622">
        <f t="shared" si="194"/>
        <v>804.46</v>
      </c>
      <c r="R144" s="745">
        <f>'2.4.1.4'!R26</f>
        <v>0</v>
      </c>
      <c r="S144" s="746">
        <f t="shared" si="195"/>
        <v>0</v>
      </c>
      <c r="T144" s="194">
        <f t="shared" si="202"/>
        <v>73</v>
      </c>
      <c r="U144" s="630">
        <f t="shared" si="199"/>
        <v>804.46</v>
      </c>
      <c r="V144" s="194">
        <f t="shared" si="200"/>
        <v>0</v>
      </c>
      <c r="W144" s="630">
        <f t="shared" si="201"/>
        <v>0</v>
      </c>
    </row>
    <row r="145" spans="1:23" ht="51">
      <c r="A145" s="190" t="s">
        <v>247</v>
      </c>
      <c r="B145" s="191" t="s">
        <v>257</v>
      </c>
      <c r="C145" s="657" t="s">
        <v>267</v>
      </c>
      <c r="D145" s="192" t="s">
        <v>58</v>
      </c>
      <c r="E145" s="193">
        <v>777.83</v>
      </c>
      <c r="F145" s="194">
        <v>28.05</v>
      </c>
      <c r="G145" s="194"/>
      <c r="H145" s="194"/>
      <c r="I145" s="194"/>
      <c r="J145" s="193">
        <f t="shared" si="196"/>
        <v>28.05</v>
      </c>
      <c r="K145" s="193">
        <f t="shared" si="197"/>
        <v>21818.131500000003</v>
      </c>
      <c r="L145" s="193"/>
      <c r="M145" s="193"/>
      <c r="N145" s="193"/>
      <c r="O145" s="622">
        <f t="shared" si="198"/>
        <v>21818.131500000003</v>
      </c>
      <c r="P145" s="194">
        <f>'2.4.1.5'!R25</f>
        <v>28.05</v>
      </c>
      <c r="Q145" s="622">
        <f t="shared" si="194"/>
        <v>21818.13</v>
      </c>
      <c r="R145" s="745">
        <f>'2.4.1.5'!R26</f>
        <v>0</v>
      </c>
      <c r="S145" s="746">
        <f t="shared" si="195"/>
        <v>0</v>
      </c>
      <c r="T145" s="194">
        <f t="shared" si="202"/>
        <v>28.05</v>
      </c>
      <c r="U145" s="630">
        <f t="shared" si="199"/>
        <v>21818.13</v>
      </c>
      <c r="V145" s="194">
        <f t="shared" si="200"/>
        <v>0</v>
      </c>
      <c r="W145" s="630">
        <f t="shared" si="201"/>
        <v>0</v>
      </c>
    </row>
    <row r="146" spans="1:23" ht="25.5">
      <c r="A146" s="190" t="s">
        <v>248</v>
      </c>
      <c r="B146" s="191" t="s">
        <v>258</v>
      </c>
      <c r="C146" s="657" t="s">
        <v>268</v>
      </c>
      <c r="D146" s="192" t="s">
        <v>49</v>
      </c>
      <c r="E146" s="193">
        <v>641.15</v>
      </c>
      <c r="F146" s="194">
        <v>113.84</v>
      </c>
      <c r="G146" s="194"/>
      <c r="H146" s="194"/>
      <c r="I146" s="194"/>
      <c r="J146" s="193">
        <f t="shared" si="196"/>
        <v>113.84</v>
      </c>
      <c r="K146" s="193">
        <f t="shared" si="197"/>
        <v>72988.516000000003</v>
      </c>
      <c r="L146" s="193"/>
      <c r="M146" s="193"/>
      <c r="N146" s="193"/>
      <c r="O146" s="622">
        <f t="shared" si="198"/>
        <v>72988.516000000003</v>
      </c>
      <c r="P146" s="194">
        <f>'2.4.1.6'!R25</f>
        <v>113.84</v>
      </c>
      <c r="Q146" s="622">
        <f t="shared" si="194"/>
        <v>72988.509999999995</v>
      </c>
      <c r="R146" s="745">
        <f>'2.4.1.6'!R26</f>
        <v>0</v>
      </c>
      <c r="S146" s="746">
        <f t="shared" si="195"/>
        <v>0</v>
      </c>
      <c r="T146" s="194">
        <f t="shared" si="202"/>
        <v>113.84</v>
      </c>
      <c r="U146" s="630">
        <f t="shared" si="199"/>
        <v>72988.509999999995</v>
      </c>
      <c r="V146" s="194">
        <f t="shared" si="200"/>
        <v>0</v>
      </c>
      <c r="W146" s="630">
        <f t="shared" si="201"/>
        <v>0</v>
      </c>
    </row>
    <row r="147" spans="1:23" ht="25.5">
      <c r="A147" s="190" t="s">
        <v>249</v>
      </c>
      <c r="B147" s="191" t="s">
        <v>259</v>
      </c>
      <c r="C147" s="657" t="s">
        <v>269</v>
      </c>
      <c r="D147" s="192" t="s">
        <v>72</v>
      </c>
      <c r="E147" s="193">
        <v>14345.61</v>
      </c>
      <c r="F147" s="194">
        <v>4</v>
      </c>
      <c r="G147" s="194"/>
      <c r="H147" s="194"/>
      <c r="I147" s="194"/>
      <c r="J147" s="193">
        <f t="shared" si="196"/>
        <v>4</v>
      </c>
      <c r="K147" s="193">
        <f t="shared" si="197"/>
        <v>57382.44</v>
      </c>
      <c r="L147" s="193"/>
      <c r="M147" s="193"/>
      <c r="N147" s="193"/>
      <c r="O147" s="622">
        <f t="shared" si="198"/>
        <v>57382.44</v>
      </c>
      <c r="P147" s="194">
        <v>4</v>
      </c>
      <c r="Q147" s="622">
        <f t="shared" si="194"/>
        <v>57382.44</v>
      </c>
      <c r="R147" s="745">
        <v>0</v>
      </c>
      <c r="S147" s="746">
        <f t="shared" si="195"/>
        <v>0</v>
      </c>
      <c r="T147" s="194">
        <f t="shared" si="202"/>
        <v>4</v>
      </c>
      <c r="U147" s="630">
        <f t="shared" si="199"/>
        <v>57382.44</v>
      </c>
      <c r="V147" s="194">
        <f t="shared" si="200"/>
        <v>0</v>
      </c>
      <c r="W147" s="630">
        <f t="shared" si="201"/>
        <v>0</v>
      </c>
    </row>
    <row r="148" spans="1:23" ht="25.5">
      <c r="A148" s="190" t="s">
        <v>250</v>
      </c>
      <c r="B148" s="191" t="s">
        <v>260</v>
      </c>
      <c r="C148" s="657" t="s">
        <v>270</v>
      </c>
      <c r="D148" s="192" t="s">
        <v>72</v>
      </c>
      <c r="E148" s="193">
        <v>5478.19</v>
      </c>
      <c r="F148" s="194">
        <v>2</v>
      </c>
      <c r="G148" s="194"/>
      <c r="H148" s="194"/>
      <c r="I148" s="194"/>
      <c r="J148" s="193">
        <f t="shared" si="196"/>
        <v>2</v>
      </c>
      <c r="K148" s="193">
        <f t="shared" si="197"/>
        <v>10956.38</v>
      </c>
      <c r="L148" s="193"/>
      <c r="M148" s="193"/>
      <c r="N148" s="193"/>
      <c r="O148" s="622">
        <f t="shared" si="198"/>
        <v>10956.38</v>
      </c>
      <c r="P148" s="194">
        <v>2</v>
      </c>
      <c r="Q148" s="622">
        <f t="shared" si="194"/>
        <v>10956.38</v>
      </c>
      <c r="R148" s="745">
        <v>0</v>
      </c>
      <c r="S148" s="746">
        <f t="shared" si="195"/>
        <v>0</v>
      </c>
      <c r="T148" s="194">
        <f t="shared" si="202"/>
        <v>2</v>
      </c>
      <c r="U148" s="630">
        <f t="shared" si="199"/>
        <v>10956.38</v>
      </c>
      <c r="V148" s="194">
        <f t="shared" si="200"/>
        <v>0</v>
      </c>
      <c r="W148" s="630">
        <f t="shared" si="201"/>
        <v>0</v>
      </c>
    </row>
    <row r="149" spans="1:23" ht="38.25">
      <c r="A149" s="190" t="s">
        <v>251</v>
      </c>
      <c r="B149" s="191">
        <v>40817</v>
      </c>
      <c r="C149" s="657" t="s">
        <v>271</v>
      </c>
      <c r="D149" s="192" t="s">
        <v>58</v>
      </c>
      <c r="E149" s="193">
        <v>3001.6</v>
      </c>
      <c r="F149" s="194">
        <v>0.03</v>
      </c>
      <c r="G149" s="194"/>
      <c r="H149" s="194"/>
      <c r="I149" s="194"/>
      <c r="J149" s="193">
        <f t="shared" si="196"/>
        <v>0.03</v>
      </c>
      <c r="K149" s="193">
        <f t="shared" si="197"/>
        <v>90.047999999999988</v>
      </c>
      <c r="L149" s="193"/>
      <c r="M149" s="193"/>
      <c r="N149" s="193"/>
      <c r="O149" s="622">
        <f t="shared" si="198"/>
        <v>90.047999999999988</v>
      </c>
      <c r="P149" s="194">
        <v>0.03</v>
      </c>
      <c r="Q149" s="622">
        <f t="shared" si="194"/>
        <v>90.04</v>
      </c>
      <c r="R149" s="745"/>
      <c r="S149" s="746">
        <f t="shared" si="195"/>
        <v>0</v>
      </c>
      <c r="T149" s="194">
        <f t="shared" si="202"/>
        <v>0.03</v>
      </c>
      <c r="U149" s="630">
        <f t="shared" si="199"/>
        <v>90.04</v>
      </c>
      <c r="V149" s="194">
        <f t="shared" si="200"/>
        <v>0</v>
      </c>
      <c r="W149" s="630">
        <f t="shared" si="201"/>
        <v>0</v>
      </c>
    </row>
    <row r="150" spans="1:23">
      <c r="A150" s="190" t="s">
        <v>252</v>
      </c>
      <c r="B150" s="191" t="s">
        <v>261</v>
      </c>
      <c r="C150" s="657" t="s">
        <v>272</v>
      </c>
      <c r="D150" s="192" t="s">
        <v>72</v>
      </c>
      <c r="E150" s="193">
        <v>2011.04</v>
      </c>
      <c r="F150" s="194">
        <v>15</v>
      </c>
      <c r="G150" s="194"/>
      <c r="H150" s="194"/>
      <c r="I150" s="194"/>
      <c r="J150" s="193">
        <f t="shared" si="196"/>
        <v>15</v>
      </c>
      <c r="K150" s="193">
        <f t="shared" si="197"/>
        <v>30165.599999999999</v>
      </c>
      <c r="L150" s="193"/>
      <c r="M150" s="193"/>
      <c r="N150" s="193"/>
      <c r="O150" s="622">
        <f t="shared" si="198"/>
        <v>30165.599999999999</v>
      </c>
      <c r="P150" s="194">
        <v>15</v>
      </c>
      <c r="Q150" s="622">
        <f t="shared" si="194"/>
        <v>30165.599999999999</v>
      </c>
      <c r="R150" s="745">
        <v>0</v>
      </c>
      <c r="S150" s="746">
        <f t="shared" si="195"/>
        <v>0</v>
      </c>
      <c r="T150" s="194">
        <f>R150+P150</f>
        <v>15</v>
      </c>
      <c r="U150" s="630">
        <f t="shared" si="199"/>
        <v>30165.599999999999</v>
      </c>
      <c r="V150" s="194">
        <f t="shared" si="200"/>
        <v>0</v>
      </c>
      <c r="W150" s="630">
        <f t="shared" si="201"/>
        <v>0</v>
      </c>
    </row>
    <row r="151" spans="1:23" ht="25.5">
      <c r="A151" s="190" t="s">
        <v>253</v>
      </c>
      <c r="B151" s="191" t="s">
        <v>262</v>
      </c>
      <c r="C151" s="657" t="s">
        <v>273</v>
      </c>
      <c r="D151" s="192" t="s">
        <v>72</v>
      </c>
      <c r="E151" s="193">
        <v>28185.33</v>
      </c>
      <c r="F151" s="194">
        <v>1</v>
      </c>
      <c r="G151" s="194"/>
      <c r="H151" s="194"/>
      <c r="I151" s="194"/>
      <c r="J151" s="193">
        <f t="shared" si="196"/>
        <v>1</v>
      </c>
      <c r="K151" s="193">
        <f t="shared" si="197"/>
        <v>28185.33</v>
      </c>
      <c r="L151" s="193"/>
      <c r="M151" s="193"/>
      <c r="N151" s="193"/>
      <c r="O151" s="622">
        <f t="shared" si="198"/>
        <v>28185.33</v>
      </c>
      <c r="P151" s="194">
        <v>1</v>
      </c>
      <c r="Q151" s="622">
        <f t="shared" si="194"/>
        <v>28185.33</v>
      </c>
      <c r="R151" s="745">
        <v>0</v>
      </c>
      <c r="S151" s="746">
        <f t="shared" si="195"/>
        <v>0</v>
      </c>
      <c r="T151" s="194">
        <f t="shared" si="202"/>
        <v>1</v>
      </c>
      <c r="U151" s="630">
        <f t="shared" si="199"/>
        <v>28185.33</v>
      </c>
      <c r="V151" s="194">
        <f>F151-T151</f>
        <v>0</v>
      </c>
      <c r="W151" s="630">
        <f t="shared" si="201"/>
        <v>0</v>
      </c>
    </row>
    <row r="152" spans="1:23">
      <c r="A152" s="190" t="s">
        <v>254</v>
      </c>
      <c r="B152" s="191" t="s">
        <v>263</v>
      </c>
      <c r="C152" s="657" t="s">
        <v>274</v>
      </c>
      <c r="D152" s="192" t="s">
        <v>72</v>
      </c>
      <c r="E152" s="193">
        <v>340.73</v>
      </c>
      <c r="F152" s="194">
        <v>2</v>
      </c>
      <c r="G152" s="194"/>
      <c r="H152" s="194"/>
      <c r="I152" s="194"/>
      <c r="J152" s="193">
        <f t="shared" si="196"/>
        <v>2</v>
      </c>
      <c r="K152" s="193">
        <f t="shared" si="197"/>
        <v>681.46</v>
      </c>
      <c r="L152" s="193"/>
      <c r="M152" s="193"/>
      <c r="N152" s="193"/>
      <c r="O152" s="622">
        <f t="shared" si="198"/>
        <v>681.46</v>
      </c>
      <c r="P152" s="194">
        <v>2</v>
      </c>
      <c r="Q152" s="622">
        <f t="shared" si="194"/>
        <v>681.46</v>
      </c>
      <c r="R152" s="745">
        <v>0</v>
      </c>
      <c r="S152" s="746">
        <f t="shared" si="195"/>
        <v>0</v>
      </c>
      <c r="T152" s="194">
        <f t="shared" si="202"/>
        <v>2</v>
      </c>
      <c r="U152" s="630">
        <f t="shared" si="199"/>
        <v>681.46</v>
      </c>
      <c r="V152" s="194">
        <f t="shared" si="144"/>
        <v>0</v>
      </c>
      <c r="W152" s="630">
        <f t="shared" si="201"/>
        <v>0</v>
      </c>
    </row>
    <row r="153" spans="1:23" ht="29.25" customHeight="1">
      <c r="A153" s="190" t="s">
        <v>1124</v>
      </c>
      <c r="B153" s="191" t="s">
        <v>1118</v>
      </c>
      <c r="C153" s="657" t="str">
        <f>REPLANILHAMENTO!D116</f>
        <v>Pranchões e Roletes para apoio da plataforma flutuante</v>
      </c>
      <c r="D153" s="192" t="str">
        <f>REPLANILHAMENTO!E116</f>
        <v>UND</v>
      </c>
      <c r="E153" s="193">
        <f>REPLANILHAMENTO!F116</f>
        <v>13295.45</v>
      </c>
      <c r="F153" s="194">
        <v>0</v>
      </c>
      <c r="G153" s="194"/>
      <c r="H153" s="194">
        <f>REPLANILHAMENTO!H116</f>
        <v>1</v>
      </c>
      <c r="I153" s="194">
        <v>0</v>
      </c>
      <c r="J153" s="193">
        <f>F153+H153-I153</f>
        <v>1</v>
      </c>
      <c r="K153" s="193">
        <v>0</v>
      </c>
      <c r="L153" s="193">
        <f>H153*E153</f>
        <v>13295.45</v>
      </c>
      <c r="M153" s="193"/>
      <c r="N153" s="193"/>
      <c r="O153" s="622">
        <f>J153*E153</f>
        <v>13295.45</v>
      </c>
      <c r="P153" s="194">
        <v>0</v>
      </c>
      <c r="Q153" s="622">
        <v>0</v>
      </c>
      <c r="R153" s="745">
        <f>'2.4.1.13'!R25</f>
        <v>0</v>
      </c>
      <c r="S153" s="746">
        <f>R153*E153</f>
        <v>0</v>
      </c>
      <c r="T153" s="194">
        <f>'2.4.1.13'!R25</f>
        <v>0</v>
      </c>
      <c r="U153" s="630">
        <f>S153</f>
        <v>0</v>
      </c>
      <c r="V153" s="194">
        <v>0</v>
      </c>
      <c r="W153" s="630">
        <v>0</v>
      </c>
    </row>
    <row r="154" spans="1:23" s="765" customFormat="1" ht="37.5" customHeight="1">
      <c r="A154" s="758" t="s">
        <v>1505</v>
      </c>
      <c r="B154" s="759" t="s">
        <v>1125</v>
      </c>
      <c r="C154" s="760" t="s">
        <v>1506</v>
      </c>
      <c r="D154" s="761" t="s">
        <v>1507</v>
      </c>
      <c r="E154" s="757">
        <v>76633.67</v>
      </c>
      <c r="F154" s="762">
        <v>0</v>
      </c>
      <c r="G154" s="762">
        <v>1</v>
      </c>
      <c r="H154" s="762"/>
      <c r="I154" s="762"/>
      <c r="J154" s="762">
        <f>F154+G154+H154-I154</f>
        <v>1</v>
      </c>
      <c r="K154" s="757"/>
      <c r="M154" s="757">
        <f>G154*E154</f>
        <v>76633.67</v>
      </c>
      <c r="N154" s="757"/>
      <c r="O154" s="757">
        <f>J154*E154</f>
        <v>76633.67</v>
      </c>
      <c r="P154" s="762"/>
      <c r="Q154" s="757"/>
      <c r="R154" s="787">
        <v>1</v>
      </c>
      <c r="S154" s="788">
        <f t="shared" ref="S154:S155" si="203">R154*E154</f>
        <v>76633.67</v>
      </c>
      <c r="T154" s="762">
        <f t="shared" si="202"/>
        <v>1</v>
      </c>
      <c r="U154" s="764">
        <f t="shared" ref="U154:U155" si="204">S154</f>
        <v>76633.67</v>
      </c>
      <c r="V154" s="762">
        <f>J154-T154</f>
        <v>0</v>
      </c>
      <c r="W154" s="764">
        <f t="shared" ref="W154" si="205">V154*E154</f>
        <v>0</v>
      </c>
    </row>
    <row r="155" spans="1:23" s="765" customFormat="1" ht="37.5" customHeight="1">
      <c r="A155" s="758" t="s">
        <v>1508</v>
      </c>
      <c r="B155" s="759" t="s">
        <v>1509</v>
      </c>
      <c r="C155" s="760" t="s">
        <v>1510</v>
      </c>
      <c r="D155" s="761" t="s">
        <v>72</v>
      </c>
      <c r="E155" s="757">
        <v>194294.95</v>
      </c>
      <c r="F155" s="762">
        <v>0</v>
      </c>
      <c r="G155" s="762">
        <v>1</v>
      </c>
      <c r="H155" s="762"/>
      <c r="I155" s="762"/>
      <c r="J155" s="762">
        <f>F155+G155+H155-I155</f>
        <v>1</v>
      </c>
      <c r="K155" s="757"/>
      <c r="M155" s="757">
        <f>G155*E155</f>
        <v>194294.95</v>
      </c>
      <c r="N155" s="757"/>
      <c r="O155" s="757">
        <f>J155*E155</f>
        <v>194294.95</v>
      </c>
      <c r="P155" s="762"/>
      <c r="Q155" s="757"/>
      <c r="R155" s="787">
        <v>1</v>
      </c>
      <c r="S155" s="788">
        <f t="shared" si="203"/>
        <v>194294.95</v>
      </c>
      <c r="T155" s="762">
        <f t="shared" si="202"/>
        <v>1</v>
      </c>
      <c r="U155" s="764">
        <f t="shared" si="204"/>
        <v>194294.95</v>
      </c>
      <c r="V155" s="762">
        <f>J155-T155</f>
        <v>0</v>
      </c>
      <c r="W155" s="764">
        <f t="shared" ref="W155" si="206">V155*E155</f>
        <v>0</v>
      </c>
    </row>
    <row r="156" spans="1:23">
      <c r="A156" s="138"/>
      <c r="B156" s="132"/>
      <c r="C156" s="123"/>
      <c r="D156" s="123"/>
      <c r="E156" s="123"/>
      <c r="F156" s="123"/>
      <c r="G156" s="123"/>
      <c r="H156" s="123"/>
      <c r="I156" s="123"/>
      <c r="J156" s="193">
        <f t="shared" si="196"/>
        <v>0</v>
      </c>
      <c r="K156" s="193">
        <f t="shared" si="197"/>
        <v>0</v>
      </c>
      <c r="L156" s="193"/>
      <c r="M156" s="193"/>
      <c r="N156" s="193"/>
      <c r="O156" s="622">
        <f t="shared" si="198"/>
        <v>0</v>
      </c>
      <c r="P156" s="123"/>
      <c r="Q156" s="623"/>
      <c r="R156" s="791"/>
      <c r="S156" s="792"/>
      <c r="T156" s="123"/>
      <c r="U156" s="631"/>
      <c r="V156" s="123"/>
      <c r="W156" s="631"/>
    </row>
    <row r="157" spans="1:23" s="131" customFormat="1">
      <c r="A157" s="137" t="s">
        <v>275</v>
      </c>
      <c r="B157" s="133"/>
      <c r="C157" s="658" t="s">
        <v>276</v>
      </c>
      <c r="D157" s="126"/>
      <c r="E157" s="127"/>
      <c r="F157" s="128"/>
      <c r="G157" s="128"/>
      <c r="H157" s="128"/>
      <c r="I157" s="128"/>
      <c r="J157" s="128"/>
      <c r="K157" s="129">
        <f>SUBTOTAL(9,K158:K158)</f>
        <v>1246.9100000000001</v>
      </c>
      <c r="L157" s="128"/>
      <c r="M157" s="128"/>
      <c r="N157" s="128"/>
      <c r="O157" s="637"/>
      <c r="P157" s="130"/>
      <c r="Q157" s="624">
        <f>SUBTOTAL(9,Q158:Q158)</f>
        <v>1246.9100000000001</v>
      </c>
      <c r="R157" s="743"/>
      <c r="S157" s="744">
        <f>SUBTOTAL(9,S158:S158)</f>
        <v>0</v>
      </c>
      <c r="T157" s="129"/>
      <c r="U157" s="624">
        <f>SUBTOTAL(9,U158:U158)</f>
        <v>1246.9100000000001</v>
      </c>
      <c r="V157" s="129">
        <f t="shared" si="144"/>
        <v>0</v>
      </c>
      <c r="W157" s="624">
        <f>SUBTOTAL(9,W158:W158)</f>
        <v>0</v>
      </c>
    </row>
    <row r="158" spans="1:23" ht="25.5">
      <c r="A158" s="190" t="s">
        <v>277</v>
      </c>
      <c r="B158" s="191" t="s">
        <v>278</v>
      </c>
      <c r="C158" s="657" t="s">
        <v>279</v>
      </c>
      <c r="D158" s="192" t="s">
        <v>72</v>
      </c>
      <c r="E158" s="193">
        <v>1246.9100000000001</v>
      </c>
      <c r="F158" s="194">
        <v>1</v>
      </c>
      <c r="G158" s="194"/>
      <c r="H158" s="194"/>
      <c r="I158" s="194"/>
      <c r="J158" s="193">
        <f t="shared" si="196"/>
        <v>1</v>
      </c>
      <c r="K158" s="193">
        <f t="shared" si="197"/>
        <v>1246.9100000000001</v>
      </c>
      <c r="L158" s="193"/>
      <c r="M158" s="193"/>
      <c r="N158" s="193"/>
      <c r="O158" s="622">
        <f t="shared" si="198"/>
        <v>1246.9100000000001</v>
      </c>
      <c r="P158" s="194">
        <v>1</v>
      </c>
      <c r="Q158" s="622">
        <f t="shared" ref="Q158" si="207">TRUNC(P158*E158,2)</f>
        <v>1246.9100000000001</v>
      </c>
      <c r="R158" s="745">
        <v>0</v>
      </c>
      <c r="S158" s="746">
        <f t="shared" ref="S158" si="208">U158-Q158</f>
        <v>0</v>
      </c>
      <c r="T158" s="194">
        <f t="shared" ref="T158" si="209">R158+P158</f>
        <v>1</v>
      </c>
      <c r="U158" s="630">
        <f t="shared" ref="U158" si="210">TRUNC(T158*E158,2)</f>
        <v>1246.9100000000001</v>
      </c>
      <c r="V158" s="194">
        <f t="shared" si="144"/>
        <v>0</v>
      </c>
      <c r="W158" s="630">
        <f t="shared" ref="W158" si="211">V158*E158</f>
        <v>0</v>
      </c>
    </row>
    <row r="159" spans="1:23">
      <c r="A159" s="138"/>
      <c r="B159" s="132"/>
      <c r="C159" s="123"/>
      <c r="D159" s="123"/>
      <c r="E159" s="123"/>
      <c r="F159" s="123"/>
      <c r="G159" s="123"/>
      <c r="H159" s="123"/>
      <c r="I159" s="123"/>
      <c r="J159" s="193">
        <f t="shared" si="196"/>
        <v>0</v>
      </c>
      <c r="K159" s="193">
        <f t="shared" si="197"/>
        <v>0</v>
      </c>
      <c r="L159" s="193"/>
      <c r="M159" s="193"/>
      <c r="N159" s="193"/>
      <c r="O159" s="622">
        <f t="shared" si="198"/>
        <v>0</v>
      </c>
      <c r="P159" s="123"/>
      <c r="Q159" s="623"/>
      <c r="R159" s="791"/>
      <c r="S159" s="792"/>
      <c r="T159" s="123"/>
      <c r="U159" s="631"/>
      <c r="V159" s="123"/>
      <c r="W159" s="631"/>
    </row>
    <row r="160" spans="1:23" s="131" customFormat="1">
      <c r="A160" s="137" t="s">
        <v>280</v>
      </c>
      <c r="B160" s="133"/>
      <c r="C160" s="658" t="s">
        <v>281</v>
      </c>
      <c r="D160" s="126"/>
      <c r="E160" s="127"/>
      <c r="F160" s="128"/>
      <c r="G160" s="128"/>
      <c r="H160" s="128"/>
      <c r="I160" s="128"/>
      <c r="J160" s="128"/>
      <c r="K160" s="129">
        <f>SUBTOTAL(9,K161:K172)</f>
        <v>290746.61999999994</v>
      </c>
      <c r="L160" s="128"/>
      <c r="M160" s="128"/>
      <c r="N160" s="128"/>
      <c r="O160" s="637"/>
      <c r="P160" s="130"/>
      <c r="Q160" s="624">
        <f>SUBTOTAL(9,Q161:Q172)</f>
        <v>290746.60000000003</v>
      </c>
      <c r="R160" s="743"/>
      <c r="S160" s="744">
        <f>SUBTOTAL(9,S161:S172)</f>
        <v>0</v>
      </c>
      <c r="T160" s="129"/>
      <c r="U160" s="624">
        <f>SUBTOTAL(9,U161:U172)</f>
        <v>290746.60000000003</v>
      </c>
      <c r="V160" s="624"/>
      <c r="W160" s="624">
        <f>SUBTOTAL(9,W161:W172)</f>
        <v>0</v>
      </c>
    </row>
    <row r="161" spans="1:23" ht="25.5">
      <c r="A161" s="190" t="s">
        <v>282</v>
      </c>
      <c r="B161" s="191" t="s">
        <v>294</v>
      </c>
      <c r="C161" s="657" t="s">
        <v>895</v>
      </c>
      <c r="D161" s="192" t="s">
        <v>315</v>
      </c>
      <c r="E161" s="193">
        <v>18178.13</v>
      </c>
      <c r="F161" s="194">
        <v>2</v>
      </c>
      <c r="G161" s="194"/>
      <c r="H161" s="194"/>
      <c r="I161" s="194"/>
      <c r="J161" s="193">
        <f t="shared" si="196"/>
        <v>2</v>
      </c>
      <c r="K161" s="193">
        <f t="shared" si="197"/>
        <v>36356.26</v>
      </c>
      <c r="L161" s="193"/>
      <c r="M161" s="193"/>
      <c r="N161" s="193"/>
      <c r="O161" s="622">
        <f t="shared" si="198"/>
        <v>36356.26</v>
      </c>
      <c r="P161" s="194">
        <f>'2.4.3.1 '!R20</f>
        <v>2</v>
      </c>
      <c r="Q161" s="622">
        <f t="shared" ref="Q161:Q173" si="212">TRUNC(P161*E161,2)</f>
        <v>36356.26</v>
      </c>
      <c r="R161" s="745">
        <f>'2.4.3.1 '!R21</f>
        <v>0</v>
      </c>
      <c r="S161" s="746">
        <f t="shared" ref="S161:S172" si="213">U161-Q161</f>
        <v>0</v>
      </c>
      <c r="T161" s="194">
        <f t="shared" ref="T161:T173" si="214">R161+P161</f>
        <v>2</v>
      </c>
      <c r="U161" s="630">
        <f t="shared" ref="U161:U173" si="215">TRUNC(T161*E161,2)</f>
        <v>36356.26</v>
      </c>
      <c r="V161" s="194">
        <f>F161-T161</f>
        <v>0</v>
      </c>
      <c r="W161" s="630">
        <f t="shared" ref="W161:W172" si="216">V161*E161</f>
        <v>0</v>
      </c>
    </row>
    <row r="162" spans="1:23" ht="25.5">
      <c r="A162" s="190" t="s">
        <v>283</v>
      </c>
      <c r="B162" s="191" t="s">
        <v>295</v>
      </c>
      <c r="C162" s="657" t="s">
        <v>305</v>
      </c>
      <c r="D162" s="192" t="s">
        <v>51</v>
      </c>
      <c r="E162" s="193">
        <v>1268.83</v>
      </c>
      <c r="F162" s="194">
        <v>86.8</v>
      </c>
      <c r="G162" s="194"/>
      <c r="H162" s="194"/>
      <c r="I162" s="194"/>
      <c r="J162" s="193">
        <f t="shared" si="196"/>
        <v>86.8</v>
      </c>
      <c r="K162" s="193">
        <f t="shared" si="197"/>
        <v>110134.44399999999</v>
      </c>
      <c r="L162" s="193"/>
      <c r="M162" s="193"/>
      <c r="N162" s="193"/>
      <c r="O162" s="622">
        <f t="shared" si="198"/>
        <v>110134.44399999999</v>
      </c>
      <c r="P162" s="194">
        <v>86.8</v>
      </c>
      <c r="Q162" s="622">
        <f t="shared" si="212"/>
        <v>110134.44</v>
      </c>
      <c r="R162" s="745">
        <f>IFERROR(VLOOKUP(A162,#REF!,18,FALSE),)</f>
        <v>0</v>
      </c>
      <c r="S162" s="746">
        <f t="shared" si="213"/>
        <v>0</v>
      </c>
      <c r="T162" s="194">
        <f>R162+P162</f>
        <v>86.8</v>
      </c>
      <c r="U162" s="630">
        <f t="shared" si="215"/>
        <v>110134.44</v>
      </c>
      <c r="V162" s="194">
        <f>J162-T162</f>
        <v>0</v>
      </c>
      <c r="W162" s="630">
        <f t="shared" si="216"/>
        <v>0</v>
      </c>
    </row>
    <row r="163" spans="1:23" ht="25.5">
      <c r="A163" s="190" t="s">
        <v>284</v>
      </c>
      <c r="B163" s="191" t="s">
        <v>296</v>
      </c>
      <c r="C163" s="657" t="s">
        <v>306</v>
      </c>
      <c r="D163" s="192" t="s">
        <v>51</v>
      </c>
      <c r="E163" s="193">
        <v>294.97000000000003</v>
      </c>
      <c r="F163" s="194">
        <v>86.8</v>
      </c>
      <c r="G163" s="194"/>
      <c r="H163" s="194"/>
      <c r="I163" s="194"/>
      <c r="J163" s="193">
        <f t="shared" si="196"/>
        <v>86.8</v>
      </c>
      <c r="K163" s="193">
        <f t="shared" si="197"/>
        <v>25603.396000000001</v>
      </c>
      <c r="L163" s="193"/>
      <c r="M163" s="193"/>
      <c r="N163" s="193"/>
      <c r="O163" s="622">
        <f t="shared" si="198"/>
        <v>25603.396000000001</v>
      </c>
      <c r="P163" s="194">
        <v>86.8</v>
      </c>
      <c r="Q163" s="622">
        <f t="shared" si="212"/>
        <v>25603.39</v>
      </c>
      <c r="R163" s="745">
        <f>IFERROR(VLOOKUP(A163,#REF!,18,FALSE),)</f>
        <v>0</v>
      </c>
      <c r="S163" s="746">
        <f t="shared" si="213"/>
        <v>0</v>
      </c>
      <c r="T163" s="194">
        <f>R163+P163</f>
        <v>86.8</v>
      </c>
      <c r="U163" s="630">
        <f t="shared" si="215"/>
        <v>25603.39</v>
      </c>
      <c r="V163" s="194">
        <f t="shared" ref="V163:V171" si="217">J163-T163</f>
        <v>0</v>
      </c>
      <c r="W163" s="630">
        <f t="shared" si="216"/>
        <v>0</v>
      </c>
    </row>
    <row r="164" spans="1:23">
      <c r="A164" s="190" t="s">
        <v>285</v>
      </c>
      <c r="B164" s="191" t="s">
        <v>297</v>
      </c>
      <c r="C164" s="657" t="s">
        <v>307</v>
      </c>
      <c r="D164" s="192" t="s">
        <v>51</v>
      </c>
      <c r="E164" s="193">
        <v>309.62</v>
      </c>
      <c r="F164" s="194">
        <v>64</v>
      </c>
      <c r="G164" s="194"/>
      <c r="H164" s="194"/>
      <c r="I164" s="194"/>
      <c r="J164" s="193">
        <f t="shared" si="196"/>
        <v>64</v>
      </c>
      <c r="K164" s="193">
        <f t="shared" si="197"/>
        <v>19815.68</v>
      </c>
      <c r="L164" s="193"/>
      <c r="M164" s="193"/>
      <c r="N164" s="193"/>
      <c r="O164" s="622">
        <f t="shared" si="198"/>
        <v>19815.68</v>
      </c>
      <c r="P164" s="194">
        <v>64</v>
      </c>
      <c r="Q164" s="622">
        <f t="shared" si="212"/>
        <v>19815.68</v>
      </c>
      <c r="R164" s="745">
        <f>IFERROR(VLOOKUP(A164,#REF!,18,FALSE),)</f>
        <v>0</v>
      </c>
      <c r="S164" s="746">
        <f t="shared" si="213"/>
        <v>0</v>
      </c>
      <c r="T164" s="194">
        <f t="shared" si="214"/>
        <v>64</v>
      </c>
      <c r="U164" s="630">
        <f t="shared" si="215"/>
        <v>19815.68</v>
      </c>
      <c r="V164" s="194">
        <f t="shared" si="217"/>
        <v>0</v>
      </c>
      <c r="W164" s="630">
        <f t="shared" si="216"/>
        <v>0</v>
      </c>
    </row>
    <row r="165" spans="1:23" ht="25.5">
      <c r="A165" s="190" t="s">
        <v>286</v>
      </c>
      <c r="B165" s="191" t="s">
        <v>298</v>
      </c>
      <c r="C165" s="657" t="s">
        <v>308</v>
      </c>
      <c r="D165" s="192" t="s">
        <v>51</v>
      </c>
      <c r="E165" s="193">
        <v>358.26</v>
      </c>
      <c r="F165" s="194">
        <v>64</v>
      </c>
      <c r="G165" s="194"/>
      <c r="H165" s="194"/>
      <c r="I165" s="194"/>
      <c r="J165" s="193">
        <f t="shared" si="196"/>
        <v>64</v>
      </c>
      <c r="K165" s="193">
        <f t="shared" si="197"/>
        <v>22928.639999999999</v>
      </c>
      <c r="L165" s="193"/>
      <c r="M165" s="193"/>
      <c r="N165" s="193"/>
      <c r="O165" s="622">
        <f t="shared" si="198"/>
        <v>22928.639999999999</v>
      </c>
      <c r="P165" s="194">
        <v>64</v>
      </c>
      <c r="Q165" s="622">
        <f t="shared" si="212"/>
        <v>22928.639999999999</v>
      </c>
      <c r="R165" s="745">
        <f>IFERROR(VLOOKUP(A165,#REF!,18,FALSE),)</f>
        <v>0</v>
      </c>
      <c r="S165" s="746">
        <f t="shared" si="213"/>
        <v>0</v>
      </c>
      <c r="T165" s="194">
        <f t="shared" si="214"/>
        <v>64</v>
      </c>
      <c r="U165" s="630">
        <f t="shared" si="215"/>
        <v>22928.639999999999</v>
      </c>
      <c r="V165" s="194">
        <f t="shared" si="217"/>
        <v>0</v>
      </c>
      <c r="W165" s="630">
        <f t="shared" si="216"/>
        <v>0</v>
      </c>
    </row>
    <row r="166" spans="1:23" ht="25.5">
      <c r="A166" s="190" t="s">
        <v>287</v>
      </c>
      <c r="B166" s="191" t="s">
        <v>299</v>
      </c>
      <c r="C166" s="657" t="s">
        <v>309</v>
      </c>
      <c r="D166" s="192" t="s">
        <v>29</v>
      </c>
      <c r="E166" s="193">
        <v>8.1199999999999992</v>
      </c>
      <c r="F166" s="194">
        <v>5048</v>
      </c>
      <c r="G166" s="194"/>
      <c r="H166" s="194"/>
      <c r="I166" s="194"/>
      <c r="J166" s="193">
        <f t="shared" si="196"/>
        <v>5048</v>
      </c>
      <c r="K166" s="193">
        <f t="shared" si="197"/>
        <v>40989.759999999995</v>
      </c>
      <c r="L166" s="193"/>
      <c r="M166" s="193"/>
      <c r="N166" s="193"/>
      <c r="O166" s="622">
        <f t="shared" si="198"/>
        <v>40989.759999999995</v>
      </c>
      <c r="P166" s="194">
        <v>5048</v>
      </c>
      <c r="Q166" s="622">
        <f t="shared" si="212"/>
        <v>40989.760000000002</v>
      </c>
      <c r="R166" s="745">
        <f>IFERROR(VLOOKUP(A166,#REF!,18,FALSE),)</f>
        <v>0</v>
      </c>
      <c r="S166" s="746">
        <f t="shared" si="213"/>
        <v>0</v>
      </c>
      <c r="T166" s="194">
        <f t="shared" si="214"/>
        <v>5048</v>
      </c>
      <c r="U166" s="630">
        <f t="shared" si="215"/>
        <v>40989.760000000002</v>
      </c>
      <c r="V166" s="194">
        <f t="shared" si="217"/>
        <v>0</v>
      </c>
      <c r="W166" s="630">
        <f t="shared" si="216"/>
        <v>0</v>
      </c>
    </row>
    <row r="167" spans="1:23">
      <c r="A167" s="190" t="s">
        <v>288</v>
      </c>
      <c r="B167" s="191" t="s">
        <v>300</v>
      </c>
      <c r="C167" s="657" t="s">
        <v>310</v>
      </c>
      <c r="D167" s="192" t="s">
        <v>29</v>
      </c>
      <c r="E167" s="193">
        <v>0.64</v>
      </c>
      <c r="F167" s="194">
        <v>5048</v>
      </c>
      <c r="G167" s="194"/>
      <c r="H167" s="194"/>
      <c r="I167" s="194"/>
      <c r="J167" s="193">
        <f t="shared" si="196"/>
        <v>5048</v>
      </c>
      <c r="K167" s="193">
        <f t="shared" si="197"/>
        <v>3230.7200000000003</v>
      </c>
      <c r="L167" s="193"/>
      <c r="M167" s="193"/>
      <c r="N167" s="193"/>
      <c r="O167" s="622">
        <f t="shared" si="198"/>
        <v>3230.7200000000003</v>
      </c>
      <c r="P167" s="194">
        <v>5048</v>
      </c>
      <c r="Q167" s="622">
        <f t="shared" si="212"/>
        <v>3230.72</v>
      </c>
      <c r="R167" s="745">
        <f>IFERROR(VLOOKUP(A167,#REF!,18,FALSE),)</f>
        <v>0</v>
      </c>
      <c r="S167" s="746">
        <f t="shared" si="213"/>
        <v>0</v>
      </c>
      <c r="T167" s="194">
        <f t="shared" si="214"/>
        <v>5048</v>
      </c>
      <c r="U167" s="630">
        <f t="shared" si="215"/>
        <v>3230.72</v>
      </c>
      <c r="V167" s="194">
        <f t="shared" si="217"/>
        <v>0</v>
      </c>
      <c r="W167" s="630">
        <f t="shared" si="216"/>
        <v>0</v>
      </c>
    </row>
    <row r="168" spans="1:23" ht="51">
      <c r="A168" s="190" t="s">
        <v>289</v>
      </c>
      <c r="B168" s="191" t="s">
        <v>140</v>
      </c>
      <c r="C168" s="657" t="s">
        <v>177</v>
      </c>
      <c r="D168" s="192" t="s">
        <v>58</v>
      </c>
      <c r="E168" s="193">
        <v>486.08</v>
      </c>
      <c r="F168" s="194">
        <v>31.89</v>
      </c>
      <c r="G168" s="194"/>
      <c r="H168" s="194"/>
      <c r="I168" s="194"/>
      <c r="J168" s="193">
        <f t="shared" si="196"/>
        <v>31.89</v>
      </c>
      <c r="K168" s="193">
        <f t="shared" si="197"/>
        <v>15501.091199999999</v>
      </c>
      <c r="L168" s="193"/>
      <c r="M168" s="193"/>
      <c r="N168" s="193"/>
      <c r="O168" s="622">
        <f t="shared" si="198"/>
        <v>15501.091199999999</v>
      </c>
      <c r="P168" s="194">
        <v>31.89</v>
      </c>
      <c r="Q168" s="622">
        <f t="shared" si="212"/>
        <v>15501.09</v>
      </c>
      <c r="R168" s="745">
        <f>IFERROR(VLOOKUP(A168,#REF!,18,FALSE),)</f>
        <v>0</v>
      </c>
      <c r="S168" s="746">
        <f t="shared" si="213"/>
        <v>0</v>
      </c>
      <c r="T168" s="194">
        <f t="shared" si="214"/>
        <v>31.89</v>
      </c>
      <c r="U168" s="630">
        <f t="shared" si="215"/>
        <v>15501.09</v>
      </c>
      <c r="V168" s="194">
        <f t="shared" si="217"/>
        <v>0</v>
      </c>
      <c r="W168" s="630">
        <f t="shared" si="216"/>
        <v>0</v>
      </c>
    </row>
    <row r="169" spans="1:23">
      <c r="A169" s="190" t="s">
        <v>290</v>
      </c>
      <c r="B169" s="191" t="s">
        <v>301</v>
      </c>
      <c r="C169" s="657" t="s">
        <v>311</v>
      </c>
      <c r="D169" s="192" t="s">
        <v>49</v>
      </c>
      <c r="E169" s="193">
        <v>105.97</v>
      </c>
      <c r="F169" s="194">
        <v>31.89</v>
      </c>
      <c r="G169" s="194"/>
      <c r="H169" s="194"/>
      <c r="I169" s="194"/>
      <c r="J169" s="193">
        <f t="shared" si="196"/>
        <v>31.89</v>
      </c>
      <c r="K169" s="193">
        <f t="shared" si="197"/>
        <v>3379.3833</v>
      </c>
      <c r="L169" s="193"/>
      <c r="M169" s="193"/>
      <c r="N169" s="193"/>
      <c r="O169" s="622">
        <f t="shared" si="198"/>
        <v>3379.3833</v>
      </c>
      <c r="P169" s="194">
        <v>31.89</v>
      </c>
      <c r="Q169" s="622">
        <f t="shared" si="212"/>
        <v>3379.38</v>
      </c>
      <c r="R169" s="745">
        <f>IFERROR(VLOOKUP(A169,#REF!,18,FALSE),)</f>
        <v>0</v>
      </c>
      <c r="S169" s="746">
        <f t="shared" si="213"/>
        <v>0</v>
      </c>
      <c r="T169" s="194">
        <f t="shared" si="214"/>
        <v>31.89</v>
      </c>
      <c r="U169" s="630">
        <f t="shared" si="215"/>
        <v>3379.38</v>
      </c>
      <c r="V169" s="194">
        <f t="shared" si="217"/>
        <v>0</v>
      </c>
      <c r="W169" s="630">
        <f t="shared" si="216"/>
        <v>0</v>
      </c>
    </row>
    <row r="170" spans="1:23">
      <c r="A170" s="190" t="s">
        <v>291</v>
      </c>
      <c r="B170" s="191" t="s">
        <v>302</v>
      </c>
      <c r="C170" s="657" t="s">
        <v>312</v>
      </c>
      <c r="D170" s="192" t="s">
        <v>72</v>
      </c>
      <c r="E170" s="193">
        <v>1.62</v>
      </c>
      <c r="F170" s="194">
        <v>4</v>
      </c>
      <c r="G170" s="194"/>
      <c r="H170" s="194"/>
      <c r="I170" s="194"/>
      <c r="J170" s="193">
        <f t="shared" si="196"/>
        <v>4</v>
      </c>
      <c r="K170" s="193">
        <f t="shared" si="197"/>
        <v>6.48</v>
      </c>
      <c r="L170" s="193"/>
      <c r="M170" s="193"/>
      <c r="N170" s="193"/>
      <c r="O170" s="622">
        <f t="shared" si="198"/>
        <v>6.48</v>
      </c>
      <c r="P170" s="194">
        <v>4</v>
      </c>
      <c r="Q170" s="622">
        <f t="shared" si="212"/>
        <v>6.48</v>
      </c>
      <c r="R170" s="745">
        <f>IFERROR(VLOOKUP(A170,#REF!,18,FALSE),)</f>
        <v>0</v>
      </c>
      <c r="S170" s="746">
        <f t="shared" si="213"/>
        <v>0</v>
      </c>
      <c r="T170" s="194">
        <f t="shared" si="214"/>
        <v>4</v>
      </c>
      <c r="U170" s="630">
        <f t="shared" si="215"/>
        <v>6.48</v>
      </c>
      <c r="V170" s="194">
        <f t="shared" si="217"/>
        <v>0</v>
      </c>
      <c r="W170" s="630">
        <f t="shared" si="216"/>
        <v>0</v>
      </c>
    </row>
    <row r="171" spans="1:23" ht="25.5">
      <c r="A171" s="190" t="s">
        <v>292</v>
      </c>
      <c r="B171" s="191" t="s">
        <v>303</v>
      </c>
      <c r="C171" s="657" t="s">
        <v>313</v>
      </c>
      <c r="D171" s="192" t="s">
        <v>72</v>
      </c>
      <c r="E171" s="193">
        <v>5793.75</v>
      </c>
      <c r="F171" s="194">
        <v>2</v>
      </c>
      <c r="G171" s="194"/>
      <c r="H171" s="194"/>
      <c r="I171" s="194"/>
      <c r="J171" s="193">
        <f t="shared" si="196"/>
        <v>2</v>
      </c>
      <c r="K171" s="193">
        <f t="shared" si="197"/>
        <v>11587.5</v>
      </c>
      <c r="L171" s="193"/>
      <c r="M171" s="193"/>
      <c r="N171" s="193"/>
      <c r="O171" s="622">
        <f t="shared" si="198"/>
        <v>11587.5</v>
      </c>
      <c r="P171" s="194">
        <v>2</v>
      </c>
      <c r="Q171" s="622">
        <f t="shared" si="212"/>
        <v>11587.5</v>
      </c>
      <c r="R171" s="745">
        <f>IFERROR(VLOOKUP(A171,#REF!,18,FALSE),)</f>
        <v>0</v>
      </c>
      <c r="S171" s="746">
        <f t="shared" si="213"/>
        <v>0</v>
      </c>
      <c r="T171" s="194">
        <f t="shared" si="214"/>
        <v>2</v>
      </c>
      <c r="U171" s="630">
        <f t="shared" si="215"/>
        <v>11587.5</v>
      </c>
      <c r="V171" s="194">
        <f t="shared" si="217"/>
        <v>0</v>
      </c>
      <c r="W171" s="630">
        <f t="shared" si="216"/>
        <v>0</v>
      </c>
    </row>
    <row r="172" spans="1:23" ht="25.5">
      <c r="A172" s="190" t="s">
        <v>293</v>
      </c>
      <c r="B172" s="191">
        <v>190418</v>
      </c>
      <c r="C172" s="657" t="s">
        <v>314</v>
      </c>
      <c r="D172" s="192" t="s">
        <v>57</v>
      </c>
      <c r="E172" s="193">
        <v>33.049999999999997</v>
      </c>
      <c r="F172" s="194">
        <v>36.71</v>
      </c>
      <c r="G172" s="194"/>
      <c r="H172" s="194"/>
      <c r="I172" s="194"/>
      <c r="J172" s="193">
        <f t="shared" si="196"/>
        <v>36.71</v>
      </c>
      <c r="K172" s="193">
        <f t="shared" si="197"/>
        <v>1213.2655</v>
      </c>
      <c r="L172" s="193"/>
      <c r="M172" s="193"/>
      <c r="N172" s="193"/>
      <c r="O172" s="622">
        <f t="shared" si="198"/>
        <v>1213.2655</v>
      </c>
      <c r="P172" s="194">
        <v>36.71</v>
      </c>
      <c r="Q172" s="622">
        <f t="shared" si="212"/>
        <v>1213.26</v>
      </c>
      <c r="R172" s="745">
        <v>0</v>
      </c>
      <c r="S172" s="746">
        <f t="shared" si="213"/>
        <v>0</v>
      </c>
      <c r="T172" s="194">
        <f t="shared" si="214"/>
        <v>36.71</v>
      </c>
      <c r="U172" s="630">
        <f t="shared" si="215"/>
        <v>1213.26</v>
      </c>
      <c r="V172" s="194">
        <f>J172-T172</f>
        <v>0</v>
      </c>
      <c r="W172" s="630">
        <f t="shared" si="216"/>
        <v>0</v>
      </c>
    </row>
    <row r="173" spans="1:23" s="765" customFormat="1" ht="51" customHeight="1">
      <c r="A173" s="758" t="s">
        <v>1188</v>
      </c>
      <c r="B173" s="759" t="s">
        <v>1135</v>
      </c>
      <c r="C173" s="760" t="s">
        <v>1511</v>
      </c>
      <c r="D173" s="761" t="s">
        <v>51</v>
      </c>
      <c r="E173" s="757">
        <v>619.1</v>
      </c>
      <c r="F173" s="762">
        <v>0</v>
      </c>
      <c r="G173" s="762">
        <v>22.85</v>
      </c>
      <c r="H173" s="762"/>
      <c r="I173" s="762"/>
      <c r="J173" s="757">
        <f>F173+G173+H173-I173</f>
        <v>22.85</v>
      </c>
      <c r="K173" s="757">
        <f>F173*E173</f>
        <v>0</v>
      </c>
      <c r="L173" s="757"/>
      <c r="M173" s="757">
        <f>E173*G173</f>
        <v>14146.435000000001</v>
      </c>
      <c r="N173" s="757"/>
      <c r="O173" s="763">
        <f t="shared" si="198"/>
        <v>14146.435000000001</v>
      </c>
      <c r="P173" s="762"/>
      <c r="Q173" s="763">
        <f t="shared" si="212"/>
        <v>0</v>
      </c>
      <c r="R173" s="787">
        <v>22.85</v>
      </c>
      <c r="S173" s="788">
        <f>R173*E173</f>
        <v>14146.435000000001</v>
      </c>
      <c r="T173" s="762">
        <f t="shared" si="214"/>
        <v>22.85</v>
      </c>
      <c r="U173" s="764">
        <f t="shared" si="215"/>
        <v>14146.43</v>
      </c>
      <c r="V173" s="762">
        <f>J173-T173</f>
        <v>0</v>
      </c>
      <c r="W173" s="764">
        <f t="shared" ref="W173" si="218">V173*E173</f>
        <v>0</v>
      </c>
    </row>
    <row r="174" spans="1:23">
      <c r="A174" s="138"/>
      <c r="B174" s="132"/>
      <c r="C174" s="123"/>
      <c r="D174" s="123"/>
      <c r="E174" s="123"/>
      <c r="F174" s="123"/>
      <c r="G174" s="123"/>
      <c r="H174" s="123"/>
      <c r="I174" s="123"/>
      <c r="J174" s="123"/>
      <c r="K174" s="123"/>
      <c r="L174" s="123"/>
      <c r="M174" s="123"/>
      <c r="N174" s="123"/>
      <c r="O174" s="623"/>
      <c r="P174" s="123"/>
      <c r="Q174" s="623"/>
      <c r="R174" s="791"/>
      <c r="S174" s="792"/>
      <c r="T174" s="123"/>
      <c r="U174" s="631"/>
      <c r="V174" s="123"/>
      <c r="W174" s="631"/>
    </row>
    <row r="175" spans="1:23" s="131" customFormat="1">
      <c r="A175" s="137" t="s">
        <v>316</v>
      </c>
      <c r="B175" s="133"/>
      <c r="C175" s="658" t="s">
        <v>212</v>
      </c>
      <c r="D175" s="126"/>
      <c r="E175" s="127"/>
      <c r="F175" s="128"/>
      <c r="G175" s="128"/>
      <c r="H175" s="128"/>
      <c r="I175" s="128"/>
      <c r="J175" s="129"/>
      <c r="K175" s="129">
        <f>SUBTOTAL(9,K176:K176)</f>
        <v>8738.247800000001</v>
      </c>
      <c r="L175" s="129"/>
      <c r="M175" s="129"/>
      <c r="N175" s="129"/>
      <c r="O175" s="624"/>
      <c r="P175" s="130"/>
      <c r="Q175" s="624">
        <f>SUBTOTAL(9,Q176:Q176)</f>
        <v>8738.24</v>
      </c>
      <c r="R175" s="743"/>
      <c r="S175" s="744">
        <f>SUBTOTAL(9,S176:S176)</f>
        <v>0</v>
      </c>
      <c r="T175" s="129"/>
      <c r="U175" s="624">
        <f>SUBTOTAL(9,U176:U176)</f>
        <v>8738.24</v>
      </c>
      <c r="V175" s="129">
        <f t="shared" si="144"/>
        <v>0</v>
      </c>
      <c r="W175" s="624">
        <f>SUBTOTAL(9,W176:W176)</f>
        <v>0</v>
      </c>
    </row>
    <row r="176" spans="1:23" ht="25.5">
      <c r="A176" s="190" t="s">
        <v>317</v>
      </c>
      <c r="B176" s="191" t="s">
        <v>227</v>
      </c>
      <c r="C176" s="657" t="s">
        <v>233</v>
      </c>
      <c r="D176" s="192" t="s">
        <v>51</v>
      </c>
      <c r="E176" s="193">
        <v>366.23</v>
      </c>
      <c r="F176" s="194">
        <v>23.86</v>
      </c>
      <c r="G176" s="194"/>
      <c r="H176" s="194"/>
      <c r="I176" s="194"/>
      <c r="J176" s="193">
        <f t="shared" ref="J176" si="219">F176+H176-I176</f>
        <v>23.86</v>
      </c>
      <c r="K176" s="193">
        <f t="shared" ref="K176" si="220">J176*E176</f>
        <v>8738.247800000001</v>
      </c>
      <c r="L176" s="193"/>
      <c r="M176" s="193"/>
      <c r="N176" s="193"/>
      <c r="O176" s="622">
        <f t="shared" ref="O176" si="221">J176*E176</f>
        <v>8738.247800000001</v>
      </c>
      <c r="P176" s="194">
        <v>23.86</v>
      </c>
      <c r="Q176" s="622">
        <f t="shared" ref="Q176" si="222">TRUNC(P176*E176,2)</f>
        <v>8738.24</v>
      </c>
      <c r="R176" s="745">
        <v>0</v>
      </c>
      <c r="S176" s="746">
        <f t="shared" ref="S176" si="223">U176-Q176</f>
        <v>0</v>
      </c>
      <c r="T176" s="194">
        <f t="shared" ref="T176" si="224">R176+P176</f>
        <v>23.86</v>
      </c>
      <c r="U176" s="630">
        <f t="shared" ref="U176" si="225">TRUNC(T176*E176,2)</f>
        <v>8738.24</v>
      </c>
      <c r="V176" s="194">
        <f t="shared" si="144"/>
        <v>0</v>
      </c>
      <c r="W176" s="630">
        <f t="shared" ref="W176" si="226">V176*E176</f>
        <v>0</v>
      </c>
    </row>
    <row r="177" spans="1:23">
      <c r="A177" s="138"/>
      <c r="B177" s="132"/>
      <c r="C177" s="123"/>
      <c r="D177" s="123"/>
      <c r="E177" s="123"/>
      <c r="F177" s="123"/>
      <c r="G177" s="123"/>
      <c r="H177" s="123"/>
      <c r="I177" s="123"/>
      <c r="J177" s="123"/>
      <c r="K177" s="123"/>
      <c r="L177" s="123"/>
      <c r="M177" s="123"/>
      <c r="N177" s="123"/>
      <c r="O177" s="623"/>
      <c r="P177" s="123"/>
      <c r="Q177" s="623"/>
      <c r="R177" s="791"/>
      <c r="S177" s="792"/>
      <c r="T177" s="123"/>
      <c r="U177" s="631"/>
      <c r="V177" s="123"/>
      <c r="W177" s="631"/>
    </row>
    <row r="178" spans="1:23" s="213" customFormat="1">
      <c r="A178" s="210" t="s">
        <v>25</v>
      </c>
      <c r="B178" s="211"/>
      <c r="C178" s="655" t="s">
        <v>318</v>
      </c>
      <c r="D178" s="197"/>
      <c r="E178" s="198"/>
      <c r="F178" s="199"/>
      <c r="G178" s="199"/>
      <c r="H178" s="199"/>
      <c r="I178" s="199"/>
      <c r="J178" s="200"/>
      <c r="K178" s="200">
        <f>SUBTOTAL(9,K179:K182)</f>
        <v>427244.30440000002</v>
      </c>
      <c r="L178" s="200"/>
      <c r="M178" s="200"/>
      <c r="N178" s="200"/>
      <c r="O178" s="620"/>
      <c r="P178" s="201"/>
      <c r="Q178" s="620">
        <f>SUBTOTAL(9,Q179:Q182)</f>
        <v>427244.3</v>
      </c>
      <c r="R178" s="743"/>
      <c r="S178" s="744">
        <f>SUBTOTAL(9,S179:S182)</f>
        <v>0</v>
      </c>
      <c r="T178" s="200"/>
      <c r="U178" s="620">
        <f>SUBTOTAL(9,U179:U182)</f>
        <v>427244.3</v>
      </c>
      <c r="V178" s="200">
        <f t="shared" si="144"/>
        <v>0</v>
      </c>
      <c r="W178" s="620">
        <f>SUBTOTAL(9,W179:W182)</f>
        <v>0</v>
      </c>
    </row>
    <row r="179" spans="1:23" s="131" customFormat="1">
      <c r="A179" s="137" t="s">
        <v>319</v>
      </c>
      <c r="B179" s="133"/>
      <c r="C179" s="658" t="s">
        <v>318</v>
      </c>
      <c r="D179" s="126"/>
      <c r="E179" s="127"/>
      <c r="F179" s="128"/>
      <c r="G179" s="128"/>
      <c r="H179" s="128"/>
      <c r="I179" s="128"/>
      <c r="J179" s="129"/>
      <c r="K179" s="129">
        <f>SUBTOTAL(9,K180:K182)</f>
        <v>427244.30440000002</v>
      </c>
      <c r="L179" s="129"/>
      <c r="M179" s="129"/>
      <c r="N179" s="129"/>
      <c r="O179" s="624"/>
      <c r="P179" s="130"/>
      <c r="Q179" s="624">
        <f>SUBTOTAL(9,Q180:Q182)</f>
        <v>427244.3</v>
      </c>
      <c r="R179" s="743"/>
      <c r="S179" s="744">
        <f>SUBTOTAL(9,S180:S182)</f>
        <v>0</v>
      </c>
      <c r="T179" s="129"/>
      <c r="U179" s="624">
        <f>SUBTOTAL(9,U180:U182)</f>
        <v>427244.3</v>
      </c>
      <c r="V179" s="129">
        <f t="shared" si="144"/>
        <v>0</v>
      </c>
      <c r="W179" s="624">
        <f>SUBTOTAL(9,W180:W182)</f>
        <v>0</v>
      </c>
    </row>
    <row r="180" spans="1:23" ht="25.5">
      <c r="A180" s="190" t="s">
        <v>320</v>
      </c>
      <c r="B180" s="191" t="s">
        <v>323</v>
      </c>
      <c r="C180" s="657" t="s">
        <v>326</v>
      </c>
      <c r="D180" s="192" t="s">
        <v>59</v>
      </c>
      <c r="E180" s="193">
        <v>409453.83</v>
      </c>
      <c r="F180" s="194">
        <v>1</v>
      </c>
      <c r="G180" s="194"/>
      <c r="H180" s="194"/>
      <c r="I180" s="194"/>
      <c r="J180" s="193">
        <f t="shared" ref="J180:J182" si="227">F180+H180-I180</f>
        <v>1</v>
      </c>
      <c r="K180" s="193">
        <f t="shared" ref="K180:K182" si="228">J180*E180</f>
        <v>409453.83</v>
      </c>
      <c r="L180" s="193"/>
      <c r="M180" s="193"/>
      <c r="N180" s="193"/>
      <c r="O180" s="622">
        <f t="shared" ref="O180:O183" si="229">J180*E180</f>
        <v>409453.83</v>
      </c>
      <c r="P180" s="194">
        <v>1</v>
      </c>
      <c r="Q180" s="622">
        <f t="shared" ref="Q180" si="230">TRUNC(P180*E180,2)</f>
        <v>409453.83</v>
      </c>
      <c r="R180" s="745">
        <v>0</v>
      </c>
      <c r="S180" s="746">
        <f t="shared" ref="S180" si="231">U180-Q180</f>
        <v>0</v>
      </c>
      <c r="T180" s="194">
        <f>R180+P180</f>
        <v>1</v>
      </c>
      <c r="U180" s="630">
        <f t="shared" ref="U180" si="232">TRUNC(T180*E180,2)</f>
        <v>409453.83</v>
      </c>
      <c r="V180" s="194">
        <f>J180-T180</f>
        <v>0</v>
      </c>
      <c r="W180" s="630">
        <f t="shared" ref="W180:W183" si="233">V180*E180</f>
        <v>0</v>
      </c>
    </row>
    <row r="181" spans="1:23">
      <c r="A181" s="190" t="s">
        <v>321</v>
      </c>
      <c r="B181" s="191" t="s">
        <v>324</v>
      </c>
      <c r="C181" s="657" t="s">
        <v>327</v>
      </c>
      <c r="D181" s="192" t="s">
        <v>59</v>
      </c>
      <c r="E181" s="193">
        <v>3812.11</v>
      </c>
      <c r="F181" s="194">
        <v>1</v>
      </c>
      <c r="G181" s="194"/>
      <c r="H181" s="194"/>
      <c r="I181" s="194"/>
      <c r="J181" s="193">
        <f t="shared" si="227"/>
        <v>1</v>
      </c>
      <c r="K181" s="193">
        <f t="shared" si="228"/>
        <v>3812.11</v>
      </c>
      <c r="L181" s="193"/>
      <c r="M181" s="193"/>
      <c r="N181" s="193"/>
      <c r="O181" s="622">
        <f t="shared" si="229"/>
        <v>3812.11</v>
      </c>
      <c r="P181" s="194">
        <v>1</v>
      </c>
      <c r="Q181" s="622">
        <f>TRUNC(P181*E181,2)</f>
        <v>3812.11</v>
      </c>
      <c r="R181" s="745">
        <v>0</v>
      </c>
      <c r="S181" s="746">
        <f>U181-Q181</f>
        <v>0</v>
      </c>
      <c r="T181" s="194">
        <f>R181+P181</f>
        <v>1</v>
      </c>
      <c r="U181" s="630">
        <f>TRUNC(T181*E181,2)</f>
        <v>3812.11</v>
      </c>
      <c r="V181" s="194">
        <f t="shared" si="144"/>
        <v>0</v>
      </c>
      <c r="W181" s="630">
        <f t="shared" si="233"/>
        <v>0</v>
      </c>
    </row>
    <row r="182" spans="1:23" ht="25.5">
      <c r="A182" s="190" t="s">
        <v>322</v>
      </c>
      <c r="B182" s="191" t="s">
        <v>325</v>
      </c>
      <c r="C182" s="657" t="s">
        <v>328</v>
      </c>
      <c r="D182" s="192" t="s">
        <v>50</v>
      </c>
      <c r="E182" s="193">
        <v>115.83</v>
      </c>
      <c r="F182" s="194">
        <v>120.68</v>
      </c>
      <c r="G182" s="194"/>
      <c r="H182" s="194"/>
      <c r="I182" s="194"/>
      <c r="J182" s="193">
        <f t="shared" si="227"/>
        <v>120.68</v>
      </c>
      <c r="K182" s="193">
        <f t="shared" si="228"/>
        <v>13978.3644</v>
      </c>
      <c r="L182" s="193"/>
      <c r="M182" s="193"/>
      <c r="N182" s="193"/>
      <c r="O182" s="622">
        <f t="shared" si="229"/>
        <v>13978.3644</v>
      </c>
      <c r="P182" s="194">
        <v>120.68</v>
      </c>
      <c r="Q182" s="622">
        <f t="shared" ref="Q182:Q183" si="234">TRUNC(P182*E182,2)</f>
        <v>13978.36</v>
      </c>
      <c r="R182" s="745">
        <v>0</v>
      </c>
      <c r="S182" s="746">
        <f t="shared" ref="S182" si="235">U182-Q182</f>
        <v>0</v>
      </c>
      <c r="T182" s="194">
        <f>R182+P182</f>
        <v>120.68</v>
      </c>
      <c r="U182" s="630">
        <f t="shared" ref="U182:U183" si="236">TRUNC(T182*E182,2)</f>
        <v>13978.36</v>
      </c>
      <c r="V182" s="194">
        <f t="shared" si="144"/>
        <v>0</v>
      </c>
      <c r="W182" s="630">
        <f t="shared" si="233"/>
        <v>0</v>
      </c>
    </row>
    <row r="183" spans="1:23" s="765" customFormat="1" ht="51" customHeight="1">
      <c r="A183" s="758" t="s">
        <v>1512</v>
      </c>
      <c r="B183" s="759" t="s">
        <v>1513</v>
      </c>
      <c r="C183" s="760" t="s">
        <v>1514</v>
      </c>
      <c r="D183" s="761" t="s">
        <v>72</v>
      </c>
      <c r="E183" s="757">
        <v>2004.6</v>
      </c>
      <c r="F183" s="762"/>
      <c r="G183" s="762">
        <v>1</v>
      </c>
      <c r="H183" s="762"/>
      <c r="I183" s="762"/>
      <c r="J183" s="757">
        <f>F183+G183+H183-I183</f>
        <v>1</v>
      </c>
      <c r="K183" s="757">
        <f>F183*E183</f>
        <v>0</v>
      </c>
      <c r="L183" s="757"/>
      <c r="M183" s="757">
        <f>E183*G183</f>
        <v>2004.6</v>
      </c>
      <c r="N183" s="757"/>
      <c r="O183" s="763">
        <f t="shared" si="229"/>
        <v>2004.6</v>
      </c>
      <c r="P183" s="762"/>
      <c r="Q183" s="763">
        <f t="shared" si="234"/>
        <v>0</v>
      </c>
      <c r="R183" s="787">
        <v>1</v>
      </c>
      <c r="S183" s="788">
        <f>R183*E183</f>
        <v>2004.6</v>
      </c>
      <c r="T183" s="762">
        <f t="shared" ref="T183" si="237">R183+P183</f>
        <v>1</v>
      </c>
      <c r="U183" s="764">
        <f t="shared" si="236"/>
        <v>2004.6</v>
      </c>
      <c r="V183" s="762">
        <f>J183-T183</f>
        <v>0</v>
      </c>
      <c r="W183" s="764">
        <f t="shared" si="233"/>
        <v>0</v>
      </c>
    </row>
    <row r="184" spans="1:23">
      <c r="A184" s="138"/>
      <c r="B184" s="132"/>
      <c r="C184" s="123"/>
      <c r="D184" s="123"/>
      <c r="E184" s="123"/>
      <c r="F184" s="123"/>
      <c r="G184" s="123"/>
      <c r="H184" s="123"/>
      <c r="I184" s="123"/>
      <c r="J184" s="123"/>
      <c r="K184" s="123"/>
      <c r="L184" s="123"/>
      <c r="M184" s="123"/>
      <c r="N184" s="123"/>
      <c r="O184" s="623"/>
      <c r="P184" s="123"/>
      <c r="Q184" s="623"/>
      <c r="R184" s="791"/>
      <c r="S184" s="792"/>
      <c r="T184" s="123"/>
      <c r="U184" s="631"/>
      <c r="V184" s="123"/>
      <c r="W184" s="631"/>
    </row>
    <row r="185" spans="1:23" s="213" customFormat="1">
      <c r="A185" s="210" t="s">
        <v>26</v>
      </c>
      <c r="B185" s="211"/>
      <c r="C185" s="655" t="s">
        <v>329</v>
      </c>
      <c r="D185" s="197"/>
      <c r="E185" s="198"/>
      <c r="F185" s="199"/>
      <c r="G185" s="199"/>
      <c r="H185" s="199"/>
      <c r="I185" s="199"/>
      <c r="J185" s="200"/>
      <c r="K185" s="200">
        <f>SUBTOTAL(9,K186:K211)</f>
        <v>42442.573000000004</v>
      </c>
      <c r="L185" s="200"/>
      <c r="M185" s="200"/>
      <c r="N185" s="200"/>
      <c r="O185" s="620"/>
      <c r="P185" s="201"/>
      <c r="Q185" s="620">
        <f>SUBTOTAL(9,Q186:Q211)</f>
        <v>42442.560000000005</v>
      </c>
      <c r="R185" s="743"/>
      <c r="S185" s="744">
        <f>SUBTOTAL(9,S186:S211)</f>
        <v>0</v>
      </c>
      <c r="T185" s="200"/>
      <c r="U185" s="620">
        <f>SUBTOTAL(9,U186:U211)</f>
        <v>42442.560000000005</v>
      </c>
      <c r="V185" s="200">
        <f t="shared" si="144"/>
        <v>0</v>
      </c>
      <c r="W185" s="620">
        <f>SUBTOTAL(9,W186:W211)</f>
        <v>0</v>
      </c>
    </row>
    <row r="186" spans="1:23" s="131" customFormat="1">
      <c r="A186" s="137" t="s">
        <v>330</v>
      </c>
      <c r="B186" s="133"/>
      <c r="C186" s="658" t="s">
        <v>329</v>
      </c>
      <c r="D186" s="126"/>
      <c r="E186" s="127"/>
      <c r="F186" s="128"/>
      <c r="G186" s="128"/>
      <c r="H186" s="128"/>
      <c r="I186" s="128"/>
      <c r="J186" s="129"/>
      <c r="K186" s="129">
        <f>SUBTOTAL(9,K187:K205)</f>
        <v>39130.33</v>
      </c>
      <c r="L186" s="129"/>
      <c r="M186" s="129"/>
      <c r="N186" s="129"/>
      <c r="O186" s="624"/>
      <c r="P186" s="130"/>
      <c r="Q186" s="624">
        <f>SUBTOTAL(9,Q187:Q205)</f>
        <v>39130.32</v>
      </c>
      <c r="R186" s="743"/>
      <c r="S186" s="744">
        <f>SUBTOTAL(9,S187:S205)</f>
        <v>0</v>
      </c>
      <c r="T186" s="129"/>
      <c r="U186" s="624">
        <f>SUBTOTAL(9,U187:U205)</f>
        <v>39130.32</v>
      </c>
      <c r="V186" s="129">
        <f t="shared" si="144"/>
        <v>0</v>
      </c>
      <c r="W186" s="624">
        <f>SUBTOTAL(9,W187:W205)</f>
        <v>0</v>
      </c>
    </row>
    <row r="187" spans="1:23" ht="25.5">
      <c r="A187" s="190" t="s">
        <v>331</v>
      </c>
      <c r="B187" s="191">
        <v>151701</v>
      </c>
      <c r="C187" s="657" t="s">
        <v>685</v>
      </c>
      <c r="D187" s="192" t="s">
        <v>59</v>
      </c>
      <c r="E187" s="193">
        <v>1510.64</v>
      </c>
      <c r="F187" s="194">
        <v>1</v>
      </c>
      <c r="G187" s="194"/>
      <c r="H187" s="194"/>
      <c r="I187" s="194"/>
      <c r="J187" s="193">
        <f t="shared" ref="J187:J205" si="238">F187+H187-I187</f>
        <v>1</v>
      </c>
      <c r="K187" s="193">
        <f t="shared" ref="K187:K205" si="239">J187*E187</f>
        <v>1510.64</v>
      </c>
      <c r="L187" s="193"/>
      <c r="M187" s="193"/>
      <c r="N187" s="193"/>
      <c r="O187" s="622">
        <f t="shared" ref="O187:O205" si="240">J187*E187</f>
        <v>1510.64</v>
      </c>
      <c r="P187" s="194">
        <v>1</v>
      </c>
      <c r="Q187" s="622">
        <f t="shared" ref="Q187:Q205" si="241">TRUNC(P187*E187,2)</f>
        <v>1510.64</v>
      </c>
      <c r="R187" s="745">
        <v>0</v>
      </c>
      <c r="S187" s="746">
        <f t="shared" ref="S187:S205" si="242">U187-Q187</f>
        <v>0</v>
      </c>
      <c r="T187" s="194">
        <f t="shared" ref="T187:T206" si="243">R187+P187</f>
        <v>1</v>
      </c>
      <c r="U187" s="630">
        <f t="shared" ref="U187:U205" si="244">TRUNC(T187*E187,2)</f>
        <v>1510.64</v>
      </c>
      <c r="V187" s="194">
        <f t="shared" ref="V187:V219" si="245">F187-T187</f>
        <v>0</v>
      </c>
      <c r="W187" s="630">
        <f t="shared" ref="W187:W205" si="246">V187*E187</f>
        <v>0</v>
      </c>
    </row>
    <row r="188" spans="1:23" ht="25.5">
      <c r="A188" s="190" t="s">
        <v>332</v>
      </c>
      <c r="B188" s="191">
        <v>150312</v>
      </c>
      <c r="C188" s="657" t="s">
        <v>350</v>
      </c>
      <c r="D188" s="192" t="s">
        <v>59</v>
      </c>
      <c r="E188" s="193">
        <v>103.79</v>
      </c>
      <c r="F188" s="194">
        <v>1</v>
      </c>
      <c r="G188" s="194"/>
      <c r="H188" s="194"/>
      <c r="I188" s="194"/>
      <c r="J188" s="193">
        <f t="shared" si="238"/>
        <v>1</v>
      </c>
      <c r="K188" s="193">
        <f t="shared" si="239"/>
        <v>103.79</v>
      </c>
      <c r="L188" s="193"/>
      <c r="M188" s="193"/>
      <c r="N188" s="193"/>
      <c r="O188" s="622">
        <f t="shared" si="240"/>
        <v>103.79</v>
      </c>
      <c r="P188" s="194">
        <v>1</v>
      </c>
      <c r="Q188" s="622">
        <f t="shared" si="241"/>
        <v>103.79</v>
      </c>
      <c r="R188" s="745">
        <v>0</v>
      </c>
      <c r="S188" s="746">
        <f t="shared" si="242"/>
        <v>0</v>
      </c>
      <c r="T188" s="194">
        <f t="shared" si="243"/>
        <v>1</v>
      </c>
      <c r="U188" s="630">
        <f t="shared" si="244"/>
        <v>103.79</v>
      </c>
      <c r="V188" s="194">
        <f t="shared" si="245"/>
        <v>0</v>
      </c>
      <c r="W188" s="630">
        <f t="shared" si="246"/>
        <v>0</v>
      </c>
    </row>
    <row r="189" spans="1:23">
      <c r="A189" s="190" t="s">
        <v>333</v>
      </c>
      <c r="B189" s="191">
        <v>150628</v>
      </c>
      <c r="C189" s="657" t="s">
        <v>351</v>
      </c>
      <c r="D189" s="192" t="s">
        <v>59</v>
      </c>
      <c r="E189" s="193">
        <v>7.47</v>
      </c>
      <c r="F189" s="194">
        <v>19</v>
      </c>
      <c r="G189" s="194"/>
      <c r="H189" s="194"/>
      <c r="I189" s="194"/>
      <c r="J189" s="193">
        <f t="shared" si="238"/>
        <v>19</v>
      </c>
      <c r="K189" s="193">
        <f t="shared" si="239"/>
        <v>141.93</v>
      </c>
      <c r="L189" s="193"/>
      <c r="M189" s="193"/>
      <c r="N189" s="193"/>
      <c r="O189" s="622">
        <f t="shared" si="240"/>
        <v>141.93</v>
      </c>
      <c r="P189" s="194">
        <v>19</v>
      </c>
      <c r="Q189" s="622">
        <f t="shared" si="241"/>
        <v>141.93</v>
      </c>
      <c r="R189" s="745">
        <v>0</v>
      </c>
      <c r="S189" s="746">
        <f t="shared" si="242"/>
        <v>0</v>
      </c>
      <c r="T189" s="194">
        <f t="shared" si="243"/>
        <v>19</v>
      </c>
      <c r="U189" s="630">
        <f t="shared" si="244"/>
        <v>141.93</v>
      </c>
      <c r="V189" s="194">
        <f t="shared" si="245"/>
        <v>0</v>
      </c>
      <c r="W189" s="630">
        <f t="shared" si="246"/>
        <v>0</v>
      </c>
    </row>
    <row r="190" spans="1:23" ht="25.5">
      <c r="A190" s="190" t="s">
        <v>334</v>
      </c>
      <c r="B190" s="191">
        <v>151417</v>
      </c>
      <c r="C190" s="657" t="s">
        <v>352</v>
      </c>
      <c r="D190" s="192" t="s">
        <v>51</v>
      </c>
      <c r="E190" s="193">
        <v>5.86</v>
      </c>
      <c r="F190" s="194">
        <v>147.4</v>
      </c>
      <c r="G190" s="194"/>
      <c r="H190" s="194"/>
      <c r="I190" s="194"/>
      <c r="J190" s="193">
        <f t="shared" si="238"/>
        <v>147.4</v>
      </c>
      <c r="K190" s="193">
        <f t="shared" si="239"/>
        <v>863.76400000000012</v>
      </c>
      <c r="L190" s="193"/>
      <c r="M190" s="193"/>
      <c r="N190" s="193"/>
      <c r="O190" s="622">
        <f t="shared" si="240"/>
        <v>863.76400000000012</v>
      </c>
      <c r="P190" s="194">
        <v>147.4</v>
      </c>
      <c r="Q190" s="622">
        <f t="shared" si="241"/>
        <v>863.76</v>
      </c>
      <c r="R190" s="745">
        <v>0</v>
      </c>
      <c r="S190" s="746">
        <f t="shared" si="242"/>
        <v>0</v>
      </c>
      <c r="T190" s="194">
        <f t="shared" si="243"/>
        <v>147.4</v>
      </c>
      <c r="U190" s="630">
        <f t="shared" si="244"/>
        <v>863.76</v>
      </c>
      <c r="V190" s="194">
        <f t="shared" si="245"/>
        <v>0</v>
      </c>
      <c r="W190" s="630">
        <f t="shared" si="246"/>
        <v>0</v>
      </c>
    </row>
    <row r="191" spans="1:23" ht="25.5">
      <c r="A191" s="190" t="s">
        <v>335</v>
      </c>
      <c r="B191" s="191">
        <v>151418</v>
      </c>
      <c r="C191" s="657" t="s">
        <v>353</v>
      </c>
      <c r="D191" s="192" t="s">
        <v>51</v>
      </c>
      <c r="E191" s="193">
        <v>6.74</v>
      </c>
      <c r="F191" s="194">
        <v>315.39999999999998</v>
      </c>
      <c r="G191" s="194"/>
      <c r="H191" s="194"/>
      <c r="I191" s="194"/>
      <c r="J191" s="193">
        <f t="shared" si="238"/>
        <v>315.39999999999998</v>
      </c>
      <c r="K191" s="193">
        <f t="shared" si="239"/>
        <v>2125.7959999999998</v>
      </c>
      <c r="L191" s="193"/>
      <c r="M191" s="193"/>
      <c r="N191" s="193"/>
      <c r="O191" s="622">
        <f t="shared" si="240"/>
        <v>2125.7959999999998</v>
      </c>
      <c r="P191" s="194">
        <v>315.39999999999998</v>
      </c>
      <c r="Q191" s="622">
        <f t="shared" si="241"/>
        <v>2125.79</v>
      </c>
      <c r="R191" s="745">
        <v>0</v>
      </c>
      <c r="S191" s="746">
        <f t="shared" si="242"/>
        <v>0</v>
      </c>
      <c r="T191" s="194">
        <f t="shared" si="243"/>
        <v>315.39999999999998</v>
      </c>
      <c r="U191" s="630">
        <f t="shared" si="244"/>
        <v>2125.79</v>
      </c>
      <c r="V191" s="194">
        <f t="shared" si="245"/>
        <v>0</v>
      </c>
      <c r="W191" s="630">
        <f t="shared" si="246"/>
        <v>0</v>
      </c>
    </row>
    <row r="192" spans="1:23" ht="25.5">
      <c r="A192" s="190" t="s">
        <v>336</v>
      </c>
      <c r="B192" s="191">
        <v>151420</v>
      </c>
      <c r="C192" s="657" t="s">
        <v>354</v>
      </c>
      <c r="D192" s="192" t="s">
        <v>51</v>
      </c>
      <c r="E192" s="193">
        <v>10.63</v>
      </c>
      <c r="F192" s="194">
        <v>60</v>
      </c>
      <c r="G192" s="194"/>
      <c r="H192" s="194"/>
      <c r="I192" s="194"/>
      <c r="J192" s="193">
        <f t="shared" si="238"/>
        <v>60</v>
      </c>
      <c r="K192" s="193">
        <f t="shared" si="239"/>
        <v>637.80000000000007</v>
      </c>
      <c r="L192" s="193"/>
      <c r="M192" s="193"/>
      <c r="N192" s="193"/>
      <c r="O192" s="622">
        <f t="shared" si="240"/>
        <v>637.80000000000007</v>
      </c>
      <c r="P192" s="194">
        <v>60</v>
      </c>
      <c r="Q192" s="622">
        <f t="shared" si="241"/>
        <v>637.79999999999995</v>
      </c>
      <c r="R192" s="745">
        <v>0</v>
      </c>
      <c r="S192" s="746">
        <f t="shared" si="242"/>
        <v>0</v>
      </c>
      <c r="T192" s="194">
        <f t="shared" si="243"/>
        <v>60</v>
      </c>
      <c r="U192" s="630">
        <f t="shared" si="244"/>
        <v>637.79999999999995</v>
      </c>
      <c r="V192" s="194">
        <f t="shared" si="245"/>
        <v>0</v>
      </c>
      <c r="W192" s="630">
        <f t="shared" si="246"/>
        <v>0</v>
      </c>
    </row>
    <row r="193" spans="1:23" ht="38.25">
      <c r="A193" s="190" t="s">
        <v>337</v>
      </c>
      <c r="B193" s="191">
        <v>151809</v>
      </c>
      <c r="C193" s="657" t="s">
        <v>355</v>
      </c>
      <c r="D193" s="192" t="s">
        <v>59</v>
      </c>
      <c r="E193" s="193">
        <v>150.13</v>
      </c>
      <c r="F193" s="194">
        <v>1</v>
      </c>
      <c r="G193" s="194"/>
      <c r="H193" s="194"/>
      <c r="I193" s="194"/>
      <c r="J193" s="193">
        <f t="shared" si="238"/>
        <v>1</v>
      </c>
      <c r="K193" s="193">
        <f t="shared" si="239"/>
        <v>150.13</v>
      </c>
      <c r="L193" s="193"/>
      <c r="M193" s="193"/>
      <c r="N193" s="193"/>
      <c r="O193" s="622">
        <f t="shared" si="240"/>
        <v>150.13</v>
      </c>
      <c r="P193" s="194">
        <v>1</v>
      </c>
      <c r="Q193" s="622">
        <f t="shared" si="241"/>
        <v>150.13</v>
      </c>
      <c r="R193" s="745">
        <v>0</v>
      </c>
      <c r="S193" s="746">
        <f t="shared" si="242"/>
        <v>0</v>
      </c>
      <c r="T193" s="194">
        <f t="shared" si="243"/>
        <v>1</v>
      </c>
      <c r="U193" s="630">
        <f t="shared" si="244"/>
        <v>150.13</v>
      </c>
      <c r="V193" s="194">
        <f t="shared" si="245"/>
        <v>0</v>
      </c>
      <c r="W193" s="630">
        <f t="shared" si="246"/>
        <v>0</v>
      </c>
    </row>
    <row r="194" spans="1:23" ht="38.25">
      <c r="A194" s="190" t="s">
        <v>338</v>
      </c>
      <c r="B194" s="191">
        <v>151803</v>
      </c>
      <c r="C194" s="657" t="s">
        <v>356</v>
      </c>
      <c r="D194" s="192" t="s">
        <v>59</v>
      </c>
      <c r="E194" s="193">
        <v>170.86</v>
      </c>
      <c r="F194" s="194">
        <v>10</v>
      </c>
      <c r="G194" s="194"/>
      <c r="H194" s="194"/>
      <c r="I194" s="194"/>
      <c r="J194" s="193">
        <f t="shared" si="238"/>
        <v>10</v>
      </c>
      <c r="K194" s="193">
        <f t="shared" si="239"/>
        <v>1708.6000000000001</v>
      </c>
      <c r="L194" s="193"/>
      <c r="M194" s="193"/>
      <c r="N194" s="193"/>
      <c r="O194" s="622">
        <f t="shared" si="240"/>
        <v>1708.6000000000001</v>
      </c>
      <c r="P194" s="194">
        <v>10</v>
      </c>
      <c r="Q194" s="622">
        <f t="shared" si="241"/>
        <v>1708.6</v>
      </c>
      <c r="R194" s="745">
        <v>0</v>
      </c>
      <c r="S194" s="746">
        <f t="shared" si="242"/>
        <v>0</v>
      </c>
      <c r="T194" s="194">
        <f t="shared" si="243"/>
        <v>10</v>
      </c>
      <c r="U194" s="630">
        <f t="shared" si="244"/>
        <v>1708.6</v>
      </c>
      <c r="V194" s="194">
        <f t="shared" si="245"/>
        <v>0</v>
      </c>
      <c r="W194" s="630">
        <f t="shared" si="246"/>
        <v>0</v>
      </c>
    </row>
    <row r="195" spans="1:23" ht="25.5">
      <c r="A195" s="190" t="s">
        <v>339</v>
      </c>
      <c r="B195" s="191">
        <v>151338</v>
      </c>
      <c r="C195" s="657" t="s">
        <v>357</v>
      </c>
      <c r="D195" s="192" t="s">
        <v>59</v>
      </c>
      <c r="E195" s="193">
        <v>18.14</v>
      </c>
      <c r="F195" s="194">
        <v>1</v>
      </c>
      <c r="G195" s="194"/>
      <c r="H195" s="194"/>
      <c r="I195" s="194"/>
      <c r="J195" s="193">
        <f t="shared" si="238"/>
        <v>1</v>
      </c>
      <c r="K195" s="193">
        <f t="shared" si="239"/>
        <v>18.14</v>
      </c>
      <c r="L195" s="193"/>
      <c r="M195" s="193"/>
      <c r="N195" s="193"/>
      <c r="O195" s="622">
        <f t="shared" si="240"/>
        <v>18.14</v>
      </c>
      <c r="P195" s="194">
        <v>1</v>
      </c>
      <c r="Q195" s="622">
        <f t="shared" si="241"/>
        <v>18.14</v>
      </c>
      <c r="R195" s="745">
        <v>0</v>
      </c>
      <c r="S195" s="746">
        <f t="shared" si="242"/>
        <v>0</v>
      </c>
      <c r="T195" s="194">
        <f t="shared" si="243"/>
        <v>1</v>
      </c>
      <c r="U195" s="630">
        <f t="shared" si="244"/>
        <v>18.14</v>
      </c>
      <c r="V195" s="194">
        <f t="shared" si="245"/>
        <v>0</v>
      </c>
      <c r="W195" s="630">
        <f t="shared" si="246"/>
        <v>0</v>
      </c>
    </row>
    <row r="196" spans="1:23" ht="25.5">
      <c r="A196" s="190" t="s">
        <v>340</v>
      </c>
      <c r="B196" s="191">
        <v>151301</v>
      </c>
      <c r="C196" s="657" t="s">
        <v>358</v>
      </c>
      <c r="D196" s="192" t="s">
        <v>59</v>
      </c>
      <c r="E196" s="193">
        <v>18.14</v>
      </c>
      <c r="F196" s="194">
        <v>1</v>
      </c>
      <c r="G196" s="194"/>
      <c r="H196" s="194"/>
      <c r="I196" s="194"/>
      <c r="J196" s="193">
        <f t="shared" si="238"/>
        <v>1</v>
      </c>
      <c r="K196" s="193">
        <f t="shared" si="239"/>
        <v>18.14</v>
      </c>
      <c r="L196" s="193"/>
      <c r="M196" s="193"/>
      <c r="N196" s="193"/>
      <c r="O196" s="622">
        <f t="shared" si="240"/>
        <v>18.14</v>
      </c>
      <c r="P196" s="194">
        <v>1</v>
      </c>
      <c r="Q196" s="622">
        <f t="shared" si="241"/>
        <v>18.14</v>
      </c>
      <c r="R196" s="745">
        <v>0</v>
      </c>
      <c r="S196" s="746">
        <f t="shared" si="242"/>
        <v>0</v>
      </c>
      <c r="T196" s="194">
        <f t="shared" si="243"/>
        <v>1</v>
      </c>
      <c r="U196" s="630">
        <f t="shared" si="244"/>
        <v>18.14</v>
      </c>
      <c r="V196" s="194">
        <f t="shared" si="245"/>
        <v>0</v>
      </c>
      <c r="W196" s="630">
        <f t="shared" si="246"/>
        <v>0</v>
      </c>
    </row>
    <row r="197" spans="1:23" ht="25.5">
      <c r="A197" s="190" t="s">
        <v>341</v>
      </c>
      <c r="B197" s="191">
        <v>151303</v>
      </c>
      <c r="C197" s="657" t="s">
        <v>359</v>
      </c>
      <c r="D197" s="192" t="s">
        <v>59</v>
      </c>
      <c r="E197" s="193">
        <v>18.14</v>
      </c>
      <c r="F197" s="194">
        <v>1</v>
      </c>
      <c r="G197" s="194"/>
      <c r="H197" s="194"/>
      <c r="I197" s="194"/>
      <c r="J197" s="193">
        <f t="shared" si="238"/>
        <v>1</v>
      </c>
      <c r="K197" s="193">
        <f t="shared" si="239"/>
        <v>18.14</v>
      </c>
      <c r="L197" s="193"/>
      <c r="M197" s="193"/>
      <c r="N197" s="193"/>
      <c r="O197" s="622">
        <f t="shared" si="240"/>
        <v>18.14</v>
      </c>
      <c r="P197" s="194">
        <v>1</v>
      </c>
      <c r="Q197" s="622">
        <f t="shared" si="241"/>
        <v>18.14</v>
      </c>
      <c r="R197" s="745">
        <v>0</v>
      </c>
      <c r="S197" s="746">
        <f t="shared" si="242"/>
        <v>0</v>
      </c>
      <c r="T197" s="194">
        <f t="shared" si="243"/>
        <v>1</v>
      </c>
      <c r="U197" s="630">
        <f t="shared" si="244"/>
        <v>18.14</v>
      </c>
      <c r="V197" s="194">
        <f t="shared" si="245"/>
        <v>0</v>
      </c>
      <c r="W197" s="630">
        <f t="shared" si="246"/>
        <v>0</v>
      </c>
    </row>
    <row r="198" spans="1:23" ht="25.5">
      <c r="A198" s="190" t="s">
        <v>342</v>
      </c>
      <c r="B198" s="191">
        <v>151318</v>
      </c>
      <c r="C198" s="657" t="s">
        <v>547</v>
      </c>
      <c r="D198" s="192" t="s">
        <v>59</v>
      </c>
      <c r="E198" s="193">
        <v>22.63</v>
      </c>
      <c r="F198" s="194">
        <v>1</v>
      </c>
      <c r="G198" s="194"/>
      <c r="H198" s="194"/>
      <c r="I198" s="194"/>
      <c r="J198" s="193">
        <f t="shared" si="238"/>
        <v>1</v>
      </c>
      <c r="K198" s="193">
        <f t="shared" si="239"/>
        <v>22.63</v>
      </c>
      <c r="L198" s="193"/>
      <c r="M198" s="193"/>
      <c r="N198" s="193"/>
      <c r="O198" s="622">
        <f t="shared" si="240"/>
        <v>22.63</v>
      </c>
      <c r="P198" s="194">
        <v>1</v>
      </c>
      <c r="Q198" s="622">
        <f t="shared" si="241"/>
        <v>22.63</v>
      </c>
      <c r="R198" s="745">
        <v>0</v>
      </c>
      <c r="S198" s="746">
        <f t="shared" si="242"/>
        <v>0</v>
      </c>
      <c r="T198" s="194">
        <f t="shared" si="243"/>
        <v>1</v>
      </c>
      <c r="U198" s="630">
        <f t="shared" si="244"/>
        <v>22.63</v>
      </c>
      <c r="V198" s="194">
        <f t="shared" si="245"/>
        <v>0</v>
      </c>
      <c r="W198" s="630">
        <f t="shared" si="246"/>
        <v>0</v>
      </c>
    </row>
    <row r="199" spans="1:23">
      <c r="A199" s="190" t="s">
        <v>343</v>
      </c>
      <c r="B199" s="191">
        <v>151350</v>
      </c>
      <c r="C199" s="657" t="s">
        <v>360</v>
      </c>
      <c r="D199" s="192" t="s">
        <v>59</v>
      </c>
      <c r="E199" s="193">
        <v>133.04</v>
      </c>
      <c r="F199" s="194">
        <v>1</v>
      </c>
      <c r="G199" s="194"/>
      <c r="H199" s="194"/>
      <c r="I199" s="194"/>
      <c r="J199" s="193">
        <f t="shared" si="238"/>
        <v>1</v>
      </c>
      <c r="K199" s="193">
        <f t="shared" si="239"/>
        <v>133.04</v>
      </c>
      <c r="L199" s="193"/>
      <c r="M199" s="193"/>
      <c r="N199" s="193"/>
      <c r="O199" s="622">
        <f t="shared" si="240"/>
        <v>133.04</v>
      </c>
      <c r="P199" s="194">
        <v>1</v>
      </c>
      <c r="Q199" s="622">
        <f t="shared" si="241"/>
        <v>133.04</v>
      </c>
      <c r="R199" s="745">
        <v>0</v>
      </c>
      <c r="S199" s="746">
        <f t="shared" si="242"/>
        <v>0</v>
      </c>
      <c r="T199" s="194">
        <f t="shared" si="243"/>
        <v>1</v>
      </c>
      <c r="U199" s="630">
        <f t="shared" si="244"/>
        <v>133.04</v>
      </c>
      <c r="V199" s="194">
        <f t="shared" si="245"/>
        <v>0</v>
      </c>
      <c r="W199" s="630">
        <f t="shared" si="246"/>
        <v>0</v>
      </c>
    </row>
    <row r="200" spans="1:23">
      <c r="A200" s="190" t="s">
        <v>344</v>
      </c>
      <c r="B200" s="191">
        <v>151132</v>
      </c>
      <c r="C200" s="657" t="s">
        <v>361</v>
      </c>
      <c r="D200" s="192" t="s">
        <v>51</v>
      </c>
      <c r="E200" s="193">
        <v>7.5</v>
      </c>
      <c r="F200" s="194">
        <v>75.7</v>
      </c>
      <c r="G200" s="194"/>
      <c r="H200" s="194"/>
      <c r="I200" s="194"/>
      <c r="J200" s="193">
        <f t="shared" si="238"/>
        <v>75.7</v>
      </c>
      <c r="K200" s="193">
        <f t="shared" si="239"/>
        <v>567.75</v>
      </c>
      <c r="L200" s="193"/>
      <c r="M200" s="193"/>
      <c r="N200" s="193"/>
      <c r="O200" s="622">
        <f t="shared" si="240"/>
        <v>567.75</v>
      </c>
      <c r="P200" s="194">
        <v>75.7</v>
      </c>
      <c r="Q200" s="622">
        <f t="shared" si="241"/>
        <v>567.75</v>
      </c>
      <c r="R200" s="745">
        <v>0</v>
      </c>
      <c r="S200" s="746">
        <f t="shared" si="242"/>
        <v>0</v>
      </c>
      <c r="T200" s="194">
        <f t="shared" si="243"/>
        <v>75.7</v>
      </c>
      <c r="U200" s="630">
        <f t="shared" si="244"/>
        <v>567.75</v>
      </c>
      <c r="V200" s="194">
        <f t="shared" si="245"/>
        <v>0</v>
      </c>
      <c r="W200" s="630">
        <f t="shared" si="246"/>
        <v>0</v>
      </c>
    </row>
    <row r="201" spans="1:23" ht="25.5">
      <c r="A201" s="190" t="s">
        <v>345</v>
      </c>
      <c r="B201" s="191">
        <v>150801</v>
      </c>
      <c r="C201" s="657" t="s">
        <v>362</v>
      </c>
      <c r="D201" s="192" t="s">
        <v>51</v>
      </c>
      <c r="E201" s="193">
        <v>12.67</v>
      </c>
      <c r="F201" s="194">
        <v>66</v>
      </c>
      <c r="G201" s="194"/>
      <c r="H201" s="194"/>
      <c r="I201" s="194"/>
      <c r="J201" s="193">
        <f t="shared" si="238"/>
        <v>66</v>
      </c>
      <c r="K201" s="193">
        <f t="shared" si="239"/>
        <v>836.22</v>
      </c>
      <c r="L201" s="193"/>
      <c r="M201" s="193"/>
      <c r="N201" s="193"/>
      <c r="O201" s="622">
        <f t="shared" si="240"/>
        <v>836.22</v>
      </c>
      <c r="P201" s="194">
        <v>66</v>
      </c>
      <c r="Q201" s="622">
        <f t="shared" si="241"/>
        <v>836.22</v>
      </c>
      <c r="R201" s="745">
        <v>0</v>
      </c>
      <c r="S201" s="746">
        <f t="shared" si="242"/>
        <v>0</v>
      </c>
      <c r="T201" s="194">
        <f t="shared" si="243"/>
        <v>66</v>
      </c>
      <c r="U201" s="630">
        <f t="shared" si="244"/>
        <v>836.22</v>
      </c>
      <c r="V201" s="194">
        <f t="shared" si="245"/>
        <v>0</v>
      </c>
      <c r="W201" s="630">
        <f t="shared" si="246"/>
        <v>0</v>
      </c>
    </row>
    <row r="202" spans="1:23">
      <c r="A202" s="190" t="s">
        <v>346</v>
      </c>
      <c r="B202" s="191">
        <v>180110</v>
      </c>
      <c r="C202" s="657" t="s">
        <v>363</v>
      </c>
      <c r="D202" s="192" t="s">
        <v>59</v>
      </c>
      <c r="E202" s="193">
        <v>106.15</v>
      </c>
      <c r="F202" s="194">
        <v>5</v>
      </c>
      <c r="G202" s="194"/>
      <c r="H202" s="194"/>
      <c r="I202" s="194"/>
      <c r="J202" s="193">
        <f t="shared" si="238"/>
        <v>5</v>
      </c>
      <c r="K202" s="193">
        <f t="shared" si="239"/>
        <v>530.75</v>
      </c>
      <c r="L202" s="193"/>
      <c r="M202" s="193"/>
      <c r="N202" s="193"/>
      <c r="O202" s="622">
        <f t="shared" si="240"/>
        <v>530.75</v>
      </c>
      <c r="P202" s="194">
        <v>5</v>
      </c>
      <c r="Q202" s="622">
        <f t="shared" si="241"/>
        <v>530.75</v>
      </c>
      <c r="R202" s="745"/>
      <c r="S202" s="746">
        <f t="shared" si="242"/>
        <v>0</v>
      </c>
      <c r="T202" s="194">
        <f t="shared" si="243"/>
        <v>5</v>
      </c>
      <c r="U202" s="630">
        <f t="shared" si="244"/>
        <v>530.75</v>
      </c>
      <c r="V202" s="194">
        <f t="shared" si="245"/>
        <v>0</v>
      </c>
      <c r="W202" s="630">
        <f t="shared" si="246"/>
        <v>0</v>
      </c>
    </row>
    <row r="203" spans="1:23">
      <c r="A203" s="190" t="s">
        <v>347</v>
      </c>
      <c r="B203" s="191" t="s">
        <v>367</v>
      </c>
      <c r="C203" s="657" t="s">
        <v>364</v>
      </c>
      <c r="D203" s="192" t="s">
        <v>72</v>
      </c>
      <c r="E203" s="193">
        <v>362.44</v>
      </c>
      <c r="F203" s="194">
        <v>19</v>
      </c>
      <c r="G203" s="194"/>
      <c r="H203" s="194"/>
      <c r="I203" s="194"/>
      <c r="J203" s="193">
        <f t="shared" si="238"/>
        <v>19</v>
      </c>
      <c r="K203" s="193">
        <f t="shared" si="239"/>
        <v>6886.36</v>
      </c>
      <c r="L203" s="193"/>
      <c r="M203" s="193"/>
      <c r="N203" s="193"/>
      <c r="O203" s="622">
        <f t="shared" si="240"/>
        <v>6886.36</v>
      </c>
      <c r="P203" s="194">
        <v>19</v>
      </c>
      <c r="Q203" s="622">
        <f t="shared" si="241"/>
        <v>6886.36</v>
      </c>
      <c r="R203" s="745">
        <v>0</v>
      </c>
      <c r="S203" s="746">
        <f t="shared" si="242"/>
        <v>0</v>
      </c>
      <c r="T203" s="194">
        <f t="shared" si="243"/>
        <v>19</v>
      </c>
      <c r="U203" s="630">
        <f t="shared" si="244"/>
        <v>6886.36</v>
      </c>
      <c r="V203" s="194">
        <f t="shared" si="245"/>
        <v>0</v>
      </c>
      <c r="W203" s="630">
        <f t="shared" si="246"/>
        <v>0</v>
      </c>
    </row>
    <row r="204" spans="1:23" ht="25.5">
      <c r="A204" s="190" t="s">
        <v>348</v>
      </c>
      <c r="B204" s="191" t="s">
        <v>368</v>
      </c>
      <c r="C204" s="657" t="s">
        <v>365</v>
      </c>
      <c r="D204" s="192" t="s">
        <v>72</v>
      </c>
      <c r="E204" s="193">
        <v>4976.67</v>
      </c>
      <c r="F204" s="194">
        <v>2</v>
      </c>
      <c r="G204" s="194"/>
      <c r="H204" s="194"/>
      <c r="I204" s="194"/>
      <c r="J204" s="193">
        <f t="shared" si="238"/>
        <v>2</v>
      </c>
      <c r="K204" s="193">
        <f t="shared" si="239"/>
        <v>9953.34</v>
      </c>
      <c r="L204" s="193"/>
      <c r="M204" s="193"/>
      <c r="N204" s="193"/>
      <c r="O204" s="622">
        <f t="shared" si="240"/>
        <v>9953.34</v>
      </c>
      <c r="P204" s="194">
        <v>2</v>
      </c>
      <c r="Q204" s="622">
        <f t="shared" si="241"/>
        <v>9953.34</v>
      </c>
      <c r="R204" s="745">
        <v>0</v>
      </c>
      <c r="S204" s="746">
        <f t="shared" si="242"/>
        <v>0</v>
      </c>
      <c r="T204" s="194">
        <f t="shared" si="243"/>
        <v>2</v>
      </c>
      <c r="U204" s="630">
        <f t="shared" si="244"/>
        <v>9953.34</v>
      </c>
      <c r="V204" s="194">
        <f t="shared" si="245"/>
        <v>0</v>
      </c>
      <c r="W204" s="630">
        <f t="shared" si="246"/>
        <v>0</v>
      </c>
    </row>
    <row r="205" spans="1:23" ht="25.5">
      <c r="A205" s="190" t="s">
        <v>349</v>
      </c>
      <c r="B205" s="191" t="s">
        <v>369</v>
      </c>
      <c r="C205" s="657" t="s">
        <v>366</v>
      </c>
      <c r="D205" s="192" t="s">
        <v>10</v>
      </c>
      <c r="E205" s="193">
        <v>12903.37</v>
      </c>
      <c r="F205" s="194">
        <v>1</v>
      </c>
      <c r="G205" s="194"/>
      <c r="H205" s="194"/>
      <c r="I205" s="194"/>
      <c r="J205" s="193">
        <f t="shared" si="238"/>
        <v>1</v>
      </c>
      <c r="K205" s="193">
        <f t="shared" si="239"/>
        <v>12903.37</v>
      </c>
      <c r="L205" s="193"/>
      <c r="M205" s="193"/>
      <c r="N205" s="193"/>
      <c r="O205" s="622">
        <f t="shared" si="240"/>
        <v>12903.37</v>
      </c>
      <c r="P205" s="194">
        <v>1</v>
      </c>
      <c r="Q205" s="622">
        <f t="shared" si="241"/>
        <v>12903.37</v>
      </c>
      <c r="R205" s="745">
        <v>0</v>
      </c>
      <c r="S205" s="746">
        <f t="shared" si="242"/>
        <v>0</v>
      </c>
      <c r="T205" s="194">
        <f t="shared" si="243"/>
        <v>1</v>
      </c>
      <c r="U205" s="630">
        <f t="shared" si="244"/>
        <v>12903.37</v>
      </c>
      <c r="V205" s="194">
        <f t="shared" si="245"/>
        <v>0</v>
      </c>
      <c r="W205" s="630">
        <f t="shared" si="246"/>
        <v>0</v>
      </c>
    </row>
    <row r="206" spans="1:23">
      <c r="A206" s="138"/>
      <c r="B206" s="132"/>
      <c r="C206" s="123"/>
      <c r="D206" s="123"/>
      <c r="E206" s="123"/>
      <c r="F206" s="123"/>
      <c r="G206" s="123"/>
      <c r="H206" s="123"/>
      <c r="I206" s="123"/>
      <c r="J206" s="123"/>
      <c r="K206" s="123"/>
      <c r="L206" s="123"/>
      <c r="M206" s="123"/>
      <c r="N206" s="123"/>
      <c r="O206" s="623"/>
      <c r="P206" s="123"/>
      <c r="Q206" s="623"/>
      <c r="R206" s="791"/>
      <c r="S206" s="792"/>
      <c r="T206" s="123">
        <f t="shared" si="243"/>
        <v>0</v>
      </c>
      <c r="U206" s="631"/>
      <c r="V206" s="123"/>
      <c r="W206" s="631"/>
    </row>
    <row r="207" spans="1:23" s="131" customFormat="1">
      <c r="A207" s="137" t="s">
        <v>370</v>
      </c>
      <c r="B207" s="133"/>
      <c r="C207" s="658" t="s">
        <v>371</v>
      </c>
      <c r="D207" s="126"/>
      <c r="E207" s="127"/>
      <c r="F207" s="128"/>
      <c r="G207" s="128"/>
      <c r="H207" s="128"/>
      <c r="I207" s="128"/>
      <c r="J207" s="129"/>
      <c r="K207" s="129">
        <f>SUBTOTAL(9,K208:K211)</f>
        <v>3312.2430000000004</v>
      </c>
      <c r="L207" s="129"/>
      <c r="M207" s="129"/>
      <c r="N207" s="129"/>
      <c r="O207" s="624"/>
      <c r="P207" s="130"/>
      <c r="Q207" s="624">
        <f>SUBTOTAL(9,Q208:Q211)</f>
        <v>3312.2400000000002</v>
      </c>
      <c r="R207" s="743"/>
      <c r="S207" s="744">
        <f>SUBTOTAL(9,S208:S211)</f>
        <v>0</v>
      </c>
      <c r="T207" s="129"/>
      <c r="U207" s="624">
        <f>SUBTOTAL(9,U208:U211)</f>
        <v>3312.2400000000002</v>
      </c>
      <c r="V207" s="129">
        <f t="shared" si="245"/>
        <v>0</v>
      </c>
      <c r="W207" s="624">
        <f>SUBTOTAL(9,W208:W211)</f>
        <v>0</v>
      </c>
    </row>
    <row r="208" spans="1:23" ht="38.25">
      <c r="A208" s="190" t="s">
        <v>372</v>
      </c>
      <c r="B208" s="191">
        <v>150610</v>
      </c>
      <c r="C208" s="657" t="s">
        <v>376</v>
      </c>
      <c r="D208" s="192" t="s">
        <v>59</v>
      </c>
      <c r="E208" s="193">
        <v>188.46</v>
      </c>
      <c r="F208" s="194">
        <v>4</v>
      </c>
      <c r="G208" s="194"/>
      <c r="H208" s="194"/>
      <c r="I208" s="194"/>
      <c r="J208" s="193">
        <f t="shared" ref="J208:J211" si="247">F208+H208-I208</f>
        <v>4</v>
      </c>
      <c r="K208" s="193">
        <f t="shared" ref="K208:K211" si="248">J208*E208</f>
        <v>753.84</v>
      </c>
      <c r="L208" s="193"/>
      <c r="M208" s="193"/>
      <c r="N208" s="193"/>
      <c r="O208" s="622">
        <f t="shared" ref="O208:O211" si="249">J208*E208</f>
        <v>753.84</v>
      </c>
      <c r="P208" s="194">
        <v>4</v>
      </c>
      <c r="Q208" s="622">
        <f t="shared" ref="Q208" si="250">TRUNC(P208*E208,2)</f>
        <v>753.84</v>
      </c>
      <c r="R208" s="745">
        <v>0</v>
      </c>
      <c r="S208" s="746">
        <f t="shared" ref="S208" si="251">U208-Q208</f>
        <v>0</v>
      </c>
      <c r="T208" s="194">
        <f t="shared" ref="T208" si="252">R208+P208</f>
        <v>4</v>
      </c>
      <c r="U208" s="630">
        <f t="shared" ref="U208" si="253">TRUNC(T208*E208,2)</f>
        <v>753.84</v>
      </c>
      <c r="V208" s="194">
        <f t="shared" si="245"/>
        <v>0</v>
      </c>
      <c r="W208" s="630">
        <f t="shared" ref="W208:W211" si="254">V208*E208</f>
        <v>0</v>
      </c>
    </row>
    <row r="209" spans="1:23" ht="38.25">
      <c r="A209" s="190" t="s">
        <v>373</v>
      </c>
      <c r="B209" s="191">
        <v>160324</v>
      </c>
      <c r="C209" s="657" t="s">
        <v>546</v>
      </c>
      <c r="D209" s="192" t="s">
        <v>59</v>
      </c>
      <c r="E209" s="193">
        <v>199.91</v>
      </c>
      <c r="F209" s="194">
        <v>1</v>
      </c>
      <c r="G209" s="194"/>
      <c r="H209" s="194"/>
      <c r="I209" s="194"/>
      <c r="J209" s="193">
        <f t="shared" si="247"/>
        <v>1</v>
      </c>
      <c r="K209" s="193">
        <f t="shared" si="248"/>
        <v>199.91</v>
      </c>
      <c r="L209" s="193"/>
      <c r="M209" s="193"/>
      <c r="N209" s="193"/>
      <c r="O209" s="622">
        <f t="shared" si="249"/>
        <v>199.91</v>
      </c>
      <c r="P209" s="194">
        <v>1</v>
      </c>
      <c r="Q209" s="622">
        <f>TRUNC(P209*E209,2)</f>
        <v>199.91</v>
      </c>
      <c r="R209" s="745">
        <v>0</v>
      </c>
      <c r="S209" s="746">
        <f>U209-Q209</f>
        <v>0</v>
      </c>
      <c r="T209" s="194">
        <f>R209+P209</f>
        <v>1</v>
      </c>
      <c r="U209" s="630">
        <f>TRUNC(T209*E209,2)</f>
        <v>199.91</v>
      </c>
      <c r="V209" s="194">
        <f t="shared" si="245"/>
        <v>0</v>
      </c>
      <c r="W209" s="630">
        <f t="shared" si="254"/>
        <v>0</v>
      </c>
    </row>
    <row r="210" spans="1:23" ht="25.5">
      <c r="A210" s="190" t="s">
        <v>374</v>
      </c>
      <c r="B210" s="191">
        <v>160317</v>
      </c>
      <c r="C210" s="657" t="s">
        <v>377</v>
      </c>
      <c r="D210" s="192" t="s">
        <v>51</v>
      </c>
      <c r="E210" s="193">
        <v>33.369999999999997</v>
      </c>
      <c r="F210" s="194">
        <v>68.900000000000006</v>
      </c>
      <c r="G210" s="194"/>
      <c r="H210" s="194"/>
      <c r="I210" s="194"/>
      <c r="J210" s="193">
        <f t="shared" si="247"/>
        <v>68.900000000000006</v>
      </c>
      <c r="K210" s="193">
        <f t="shared" si="248"/>
        <v>2299.1930000000002</v>
      </c>
      <c r="L210" s="193"/>
      <c r="M210" s="193"/>
      <c r="N210" s="193"/>
      <c r="O210" s="622">
        <f t="shared" si="249"/>
        <v>2299.1930000000002</v>
      </c>
      <c r="P210" s="194">
        <v>68.900000000000006</v>
      </c>
      <c r="Q210" s="622">
        <f t="shared" ref="Q210:Q211" si="255">TRUNC(P210*E210,2)</f>
        <v>2299.19</v>
      </c>
      <c r="R210" s="745">
        <v>0</v>
      </c>
      <c r="S210" s="746">
        <f t="shared" ref="S210:S211" si="256">U210-Q210</f>
        <v>0</v>
      </c>
      <c r="T210" s="194">
        <f t="shared" ref="T210:T211" si="257">R210+P210</f>
        <v>68.900000000000006</v>
      </c>
      <c r="U210" s="630">
        <f t="shared" ref="U210:U211" si="258">TRUNC(T210*E210,2)</f>
        <v>2299.19</v>
      </c>
      <c r="V210" s="194">
        <f t="shared" si="245"/>
        <v>0</v>
      </c>
      <c r="W210" s="630">
        <f t="shared" si="254"/>
        <v>0</v>
      </c>
    </row>
    <row r="211" spans="1:23" ht="25.5">
      <c r="A211" s="190" t="s">
        <v>375</v>
      </c>
      <c r="B211" s="191">
        <v>160334</v>
      </c>
      <c r="C211" s="657" t="s">
        <v>378</v>
      </c>
      <c r="D211" s="192" t="s">
        <v>59</v>
      </c>
      <c r="E211" s="193">
        <v>29.65</v>
      </c>
      <c r="F211" s="194">
        <v>2</v>
      </c>
      <c r="G211" s="194"/>
      <c r="H211" s="194"/>
      <c r="I211" s="194"/>
      <c r="J211" s="193">
        <f t="shared" si="247"/>
        <v>2</v>
      </c>
      <c r="K211" s="193">
        <f t="shared" si="248"/>
        <v>59.3</v>
      </c>
      <c r="L211" s="193"/>
      <c r="M211" s="193"/>
      <c r="N211" s="193"/>
      <c r="O211" s="622">
        <f t="shared" si="249"/>
        <v>59.3</v>
      </c>
      <c r="P211" s="194">
        <v>2</v>
      </c>
      <c r="Q211" s="622">
        <f t="shared" si="255"/>
        <v>59.3</v>
      </c>
      <c r="R211" s="745">
        <v>0</v>
      </c>
      <c r="S211" s="746">
        <f t="shared" si="256"/>
        <v>0</v>
      </c>
      <c r="T211" s="194">
        <f t="shared" si="257"/>
        <v>2</v>
      </c>
      <c r="U211" s="630">
        <f t="shared" si="258"/>
        <v>59.3</v>
      </c>
      <c r="V211" s="194">
        <f t="shared" si="245"/>
        <v>0</v>
      </c>
      <c r="W211" s="630">
        <f t="shared" si="254"/>
        <v>0</v>
      </c>
    </row>
    <row r="212" spans="1:23">
      <c r="A212" s="138"/>
      <c r="B212" s="132"/>
      <c r="C212" s="123"/>
      <c r="D212" s="123"/>
      <c r="E212" s="123"/>
      <c r="F212" s="123"/>
      <c r="G212" s="123"/>
      <c r="H212" s="123"/>
      <c r="I212" s="123"/>
      <c r="J212" s="123"/>
      <c r="K212" s="123"/>
      <c r="L212" s="123"/>
      <c r="M212" s="123"/>
      <c r="N212" s="123"/>
      <c r="O212" s="623"/>
      <c r="P212" s="123"/>
      <c r="Q212" s="623"/>
      <c r="R212" s="791"/>
      <c r="S212" s="792"/>
      <c r="T212" s="123"/>
      <c r="U212" s="631"/>
      <c r="V212" s="123"/>
      <c r="W212" s="631"/>
    </row>
    <row r="213" spans="1:23" s="213" customFormat="1">
      <c r="A213" s="210" t="s">
        <v>379</v>
      </c>
      <c r="B213" s="211"/>
      <c r="C213" s="655" t="s">
        <v>380</v>
      </c>
      <c r="D213" s="197"/>
      <c r="E213" s="198"/>
      <c r="F213" s="199"/>
      <c r="G213" s="199"/>
      <c r="H213" s="199"/>
      <c r="I213" s="199"/>
      <c r="J213" s="200"/>
      <c r="K213" s="200">
        <f>SUBTOTAL(9,K214:K219)</f>
        <v>2061.3539999999998</v>
      </c>
      <c r="L213" s="200"/>
      <c r="M213" s="200"/>
      <c r="N213" s="200"/>
      <c r="O213" s="620"/>
      <c r="P213" s="201"/>
      <c r="Q213" s="620">
        <f>SUBTOTAL(9,Q214:Q219)</f>
        <v>2061.35</v>
      </c>
      <c r="R213" s="743"/>
      <c r="S213" s="744">
        <f>SUBTOTAL(9,S214:S219)</f>
        <v>0</v>
      </c>
      <c r="T213" s="200"/>
      <c r="U213" s="620">
        <f>SUBTOTAL(9,U214:U219)</f>
        <v>2061.35</v>
      </c>
      <c r="V213" s="200">
        <f t="shared" si="245"/>
        <v>0</v>
      </c>
      <c r="W213" s="620">
        <f>SUBTOTAL(9,W214:W219)</f>
        <v>0</v>
      </c>
    </row>
    <row r="214" spans="1:23" s="131" customFormat="1">
      <c r="A214" s="137" t="s">
        <v>381</v>
      </c>
      <c r="B214" s="133"/>
      <c r="C214" s="658" t="s">
        <v>380</v>
      </c>
      <c r="D214" s="126"/>
      <c r="E214" s="127"/>
      <c r="F214" s="128"/>
      <c r="G214" s="128"/>
      <c r="H214" s="128"/>
      <c r="I214" s="128"/>
      <c r="J214" s="129"/>
      <c r="K214" s="129">
        <f>SUBTOTAL(9,K215:K219)</f>
        <v>2061.3539999999998</v>
      </c>
      <c r="L214" s="129"/>
      <c r="M214" s="129"/>
      <c r="N214" s="129"/>
      <c r="O214" s="624"/>
      <c r="P214" s="130"/>
      <c r="Q214" s="624">
        <f>SUBTOTAL(9,Q215:Q219)</f>
        <v>2061.35</v>
      </c>
      <c r="R214" s="743"/>
      <c r="S214" s="744">
        <f>SUBTOTAL(9,S215:S219)</f>
        <v>0</v>
      </c>
      <c r="T214" s="129"/>
      <c r="U214" s="624">
        <f>SUBTOTAL(9,U215:U219)</f>
        <v>2061.35</v>
      </c>
      <c r="V214" s="129">
        <f t="shared" si="245"/>
        <v>0</v>
      </c>
      <c r="W214" s="624">
        <f>SUBTOTAL(9,W215:W219)</f>
        <v>0</v>
      </c>
    </row>
    <row r="215" spans="1:23" ht="25.5">
      <c r="A215" s="190" t="s">
        <v>382</v>
      </c>
      <c r="B215" s="191">
        <v>160612</v>
      </c>
      <c r="C215" s="657" t="s">
        <v>387</v>
      </c>
      <c r="D215" s="192" t="s">
        <v>59</v>
      </c>
      <c r="E215" s="193">
        <v>29.96</v>
      </c>
      <c r="F215" s="194">
        <v>2</v>
      </c>
      <c r="G215" s="194"/>
      <c r="H215" s="194"/>
      <c r="I215" s="194"/>
      <c r="J215" s="193">
        <f t="shared" ref="J215:J219" si="259">F215+H215-I215</f>
        <v>2</v>
      </c>
      <c r="K215" s="193">
        <f t="shared" ref="K215:K219" si="260">J215*E215</f>
        <v>59.92</v>
      </c>
      <c r="L215" s="193"/>
      <c r="M215" s="193"/>
      <c r="N215" s="193"/>
      <c r="O215" s="622">
        <f t="shared" ref="O215:O219" si="261">J215*E215</f>
        <v>59.92</v>
      </c>
      <c r="P215" s="194">
        <v>2</v>
      </c>
      <c r="Q215" s="622">
        <f t="shared" ref="Q215" si="262">TRUNC(P215*E215,2)</f>
        <v>59.92</v>
      </c>
      <c r="R215" s="745">
        <v>0</v>
      </c>
      <c r="S215" s="746">
        <f t="shared" ref="S215" si="263">U215-Q215</f>
        <v>0</v>
      </c>
      <c r="T215" s="194">
        <f t="shared" ref="T215" si="264">R215+P215</f>
        <v>2</v>
      </c>
      <c r="U215" s="630">
        <f t="shared" ref="U215" si="265">TRUNC(T215*E215,2)</f>
        <v>59.92</v>
      </c>
      <c r="V215" s="194">
        <f t="shared" si="245"/>
        <v>0</v>
      </c>
      <c r="W215" s="630">
        <f t="shared" ref="W215:W219" si="266">V215*E215</f>
        <v>0</v>
      </c>
    </row>
    <row r="216" spans="1:23" ht="51">
      <c r="A216" s="190" t="s">
        <v>383</v>
      </c>
      <c r="B216" s="191">
        <v>160608</v>
      </c>
      <c r="C216" s="657" t="s">
        <v>388</v>
      </c>
      <c r="D216" s="192" t="s">
        <v>59</v>
      </c>
      <c r="E216" s="193">
        <v>320.60000000000002</v>
      </c>
      <c r="F216" s="194">
        <v>3</v>
      </c>
      <c r="G216" s="194"/>
      <c r="H216" s="194"/>
      <c r="I216" s="194"/>
      <c r="J216" s="193">
        <f t="shared" si="259"/>
        <v>3</v>
      </c>
      <c r="K216" s="193">
        <f t="shared" si="260"/>
        <v>961.80000000000007</v>
      </c>
      <c r="L216" s="193"/>
      <c r="M216" s="193"/>
      <c r="N216" s="193"/>
      <c r="O216" s="622">
        <f t="shared" si="261"/>
        <v>961.80000000000007</v>
      </c>
      <c r="P216" s="194">
        <v>3</v>
      </c>
      <c r="Q216" s="622">
        <f>TRUNC(P216*E216,2)</f>
        <v>961.8</v>
      </c>
      <c r="R216" s="745">
        <v>0</v>
      </c>
      <c r="S216" s="746">
        <f>U216-Q216</f>
        <v>0</v>
      </c>
      <c r="T216" s="194">
        <f>R216+P216</f>
        <v>3</v>
      </c>
      <c r="U216" s="630">
        <f>TRUNC(T216*E216,2)</f>
        <v>961.8</v>
      </c>
      <c r="V216" s="194">
        <f t="shared" si="245"/>
        <v>0</v>
      </c>
      <c r="W216" s="630">
        <f t="shared" si="266"/>
        <v>0</v>
      </c>
    </row>
    <row r="217" spans="1:23" ht="25.5">
      <c r="A217" s="190" t="s">
        <v>384</v>
      </c>
      <c r="B217" s="191">
        <v>160613</v>
      </c>
      <c r="C217" s="657" t="s">
        <v>389</v>
      </c>
      <c r="D217" s="192" t="s">
        <v>59</v>
      </c>
      <c r="E217" s="193">
        <v>197.45</v>
      </c>
      <c r="F217" s="194">
        <v>3</v>
      </c>
      <c r="G217" s="194"/>
      <c r="H217" s="194"/>
      <c r="I217" s="194"/>
      <c r="J217" s="193">
        <f t="shared" si="259"/>
        <v>3</v>
      </c>
      <c r="K217" s="193">
        <f t="shared" si="260"/>
        <v>592.34999999999991</v>
      </c>
      <c r="L217" s="193"/>
      <c r="M217" s="193"/>
      <c r="N217" s="193"/>
      <c r="O217" s="622">
        <f t="shared" si="261"/>
        <v>592.34999999999991</v>
      </c>
      <c r="P217" s="194">
        <v>3</v>
      </c>
      <c r="Q217" s="622">
        <f t="shared" ref="Q217:Q219" si="267">TRUNC(P217*E217,2)</f>
        <v>592.35</v>
      </c>
      <c r="R217" s="745">
        <v>0</v>
      </c>
      <c r="S217" s="746">
        <f t="shared" ref="S217:S219" si="268">U217-Q217</f>
        <v>0</v>
      </c>
      <c r="T217" s="194">
        <f t="shared" ref="T217:T219" si="269">R217+P217</f>
        <v>3</v>
      </c>
      <c r="U217" s="630">
        <f t="shared" ref="U217:U219" si="270">TRUNC(T217*E217,2)</f>
        <v>592.35</v>
      </c>
      <c r="V217" s="194">
        <f t="shared" si="245"/>
        <v>0</v>
      </c>
      <c r="W217" s="630">
        <f t="shared" si="266"/>
        <v>0</v>
      </c>
    </row>
    <row r="218" spans="1:23" ht="38.25">
      <c r="A218" s="190" t="s">
        <v>385</v>
      </c>
      <c r="B218" s="191">
        <v>160607</v>
      </c>
      <c r="C218" s="657" t="s">
        <v>390</v>
      </c>
      <c r="D218" s="192" t="s">
        <v>59</v>
      </c>
      <c r="E218" s="193">
        <v>178.48</v>
      </c>
      <c r="F218" s="194">
        <v>2</v>
      </c>
      <c r="G218" s="194"/>
      <c r="H218" s="194"/>
      <c r="I218" s="194"/>
      <c r="J218" s="193">
        <f t="shared" si="259"/>
        <v>2</v>
      </c>
      <c r="K218" s="193">
        <f t="shared" si="260"/>
        <v>356.96</v>
      </c>
      <c r="L218" s="193"/>
      <c r="M218" s="193"/>
      <c r="N218" s="193"/>
      <c r="O218" s="622">
        <f t="shared" si="261"/>
        <v>356.96</v>
      </c>
      <c r="P218" s="194">
        <v>2</v>
      </c>
      <c r="Q218" s="622">
        <f t="shared" si="267"/>
        <v>356.96</v>
      </c>
      <c r="R218" s="745">
        <v>0</v>
      </c>
      <c r="S218" s="746">
        <f t="shared" si="268"/>
        <v>0</v>
      </c>
      <c r="T218" s="194">
        <f t="shared" si="269"/>
        <v>2</v>
      </c>
      <c r="U218" s="630">
        <f t="shared" si="270"/>
        <v>356.96</v>
      </c>
      <c r="V218" s="194">
        <f t="shared" si="245"/>
        <v>0</v>
      </c>
      <c r="W218" s="630">
        <f t="shared" si="266"/>
        <v>0</v>
      </c>
    </row>
    <row r="219" spans="1:23" ht="38.25">
      <c r="A219" s="190" t="s">
        <v>386</v>
      </c>
      <c r="B219" s="191">
        <v>190605</v>
      </c>
      <c r="C219" s="657" t="s">
        <v>544</v>
      </c>
      <c r="D219" s="192" t="s">
        <v>57</v>
      </c>
      <c r="E219" s="193">
        <v>50.18</v>
      </c>
      <c r="F219" s="194">
        <v>1.8</v>
      </c>
      <c r="G219" s="194"/>
      <c r="H219" s="194"/>
      <c r="I219" s="194"/>
      <c r="J219" s="193">
        <f t="shared" si="259"/>
        <v>1.8</v>
      </c>
      <c r="K219" s="193">
        <f t="shared" si="260"/>
        <v>90.323999999999998</v>
      </c>
      <c r="L219" s="193"/>
      <c r="M219" s="193"/>
      <c r="N219" s="193"/>
      <c r="O219" s="622">
        <f t="shared" si="261"/>
        <v>90.323999999999998</v>
      </c>
      <c r="P219" s="194">
        <v>1.8</v>
      </c>
      <c r="Q219" s="622">
        <f t="shared" si="267"/>
        <v>90.32</v>
      </c>
      <c r="R219" s="745">
        <v>0</v>
      </c>
      <c r="S219" s="746">
        <f t="shared" si="268"/>
        <v>0</v>
      </c>
      <c r="T219" s="194">
        <f t="shared" si="269"/>
        <v>1.8</v>
      </c>
      <c r="U219" s="630">
        <f t="shared" si="270"/>
        <v>90.32</v>
      </c>
      <c r="V219" s="194">
        <f t="shared" si="245"/>
        <v>0</v>
      </c>
      <c r="W219" s="630">
        <f t="shared" si="266"/>
        <v>0</v>
      </c>
    </row>
    <row r="220" spans="1:23">
      <c r="A220" s="138"/>
      <c r="B220" s="132"/>
      <c r="C220" s="123"/>
      <c r="D220" s="123"/>
      <c r="E220" s="123"/>
      <c r="F220" s="123"/>
      <c r="G220" s="123"/>
      <c r="H220" s="123"/>
      <c r="I220" s="123"/>
      <c r="J220" s="123"/>
      <c r="K220" s="123"/>
      <c r="L220" s="123"/>
      <c r="M220" s="123"/>
      <c r="N220" s="123"/>
      <c r="O220" s="623"/>
      <c r="P220" s="123"/>
      <c r="Q220" s="623"/>
      <c r="R220" s="791"/>
      <c r="S220" s="792"/>
      <c r="T220" s="123"/>
      <c r="U220" s="631"/>
      <c r="V220" s="123"/>
      <c r="W220" s="631"/>
    </row>
    <row r="221" spans="1:23" s="654" customFormat="1">
      <c r="A221" s="202">
        <v>3</v>
      </c>
      <c r="B221" s="653" t="s">
        <v>863</v>
      </c>
      <c r="C221" s="654" t="s">
        <v>992</v>
      </c>
      <c r="D221" s="204"/>
      <c r="E221" s="205"/>
      <c r="F221" s="206"/>
      <c r="G221" s="206"/>
      <c r="H221" s="206"/>
      <c r="I221" s="206"/>
      <c r="J221" s="207"/>
      <c r="K221" s="207">
        <f>SUBTOTAL(9,K222:K397)</f>
        <v>1365196.3011</v>
      </c>
      <c r="L221" s="207"/>
      <c r="M221" s="207"/>
      <c r="N221" s="207"/>
      <c r="O221" s="619"/>
      <c r="P221" s="208"/>
      <c r="Q221" s="619">
        <f>SUBTOTAL(9,Q222:Q397)</f>
        <v>1647987.9920000003</v>
      </c>
      <c r="R221" s="741"/>
      <c r="S221" s="742">
        <f>SUBTOTAL(9,S222:S397)+0.01</f>
        <v>112232.04179999999</v>
      </c>
      <c r="T221" s="207"/>
      <c r="U221" s="619">
        <f>SUBTOTAL(9,U222:U397)</f>
        <v>1754055.9820000003</v>
      </c>
      <c r="V221" s="207">
        <f>F221-T221</f>
        <v>0</v>
      </c>
      <c r="W221" s="619">
        <f>SUBTOTAL(9,W222:W397)</f>
        <v>2916.6479999999988</v>
      </c>
    </row>
    <row r="222" spans="1:23" s="213" customFormat="1">
      <c r="A222" s="210" t="s">
        <v>0</v>
      </c>
      <c r="B222" s="211"/>
      <c r="C222" s="655" t="s">
        <v>65</v>
      </c>
      <c r="D222" s="197"/>
      <c r="E222" s="198"/>
      <c r="F222" s="199"/>
      <c r="G222" s="199"/>
      <c r="H222" s="199"/>
      <c r="I222" s="199"/>
      <c r="J222" s="200"/>
      <c r="K222" s="200">
        <f>SUBTOTAL(9,K223:K228)</f>
        <v>9979.0712000000003</v>
      </c>
      <c r="L222" s="200"/>
      <c r="M222" s="200"/>
      <c r="N222" s="200"/>
      <c r="O222" s="620"/>
      <c r="P222" s="201"/>
      <c r="Q222" s="620">
        <f>SUBTOTAL(9,Q223:Q228)</f>
        <v>13613.91</v>
      </c>
      <c r="R222" s="743"/>
      <c r="S222" s="744">
        <f>SUBTOTAL(9,S223:S228)</f>
        <v>-5923.8432000000003</v>
      </c>
      <c r="T222" s="200"/>
      <c r="U222" s="620">
        <f>SUBTOTAL(9,U223:U228)</f>
        <v>7690.0700000000006</v>
      </c>
      <c r="V222" s="200">
        <f t="shared" ref="V222:V287" si="271">F222-T222</f>
        <v>0</v>
      </c>
      <c r="W222" s="620">
        <f>SUBTOTAL(9,W223:W228)</f>
        <v>0</v>
      </c>
    </row>
    <row r="223" spans="1:23" s="131" customFormat="1">
      <c r="A223" s="137" t="s">
        <v>392</v>
      </c>
      <c r="B223" s="133"/>
      <c r="C223" s="658" t="s">
        <v>101</v>
      </c>
      <c r="D223" s="126"/>
      <c r="E223" s="127"/>
      <c r="F223" s="128"/>
      <c r="G223" s="128"/>
      <c r="H223" s="128"/>
      <c r="I223" s="128"/>
      <c r="J223" s="129"/>
      <c r="K223" s="129">
        <f>SUBTOTAL(9,K224:K224)</f>
        <v>1783.68</v>
      </c>
      <c r="L223" s="129"/>
      <c r="M223" s="129"/>
      <c r="N223" s="129"/>
      <c r="O223" s="624"/>
      <c r="P223" s="130"/>
      <c r="Q223" s="624">
        <f>SUBTOTAL(9,Q224:Q224)</f>
        <v>1783.68</v>
      </c>
      <c r="R223" s="743"/>
      <c r="S223" s="744">
        <f>SUBTOTAL(9,S224:S224)</f>
        <v>0</v>
      </c>
      <c r="T223" s="129"/>
      <c r="U223" s="624">
        <f>SUBTOTAL(9,U224:U224)</f>
        <v>1783.68</v>
      </c>
      <c r="V223" s="129">
        <f t="shared" si="271"/>
        <v>0</v>
      </c>
      <c r="W223" s="624">
        <f>SUBTOTAL(9,W224:W224)</f>
        <v>0</v>
      </c>
    </row>
    <row r="224" spans="1:23">
      <c r="A224" s="190" t="s">
        <v>393</v>
      </c>
      <c r="B224" s="191">
        <v>20305</v>
      </c>
      <c r="C224" s="657" t="s">
        <v>103</v>
      </c>
      <c r="D224" s="192" t="s">
        <v>57</v>
      </c>
      <c r="E224" s="193">
        <v>222.96</v>
      </c>
      <c r="F224" s="194">
        <v>8</v>
      </c>
      <c r="G224" s="194"/>
      <c r="H224" s="194"/>
      <c r="I224" s="194"/>
      <c r="J224" s="193">
        <f t="shared" ref="J224" si="272">F224+H224-I224</f>
        <v>8</v>
      </c>
      <c r="K224" s="193">
        <f t="shared" ref="K224" si="273">J224*E224</f>
        <v>1783.68</v>
      </c>
      <c r="L224" s="193"/>
      <c r="M224" s="193"/>
      <c r="N224" s="193"/>
      <c r="O224" s="622">
        <f t="shared" ref="O224" si="274">J224*E224</f>
        <v>1783.68</v>
      </c>
      <c r="P224" s="195">
        <v>8</v>
      </c>
      <c r="Q224" s="622">
        <f>TRUNC(P224*E224,2)</f>
        <v>1783.68</v>
      </c>
      <c r="R224" s="745">
        <v>0</v>
      </c>
      <c r="S224" s="746">
        <f t="shared" ref="S224" si="275">U224-Q224</f>
        <v>0</v>
      </c>
      <c r="T224" s="194">
        <f>R224+P224</f>
        <v>8</v>
      </c>
      <c r="U224" s="630">
        <f>TRUNC(T224*E224,2)</f>
        <v>1783.68</v>
      </c>
      <c r="V224" s="194">
        <f t="shared" si="271"/>
        <v>0</v>
      </c>
      <c r="W224" s="630">
        <f t="shared" ref="W224" si="276">V224*E224</f>
        <v>0</v>
      </c>
    </row>
    <row r="225" spans="1:23">
      <c r="A225" s="138"/>
      <c r="B225" s="132"/>
      <c r="C225" s="123"/>
      <c r="D225" s="123"/>
      <c r="E225" s="123"/>
      <c r="F225" s="123"/>
      <c r="G225" s="123"/>
      <c r="H225" s="123"/>
      <c r="I225" s="123"/>
      <c r="J225" s="123"/>
      <c r="K225" s="123"/>
      <c r="L225" s="123"/>
      <c r="M225" s="123"/>
      <c r="N225" s="123"/>
      <c r="O225" s="623"/>
      <c r="P225" s="123"/>
      <c r="Q225" s="623"/>
      <c r="R225" s="791"/>
      <c r="S225" s="792"/>
      <c r="T225" s="123"/>
      <c r="U225" s="631"/>
      <c r="V225" s="123"/>
      <c r="W225" s="631"/>
    </row>
    <row r="226" spans="1:23" s="131" customFormat="1">
      <c r="A226" s="137" t="s">
        <v>394</v>
      </c>
      <c r="B226" s="133"/>
      <c r="C226" s="658" t="s">
        <v>105</v>
      </c>
      <c r="D226" s="126"/>
      <c r="E226" s="127"/>
      <c r="F226" s="128"/>
      <c r="G226" s="128"/>
      <c r="H226" s="128"/>
      <c r="I226" s="128"/>
      <c r="J226" s="129"/>
      <c r="K226" s="129">
        <f>SUBTOTAL(9,K227:K228)</f>
        <v>8195.3912</v>
      </c>
      <c r="L226" s="129"/>
      <c r="M226" s="129"/>
      <c r="N226" s="129"/>
      <c r="O226" s="624"/>
      <c r="P226" s="130"/>
      <c r="Q226" s="624">
        <f>SUBTOTAL(9,Q227:Q228)</f>
        <v>11830.23</v>
      </c>
      <c r="R226" s="743"/>
      <c r="S226" s="744">
        <f>SUBTOTAL(9,S227:S228)</f>
        <v>-5923.8432000000003</v>
      </c>
      <c r="T226" s="129"/>
      <c r="U226" s="624">
        <f>SUBTOTAL(9,U227:U228)</f>
        <v>5906.39</v>
      </c>
      <c r="V226" s="129">
        <f t="shared" si="271"/>
        <v>0</v>
      </c>
      <c r="W226" s="624">
        <f>SUBTOTAL(9,W227:W228)</f>
        <v>0</v>
      </c>
    </row>
    <row r="227" spans="1:23">
      <c r="A227" s="190" t="s">
        <v>395</v>
      </c>
      <c r="B227" s="191">
        <v>10201</v>
      </c>
      <c r="C227" s="657" t="s">
        <v>397</v>
      </c>
      <c r="D227" s="192" t="s">
        <v>57</v>
      </c>
      <c r="E227" s="193">
        <v>22.08</v>
      </c>
      <c r="F227" s="194">
        <v>268.29000000000002</v>
      </c>
      <c r="G227" s="194"/>
      <c r="H227" s="194"/>
      <c r="I227" s="194">
        <f>F227</f>
        <v>268.29000000000002</v>
      </c>
      <c r="J227" s="193">
        <f t="shared" ref="J227" si="277">F227+H227-I227</f>
        <v>0</v>
      </c>
      <c r="K227" s="193">
        <f>F227*E227</f>
        <v>5923.8432000000003</v>
      </c>
      <c r="L227" s="193"/>
      <c r="M227" s="193"/>
      <c r="N227" s="193">
        <f>I227*E227</f>
        <v>5923.8432000000003</v>
      </c>
      <c r="O227" s="622">
        <f>J227*E227</f>
        <v>0</v>
      </c>
      <c r="P227" s="194">
        <v>268.29000000000002</v>
      </c>
      <c r="Q227" s="622">
        <f>TRUNC(P227*E227,2)</f>
        <v>5923.84</v>
      </c>
      <c r="R227" s="785">
        <v>-268.29000000000002</v>
      </c>
      <c r="S227" s="786">
        <f>E227*R227</f>
        <v>-5923.8432000000003</v>
      </c>
      <c r="T227" s="194">
        <v>0</v>
      </c>
      <c r="U227" s="630">
        <f>TRUNC(T227*E227,2)</f>
        <v>0</v>
      </c>
      <c r="V227" s="194">
        <v>0</v>
      </c>
      <c r="W227" s="630">
        <v>0</v>
      </c>
    </row>
    <row r="228" spans="1:23" ht="38.25">
      <c r="A228" s="190" t="s">
        <v>396</v>
      </c>
      <c r="B228" s="191">
        <v>30304</v>
      </c>
      <c r="C228" s="657" t="s">
        <v>109</v>
      </c>
      <c r="D228" s="192" t="s">
        <v>58</v>
      </c>
      <c r="E228" s="193">
        <v>56.45</v>
      </c>
      <c r="F228" s="194">
        <v>40.24</v>
      </c>
      <c r="G228" s="194"/>
      <c r="H228" s="194">
        <f>REPLANILHAMENTO!H192</f>
        <v>64.39</v>
      </c>
      <c r="I228" s="194"/>
      <c r="J228" s="193">
        <f>F228+H228</f>
        <v>104.63</v>
      </c>
      <c r="K228" s="193">
        <f>F228*E228</f>
        <v>2271.5480000000002</v>
      </c>
      <c r="L228" s="193">
        <f>E228*H228</f>
        <v>3634.8155000000002</v>
      </c>
      <c r="M228" s="193"/>
      <c r="N228" s="193"/>
      <c r="O228" s="622">
        <f>J228*E228</f>
        <v>5906.3635000000004</v>
      </c>
      <c r="P228" s="194">
        <f>'3.1.2.2'!R27</f>
        <v>104.63055000000001</v>
      </c>
      <c r="Q228" s="622">
        <f t="shared" ref="Q228" si="278">TRUNC(P228*E228,2)</f>
        <v>5906.39</v>
      </c>
      <c r="R228" s="745">
        <f>'3.1.2.2'!R28</f>
        <v>0</v>
      </c>
      <c r="S228" s="746">
        <f>R228*E228</f>
        <v>0</v>
      </c>
      <c r="T228" s="194">
        <f>R228+P228</f>
        <v>104.63055000000001</v>
      </c>
      <c r="U228" s="630">
        <f t="shared" ref="U228" si="279">TRUNC(T228*E228,2)</f>
        <v>5906.39</v>
      </c>
      <c r="V228" s="194">
        <v>0</v>
      </c>
      <c r="W228" s="630">
        <v>0</v>
      </c>
    </row>
    <row r="229" spans="1:23">
      <c r="A229" s="190" t="s">
        <v>1264</v>
      </c>
      <c r="B229" s="191">
        <f>REPLANILHAMENTO!B191</f>
        <v>10219</v>
      </c>
      <c r="C229" s="657" t="str">
        <f>REPLANILHAMENTO!D191</f>
        <v xml:space="preserve">Demolição manual de concreto armado </v>
      </c>
      <c r="D229" s="192" t="str">
        <f>REPLANILHAMENTO!E191</f>
        <v>m3</v>
      </c>
      <c r="E229" s="193">
        <f>REPLANILHAMENTO!F191</f>
        <v>281.24374947000001</v>
      </c>
      <c r="F229" s="194">
        <v>0</v>
      </c>
      <c r="G229" s="194"/>
      <c r="H229" s="194">
        <f>REPLANILHAMENTO!H191</f>
        <v>40.24</v>
      </c>
      <c r="I229" s="194"/>
      <c r="J229" s="193">
        <f>F229+H229</f>
        <v>40.24</v>
      </c>
      <c r="K229" s="193">
        <f>F229*E229</f>
        <v>0</v>
      </c>
      <c r="L229" s="193">
        <f>H229*E229</f>
        <v>11317.248478672802</v>
      </c>
      <c r="M229" s="193"/>
      <c r="N229" s="193"/>
      <c r="O229" s="622">
        <f>J229*E229</f>
        <v>11317.248478672802</v>
      </c>
      <c r="P229" s="194">
        <f>'3.1.2.3'!R23</f>
        <v>40.243500000000004</v>
      </c>
      <c r="Q229" s="622">
        <v>0</v>
      </c>
      <c r="R229" s="745">
        <f>'3.1.2.3'!R24</f>
        <v>0</v>
      </c>
      <c r="S229" s="746">
        <f>R229*E229</f>
        <v>0</v>
      </c>
      <c r="T229" s="194">
        <f>R229</f>
        <v>0</v>
      </c>
      <c r="U229" s="630">
        <f>S229</f>
        <v>0</v>
      </c>
      <c r="V229" s="194">
        <v>0</v>
      </c>
      <c r="W229" s="630">
        <v>0</v>
      </c>
    </row>
    <row r="230" spans="1:23">
      <c r="A230" s="138"/>
      <c r="B230" s="132"/>
      <c r="C230" s="123"/>
      <c r="D230" s="123"/>
      <c r="E230" s="123"/>
      <c r="F230" s="123"/>
      <c r="G230" s="123"/>
      <c r="H230" s="123"/>
      <c r="I230" s="123"/>
      <c r="J230" s="123"/>
      <c r="K230" s="123"/>
      <c r="L230" s="123"/>
      <c r="M230" s="123"/>
      <c r="N230" s="123"/>
      <c r="O230" s="623"/>
      <c r="P230" s="123"/>
      <c r="Q230" s="623"/>
      <c r="R230" s="791"/>
      <c r="S230" s="792"/>
      <c r="T230" s="123"/>
      <c r="U230" s="631"/>
      <c r="V230" s="123"/>
      <c r="W230" s="631"/>
    </row>
    <row r="231" spans="1:23" s="213" customFormat="1">
      <c r="A231" s="210" t="s">
        <v>398</v>
      </c>
      <c r="B231" s="211"/>
      <c r="C231" s="655" t="s">
        <v>56</v>
      </c>
      <c r="D231" s="197"/>
      <c r="E231" s="198"/>
      <c r="F231" s="199"/>
      <c r="G231" s="199"/>
      <c r="H231" s="199"/>
      <c r="I231" s="199"/>
      <c r="J231" s="200"/>
      <c r="K231" s="200">
        <f>SUBTOTAL(9,K232:K234)</f>
        <v>23153.894400000005</v>
      </c>
      <c r="L231" s="200"/>
      <c r="M231" s="200"/>
      <c r="N231" s="200"/>
      <c r="O231" s="620"/>
      <c r="P231" s="201"/>
      <c r="Q231" s="620">
        <f>SUBTOTAL(9,Q232:Q234)</f>
        <v>23153.88</v>
      </c>
      <c r="R231" s="743"/>
      <c r="S231" s="744">
        <f>SUBTOTAL(9,S232:S234)</f>
        <v>0</v>
      </c>
      <c r="T231" s="200"/>
      <c r="U231" s="620">
        <f>SUBTOTAL(9,U232:U234)</f>
        <v>23153.88</v>
      </c>
      <c r="V231" s="200">
        <f t="shared" si="271"/>
        <v>0</v>
      </c>
      <c r="W231" s="620">
        <f>SUBTOTAL(9,W232:W234)</f>
        <v>0</v>
      </c>
    </row>
    <row r="232" spans="1:23" s="131" customFormat="1">
      <c r="A232" s="137" t="s">
        <v>399</v>
      </c>
      <c r="B232" s="133"/>
      <c r="C232" s="658" t="s">
        <v>111</v>
      </c>
      <c r="D232" s="126"/>
      <c r="E232" s="127"/>
      <c r="F232" s="128"/>
      <c r="G232" s="128"/>
      <c r="H232" s="128"/>
      <c r="I232" s="128"/>
      <c r="J232" s="129"/>
      <c r="K232" s="129">
        <f>SUBTOTAL(9,K233:K234)</f>
        <v>23153.894400000005</v>
      </c>
      <c r="L232" s="129"/>
      <c r="M232" s="129"/>
      <c r="N232" s="129"/>
      <c r="O232" s="624"/>
      <c r="P232" s="130"/>
      <c r="Q232" s="624">
        <f>SUBTOTAL(9,Q233:Q234)</f>
        <v>23153.88</v>
      </c>
      <c r="R232" s="743"/>
      <c r="S232" s="744">
        <f>SUBTOTAL(9,S233:S234)</f>
        <v>0</v>
      </c>
      <c r="T232" s="129"/>
      <c r="U232" s="624">
        <f>SUBTOTAL(9,U233:U234)</f>
        <v>23153.88</v>
      </c>
      <c r="V232" s="129">
        <f t="shared" si="271"/>
        <v>0</v>
      </c>
      <c r="W232" s="624">
        <f>SUBTOTAL(9,W233:W234)</f>
        <v>0</v>
      </c>
    </row>
    <row r="233" spans="1:23">
      <c r="A233" s="190" t="s">
        <v>400</v>
      </c>
      <c r="B233" s="191">
        <v>30103</v>
      </c>
      <c r="C233" s="657" t="s">
        <v>116</v>
      </c>
      <c r="D233" s="192" t="s">
        <v>58</v>
      </c>
      <c r="E233" s="193">
        <v>9.81</v>
      </c>
      <c r="F233" s="194">
        <v>349.44</v>
      </c>
      <c r="G233" s="194"/>
      <c r="H233" s="194"/>
      <c r="I233" s="194"/>
      <c r="J233" s="193">
        <f t="shared" ref="J233:J234" si="280">F233+H233-I233</f>
        <v>349.44</v>
      </c>
      <c r="K233" s="193">
        <f t="shared" ref="K233:K234" si="281">J233*E233</f>
        <v>3428.0064000000002</v>
      </c>
      <c r="L233" s="193"/>
      <c r="M233" s="193"/>
      <c r="N233" s="193"/>
      <c r="O233" s="622">
        <f t="shared" ref="O233:O234" si="282">J233*E233</f>
        <v>3428.0064000000002</v>
      </c>
      <c r="P233" s="194">
        <f>144+205.44</f>
        <v>349.44</v>
      </c>
      <c r="Q233" s="622">
        <f t="shared" ref="Q233" si="283">TRUNC(P233*E233,2)</f>
        <v>3428</v>
      </c>
      <c r="R233" s="745">
        <v>0</v>
      </c>
      <c r="S233" s="746">
        <f t="shared" ref="S233" si="284">U233-Q233</f>
        <v>0</v>
      </c>
      <c r="T233" s="194">
        <f t="shared" ref="T233" si="285">R233+P233</f>
        <v>349.44</v>
      </c>
      <c r="U233" s="630">
        <f t="shared" ref="U233" si="286">TRUNC(T233*E233,2)</f>
        <v>3428</v>
      </c>
      <c r="V233" s="194">
        <f t="shared" si="271"/>
        <v>0</v>
      </c>
      <c r="W233" s="630">
        <f t="shared" ref="W233:W234" si="287">V233*E233</f>
        <v>0</v>
      </c>
    </row>
    <row r="234" spans="1:23" ht="38.25">
      <c r="A234" s="190" t="s">
        <v>401</v>
      </c>
      <c r="B234" s="191">
        <v>30304</v>
      </c>
      <c r="C234" s="657" t="s">
        <v>109</v>
      </c>
      <c r="D234" s="192" t="s">
        <v>58</v>
      </c>
      <c r="E234" s="193">
        <v>56.45</v>
      </c>
      <c r="F234" s="194">
        <v>349.44</v>
      </c>
      <c r="G234" s="194"/>
      <c r="H234" s="194"/>
      <c r="I234" s="194"/>
      <c r="J234" s="193">
        <f t="shared" si="280"/>
        <v>349.44</v>
      </c>
      <c r="K234" s="193">
        <f t="shared" si="281"/>
        <v>19725.888000000003</v>
      </c>
      <c r="L234" s="193"/>
      <c r="M234" s="193"/>
      <c r="N234" s="193"/>
      <c r="O234" s="622">
        <f t="shared" si="282"/>
        <v>19725.888000000003</v>
      </c>
      <c r="P234" s="194">
        <f>144+205.44</f>
        <v>349.44</v>
      </c>
      <c r="Q234" s="622">
        <f>TRUNC(P234*E234,2)</f>
        <v>19725.88</v>
      </c>
      <c r="R234" s="745">
        <v>0</v>
      </c>
      <c r="S234" s="746">
        <f>U234-Q234</f>
        <v>0</v>
      </c>
      <c r="T234" s="194">
        <f>R234+P234</f>
        <v>349.44</v>
      </c>
      <c r="U234" s="630">
        <f>TRUNC(T234*E234,2)</f>
        <v>19725.88</v>
      </c>
      <c r="V234" s="194">
        <f t="shared" si="271"/>
        <v>0</v>
      </c>
      <c r="W234" s="630">
        <f t="shared" si="287"/>
        <v>0</v>
      </c>
    </row>
    <row r="235" spans="1:23" s="213" customFormat="1">
      <c r="A235" s="210" t="s">
        <v>403</v>
      </c>
      <c r="B235" s="211"/>
      <c r="C235" s="655" t="s">
        <v>119</v>
      </c>
      <c r="D235" s="197"/>
      <c r="E235" s="198"/>
      <c r="F235" s="199"/>
      <c r="G235" s="199"/>
      <c r="H235" s="199"/>
      <c r="I235" s="199"/>
      <c r="J235" s="200"/>
      <c r="K235" s="200">
        <f>SUBTOTAL(9,K236:K309)</f>
        <v>369381.32020000013</v>
      </c>
      <c r="L235" s="200"/>
      <c r="M235" s="200"/>
      <c r="N235" s="200"/>
      <c r="O235" s="620"/>
      <c r="P235" s="201"/>
      <c r="Q235" s="620">
        <f>SUBTOTAL(9,Q236:Q309)</f>
        <v>332158.68000000005</v>
      </c>
      <c r="R235" s="743"/>
      <c r="S235" s="744">
        <f>SUBTOTAL(9,S236:S309)</f>
        <v>11655.27</v>
      </c>
      <c r="T235" s="200"/>
      <c r="U235" s="620">
        <f>SUBTOTAL(9,U236:U309)</f>
        <v>337649.91000000015</v>
      </c>
      <c r="V235" s="200">
        <f t="shared" si="271"/>
        <v>0</v>
      </c>
      <c r="W235" s="620">
        <f>SUBTOTAL(9,W236:W309)</f>
        <v>2916.6479999999988</v>
      </c>
    </row>
    <row r="236" spans="1:23" s="131" customFormat="1">
      <c r="A236" s="137" t="s">
        <v>404</v>
      </c>
      <c r="B236" s="133"/>
      <c r="C236" s="658" t="s">
        <v>98</v>
      </c>
      <c r="D236" s="126"/>
      <c r="E236" s="127"/>
      <c r="F236" s="128"/>
      <c r="G236" s="128"/>
      <c r="H236" s="128"/>
      <c r="I236" s="128"/>
      <c r="J236" s="129"/>
      <c r="K236" s="129">
        <f>SUBTOTAL(9,K237)</f>
        <v>1544.921</v>
      </c>
      <c r="L236" s="129"/>
      <c r="M236" s="129"/>
      <c r="N236" s="129"/>
      <c r="O236" s="624"/>
      <c r="P236" s="130"/>
      <c r="Q236" s="624">
        <f>SUBTOTAL(9,Q237)</f>
        <v>1544.92</v>
      </c>
      <c r="R236" s="743"/>
      <c r="S236" s="744">
        <f>SUBTOTAL(9,S237)</f>
        <v>0</v>
      </c>
      <c r="T236" s="129"/>
      <c r="U236" s="624">
        <f>SUBTOTAL(9,U237:U238)</f>
        <v>1544.92</v>
      </c>
      <c r="V236" s="129">
        <f t="shared" si="271"/>
        <v>0</v>
      </c>
      <c r="W236" s="624">
        <f>SUBTOTAL(9,W237)</f>
        <v>0</v>
      </c>
    </row>
    <row r="237" spans="1:23">
      <c r="A237" s="190" t="s">
        <v>402</v>
      </c>
      <c r="B237" s="191">
        <v>10501</v>
      </c>
      <c r="C237" s="657" t="s">
        <v>122</v>
      </c>
      <c r="D237" s="192" t="s">
        <v>57</v>
      </c>
      <c r="E237" s="193">
        <v>7.69</v>
      </c>
      <c r="F237" s="194">
        <v>200.9</v>
      </c>
      <c r="G237" s="194"/>
      <c r="H237" s="194"/>
      <c r="I237" s="194"/>
      <c r="J237" s="193">
        <f t="shared" ref="J237" si="288">F237+H237-I237</f>
        <v>200.9</v>
      </c>
      <c r="K237" s="193">
        <f t="shared" ref="K237" si="289">J237*E237</f>
        <v>1544.921</v>
      </c>
      <c r="L237" s="193"/>
      <c r="M237" s="193"/>
      <c r="N237" s="193"/>
      <c r="O237" s="622">
        <f t="shared" ref="O237" si="290">J237*E237</f>
        <v>1544.921</v>
      </c>
      <c r="P237" s="194">
        <v>200.9</v>
      </c>
      <c r="Q237" s="622">
        <f t="shared" ref="Q237" si="291">TRUNC(P237*E237,2)</f>
        <v>1544.92</v>
      </c>
      <c r="R237" s="745">
        <v>0</v>
      </c>
      <c r="S237" s="746">
        <f t="shared" ref="S237" si="292">U237-Q237</f>
        <v>0</v>
      </c>
      <c r="T237" s="194">
        <f t="shared" ref="T237" si="293">R237+P237</f>
        <v>200.9</v>
      </c>
      <c r="U237" s="630">
        <f t="shared" ref="U237" si="294">TRUNC(T237*E237,2)</f>
        <v>1544.92</v>
      </c>
      <c r="V237" s="194">
        <f t="shared" si="271"/>
        <v>0</v>
      </c>
      <c r="W237" s="630">
        <f t="shared" ref="W237" si="295">V237*E237</f>
        <v>0</v>
      </c>
    </row>
    <row r="238" spans="1:23">
      <c r="A238" s="190" t="s">
        <v>1165</v>
      </c>
      <c r="B238" s="191" t="str">
        <f>REPLANILHAMENTO!B200</f>
        <v>020346</v>
      </c>
      <c r="C238" s="657" t="str">
        <f>REPLANILHAMENTO!D200</f>
        <v>Locação de andaime metálico para fachada - tipo torre (aluguel mensal)</v>
      </c>
      <c r="D238" s="192" t="s">
        <v>51</v>
      </c>
      <c r="E238" s="193">
        <v>8.0299999999999994</v>
      </c>
      <c r="F238" s="194">
        <v>0</v>
      </c>
      <c r="G238" s="194"/>
      <c r="H238" s="194">
        <f>REPLANILHAMENTO!H200</f>
        <v>109.2</v>
      </c>
      <c r="I238" s="194"/>
      <c r="J238" s="193">
        <f>F238+H238</f>
        <v>109.2</v>
      </c>
      <c r="K238" s="193">
        <f>F238*E238</f>
        <v>0</v>
      </c>
      <c r="L238" s="193">
        <f>H238*E238</f>
        <v>876.87599999999998</v>
      </c>
      <c r="M238" s="193"/>
      <c r="N238" s="193"/>
      <c r="O238" s="622">
        <f>J238*E238</f>
        <v>876.87599999999998</v>
      </c>
      <c r="P238" s="194">
        <f>'3.3.1.2'!R20</f>
        <v>109.2</v>
      </c>
      <c r="Q238" s="622"/>
      <c r="R238" s="745">
        <f>'3.3.1.2'!R21</f>
        <v>0</v>
      </c>
      <c r="S238" s="746">
        <f>R238*E238</f>
        <v>0</v>
      </c>
      <c r="T238" s="194">
        <f>R238</f>
        <v>0</v>
      </c>
      <c r="U238" s="630">
        <f>S238</f>
        <v>0</v>
      </c>
      <c r="V238" s="194">
        <v>0</v>
      </c>
      <c r="W238" s="630">
        <v>0</v>
      </c>
    </row>
    <row r="239" spans="1:23">
      <c r="A239" s="138"/>
      <c r="B239" s="132"/>
      <c r="C239" s="123"/>
      <c r="D239" s="123"/>
      <c r="E239" s="123"/>
      <c r="F239" s="123"/>
      <c r="G239" s="123"/>
      <c r="H239" s="123"/>
      <c r="I239" s="123"/>
      <c r="J239" s="123"/>
      <c r="K239" s="123"/>
      <c r="L239" s="123"/>
      <c r="M239" s="123"/>
      <c r="N239" s="123"/>
      <c r="O239" s="623"/>
      <c r="P239" s="123"/>
      <c r="Q239" s="623"/>
      <c r="R239" s="791"/>
      <c r="S239" s="792"/>
      <c r="T239" s="123"/>
      <c r="U239" s="631"/>
      <c r="V239" s="123"/>
      <c r="W239" s="631"/>
    </row>
    <row r="240" spans="1:23" s="131" customFormat="1">
      <c r="A240" s="137" t="s">
        <v>405</v>
      </c>
      <c r="B240" s="133"/>
      <c r="C240" s="658" t="s">
        <v>124</v>
      </c>
      <c r="D240" s="126"/>
      <c r="E240" s="127"/>
      <c r="F240" s="128"/>
      <c r="G240" s="128"/>
      <c r="H240" s="128"/>
      <c r="I240" s="128"/>
      <c r="J240" s="129"/>
      <c r="K240" s="129">
        <f>SUBTOTAL(9,K241:K251)</f>
        <v>121328.59760000001</v>
      </c>
      <c r="L240" s="129"/>
      <c r="M240" s="129"/>
      <c r="N240" s="129"/>
      <c r="O240" s="624"/>
      <c r="P240" s="130"/>
      <c r="Q240" s="624">
        <f>SUBTOTAL(9,Q241:Q251)</f>
        <v>77942.05</v>
      </c>
      <c r="R240" s="743"/>
      <c r="S240" s="744">
        <f>SUBTOTAL(9,S241:S251)</f>
        <v>0</v>
      </c>
      <c r="T240" s="129"/>
      <c r="U240" s="624">
        <f>SUBTOTAL(9,U241:U251)</f>
        <v>77942.05</v>
      </c>
      <c r="V240" s="129">
        <f t="shared" si="271"/>
        <v>0</v>
      </c>
      <c r="W240" s="624">
        <f>SUBTOTAL(9,W241:W251)</f>
        <v>2916.6479999999988</v>
      </c>
    </row>
    <row r="241" spans="1:23" ht="25.5">
      <c r="A241" s="190" t="s">
        <v>406</v>
      </c>
      <c r="B241" s="191" t="s">
        <v>136</v>
      </c>
      <c r="C241" s="657" t="s">
        <v>141</v>
      </c>
      <c r="D241" s="192" t="s">
        <v>60</v>
      </c>
      <c r="E241" s="193">
        <v>462.96</v>
      </c>
      <c r="F241" s="194">
        <v>85</v>
      </c>
      <c r="G241" s="194"/>
      <c r="H241" s="194"/>
      <c r="I241" s="194"/>
      <c r="J241" s="193">
        <f t="shared" ref="J241" si="296">F241+H241-I241</f>
        <v>85</v>
      </c>
      <c r="K241" s="193">
        <f t="shared" ref="K241" si="297">J241*E241</f>
        <v>39351.599999999999</v>
      </c>
      <c r="L241" s="193"/>
      <c r="M241" s="193"/>
      <c r="N241" s="193"/>
      <c r="O241" s="622">
        <f t="shared" ref="O241" si="298">J241*E241</f>
        <v>39351.599999999999</v>
      </c>
      <c r="P241" s="194">
        <f>'3.3.2.1'!R34</f>
        <v>78.7</v>
      </c>
      <c r="Q241" s="622">
        <f t="shared" ref="Q241" si="299">TRUNC(P241*E241,2)</f>
        <v>36434.949999999997</v>
      </c>
      <c r="R241" s="745">
        <f>IFERROR(VLOOKUP(A241,'3.3.2.1'!A:U,18,FALSE),)</f>
        <v>0</v>
      </c>
      <c r="S241" s="746">
        <f t="shared" ref="S241" si="300">U241-Q241</f>
        <v>0</v>
      </c>
      <c r="T241" s="194">
        <f>R241+P241</f>
        <v>78.7</v>
      </c>
      <c r="U241" s="630">
        <f t="shared" ref="U241" si="301">TRUNC(T241*E241,2)</f>
        <v>36434.949999999997</v>
      </c>
      <c r="V241" s="194">
        <f t="shared" si="271"/>
        <v>6.2999999999999972</v>
      </c>
      <c r="W241" s="630">
        <f t="shared" ref="W241" si="302">V241*E241</f>
        <v>2916.6479999999988</v>
      </c>
    </row>
    <row r="242" spans="1:23">
      <c r="A242" s="190" t="s">
        <v>407</v>
      </c>
      <c r="B242" s="191" t="s">
        <v>137</v>
      </c>
      <c r="C242" s="657" t="s">
        <v>142</v>
      </c>
      <c r="D242" s="192" t="s">
        <v>49</v>
      </c>
      <c r="E242" s="193">
        <v>596.34</v>
      </c>
      <c r="F242" s="194">
        <v>35.71</v>
      </c>
      <c r="G242" s="194"/>
      <c r="H242" s="194"/>
      <c r="I242" s="194">
        <f>F242</f>
        <v>35.71</v>
      </c>
      <c r="J242" s="193">
        <f>F242+H242-I242</f>
        <v>0</v>
      </c>
      <c r="K242" s="193">
        <f>F242*E242</f>
        <v>21295.3014</v>
      </c>
      <c r="L242" s="193"/>
      <c r="M242" s="193"/>
      <c r="N242" s="193">
        <f>I242*E242</f>
        <v>21295.3014</v>
      </c>
      <c r="O242" s="622">
        <f>J242*E242</f>
        <v>0</v>
      </c>
      <c r="P242" s="194">
        <v>0</v>
      </c>
      <c r="Q242" s="622">
        <f>TRUNC(P242*E242,2)</f>
        <v>0</v>
      </c>
      <c r="R242" s="745">
        <f>IFERROR(VLOOKUP(A242,#REF!,18,FALSE),)</f>
        <v>0</v>
      </c>
      <c r="S242" s="746">
        <f>U242-Q242</f>
        <v>0</v>
      </c>
      <c r="T242" s="194">
        <f>R242+P242</f>
        <v>0</v>
      </c>
      <c r="U242" s="630">
        <f>TRUNC(T242*E242,2)</f>
        <v>0</v>
      </c>
      <c r="V242" s="194">
        <v>0</v>
      </c>
      <c r="W242" s="630">
        <f t="shared" ref="W242:W249" si="303">J242-U242</f>
        <v>0</v>
      </c>
    </row>
    <row r="243" spans="1:23" ht="25.5">
      <c r="A243" s="190" t="s">
        <v>408</v>
      </c>
      <c r="B243" s="191" t="s">
        <v>138</v>
      </c>
      <c r="C243" s="657" t="s">
        <v>143</v>
      </c>
      <c r="D243" s="192" t="s">
        <v>29</v>
      </c>
      <c r="E243" s="193">
        <v>4.82</v>
      </c>
      <c r="F243" s="194">
        <v>512</v>
      </c>
      <c r="G243" s="194"/>
      <c r="H243" s="194"/>
      <c r="I243" s="194">
        <f t="shared" ref="I243:I244" si="304">F243</f>
        <v>512</v>
      </c>
      <c r="J243" s="193">
        <f t="shared" ref="J243:J244" si="305">F243+H243-I243</f>
        <v>0</v>
      </c>
      <c r="K243" s="193">
        <f t="shared" ref="K243:K244" si="306">F243*E243</f>
        <v>2467.84</v>
      </c>
      <c r="L243" s="193"/>
      <c r="M243" s="193"/>
      <c r="N243" s="193">
        <f t="shared" ref="N243:N244" si="307">I243*E243</f>
        <v>2467.84</v>
      </c>
      <c r="O243" s="622"/>
      <c r="P243" s="194">
        <v>0</v>
      </c>
      <c r="Q243" s="622">
        <f t="shared" ref="Q243:Q249" si="308">TRUNC(P243*E243,2)</f>
        <v>0</v>
      </c>
      <c r="R243" s="745">
        <f>IFERROR(VLOOKUP(A243,#REF!,18,FALSE),)</f>
        <v>0</v>
      </c>
      <c r="S243" s="746">
        <f t="shared" ref="S243:S249" si="309">U243-Q243</f>
        <v>0</v>
      </c>
      <c r="T243" s="194">
        <f t="shared" ref="T243:T249" si="310">R243+P243</f>
        <v>0</v>
      </c>
      <c r="U243" s="630">
        <f t="shared" ref="U243:U249" si="311">TRUNC(T243*E243,2)</f>
        <v>0</v>
      </c>
      <c r="V243" s="194">
        <v>0</v>
      </c>
      <c r="W243" s="630">
        <f t="shared" si="303"/>
        <v>0</v>
      </c>
    </row>
    <row r="244" spans="1:23" ht="25.5">
      <c r="A244" s="190" t="s">
        <v>409</v>
      </c>
      <c r="B244" s="191" t="s">
        <v>139</v>
      </c>
      <c r="C244" s="657" t="s">
        <v>144</v>
      </c>
      <c r="D244" s="192" t="s">
        <v>29</v>
      </c>
      <c r="E244" s="193">
        <v>6.12</v>
      </c>
      <c r="F244" s="194">
        <v>4419.01</v>
      </c>
      <c r="G244" s="194"/>
      <c r="H244" s="194"/>
      <c r="I244" s="194">
        <f t="shared" si="304"/>
        <v>4419.01</v>
      </c>
      <c r="J244" s="193">
        <f t="shared" si="305"/>
        <v>0</v>
      </c>
      <c r="K244" s="193">
        <f t="shared" si="306"/>
        <v>27044.341200000003</v>
      </c>
      <c r="L244" s="193"/>
      <c r="M244" s="193"/>
      <c r="N244" s="193">
        <f t="shared" si="307"/>
        <v>27044.341200000003</v>
      </c>
      <c r="O244" s="622"/>
      <c r="P244" s="194">
        <v>0</v>
      </c>
      <c r="Q244" s="622">
        <f t="shared" si="308"/>
        <v>0</v>
      </c>
      <c r="R244" s="745">
        <f>IFERROR(VLOOKUP(A244,#REF!,18,FALSE),)</f>
        <v>0</v>
      </c>
      <c r="S244" s="746">
        <f t="shared" si="309"/>
        <v>0</v>
      </c>
      <c r="T244" s="194">
        <f t="shared" si="310"/>
        <v>0</v>
      </c>
      <c r="U244" s="630">
        <f t="shared" si="311"/>
        <v>0</v>
      </c>
      <c r="V244" s="194">
        <v>0</v>
      </c>
      <c r="W244" s="630">
        <f t="shared" si="303"/>
        <v>0</v>
      </c>
    </row>
    <row r="245" spans="1:23" ht="25.5">
      <c r="A245" s="190" t="s">
        <v>410</v>
      </c>
      <c r="B245" s="191">
        <v>30101</v>
      </c>
      <c r="C245" s="657" t="s">
        <v>145</v>
      </c>
      <c r="D245" s="192" t="s">
        <v>58</v>
      </c>
      <c r="E245" s="193">
        <v>48.58</v>
      </c>
      <c r="F245" s="194">
        <v>6.3</v>
      </c>
      <c r="G245" s="194"/>
      <c r="H245" s="194">
        <f>REPLANILHAMENTO!H207</f>
        <v>36.909999999999997</v>
      </c>
      <c r="I245" s="194">
        <v>0</v>
      </c>
      <c r="J245" s="193">
        <f>F245+H245-I245</f>
        <v>43.209999999999994</v>
      </c>
      <c r="K245" s="193">
        <f>F245*E245</f>
        <v>306.05399999999997</v>
      </c>
      <c r="L245" s="193">
        <f>H245*E245</f>
        <v>1793.0877999999998</v>
      </c>
      <c r="M245" s="193"/>
      <c r="N245" s="193"/>
      <c r="O245" s="622">
        <f>J245*E245</f>
        <v>2099.1417999999994</v>
      </c>
      <c r="P245" s="194">
        <f>'3.3.2.5'!R25</f>
        <v>43.21</v>
      </c>
      <c r="Q245" s="622">
        <f t="shared" si="308"/>
        <v>2099.14</v>
      </c>
      <c r="R245" s="745">
        <f>'3.3.2.5'!R26</f>
        <v>0</v>
      </c>
      <c r="S245" s="795">
        <f>R245*E245</f>
        <v>0</v>
      </c>
      <c r="T245" s="194">
        <f>R245+P245</f>
        <v>43.21</v>
      </c>
      <c r="U245" s="630">
        <f t="shared" si="311"/>
        <v>2099.14</v>
      </c>
      <c r="V245" s="194">
        <f>J245-T245</f>
        <v>0</v>
      </c>
      <c r="W245" s="630">
        <v>0</v>
      </c>
    </row>
    <row r="246" spans="1:23" ht="51">
      <c r="A246" s="190" t="s">
        <v>411</v>
      </c>
      <c r="B246" s="191">
        <v>40339</v>
      </c>
      <c r="C246" s="657" t="s">
        <v>146</v>
      </c>
      <c r="D246" s="192" t="s">
        <v>57</v>
      </c>
      <c r="E246" s="193">
        <v>91.04</v>
      </c>
      <c r="F246" s="194">
        <v>108</v>
      </c>
      <c r="G246" s="194"/>
      <c r="H246" s="194">
        <f>REPLANILHAMENTO!H208</f>
        <v>34.840000000000003</v>
      </c>
      <c r="I246" s="194">
        <v>0</v>
      </c>
      <c r="J246" s="193">
        <f t="shared" ref="J246:J248" si="312">F246+H246-I246</f>
        <v>142.84</v>
      </c>
      <c r="K246" s="193">
        <f t="shared" ref="K246:K248" si="313">F246*E246</f>
        <v>9832.3200000000015</v>
      </c>
      <c r="L246" s="193">
        <f t="shared" ref="L246:L248" si="314">H246*E246</f>
        <v>3171.8336000000004</v>
      </c>
      <c r="M246" s="193"/>
      <c r="N246" s="193"/>
      <c r="O246" s="622">
        <f t="shared" ref="O246:O247" si="315">J246*E246</f>
        <v>13004.153600000001</v>
      </c>
      <c r="P246" s="194">
        <f>'3.3.2.6'!R26</f>
        <v>142.84</v>
      </c>
      <c r="Q246" s="622">
        <f t="shared" si="308"/>
        <v>13004.15</v>
      </c>
      <c r="R246" s="745">
        <f>'3.3.2.6'!R27</f>
        <v>0</v>
      </c>
      <c r="S246" s="795">
        <f t="shared" ref="S246:S248" si="316">R246*E246</f>
        <v>0</v>
      </c>
      <c r="T246" s="194">
        <f>R246+P246</f>
        <v>142.84</v>
      </c>
      <c r="U246" s="630">
        <f t="shared" si="311"/>
        <v>13004.15</v>
      </c>
      <c r="V246" s="194">
        <f t="shared" ref="V246:V248" si="317">J246-T246</f>
        <v>0</v>
      </c>
      <c r="W246" s="630">
        <v>0</v>
      </c>
    </row>
    <row r="247" spans="1:23" ht="25.5">
      <c r="A247" s="190" t="s">
        <v>412</v>
      </c>
      <c r="B247" s="191">
        <v>40328</v>
      </c>
      <c r="C247" s="657" t="s">
        <v>147</v>
      </c>
      <c r="D247" s="192" t="s">
        <v>29</v>
      </c>
      <c r="E247" s="193">
        <v>7.98</v>
      </c>
      <c r="F247" s="194">
        <v>594</v>
      </c>
      <c r="G247" s="194"/>
      <c r="H247" s="194">
        <f>REPLANILHAMENTO!H209</f>
        <v>521</v>
      </c>
      <c r="I247" s="194">
        <v>0</v>
      </c>
      <c r="J247" s="193">
        <f t="shared" si="312"/>
        <v>1115</v>
      </c>
      <c r="K247" s="193">
        <f t="shared" si="313"/>
        <v>4740.12</v>
      </c>
      <c r="L247" s="193">
        <f t="shared" si="314"/>
        <v>4157.58</v>
      </c>
      <c r="M247" s="193"/>
      <c r="N247" s="193"/>
      <c r="O247" s="622">
        <f t="shared" si="315"/>
        <v>8897.7000000000007</v>
      </c>
      <c r="P247" s="194">
        <f>'3.3.2.7'!R26</f>
        <v>1115</v>
      </c>
      <c r="Q247" s="622">
        <f t="shared" si="308"/>
        <v>8897.7000000000007</v>
      </c>
      <c r="R247" s="745">
        <f>'3.3.2.7'!R27</f>
        <v>0</v>
      </c>
      <c r="S247" s="795">
        <f t="shared" si="316"/>
        <v>0</v>
      </c>
      <c r="T247" s="194">
        <f>R247+P247</f>
        <v>1115</v>
      </c>
      <c r="U247" s="630">
        <f t="shared" si="311"/>
        <v>8897.7000000000007</v>
      </c>
      <c r="V247" s="194">
        <f t="shared" si="317"/>
        <v>0</v>
      </c>
      <c r="W247" s="630">
        <v>0</v>
      </c>
    </row>
    <row r="248" spans="1:23" ht="25.5">
      <c r="A248" s="190" t="s">
        <v>413</v>
      </c>
      <c r="B248" s="191">
        <v>40245</v>
      </c>
      <c r="C248" s="657" t="s">
        <v>148</v>
      </c>
      <c r="D248" s="192" t="s">
        <v>29</v>
      </c>
      <c r="E248" s="193">
        <v>8.41</v>
      </c>
      <c r="F248" s="194">
        <v>40</v>
      </c>
      <c r="G248" s="194"/>
      <c r="H248" s="194">
        <f>REPLANILHAMENTO!H210</f>
        <v>26</v>
      </c>
      <c r="I248" s="194">
        <v>0</v>
      </c>
      <c r="J248" s="193">
        <f t="shared" si="312"/>
        <v>66</v>
      </c>
      <c r="K248" s="193">
        <f t="shared" si="313"/>
        <v>336.4</v>
      </c>
      <c r="L248" s="193">
        <f t="shared" si="314"/>
        <v>218.66</v>
      </c>
      <c r="M248" s="193"/>
      <c r="N248" s="193"/>
      <c r="O248" s="622">
        <f>J248*E248</f>
        <v>555.06000000000006</v>
      </c>
      <c r="P248" s="194">
        <f>'3.3.2.8'!R26</f>
        <v>66</v>
      </c>
      <c r="Q248" s="622">
        <f t="shared" si="308"/>
        <v>555.05999999999995</v>
      </c>
      <c r="R248" s="745">
        <f>'3.3.2.8'!R27</f>
        <v>0</v>
      </c>
      <c r="S248" s="795">
        <f t="shared" si="316"/>
        <v>0</v>
      </c>
      <c r="T248" s="194">
        <f>R248+P248</f>
        <v>66</v>
      </c>
      <c r="U248" s="630">
        <f t="shared" si="311"/>
        <v>555.05999999999995</v>
      </c>
      <c r="V248" s="194">
        <f t="shared" si="317"/>
        <v>0</v>
      </c>
      <c r="W248" s="630">
        <v>0</v>
      </c>
    </row>
    <row r="249" spans="1:23" ht="25.5">
      <c r="A249" s="190" t="s">
        <v>414</v>
      </c>
      <c r="B249" s="191">
        <v>40246</v>
      </c>
      <c r="C249" s="657" t="s">
        <v>149</v>
      </c>
      <c r="D249" s="192" t="s">
        <v>29</v>
      </c>
      <c r="E249" s="193">
        <v>8.08</v>
      </c>
      <c r="F249" s="194">
        <v>29</v>
      </c>
      <c r="G249" s="194"/>
      <c r="H249" s="194"/>
      <c r="I249" s="194">
        <f>F249</f>
        <v>29</v>
      </c>
      <c r="J249" s="193">
        <f>F249+H249-I249</f>
        <v>0</v>
      </c>
      <c r="K249" s="193">
        <f>F249*E249</f>
        <v>234.32</v>
      </c>
      <c r="L249" s="193"/>
      <c r="M249" s="193"/>
      <c r="N249" s="193">
        <f>I249*E249</f>
        <v>234.32</v>
      </c>
      <c r="O249" s="622">
        <f>J249*E249</f>
        <v>0</v>
      </c>
      <c r="P249" s="194">
        <v>0</v>
      </c>
      <c r="Q249" s="622">
        <f t="shared" si="308"/>
        <v>0</v>
      </c>
      <c r="R249" s="745">
        <f>IFERROR(VLOOKUP(A249,#REF!,18,FALSE),)</f>
        <v>0</v>
      </c>
      <c r="S249" s="746">
        <f t="shared" si="309"/>
        <v>0</v>
      </c>
      <c r="T249" s="194">
        <f t="shared" si="310"/>
        <v>0</v>
      </c>
      <c r="U249" s="630">
        <f t="shared" si="311"/>
        <v>0</v>
      </c>
      <c r="V249" s="194">
        <v>0</v>
      </c>
      <c r="W249" s="630">
        <f t="shared" si="303"/>
        <v>0</v>
      </c>
    </row>
    <row r="250" spans="1:23" ht="38.25">
      <c r="A250" s="190" t="s">
        <v>415</v>
      </c>
      <c r="B250" s="191" t="s">
        <v>140</v>
      </c>
      <c r="C250" s="657" t="s">
        <v>150</v>
      </c>
      <c r="D250" s="192" t="s">
        <v>58</v>
      </c>
      <c r="E250" s="193">
        <v>486.08</v>
      </c>
      <c r="F250" s="194">
        <v>14.5</v>
      </c>
      <c r="G250" s="194"/>
      <c r="H250" s="194">
        <f>REPLANILHAMENTO!H213</f>
        <v>2.5300000000000011</v>
      </c>
      <c r="I250" s="194">
        <v>0</v>
      </c>
      <c r="J250" s="193">
        <f t="shared" ref="J250:J251" si="318">F250+H250-I250</f>
        <v>17.03</v>
      </c>
      <c r="K250" s="193">
        <f t="shared" ref="K250" si="319">F250*E250</f>
        <v>7048.16</v>
      </c>
      <c r="L250" s="193">
        <f>H250*E250</f>
        <v>1229.7824000000005</v>
      </c>
      <c r="M250" s="193"/>
      <c r="N250" s="193"/>
      <c r="O250" s="622">
        <f>J250*E250</f>
        <v>8277.9423999999999</v>
      </c>
      <c r="P250" s="194">
        <f>'3.3.2.10'!R25</f>
        <v>17.032</v>
      </c>
      <c r="Q250" s="622">
        <f>TRUNC(P250*E250,2)</f>
        <v>8278.91</v>
      </c>
      <c r="R250" s="745">
        <f>'3.3.2.10'!R26</f>
        <v>0</v>
      </c>
      <c r="S250" s="795">
        <f>R250*E250</f>
        <v>0</v>
      </c>
      <c r="T250" s="194">
        <f>R250+P250</f>
        <v>17.032</v>
      </c>
      <c r="U250" s="630">
        <f>TRUNC(T250*E250,2)</f>
        <v>8278.91</v>
      </c>
      <c r="V250" s="194">
        <v>0</v>
      </c>
      <c r="W250" s="630">
        <v>0</v>
      </c>
    </row>
    <row r="251" spans="1:23">
      <c r="A251" s="190" t="s">
        <v>416</v>
      </c>
      <c r="B251" s="191">
        <v>40813</v>
      </c>
      <c r="C251" s="657" t="s">
        <v>151</v>
      </c>
      <c r="D251" s="192" t="s">
        <v>57</v>
      </c>
      <c r="E251" s="193">
        <v>64.3</v>
      </c>
      <c r="F251" s="194">
        <v>134.87</v>
      </c>
      <c r="G251" s="194"/>
      <c r="H251" s="194"/>
      <c r="I251" s="194"/>
      <c r="J251" s="193">
        <f t="shared" si="318"/>
        <v>134.87</v>
      </c>
      <c r="K251" s="193">
        <f t="shared" ref="K251" si="320">J251*E251</f>
        <v>8672.1409999999996</v>
      </c>
      <c r="L251" s="193"/>
      <c r="M251" s="193"/>
      <c r="N251" s="193"/>
      <c r="O251" s="622">
        <f t="shared" ref="O251" si="321">J251*E251</f>
        <v>8672.1409999999996</v>
      </c>
      <c r="P251" s="194">
        <v>134.87</v>
      </c>
      <c r="Q251" s="622">
        <f>TRUNC(P251*E251,2)</f>
        <v>8672.14</v>
      </c>
      <c r="R251" s="745">
        <v>0</v>
      </c>
      <c r="S251" s="746">
        <f>U251-Q251</f>
        <v>0</v>
      </c>
      <c r="T251" s="194">
        <f>R251+P251</f>
        <v>134.87</v>
      </c>
      <c r="U251" s="630">
        <f>TRUNC(T251*E251,2)</f>
        <v>8672.14</v>
      </c>
      <c r="V251" s="194">
        <f>J251-T251</f>
        <v>0</v>
      </c>
      <c r="W251" s="630">
        <f t="shared" ref="W251" si="322">V251*E251</f>
        <v>0</v>
      </c>
    </row>
    <row r="252" spans="1:23" ht="25.5">
      <c r="A252" s="190" t="s">
        <v>1169</v>
      </c>
      <c r="B252" s="191">
        <f>REPLANILHAMENTO!B202</f>
        <v>30206</v>
      </c>
      <c r="C252" s="657" t="str">
        <f>REPLANILHAMENTO!D202</f>
        <v>Aterro manual para regularização do terreno em areia, inclusive adensamento hidráulico e fornecimento do material (máximo de 100m3)</v>
      </c>
      <c r="D252" s="192" t="s">
        <v>58</v>
      </c>
      <c r="E252" s="193">
        <f>REPLANILHAMENTO!F202</f>
        <v>118.92</v>
      </c>
      <c r="F252" s="194">
        <v>0</v>
      </c>
      <c r="G252" s="194"/>
      <c r="H252" s="194">
        <v>40.24</v>
      </c>
      <c r="I252" s="194">
        <v>0</v>
      </c>
      <c r="J252" s="193">
        <f>F252+H252</f>
        <v>40.24</v>
      </c>
      <c r="K252" s="193">
        <f>F252*E252</f>
        <v>0</v>
      </c>
      <c r="L252" s="193">
        <f>H252*E252</f>
        <v>4785.3407999999999</v>
      </c>
      <c r="M252" s="193"/>
      <c r="N252" s="193"/>
      <c r="O252" s="622">
        <f>J252*E252</f>
        <v>4785.3407999999999</v>
      </c>
      <c r="P252" s="194">
        <f>'3.3.2.12'!R23</f>
        <v>40.243500000000004</v>
      </c>
      <c r="Q252" s="622">
        <f>TRUNC(P252*E252,2)</f>
        <v>4785.75</v>
      </c>
      <c r="R252" s="745">
        <f>'3.3.2.12'!R24</f>
        <v>0</v>
      </c>
      <c r="S252" s="795">
        <f>R252*E252</f>
        <v>0</v>
      </c>
      <c r="T252" s="194">
        <f>R252</f>
        <v>0</v>
      </c>
      <c r="U252" s="630">
        <f>S252</f>
        <v>0</v>
      </c>
      <c r="V252" s="194">
        <v>0</v>
      </c>
      <c r="W252" s="630">
        <v>0</v>
      </c>
    </row>
    <row r="253" spans="1:23" ht="25.5">
      <c r="A253" s="190" t="s">
        <v>1170</v>
      </c>
      <c r="B253" s="191">
        <v>130110</v>
      </c>
      <c r="C253" s="657" t="str">
        <f>REPLANILHAMENTO!D212</f>
        <v>Lastro regularizado de concreto não estrutural, espessura de 8 cm (máximo de 100m3)</v>
      </c>
      <c r="D253" s="192" t="s">
        <v>57</v>
      </c>
      <c r="E253" s="193">
        <f>REPLANILHAMENTO!F212</f>
        <v>51.84</v>
      </c>
      <c r="F253" s="194">
        <v>0</v>
      </c>
      <c r="G253" s="194"/>
      <c r="H253" s="194">
        <v>26.59</v>
      </c>
      <c r="I253" s="194">
        <v>0</v>
      </c>
      <c r="J253" s="193">
        <f>F253+H253</f>
        <v>26.59</v>
      </c>
      <c r="K253" s="193">
        <f>F253*E253</f>
        <v>0</v>
      </c>
      <c r="L253" s="193">
        <f>H253*E253</f>
        <v>1378.4256</v>
      </c>
      <c r="M253" s="193"/>
      <c r="N253" s="193"/>
      <c r="O253" s="622">
        <f>J253*E253</f>
        <v>1378.4256</v>
      </c>
      <c r="P253" s="194">
        <f>'3.3.2.13'!R23</f>
        <v>26.587500000000002</v>
      </c>
      <c r="Q253" s="622">
        <f>TRUNC(P253*E253,2)</f>
        <v>1378.29</v>
      </c>
      <c r="R253" s="745">
        <f>'3.3.2.13'!R24</f>
        <v>0</v>
      </c>
      <c r="S253" s="795">
        <f>R253*E253</f>
        <v>0</v>
      </c>
      <c r="T253" s="194">
        <f>R253</f>
        <v>0</v>
      </c>
      <c r="U253" s="630">
        <f>S253</f>
        <v>0</v>
      </c>
      <c r="V253" s="194">
        <v>0</v>
      </c>
      <c r="W253" s="630">
        <v>0</v>
      </c>
    </row>
    <row r="254" spans="1:23">
      <c r="A254" s="138"/>
      <c r="B254" s="132"/>
      <c r="C254" s="123"/>
      <c r="D254" s="123"/>
      <c r="E254" s="123"/>
      <c r="F254" s="123"/>
      <c r="G254" s="123"/>
      <c r="H254" s="123"/>
      <c r="I254" s="123"/>
      <c r="J254" s="123"/>
      <c r="K254" s="123"/>
      <c r="L254" s="123"/>
      <c r="M254" s="123"/>
      <c r="N254" s="123"/>
      <c r="O254" s="623"/>
      <c r="P254" s="123"/>
      <c r="Q254" s="623"/>
      <c r="R254" s="791"/>
      <c r="S254" s="792"/>
      <c r="T254" s="123"/>
      <c r="U254" s="631"/>
      <c r="V254" s="123"/>
      <c r="W254" s="631"/>
    </row>
    <row r="255" spans="1:23" s="131" customFormat="1">
      <c r="A255" s="137" t="s">
        <v>417</v>
      </c>
      <c r="B255" s="133"/>
      <c r="C255" s="658" t="s">
        <v>153</v>
      </c>
      <c r="D255" s="126"/>
      <c r="E255" s="127"/>
      <c r="F255" s="128"/>
      <c r="G255" s="128"/>
      <c r="H255" s="128"/>
      <c r="I255" s="128"/>
      <c r="J255" s="129"/>
      <c r="K255" s="129">
        <f>SUBTOTAL(9,K256)</f>
        <v>15164.919</v>
      </c>
      <c r="L255" s="129"/>
      <c r="M255" s="129"/>
      <c r="N255" s="129"/>
      <c r="O255" s="624"/>
      <c r="P255" s="130"/>
      <c r="Q255" s="624">
        <f>SUBTOTAL(9,Q256)</f>
        <v>15164.91</v>
      </c>
      <c r="R255" s="743"/>
      <c r="S255" s="744">
        <f>SUBTOTAL(9,S256)</f>
        <v>0</v>
      </c>
      <c r="T255" s="129"/>
      <c r="U255" s="624">
        <f>SUBTOTAL(9,U256)</f>
        <v>15164.91</v>
      </c>
      <c r="V255" s="129">
        <f t="shared" si="271"/>
        <v>0</v>
      </c>
      <c r="W255" s="624">
        <f>SUBTOTAL(9,W256)</f>
        <v>0</v>
      </c>
    </row>
    <row r="256" spans="1:23" ht="25.5">
      <c r="A256" s="190" t="s">
        <v>418</v>
      </c>
      <c r="B256" s="191" t="s">
        <v>155</v>
      </c>
      <c r="C256" s="657" t="s">
        <v>156</v>
      </c>
      <c r="D256" s="192" t="s">
        <v>50</v>
      </c>
      <c r="E256" s="193">
        <v>91.41</v>
      </c>
      <c r="F256" s="194">
        <v>165.9</v>
      </c>
      <c r="G256" s="194"/>
      <c r="H256" s="194"/>
      <c r="I256" s="194"/>
      <c r="J256" s="193">
        <f t="shared" ref="J256" si="323">F256+H256-I256</f>
        <v>165.9</v>
      </c>
      <c r="K256" s="193">
        <f t="shared" ref="K256" si="324">J256*E256</f>
        <v>15164.919</v>
      </c>
      <c r="L256" s="193"/>
      <c r="M256" s="193"/>
      <c r="N256" s="193"/>
      <c r="O256" s="622">
        <f t="shared" ref="O256" si="325">J256*E256</f>
        <v>15164.919</v>
      </c>
      <c r="P256" s="194">
        <f>J256</f>
        <v>165.9</v>
      </c>
      <c r="Q256" s="622">
        <f t="shared" ref="Q256" si="326">TRUNC(P256*E256,2)</f>
        <v>15164.91</v>
      </c>
      <c r="R256" s="745">
        <f>'3.3.3.1'!R25</f>
        <v>0</v>
      </c>
      <c r="S256" s="746">
        <f t="shared" ref="S256" si="327">U256-Q256</f>
        <v>0</v>
      </c>
      <c r="T256" s="194">
        <f t="shared" ref="T256" si="328">R256+P256</f>
        <v>165.9</v>
      </c>
      <c r="U256" s="630">
        <f t="shared" ref="U256" si="329">TRUNC(T256*E256,2)</f>
        <v>15164.91</v>
      </c>
      <c r="V256" s="194">
        <f t="shared" si="271"/>
        <v>0</v>
      </c>
      <c r="W256" s="630">
        <f t="shared" ref="W256" si="330">V256*E256</f>
        <v>0</v>
      </c>
    </row>
    <row r="257" spans="1:23">
      <c r="A257" s="138"/>
      <c r="B257" s="132"/>
      <c r="C257" s="123"/>
      <c r="D257" s="123"/>
      <c r="E257" s="123"/>
      <c r="F257" s="123"/>
      <c r="G257" s="123"/>
      <c r="H257" s="123"/>
      <c r="I257" s="123"/>
      <c r="J257" s="123"/>
      <c r="K257" s="123"/>
      <c r="L257" s="123"/>
      <c r="M257" s="123"/>
      <c r="N257" s="123"/>
      <c r="O257" s="623"/>
      <c r="P257" s="123"/>
      <c r="Q257" s="623"/>
      <c r="R257" s="791"/>
      <c r="S257" s="792"/>
      <c r="T257" s="123"/>
      <c r="U257" s="631"/>
      <c r="V257" s="123"/>
      <c r="W257" s="631"/>
    </row>
    <row r="258" spans="1:23" s="131" customFormat="1">
      <c r="A258" s="137" t="s">
        <v>419</v>
      </c>
      <c r="B258" s="133"/>
      <c r="C258" s="658" t="s">
        <v>158</v>
      </c>
      <c r="D258" s="126"/>
      <c r="E258" s="127"/>
      <c r="F258" s="128"/>
      <c r="G258" s="128"/>
      <c r="H258" s="128"/>
      <c r="I258" s="128"/>
      <c r="J258" s="129"/>
      <c r="K258" s="129">
        <f>SUBTOTAL(9,K259:K261)</f>
        <v>3771.0080999999996</v>
      </c>
      <c r="L258" s="129"/>
      <c r="M258" s="129"/>
      <c r="N258" s="129"/>
      <c r="O258" s="624"/>
      <c r="P258" s="130"/>
      <c r="Q258" s="624">
        <f>SUBTOTAL(9,Q259:Q261)</f>
        <v>3771.0000000000005</v>
      </c>
      <c r="R258" s="743"/>
      <c r="S258" s="744">
        <f>SUBTOTAL(9,S259:S261)</f>
        <v>0</v>
      </c>
      <c r="T258" s="129"/>
      <c r="U258" s="624">
        <f>SUBTOTAL(9,U259:U261)</f>
        <v>3771.0000000000005</v>
      </c>
      <c r="V258" s="129">
        <f t="shared" si="271"/>
        <v>0</v>
      </c>
      <c r="W258" s="624">
        <f>SUBTOTAL(9,W259:W261)</f>
        <v>0</v>
      </c>
    </row>
    <row r="259" spans="1:23" ht="25.5">
      <c r="A259" s="190" t="s">
        <v>420</v>
      </c>
      <c r="B259" s="191" t="s">
        <v>155</v>
      </c>
      <c r="C259" s="657" t="s">
        <v>156</v>
      </c>
      <c r="D259" s="192" t="s">
        <v>50</v>
      </c>
      <c r="E259" s="193">
        <v>91.41</v>
      </c>
      <c r="F259" s="194">
        <v>29.33</v>
      </c>
      <c r="G259" s="194"/>
      <c r="H259" s="194"/>
      <c r="I259" s="194"/>
      <c r="J259" s="193">
        <f t="shared" ref="J259:J261" si="331">F259+H259-I259</f>
        <v>29.33</v>
      </c>
      <c r="K259" s="193">
        <f t="shared" ref="K259:K261" si="332">J259*E259</f>
        <v>2681.0552999999995</v>
      </c>
      <c r="L259" s="193"/>
      <c r="M259" s="193"/>
      <c r="N259" s="193"/>
      <c r="O259" s="622">
        <f t="shared" ref="O259:O261" si="333">J259*E259</f>
        <v>2681.0552999999995</v>
      </c>
      <c r="P259" s="194">
        <f>'3.3.4.1'!R23</f>
        <v>29.33</v>
      </c>
      <c r="Q259" s="622">
        <f t="shared" ref="Q259" si="334">TRUNC(P259*E259,2)</f>
        <v>2681.05</v>
      </c>
      <c r="R259" s="745">
        <f>'3.3.4.1'!R24</f>
        <v>0</v>
      </c>
      <c r="S259" s="746">
        <f t="shared" ref="S259" si="335">U259-Q259</f>
        <v>0</v>
      </c>
      <c r="T259" s="194">
        <f t="shared" ref="T259" si="336">R259+P259</f>
        <v>29.33</v>
      </c>
      <c r="U259" s="630">
        <f t="shared" ref="U259" si="337">TRUNC(T259*E259,2)</f>
        <v>2681.05</v>
      </c>
      <c r="V259" s="194">
        <f t="shared" si="271"/>
        <v>0</v>
      </c>
      <c r="W259" s="630">
        <f t="shared" ref="W259:W261" si="338">V259*E259</f>
        <v>0</v>
      </c>
    </row>
    <row r="260" spans="1:23">
      <c r="A260" s="190" t="s">
        <v>421</v>
      </c>
      <c r="B260" s="191">
        <v>200323</v>
      </c>
      <c r="C260" s="657" t="s">
        <v>162</v>
      </c>
      <c r="D260" s="192" t="s">
        <v>58</v>
      </c>
      <c r="E260" s="193">
        <v>125.94</v>
      </c>
      <c r="F260" s="194">
        <v>6.62</v>
      </c>
      <c r="G260" s="194"/>
      <c r="H260" s="194"/>
      <c r="I260" s="194"/>
      <c r="J260" s="193">
        <f t="shared" si="331"/>
        <v>6.62</v>
      </c>
      <c r="K260" s="193">
        <f t="shared" si="332"/>
        <v>833.72280000000001</v>
      </c>
      <c r="L260" s="193"/>
      <c r="M260" s="193"/>
      <c r="N260" s="193"/>
      <c r="O260" s="622">
        <f t="shared" si="333"/>
        <v>833.72280000000001</v>
      </c>
      <c r="P260" s="194">
        <f>'3.3.4.2'!R23</f>
        <v>6.62</v>
      </c>
      <c r="Q260" s="622">
        <f>TRUNC(P260*E260,2)</f>
        <v>833.72</v>
      </c>
      <c r="R260" s="745">
        <f>'3.3.4.2'!R24</f>
        <v>0</v>
      </c>
      <c r="S260" s="746">
        <f>U260-Q260</f>
        <v>0</v>
      </c>
      <c r="T260" s="194">
        <f>R260+P260</f>
        <v>6.62</v>
      </c>
      <c r="U260" s="630">
        <f>TRUNC(T260*E260,2)</f>
        <v>833.72</v>
      </c>
      <c r="V260" s="194">
        <f t="shared" si="271"/>
        <v>0</v>
      </c>
      <c r="W260" s="630">
        <f t="shared" si="338"/>
        <v>0</v>
      </c>
    </row>
    <row r="261" spans="1:23" ht="38.25">
      <c r="A261" s="190" t="s">
        <v>422</v>
      </c>
      <c r="B261" s="191">
        <v>50501</v>
      </c>
      <c r="C261" s="657" t="s">
        <v>916</v>
      </c>
      <c r="D261" s="192" t="s">
        <v>57</v>
      </c>
      <c r="E261" s="193">
        <v>94.9</v>
      </c>
      <c r="F261" s="194">
        <v>2.7</v>
      </c>
      <c r="G261" s="194"/>
      <c r="H261" s="194"/>
      <c r="I261" s="194"/>
      <c r="J261" s="193">
        <f t="shared" si="331"/>
        <v>2.7</v>
      </c>
      <c r="K261" s="193">
        <f t="shared" si="332"/>
        <v>256.23</v>
      </c>
      <c r="L261" s="193"/>
      <c r="M261" s="193"/>
      <c r="N261" s="193"/>
      <c r="O261" s="622">
        <f t="shared" si="333"/>
        <v>256.23</v>
      </c>
      <c r="P261" s="194">
        <f>'3.3.4.3'!R23</f>
        <v>2.7</v>
      </c>
      <c r="Q261" s="622">
        <f t="shared" ref="Q261" si="339">TRUNC(P261*E261,2)</f>
        <v>256.23</v>
      </c>
      <c r="R261" s="745">
        <f>'3.3.4.3'!R24</f>
        <v>0</v>
      </c>
      <c r="S261" s="746">
        <f t="shared" ref="S261" si="340">U261-Q261</f>
        <v>0</v>
      </c>
      <c r="T261" s="194">
        <f t="shared" ref="T261" si="341">R261+P261</f>
        <v>2.7</v>
      </c>
      <c r="U261" s="630">
        <f t="shared" ref="U261" si="342">TRUNC(T261*E261,2)</f>
        <v>256.23</v>
      </c>
      <c r="V261" s="194">
        <f t="shared" si="271"/>
        <v>0</v>
      </c>
      <c r="W261" s="630">
        <f t="shared" si="338"/>
        <v>0</v>
      </c>
    </row>
    <row r="262" spans="1:23">
      <c r="A262" s="138"/>
      <c r="B262" s="132"/>
      <c r="C262" s="123"/>
      <c r="D262" s="123"/>
      <c r="E262" s="123"/>
      <c r="F262" s="123"/>
      <c r="G262" s="123"/>
      <c r="H262" s="123"/>
      <c r="I262" s="123"/>
      <c r="J262" s="123"/>
      <c r="K262" s="123"/>
      <c r="L262" s="123"/>
      <c r="M262" s="123"/>
      <c r="N262" s="123"/>
      <c r="O262" s="623"/>
      <c r="P262" s="123"/>
      <c r="Q262" s="623"/>
      <c r="R262" s="791"/>
      <c r="S262" s="792"/>
      <c r="T262" s="123"/>
      <c r="U262" s="631"/>
      <c r="V262" s="123"/>
      <c r="W262" s="631"/>
    </row>
    <row r="263" spans="1:23" s="131" customFormat="1">
      <c r="A263" s="137" t="s">
        <v>423</v>
      </c>
      <c r="B263" s="133"/>
      <c r="C263" s="658" t="s">
        <v>164</v>
      </c>
      <c r="D263" s="126"/>
      <c r="E263" s="127"/>
      <c r="F263" s="128"/>
      <c r="G263" s="128"/>
      <c r="H263" s="128"/>
      <c r="I263" s="128"/>
      <c r="J263" s="129"/>
      <c r="K263" s="129">
        <f>SUBTOTAL(9,K264:K268)</f>
        <v>9601.4940000000006</v>
      </c>
      <c r="L263" s="129"/>
      <c r="M263" s="129"/>
      <c r="N263" s="129"/>
      <c r="O263" s="624"/>
      <c r="P263" s="130"/>
      <c r="Q263" s="624">
        <f>SUBTOTAL(9,Q264:Q268)</f>
        <v>9601.49</v>
      </c>
      <c r="R263" s="743"/>
      <c r="S263" s="744">
        <f>SUBTOTAL(9,S264:S268)</f>
        <v>0</v>
      </c>
      <c r="T263" s="129"/>
      <c r="U263" s="624">
        <f>SUBTOTAL(9,U264:U268)</f>
        <v>9601.49</v>
      </c>
      <c r="V263" s="129">
        <f t="shared" si="271"/>
        <v>0</v>
      </c>
      <c r="W263" s="624">
        <f>SUBTOTAL(9,W264:W268)</f>
        <v>0</v>
      </c>
    </row>
    <row r="264" spans="1:23" ht="51">
      <c r="A264" s="190" t="s">
        <v>424</v>
      </c>
      <c r="B264" s="191">
        <v>40339</v>
      </c>
      <c r="C264" s="657" t="s">
        <v>184</v>
      </c>
      <c r="D264" s="192" t="s">
        <v>57</v>
      </c>
      <c r="E264" s="193">
        <v>91.04</v>
      </c>
      <c r="F264" s="194">
        <v>51</v>
      </c>
      <c r="G264" s="194"/>
      <c r="H264" s="194"/>
      <c r="I264" s="194"/>
      <c r="J264" s="193">
        <f t="shared" ref="J264:J268" si="343">F264+H264-I264</f>
        <v>51</v>
      </c>
      <c r="K264" s="193">
        <f t="shared" ref="K264:K268" si="344">J264*E264</f>
        <v>4643.04</v>
      </c>
      <c r="L264" s="193"/>
      <c r="M264" s="193"/>
      <c r="N264" s="193"/>
      <c r="O264" s="622">
        <f t="shared" ref="O264:O268" si="345">J264*E264</f>
        <v>4643.04</v>
      </c>
      <c r="P264" s="194">
        <v>51</v>
      </c>
      <c r="Q264" s="622">
        <f t="shared" ref="Q264" si="346">TRUNC(P264*E264,2)</f>
        <v>4643.04</v>
      </c>
      <c r="R264" s="745">
        <v>0</v>
      </c>
      <c r="S264" s="746">
        <f t="shared" ref="S264" si="347">U264-Q264</f>
        <v>0</v>
      </c>
      <c r="T264" s="194">
        <f t="shared" ref="T264" si="348">R264+P264</f>
        <v>51</v>
      </c>
      <c r="U264" s="630">
        <f t="shared" ref="U264" si="349">TRUNC(T264*E264,2)</f>
        <v>4643.04</v>
      </c>
      <c r="V264" s="194">
        <f t="shared" si="271"/>
        <v>0</v>
      </c>
      <c r="W264" s="630">
        <f t="shared" ref="W264:W268" si="350">V264*E264</f>
        <v>0</v>
      </c>
    </row>
    <row r="265" spans="1:23" ht="25.5">
      <c r="A265" s="190" t="s">
        <v>425</v>
      </c>
      <c r="B265" s="191">
        <v>40328</v>
      </c>
      <c r="C265" s="657" t="s">
        <v>147</v>
      </c>
      <c r="D265" s="192" t="s">
        <v>29</v>
      </c>
      <c r="E265" s="193">
        <v>7.98</v>
      </c>
      <c r="F265" s="194">
        <v>160</v>
      </c>
      <c r="G265" s="194"/>
      <c r="H265" s="194"/>
      <c r="I265" s="194"/>
      <c r="J265" s="193">
        <f t="shared" si="343"/>
        <v>160</v>
      </c>
      <c r="K265" s="193">
        <f t="shared" si="344"/>
        <v>1276.8000000000002</v>
      </c>
      <c r="L265" s="193"/>
      <c r="M265" s="193"/>
      <c r="N265" s="193"/>
      <c r="O265" s="622">
        <f t="shared" si="345"/>
        <v>1276.8000000000002</v>
      </c>
      <c r="P265" s="194">
        <v>160</v>
      </c>
      <c r="Q265" s="622">
        <f>TRUNC(P265*E265,2)</f>
        <v>1276.8</v>
      </c>
      <c r="R265" s="745">
        <v>0</v>
      </c>
      <c r="S265" s="746">
        <f>U265-Q265</f>
        <v>0</v>
      </c>
      <c r="T265" s="194">
        <f>R265+P265</f>
        <v>160</v>
      </c>
      <c r="U265" s="630">
        <f>TRUNC(T265*E265,2)</f>
        <v>1276.8</v>
      </c>
      <c r="V265" s="194">
        <f t="shared" si="271"/>
        <v>0</v>
      </c>
      <c r="W265" s="630">
        <f t="shared" si="350"/>
        <v>0</v>
      </c>
    </row>
    <row r="266" spans="1:23" ht="25.5">
      <c r="A266" s="190" t="s">
        <v>426</v>
      </c>
      <c r="B266" s="191">
        <v>40245</v>
      </c>
      <c r="C266" s="657" t="s">
        <v>148</v>
      </c>
      <c r="D266" s="192" t="s">
        <v>29</v>
      </c>
      <c r="E266" s="193">
        <v>8.41</v>
      </c>
      <c r="F266" s="194">
        <v>199</v>
      </c>
      <c r="G266" s="194"/>
      <c r="H266" s="194"/>
      <c r="I266" s="194"/>
      <c r="J266" s="193">
        <f t="shared" si="343"/>
        <v>199</v>
      </c>
      <c r="K266" s="193">
        <f t="shared" si="344"/>
        <v>1673.59</v>
      </c>
      <c r="L266" s="193"/>
      <c r="M266" s="193"/>
      <c r="N266" s="193"/>
      <c r="O266" s="622">
        <f t="shared" si="345"/>
        <v>1673.59</v>
      </c>
      <c r="P266" s="194">
        <v>199</v>
      </c>
      <c r="Q266" s="622">
        <f t="shared" ref="Q266:Q268" si="351">TRUNC(P266*E266,2)</f>
        <v>1673.59</v>
      </c>
      <c r="R266" s="745">
        <v>0</v>
      </c>
      <c r="S266" s="746">
        <f t="shared" ref="S266:S268" si="352">U266-Q266</f>
        <v>0</v>
      </c>
      <c r="T266" s="194">
        <f t="shared" ref="T266:T268" si="353">R266+P266</f>
        <v>199</v>
      </c>
      <c r="U266" s="630">
        <f t="shared" ref="U266:U268" si="354">TRUNC(T266*E266,2)</f>
        <v>1673.59</v>
      </c>
      <c r="V266" s="194">
        <f t="shared" si="271"/>
        <v>0</v>
      </c>
      <c r="W266" s="630">
        <f t="shared" si="350"/>
        <v>0</v>
      </c>
    </row>
    <row r="267" spans="1:23" ht="25.5">
      <c r="A267" s="190" t="s">
        <v>427</v>
      </c>
      <c r="B267" s="191">
        <v>40246</v>
      </c>
      <c r="C267" s="657" t="s">
        <v>149</v>
      </c>
      <c r="D267" s="192" t="s">
        <v>29</v>
      </c>
      <c r="E267" s="193">
        <v>8.08</v>
      </c>
      <c r="F267" s="194">
        <v>50</v>
      </c>
      <c r="G267" s="194"/>
      <c r="H267" s="194"/>
      <c r="I267" s="194"/>
      <c r="J267" s="193">
        <f t="shared" si="343"/>
        <v>50</v>
      </c>
      <c r="K267" s="193">
        <f t="shared" si="344"/>
        <v>404</v>
      </c>
      <c r="L267" s="193"/>
      <c r="M267" s="193"/>
      <c r="N267" s="193"/>
      <c r="O267" s="622">
        <f t="shared" si="345"/>
        <v>404</v>
      </c>
      <c r="P267" s="194">
        <v>50</v>
      </c>
      <c r="Q267" s="622">
        <f t="shared" si="351"/>
        <v>404</v>
      </c>
      <c r="R267" s="745">
        <v>0</v>
      </c>
      <c r="S267" s="746">
        <f t="shared" si="352"/>
        <v>0</v>
      </c>
      <c r="T267" s="194">
        <f t="shared" si="353"/>
        <v>50</v>
      </c>
      <c r="U267" s="630">
        <f t="shared" si="354"/>
        <v>404</v>
      </c>
      <c r="V267" s="194">
        <f t="shared" si="271"/>
        <v>0</v>
      </c>
      <c r="W267" s="630">
        <f t="shared" si="350"/>
        <v>0</v>
      </c>
    </row>
    <row r="268" spans="1:23" ht="38.25">
      <c r="A268" s="190" t="s">
        <v>428</v>
      </c>
      <c r="B268" s="191" t="s">
        <v>140</v>
      </c>
      <c r="C268" s="657" t="s">
        <v>150</v>
      </c>
      <c r="D268" s="192" t="s">
        <v>58</v>
      </c>
      <c r="E268" s="193">
        <v>486.08</v>
      </c>
      <c r="F268" s="194">
        <v>3.3</v>
      </c>
      <c r="G268" s="194"/>
      <c r="H268" s="194"/>
      <c r="I268" s="194"/>
      <c r="J268" s="193">
        <f t="shared" si="343"/>
        <v>3.3</v>
      </c>
      <c r="K268" s="193">
        <f t="shared" si="344"/>
        <v>1604.0639999999999</v>
      </c>
      <c r="L268" s="193"/>
      <c r="M268" s="193"/>
      <c r="N268" s="193"/>
      <c r="O268" s="622">
        <f t="shared" si="345"/>
        <v>1604.0639999999999</v>
      </c>
      <c r="P268" s="194">
        <v>3.3</v>
      </c>
      <c r="Q268" s="622">
        <f t="shared" si="351"/>
        <v>1604.06</v>
      </c>
      <c r="R268" s="745">
        <v>0</v>
      </c>
      <c r="S268" s="746">
        <f t="shared" si="352"/>
        <v>0</v>
      </c>
      <c r="T268" s="194">
        <f t="shared" si="353"/>
        <v>3.3</v>
      </c>
      <c r="U268" s="630">
        <f t="shared" si="354"/>
        <v>1604.06</v>
      </c>
      <c r="V268" s="194">
        <f t="shared" si="271"/>
        <v>0</v>
      </c>
      <c r="W268" s="630">
        <f t="shared" si="350"/>
        <v>0</v>
      </c>
    </row>
    <row r="269" spans="1:23">
      <c r="A269" s="138"/>
      <c r="B269" s="132"/>
      <c r="C269" s="123"/>
      <c r="D269" s="123"/>
      <c r="E269" s="123"/>
      <c r="F269" s="123"/>
      <c r="G269" s="123"/>
      <c r="H269" s="123"/>
      <c r="I269" s="123"/>
      <c r="J269" s="123"/>
      <c r="K269" s="123"/>
      <c r="L269" s="123"/>
      <c r="M269" s="123"/>
      <c r="N269" s="123"/>
      <c r="O269" s="623"/>
      <c r="P269" s="123"/>
      <c r="Q269" s="623"/>
      <c r="R269" s="791"/>
      <c r="S269" s="792"/>
      <c r="T269" s="123"/>
      <c r="U269" s="631"/>
      <c r="V269" s="123"/>
      <c r="W269" s="631"/>
    </row>
    <row r="270" spans="1:23" s="131" customFormat="1">
      <c r="A270" s="137" t="s">
        <v>429</v>
      </c>
      <c r="B270" s="133"/>
      <c r="C270" s="658" t="s">
        <v>171</v>
      </c>
      <c r="D270" s="126"/>
      <c r="E270" s="127"/>
      <c r="F270" s="128"/>
      <c r="G270" s="128"/>
      <c r="H270" s="128"/>
      <c r="I270" s="128"/>
      <c r="J270" s="129"/>
      <c r="K270" s="129">
        <f>SUBTOTAL(9,K271:K275)</f>
        <v>20580.705999999998</v>
      </c>
      <c r="L270" s="129"/>
      <c r="M270" s="129"/>
      <c r="N270" s="129"/>
      <c r="O270" s="624"/>
      <c r="P270" s="130"/>
      <c r="Q270" s="624">
        <f>SUBTOTAL(9,Q271:Q275)</f>
        <v>20580.7</v>
      </c>
      <c r="R270" s="743"/>
      <c r="S270" s="744">
        <f>SUBTOTAL(9,S271:S275)</f>
        <v>0</v>
      </c>
      <c r="T270" s="129"/>
      <c r="U270" s="624">
        <f>SUBTOTAL(9,U271:U275)</f>
        <v>20580.7</v>
      </c>
      <c r="V270" s="129">
        <f t="shared" si="271"/>
        <v>0</v>
      </c>
      <c r="W270" s="624">
        <f>SUBTOTAL(9,W271:W275)</f>
        <v>0</v>
      </c>
    </row>
    <row r="271" spans="1:23" ht="51">
      <c r="A271" s="190" t="s">
        <v>430</v>
      </c>
      <c r="B271" s="191">
        <v>40339</v>
      </c>
      <c r="C271" s="657" t="s">
        <v>184</v>
      </c>
      <c r="D271" s="192" t="s">
        <v>57</v>
      </c>
      <c r="E271" s="193">
        <v>91.04</v>
      </c>
      <c r="F271" s="194">
        <v>100</v>
      </c>
      <c r="G271" s="194"/>
      <c r="H271" s="194"/>
      <c r="I271" s="194"/>
      <c r="J271" s="193">
        <f t="shared" ref="J271:J275" si="355">F271+H271-I271</f>
        <v>100</v>
      </c>
      <c r="K271" s="193">
        <f t="shared" ref="K271:K275" si="356">J271*E271</f>
        <v>9104</v>
      </c>
      <c r="L271" s="193"/>
      <c r="M271" s="193"/>
      <c r="N271" s="193"/>
      <c r="O271" s="622">
        <f t="shared" ref="O271:O275" si="357">J271*E271</f>
        <v>9104</v>
      </c>
      <c r="P271" s="194">
        <v>100</v>
      </c>
      <c r="Q271" s="622">
        <f t="shared" ref="Q271" si="358">TRUNC(P271*E271,2)</f>
        <v>9104</v>
      </c>
      <c r="R271" s="745">
        <v>0</v>
      </c>
      <c r="S271" s="746">
        <f t="shared" ref="S271" si="359">U271-Q271</f>
        <v>0</v>
      </c>
      <c r="T271" s="194">
        <f t="shared" ref="T271" si="360">R271+P271</f>
        <v>100</v>
      </c>
      <c r="U271" s="630">
        <f t="shared" ref="U271" si="361">TRUNC(T271*E271,2)</f>
        <v>9104</v>
      </c>
      <c r="V271" s="194">
        <f t="shared" si="271"/>
        <v>0</v>
      </c>
      <c r="W271" s="630">
        <f t="shared" ref="W271:W275" si="362">V271*E271</f>
        <v>0</v>
      </c>
    </row>
    <row r="272" spans="1:23" ht="25.5">
      <c r="A272" s="190" t="s">
        <v>431</v>
      </c>
      <c r="B272" s="191">
        <v>40328</v>
      </c>
      <c r="C272" s="657" t="s">
        <v>147</v>
      </c>
      <c r="D272" s="192" t="s">
        <v>29</v>
      </c>
      <c r="E272" s="193">
        <v>7.98</v>
      </c>
      <c r="F272" s="194">
        <v>481</v>
      </c>
      <c r="G272" s="194"/>
      <c r="H272" s="194"/>
      <c r="I272" s="194"/>
      <c r="J272" s="193">
        <f t="shared" si="355"/>
        <v>481</v>
      </c>
      <c r="K272" s="193">
        <f t="shared" si="356"/>
        <v>3838.38</v>
      </c>
      <c r="L272" s="193"/>
      <c r="M272" s="193"/>
      <c r="N272" s="193"/>
      <c r="O272" s="622">
        <f t="shared" si="357"/>
        <v>3838.38</v>
      </c>
      <c r="P272" s="194">
        <v>481</v>
      </c>
      <c r="Q272" s="622">
        <f>TRUNC(P272*E272,2)</f>
        <v>3838.38</v>
      </c>
      <c r="R272" s="745">
        <v>0</v>
      </c>
      <c r="S272" s="746">
        <f>U272-Q272</f>
        <v>0</v>
      </c>
      <c r="T272" s="194">
        <f>R272+P272</f>
        <v>481</v>
      </c>
      <c r="U272" s="630">
        <f>TRUNC(T272*E272,2)</f>
        <v>3838.38</v>
      </c>
      <c r="V272" s="194">
        <f t="shared" si="271"/>
        <v>0</v>
      </c>
      <c r="W272" s="630">
        <f t="shared" si="362"/>
        <v>0</v>
      </c>
    </row>
    <row r="273" spans="1:23" ht="25.5">
      <c r="A273" s="190" t="s">
        <v>432</v>
      </c>
      <c r="B273" s="191">
        <v>40245</v>
      </c>
      <c r="C273" s="657" t="s">
        <v>148</v>
      </c>
      <c r="D273" s="192" t="s">
        <v>29</v>
      </c>
      <c r="E273" s="193">
        <v>8.41</v>
      </c>
      <c r="F273" s="194">
        <v>287</v>
      </c>
      <c r="G273" s="194"/>
      <c r="H273" s="194"/>
      <c r="I273" s="194"/>
      <c r="J273" s="193">
        <f t="shared" si="355"/>
        <v>287</v>
      </c>
      <c r="K273" s="193">
        <f t="shared" si="356"/>
        <v>2413.67</v>
      </c>
      <c r="L273" s="193"/>
      <c r="M273" s="193"/>
      <c r="N273" s="193"/>
      <c r="O273" s="622">
        <f t="shared" si="357"/>
        <v>2413.67</v>
      </c>
      <c r="P273" s="194">
        <v>287</v>
      </c>
      <c r="Q273" s="622">
        <f t="shared" ref="Q273:Q275" si="363">TRUNC(P273*E273,2)</f>
        <v>2413.67</v>
      </c>
      <c r="R273" s="745">
        <v>0</v>
      </c>
      <c r="S273" s="746">
        <f t="shared" ref="S273:S275" si="364">U273-Q273</f>
        <v>0</v>
      </c>
      <c r="T273" s="194">
        <f t="shared" ref="T273:T275" si="365">R273+P273</f>
        <v>287</v>
      </c>
      <c r="U273" s="630">
        <f t="shared" ref="U273:U275" si="366">TRUNC(T273*E273,2)</f>
        <v>2413.67</v>
      </c>
      <c r="V273" s="194">
        <f t="shared" si="271"/>
        <v>0</v>
      </c>
      <c r="W273" s="630">
        <f t="shared" si="362"/>
        <v>0</v>
      </c>
    </row>
    <row r="274" spans="1:23" ht="25.5">
      <c r="A274" s="190" t="s">
        <v>433</v>
      </c>
      <c r="B274" s="191">
        <v>40246</v>
      </c>
      <c r="C274" s="657" t="s">
        <v>149</v>
      </c>
      <c r="D274" s="192" t="s">
        <v>29</v>
      </c>
      <c r="E274" s="193">
        <v>8.08</v>
      </c>
      <c r="F274" s="194">
        <v>33</v>
      </c>
      <c r="G274" s="194"/>
      <c r="H274" s="194"/>
      <c r="I274" s="194"/>
      <c r="J274" s="193">
        <f t="shared" si="355"/>
        <v>33</v>
      </c>
      <c r="K274" s="193">
        <f t="shared" si="356"/>
        <v>266.64</v>
      </c>
      <c r="L274" s="193"/>
      <c r="M274" s="193"/>
      <c r="N274" s="193"/>
      <c r="O274" s="622">
        <f t="shared" si="357"/>
        <v>266.64</v>
      </c>
      <c r="P274" s="194">
        <v>33</v>
      </c>
      <c r="Q274" s="622">
        <f t="shared" si="363"/>
        <v>266.64</v>
      </c>
      <c r="R274" s="745">
        <v>0</v>
      </c>
      <c r="S274" s="746">
        <f t="shared" si="364"/>
        <v>0</v>
      </c>
      <c r="T274" s="194">
        <f t="shared" si="365"/>
        <v>33</v>
      </c>
      <c r="U274" s="630">
        <f t="shared" si="366"/>
        <v>266.64</v>
      </c>
      <c r="V274" s="194">
        <f t="shared" si="271"/>
        <v>0</v>
      </c>
      <c r="W274" s="630">
        <f t="shared" si="362"/>
        <v>0</v>
      </c>
    </row>
    <row r="275" spans="1:23" ht="51">
      <c r="A275" s="190" t="s">
        <v>434</v>
      </c>
      <c r="B275" s="191" t="s">
        <v>140</v>
      </c>
      <c r="C275" s="657" t="s">
        <v>177</v>
      </c>
      <c r="D275" s="192" t="s">
        <v>58</v>
      </c>
      <c r="E275" s="193">
        <v>486.08</v>
      </c>
      <c r="F275" s="194">
        <v>10.199999999999999</v>
      </c>
      <c r="G275" s="194"/>
      <c r="H275" s="194"/>
      <c r="I275" s="194"/>
      <c r="J275" s="193">
        <f t="shared" si="355"/>
        <v>10.199999999999999</v>
      </c>
      <c r="K275" s="193">
        <f t="shared" si="356"/>
        <v>4958.0159999999996</v>
      </c>
      <c r="L275" s="193"/>
      <c r="M275" s="193"/>
      <c r="N275" s="193"/>
      <c r="O275" s="622">
        <f t="shared" si="357"/>
        <v>4958.0159999999996</v>
      </c>
      <c r="P275" s="194">
        <f>'3,3.6.5'!R27</f>
        <v>10.199999999999999</v>
      </c>
      <c r="Q275" s="622">
        <f t="shared" si="363"/>
        <v>4958.01</v>
      </c>
      <c r="R275" s="745">
        <f>'3,3.6.5'!R28</f>
        <v>0</v>
      </c>
      <c r="S275" s="746">
        <f t="shared" si="364"/>
        <v>0</v>
      </c>
      <c r="T275" s="194">
        <f t="shared" si="365"/>
        <v>10.199999999999999</v>
      </c>
      <c r="U275" s="630">
        <f t="shared" si="366"/>
        <v>4958.01</v>
      </c>
      <c r="V275" s="194">
        <f t="shared" si="271"/>
        <v>0</v>
      </c>
      <c r="W275" s="630">
        <f t="shared" si="362"/>
        <v>0</v>
      </c>
    </row>
    <row r="276" spans="1:23">
      <c r="A276" s="138"/>
      <c r="B276" s="132"/>
      <c r="C276" s="123"/>
      <c r="D276" s="123"/>
      <c r="E276" s="123"/>
      <c r="F276" s="123"/>
      <c r="G276" s="123"/>
      <c r="H276" s="123"/>
      <c r="I276" s="123"/>
      <c r="J276" s="123"/>
      <c r="K276" s="123"/>
      <c r="L276" s="123"/>
      <c r="M276" s="123"/>
      <c r="N276" s="123"/>
      <c r="O276" s="623"/>
      <c r="P276" s="123"/>
      <c r="Q276" s="623"/>
      <c r="R276" s="791"/>
      <c r="S276" s="792"/>
      <c r="T276" s="123"/>
      <c r="U276" s="631"/>
      <c r="V276" s="123"/>
      <c r="W276" s="631"/>
    </row>
    <row r="277" spans="1:23" s="131" customFormat="1">
      <c r="A277" s="137" t="s">
        <v>435</v>
      </c>
      <c r="B277" s="133"/>
      <c r="C277" s="658" t="s">
        <v>179</v>
      </c>
      <c r="D277" s="126"/>
      <c r="E277" s="127"/>
      <c r="F277" s="128"/>
      <c r="G277" s="128"/>
      <c r="H277" s="128"/>
      <c r="I277" s="128"/>
      <c r="J277" s="129"/>
      <c r="K277" s="129">
        <f>SUBTOTAL(9,K278:K281)</f>
        <v>23928.707199999997</v>
      </c>
      <c r="L277" s="129"/>
      <c r="M277" s="129"/>
      <c r="N277" s="129"/>
      <c r="O277" s="624"/>
      <c r="P277" s="130"/>
      <c r="Q277" s="624">
        <f>SUBTOTAL(9,Q278:Q281)</f>
        <v>23928.7</v>
      </c>
      <c r="R277" s="743"/>
      <c r="S277" s="744">
        <f>SUBTOTAL(9,S278:S281)</f>
        <v>0</v>
      </c>
      <c r="T277" s="129"/>
      <c r="U277" s="624">
        <f>SUBTOTAL(9,U278:U281)</f>
        <v>23928.7</v>
      </c>
      <c r="V277" s="129">
        <f t="shared" si="271"/>
        <v>0</v>
      </c>
      <c r="W277" s="624">
        <f>SUBTOTAL(9,W278:W281)</f>
        <v>0</v>
      </c>
    </row>
    <row r="278" spans="1:23" ht="51">
      <c r="A278" s="190" t="s">
        <v>436</v>
      </c>
      <c r="B278" s="191">
        <v>40339</v>
      </c>
      <c r="C278" s="657" t="s">
        <v>184</v>
      </c>
      <c r="D278" s="192" t="s">
        <v>57</v>
      </c>
      <c r="E278" s="193">
        <v>91.04</v>
      </c>
      <c r="F278" s="194">
        <v>33</v>
      </c>
      <c r="G278" s="194"/>
      <c r="H278" s="194"/>
      <c r="I278" s="194"/>
      <c r="J278" s="193">
        <f t="shared" ref="J278:J281" si="367">F278+H278-I278</f>
        <v>33</v>
      </c>
      <c r="K278" s="193">
        <f t="shared" ref="K278:K281" si="368">J278*E278</f>
        <v>3004.32</v>
      </c>
      <c r="L278" s="193"/>
      <c r="M278" s="193"/>
      <c r="N278" s="193"/>
      <c r="O278" s="622">
        <f t="shared" ref="O278:O281" si="369">J278*E278</f>
        <v>3004.32</v>
      </c>
      <c r="P278" s="194">
        <f>'3.3.7.1'!R26</f>
        <v>33</v>
      </c>
      <c r="Q278" s="622">
        <f t="shared" ref="Q278" si="370">TRUNC(P278*E278,2)</f>
        <v>3004.32</v>
      </c>
      <c r="R278" s="745">
        <f>'3.3.7.1'!R27</f>
        <v>0</v>
      </c>
      <c r="S278" s="746">
        <f t="shared" ref="S278" si="371">U278-Q278</f>
        <v>0</v>
      </c>
      <c r="T278" s="194">
        <f t="shared" ref="T278" si="372">R278+P278</f>
        <v>33</v>
      </c>
      <c r="U278" s="630">
        <f t="shared" ref="U278" si="373">TRUNC(T278*E278,2)</f>
        <v>3004.32</v>
      </c>
      <c r="V278" s="194">
        <f t="shared" si="271"/>
        <v>0</v>
      </c>
      <c r="W278" s="630">
        <f t="shared" ref="W278:W281" si="374">V278*E278</f>
        <v>0</v>
      </c>
    </row>
    <row r="279" spans="1:23" ht="25.5">
      <c r="A279" s="190" t="s">
        <v>437</v>
      </c>
      <c r="B279" s="191">
        <v>40328</v>
      </c>
      <c r="C279" s="657" t="s">
        <v>147</v>
      </c>
      <c r="D279" s="192" t="s">
        <v>29</v>
      </c>
      <c r="E279" s="193">
        <v>7.98</v>
      </c>
      <c r="F279" s="194">
        <v>344</v>
      </c>
      <c r="G279" s="194"/>
      <c r="H279" s="194"/>
      <c r="I279" s="194"/>
      <c r="J279" s="193">
        <f t="shared" si="367"/>
        <v>344</v>
      </c>
      <c r="K279" s="193">
        <f t="shared" si="368"/>
        <v>2745.1200000000003</v>
      </c>
      <c r="L279" s="193"/>
      <c r="M279" s="193"/>
      <c r="N279" s="193"/>
      <c r="O279" s="622">
        <f t="shared" si="369"/>
        <v>2745.1200000000003</v>
      </c>
      <c r="P279" s="194">
        <v>344</v>
      </c>
      <c r="Q279" s="622">
        <f>TRUNC(P279*E279,2)</f>
        <v>2745.12</v>
      </c>
      <c r="R279" s="745">
        <v>0</v>
      </c>
      <c r="S279" s="746">
        <f>U279-Q279</f>
        <v>0</v>
      </c>
      <c r="T279" s="194">
        <f>R279+P279</f>
        <v>344</v>
      </c>
      <c r="U279" s="630">
        <f>TRUNC(T279*E279,2)</f>
        <v>2745.12</v>
      </c>
      <c r="V279" s="194">
        <f t="shared" si="271"/>
        <v>0</v>
      </c>
      <c r="W279" s="630">
        <f t="shared" si="374"/>
        <v>0</v>
      </c>
    </row>
    <row r="280" spans="1:23" ht="52.5" customHeight="1">
      <c r="A280" s="190" t="s">
        <v>438</v>
      </c>
      <c r="B280" s="191" t="s">
        <v>140</v>
      </c>
      <c r="C280" s="657" t="s">
        <v>177</v>
      </c>
      <c r="D280" s="192" t="s">
        <v>58</v>
      </c>
      <c r="E280" s="193">
        <v>486.08</v>
      </c>
      <c r="F280" s="194">
        <v>7.34</v>
      </c>
      <c r="G280" s="194"/>
      <c r="H280" s="194"/>
      <c r="I280" s="194"/>
      <c r="J280" s="193">
        <f t="shared" si="367"/>
        <v>7.34</v>
      </c>
      <c r="K280" s="193">
        <f t="shared" si="368"/>
        <v>3567.8271999999997</v>
      </c>
      <c r="L280" s="193"/>
      <c r="M280" s="193"/>
      <c r="N280" s="193"/>
      <c r="O280" s="622">
        <f t="shared" si="369"/>
        <v>3567.8271999999997</v>
      </c>
      <c r="P280" s="194">
        <f>'3.3.7.3'!R26</f>
        <v>7.34</v>
      </c>
      <c r="Q280" s="622">
        <f t="shared" ref="Q280:Q281" si="375">TRUNC(P280*E280,2)</f>
        <v>3567.82</v>
      </c>
      <c r="R280" s="745">
        <f>'3.3.7.3'!R27</f>
        <v>0</v>
      </c>
      <c r="S280" s="746">
        <f t="shared" ref="S280:S281" si="376">U280-Q280</f>
        <v>0</v>
      </c>
      <c r="T280" s="194">
        <f t="shared" ref="T280:T281" si="377">R280+P280</f>
        <v>7.34</v>
      </c>
      <c r="U280" s="630">
        <f t="shared" ref="U280:U281" si="378">TRUNC(T280*E280,2)</f>
        <v>3567.82</v>
      </c>
      <c r="V280" s="194">
        <f t="shared" si="271"/>
        <v>0</v>
      </c>
      <c r="W280" s="630">
        <f t="shared" si="374"/>
        <v>0</v>
      </c>
    </row>
    <row r="281" spans="1:23" ht="25.5">
      <c r="A281" s="190" t="s">
        <v>439</v>
      </c>
      <c r="B281" s="191">
        <v>40602</v>
      </c>
      <c r="C281" s="657" t="s">
        <v>185</v>
      </c>
      <c r="D281" s="192" t="s">
        <v>57</v>
      </c>
      <c r="E281" s="193">
        <v>79.41</v>
      </c>
      <c r="F281" s="194">
        <v>184</v>
      </c>
      <c r="G281" s="194"/>
      <c r="H281" s="194"/>
      <c r="I281" s="194"/>
      <c r="J281" s="193">
        <f t="shared" si="367"/>
        <v>184</v>
      </c>
      <c r="K281" s="193">
        <f t="shared" si="368"/>
        <v>14611.439999999999</v>
      </c>
      <c r="L281" s="193"/>
      <c r="M281" s="193"/>
      <c r="N281" s="193"/>
      <c r="O281" s="622">
        <f t="shared" si="369"/>
        <v>14611.439999999999</v>
      </c>
      <c r="P281" s="194">
        <f>'3.3.7.4'!R26</f>
        <v>184</v>
      </c>
      <c r="Q281" s="622">
        <f t="shared" si="375"/>
        <v>14611.44</v>
      </c>
      <c r="R281" s="745">
        <f>'3.3.7.4'!R27</f>
        <v>0</v>
      </c>
      <c r="S281" s="746">
        <f t="shared" si="376"/>
        <v>0</v>
      </c>
      <c r="T281" s="194">
        <f t="shared" si="377"/>
        <v>184</v>
      </c>
      <c r="U281" s="630">
        <f t="shared" si="378"/>
        <v>14611.44</v>
      </c>
      <c r="V281" s="194">
        <f t="shared" si="271"/>
        <v>0</v>
      </c>
      <c r="W281" s="630">
        <f t="shared" si="374"/>
        <v>0</v>
      </c>
    </row>
    <row r="282" spans="1:23">
      <c r="A282" s="138"/>
      <c r="B282" s="132"/>
      <c r="C282" s="123"/>
      <c r="D282" s="123"/>
      <c r="E282" s="123"/>
      <c r="F282" s="123"/>
      <c r="G282" s="123"/>
      <c r="H282" s="123"/>
      <c r="I282" s="123"/>
      <c r="J282" s="123"/>
      <c r="K282" s="123"/>
      <c r="L282" s="123"/>
      <c r="M282" s="123"/>
      <c r="N282" s="123"/>
      <c r="O282" s="623"/>
      <c r="P282" s="123"/>
      <c r="Q282" s="623"/>
      <c r="R282" s="791"/>
      <c r="S282" s="792"/>
      <c r="T282" s="123"/>
      <c r="U282" s="631"/>
      <c r="V282" s="123"/>
      <c r="W282" s="631"/>
    </row>
    <row r="283" spans="1:23" s="131" customFormat="1">
      <c r="A283" s="137" t="s">
        <v>440</v>
      </c>
      <c r="B283" s="133"/>
      <c r="C283" s="658" t="s">
        <v>187</v>
      </c>
      <c r="D283" s="126"/>
      <c r="E283" s="127"/>
      <c r="F283" s="128"/>
      <c r="G283" s="128"/>
      <c r="H283" s="128"/>
      <c r="I283" s="128"/>
      <c r="J283" s="129"/>
      <c r="K283" s="129">
        <f>SUBTOTAL(9,K284:K289)</f>
        <v>52096.830300000009</v>
      </c>
      <c r="L283" s="129"/>
      <c r="M283" s="129"/>
      <c r="N283" s="129"/>
      <c r="O283" s="624"/>
      <c r="P283" s="130"/>
      <c r="Q283" s="624">
        <f>SUBTOTAL(9,Q284:Q289)</f>
        <v>52096.80000000001</v>
      </c>
      <c r="R283" s="743"/>
      <c r="S283" s="744">
        <f>SUBTOTAL(9,S284:S289)</f>
        <v>0</v>
      </c>
      <c r="T283" s="129"/>
      <c r="U283" s="624">
        <f>SUBTOTAL(9,U284:U289)</f>
        <v>52096.80000000001</v>
      </c>
      <c r="V283" s="129">
        <f t="shared" si="271"/>
        <v>0</v>
      </c>
      <c r="W283" s="624">
        <f>SUBTOTAL(9,W284:W289)</f>
        <v>0</v>
      </c>
    </row>
    <row r="284" spans="1:23" ht="51">
      <c r="A284" s="190" t="s">
        <v>441</v>
      </c>
      <c r="B284" s="191">
        <v>90102</v>
      </c>
      <c r="C284" s="657" t="s">
        <v>194</v>
      </c>
      <c r="D284" s="192" t="s">
        <v>57</v>
      </c>
      <c r="E284" s="193">
        <v>89.99</v>
      </c>
      <c r="F284" s="194">
        <v>208.03</v>
      </c>
      <c r="G284" s="194"/>
      <c r="H284" s="194"/>
      <c r="I284" s="194"/>
      <c r="J284" s="193">
        <f t="shared" ref="J284:J289" si="379">F284+H284-I284</f>
        <v>208.03</v>
      </c>
      <c r="K284" s="193">
        <f t="shared" ref="K284:K289" si="380">J284*E284</f>
        <v>18720.619699999999</v>
      </c>
      <c r="L284" s="193"/>
      <c r="M284" s="193"/>
      <c r="N284" s="193"/>
      <c r="O284" s="622">
        <f t="shared" ref="O284:O289" si="381">J284*E284</f>
        <v>18720.619699999999</v>
      </c>
      <c r="P284" s="194">
        <v>208.03</v>
      </c>
      <c r="Q284" s="622">
        <f t="shared" ref="Q284" si="382">TRUNC(P284*E284,2)</f>
        <v>18720.61</v>
      </c>
      <c r="R284" s="745">
        <v>0</v>
      </c>
      <c r="S284" s="746">
        <f t="shared" ref="S284" si="383">U284-Q284</f>
        <v>0</v>
      </c>
      <c r="T284" s="194">
        <f t="shared" ref="T284" si="384">R284+P284</f>
        <v>208.03</v>
      </c>
      <c r="U284" s="630">
        <f t="shared" ref="U284" si="385">TRUNC(T284*E284,2)</f>
        <v>18720.61</v>
      </c>
      <c r="V284" s="194">
        <f t="shared" si="271"/>
        <v>0</v>
      </c>
      <c r="W284" s="630">
        <f t="shared" ref="W284:W290" si="386">V284*E284</f>
        <v>0</v>
      </c>
    </row>
    <row r="285" spans="1:23" ht="51">
      <c r="A285" s="190" t="s">
        <v>442</v>
      </c>
      <c r="B285" s="191">
        <v>90223</v>
      </c>
      <c r="C285" s="657" t="s">
        <v>195</v>
      </c>
      <c r="D285" s="192" t="s">
        <v>57</v>
      </c>
      <c r="E285" s="193">
        <v>124.46</v>
      </c>
      <c r="F285" s="194">
        <v>209.41</v>
      </c>
      <c r="G285" s="194"/>
      <c r="H285" s="194"/>
      <c r="I285" s="194"/>
      <c r="J285" s="193">
        <f t="shared" si="379"/>
        <v>209.41</v>
      </c>
      <c r="K285" s="193">
        <f t="shared" si="380"/>
        <v>26063.168599999997</v>
      </c>
      <c r="L285" s="193"/>
      <c r="M285" s="193"/>
      <c r="N285" s="193"/>
      <c r="O285" s="622">
        <f t="shared" si="381"/>
        <v>26063.168599999997</v>
      </c>
      <c r="P285" s="194">
        <f>'3.3.8.2'!R24</f>
        <v>209.41</v>
      </c>
      <c r="Q285" s="622">
        <f>TRUNC(P285*E285,2)</f>
        <v>26063.16</v>
      </c>
      <c r="R285" s="745">
        <f>'3.3.8.2'!R25</f>
        <v>0</v>
      </c>
      <c r="S285" s="746">
        <f>R285*E285</f>
        <v>0</v>
      </c>
      <c r="T285" s="194">
        <f>R285+P285</f>
        <v>209.41</v>
      </c>
      <c r="U285" s="630">
        <f>TRUNC(T285*E285,2)</f>
        <v>26063.16</v>
      </c>
      <c r="V285" s="194">
        <f t="shared" si="271"/>
        <v>0</v>
      </c>
      <c r="W285" s="630">
        <f t="shared" si="386"/>
        <v>0</v>
      </c>
    </row>
    <row r="286" spans="1:23" ht="51">
      <c r="A286" s="190" t="s">
        <v>443</v>
      </c>
      <c r="B286" s="191">
        <v>40339</v>
      </c>
      <c r="C286" s="657" t="s">
        <v>196</v>
      </c>
      <c r="D286" s="192" t="s">
        <v>57</v>
      </c>
      <c r="E286" s="193">
        <v>91.04</v>
      </c>
      <c r="F286" s="194">
        <v>23.5</v>
      </c>
      <c r="G286" s="194"/>
      <c r="H286" s="194"/>
      <c r="I286" s="194"/>
      <c r="J286" s="193">
        <f t="shared" si="379"/>
        <v>23.5</v>
      </c>
      <c r="K286" s="193">
        <f t="shared" si="380"/>
        <v>2139.44</v>
      </c>
      <c r="L286" s="193"/>
      <c r="M286" s="193"/>
      <c r="N286" s="193"/>
      <c r="O286" s="622">
        <f t="shared" si="381"/>
        <v>2139.44</v>
      </c>
      <c r="P286" s="194">
        <f>'3.3.8.3'!R24</f>
        <v>23.5</v>
      </c>
      <c r="Q286" s="622">
        <f t="shared" ref="Q286:Q289" si="387">TRUNC(P286*E286,2)</f>
        <v>2139.44</v>
      </c>
      <c r="R286" s="745">
        <f>'3.3.8.3'!R25</f>
        <v>0</v>
      </c>
      <c r="S286" s="746">
        <f t="shared" ref="S286:S290" si="388">U286-Q286</f>
        <v>0</v>
      </c>
      <c r="T286" s="194">
        <f t="shared" ref="T286:T289" si="389">R286+P286</f>
        <v>23.5</v>
      </c>
      <c r="U286" s="630">
        <f t="shared" ref="U286:U289" si="390">TRUNC(T286*E286,2)</f>
        <v>2139.44</v>
      </c>
      <c r="V286" s="194">
        <f t="shared" si="271"/>
        <v>0</v>
      </c>
      <c r="W286" s="630">
        <f t="shared" si="386"/>
        <v>0</v>
      </c>
    </row>
    <row r="287" spans="1:23" ht="25.5">
      <c r="A287" s="190" t="s">
        <v>444</v>
      </c>
      <c r="B287" s="191">
        <v>40328</v>
      </c>
      <c r="C287" s="657" t="s">
        <v>197</v>
      </c>
      <c r="D287" s="192" t="s">
        <v>29</v>
      </c>
      <c r="E287" s="193">
        <v>7.98</v>
      </c>
      <c r="F287" s="194">
        <v>112</v>
      </c>
      <c r="G287" s="194"/>
      <c r="H287" s="194"/>
      <c r="I287" s="194"/>
      <c r="J287" s="193">
        <f t="shared" si="379"/>
        <v>112</v>
      </c>
      <c r="K287" s="193">
        <f t="shared" si="380"/>
        <v>893.76</v>
      </c>
      <c r="L287" s="193"/>
      <c r="M287" s="193"/>
      <c r="N287" s="193"/>
      <c r="O287" s="622">
        <f t="shared" si="381"/>
        <v>893.76</v>
      </c>
      <c r="P287" s="194">
        <f>'3.3.8.4'!R24</f>
        <v>112</v>
      </c>
      <c r="Q287" s="622">
        <f t="shared" si="387"/>
        <v>893.76</v>
      </c>
      <c r="R287" s="745">
        <f>'3.3.8.4'!R25</f>
        <v>0</v>
      </c>
      <c r="S287" s="746">
        <f t="shared" si="388"/>
        <v>0</v>
      </c>
      <c r="T287" s="194">
        <f t="shared" si="389"/>
        <v>112</v>
      </c>
      <c r="U287" s="630">
        <f t="shared" si="390"/>
        <v>893.76</v>
      </c>
      <c r="V287" s="194">
        <f t="shared" si="271"/>
        <v>0</v>
      </c>
      <c r="W287" s="630">
        <f t="shared" si="386"/>
        <v>0</v>
      </c>
    </row>
    <row r="288" spans="1:23" ht="51">
      <c r="A288" s="190" t="s">
        <v>445</v>
      </c>
      <c r="B288" s="191" t="s">
        <v>140</v>
      </c>
      <c r="C288" s="657" t="s">
        <v>198</v>
      </c>
      <c r="D288" s="192" t="s">
        <v>58</v>
      </c>
      <c r="E288" s="193">
        <v>486.08</v>
      </c>
      <c r="F288" s="194">
        <v>1.2</v>
      </c>
      <c r="G288" s="194"/>
      <c r="H288" s="194"/>
      <c r="I288" s="194"/>
      <c r="J288" s="193">
        <f t="shared" si="379"/>
        <v>1.2</v>
      </c>
      <c r="K288" s="193">
        <f t="shared" si="380"/>
        <v>583.29599999999994</v>
      </c>
      <c r="L288" s="193"/>
      <c r="M288" s="193"/>
      <c r="N288" s="193"/>
      <c r="O288" s="622">
        <f t="shared" si="381"/>
        <v>583.29599999999994</v>
      </c>
      <c r="P288" s="194">
        <f>'3.3.8.5'!R24</f>
        <v>1.2</v>
      </c>
      <c r="Q288" s="622">
        <f t="shared" si="387"/>
        <v>583.29</v>
      </c>
      <c r="R288" s="745">
        <f>'3.3.8.5'!R25</f>
        <v>0</v>
      </c>
      <c r="S288" s="746">
        <f t="shared" si="388"/>
        <v>0</v>
      </c>
      <c r="T288" s="194">
        <f t="shared" si="389"/>
        <v>1.2</v>
      </c>
      <c r="U288" s="630">
        <f t="shared" si="390"/>
        <v>583.29</v>
      </c>
      <c r="V288" s="194">
        <f t="shared" ref="V288:V363" si="391">F288-T288</f>
        <v>0</v>
      </c>
      <c r="W288" s="630">
        <f t="shared" si="386"/>
        <v>0</v>
      </c>
    </row>
    <row r="289" spans="1:23" ht="51">
      <c r="A289" s="190" t="s">
        <v>446</v>
      </c>
      <c r="B289" s="191">
        <v>50602</v>
      </c>
      <c r="C289" s="657" t="s">
        <v>199</v>
      </c>
      <c r="D289" s="192" t="s">
        <v>57</v>
      </c>
      <c r="E289" s="193">
        <v>62.2</v>
      </c>
      <c r="F289" s="194">
        <v>59.43</v>
      </c>
      <c r="G289" s="194"/>
      <c r="H289" s="194"/>
      <c r="I289" s="194"/>
      <c r="J289" s="193">
        <f t="shared" si="379"/>
        <v>59.43</v>
      </c>
      <c r="K289" s="193">
        <f t="shared" si="380"/>
        <v>3696.5460000000003</v>
      </c>
      <c r="L289" s="193"/>
      <c r="M289" s="193"/>
      <c r="N289" s="193"/>
      <c r="O289" s="622">
        <f t="shared" si="381"/>
        <v>3696.5460000000003</v>
      </c>
      <c r="P289" s="194">
        <f>'3.3.8.6'!R24</f>
        <v>59.43</v>
      </c>
      <c r="Q289" s="622">
        <f t="shared" si="387"/>
        <v>3696.54</v>
      </c>
      <c r="R289" s="745">
        <f>'3.3.8.6'!R25</f>
        <v>0</v>
      </c>
      <c r="S289" s="746">
        <f t="shared" si="388"/>
        <v>0</v>
      </c>
      <c r="T289" s="194">
        <f t="shared" si="389"/>
        <v>59.43</v>
      </c>
      <c r="U289" s="630">
        <f t="shared" si="390"/>
        <v>3696.54</v>
      </c>
      <c r="V289" s="194">
        <f t="shared" si="391"/>
        <v>0</v>
      </c>
      <c r="W289" s="630">
        <f t="shared" si="386"/>
        <v>0</v>
      </c>
    </row>
    <row r="290" spans="1:23" s="765" customFormat="1" ht="25.5">
      <c r="A290" s="758" t="s">
        <v>1502</v>
      </c>
      <c r="B290" s="759" t="s">
        <v>1515</v>
      </c>
      <c r="C290" s="760" t="s">
        <v>1504</v>
      </c>
      <c r="D290" s="761" t="s">
        <v>57</v>
      </c>
      <c r="E290" s="757">
        <f>194.32*1.2993*0.905</f>
        <v>228.49437827999998</v>
      </c>
      <c r="F290" s="762">
        <v>0</v>
      </c>
      <c r="G290" s="762">
        <v>51.01</v>
      </c>
      <c r="H290" s="762"/>
      <c r="I290" s="762"/>
      <c r="J290" s="757">
        <f>F290+G290+H290-I290</f>
        <v>51.01</v>
      </c>
      <c r="K290" s="757"/>
      <c r="L290" s="757"/>
      <c r="M290" s="757">
        <f>G290*E290</f>
        <v>11655.498236062798</v>
      </c>
      <c r="N290" s="757"/>
      <c r="O290" s="763">
        <f>J290*E290</f>
        <v>11655.498236062798</v>
      </c>
      <c r="P290" s="762"/>
      <c r="Q290" s="763"/>
      <c r="R290" s="787">
        <v>51.01</v>
      </c>
      <c r="S290" s="788">
        <f t="shared" si="388"/>
        <v>11655.27</v>
      </c>
      <c r="T290" s="762">
        <f t="shared" ref="T290" si="392">R290+P290</f>
        <v>51.01</v>
      </c>
      <c r="U290" s="764">
        <f>TRUNC(T290*E290,2)-0.22</f>
        <v>11655.27</v>
      </c>
      <c r="V290" s="762">
        <f>J290-T290</f>
        <v>0</v>
      </c>
      <c r="W290" s="764">
        <f t="shared" si="386"/>
        <v>0</v>
      </c>
    </row>
    <row r="291" spans="1:23">
      <c r="A291" s="138"/>
      <c r="B291" s="132"/>
      <c r="C291" s="123"/>
      <c r="D291" s="123"/>
      <c r="E291" s="123"/>
      <c r="F291" s="123"/>
      <c r="G291" s="123"/>
      <c r="H291" s="123"/>
      <c r="I291" s="123"/>
      <c r="J291" s="123"/>
      <c r="K291" s="123"/>
      <c r="L291" s="123"/>
      <c r="M291" s="123"/>
      <c r="N291" s="123"/>
      <c r="O291" s="623"/>
      <c r="P291" s="123"/>
      <c r="Q291" s="623"/>
      <c r="R291" s="791"/>
      <c r="S291" s="792"/>
      <c r="T291" s="123"/>
      <c r="U291" s="631"/>
      <c r="V291" s="123"/>
      <c r="W291" s="631"/>
    </row>
    <row r="292" spans="1:23" s="131" customFormat="1">
      <c r="A292" s="137" t="s">
        <v>447</v>
      </c>
      <c r="B292" s="133"/>
      <c r="C292" s="658" t="s">
        <v>201</v>
      </c>
      <c r="D292" s="126"/>
      <c r="E292" s="127"/>
      <c r="F292" s="128"/>
      <c r="G292" s="128"/>
      <c r="H292" s="128"/>
      <c r="I292" s="128"/>
      <c r="J292" s="129"/>
      <c r="K292" s="129">
        <f>SUBTOTAL(9,K293:K296)</f>
        <v>6351.6699999999992</v>
      </c>
      <c r="L292" s="129"/>
      <c r="M292" s="129"/>
      <c r="N292" s="129"/>
      <c r="O292" s="624"/>
      <c r="P292" s="130"/>
      <c r="Q292" s="624">
        <f>SUBTOTAL(9,Q293:Q296)</f>
        <v>6351.66</v>
      </c>
      <c r="R292" s="743"/>
      <c r="S292" s="744">
        <f>SUBTOTAL(9,S293:S296)</f>
        <v>0</v>
      </c>
      <c r="T292" s="129"/>
      <c r="U292" s="624">
        <f>SUBTOTAL(9,U293:U296)</f>
        <v>6351.66</v>
      </c>
      <c r="V292" s="129">
        <f t="shared" si="391"/>
        <v>0</v>
      </c>
      <c r="W292" s="624">
        <f>SUBTOTAL(9,W293:W296)</f>
        <v>0</v>
      </c>
    </row>
    <row r="293" spans="1:23" ht="25.5">
      <c r="A293" s="190" t="s">
        <v>448</v>
      </c>
      <c r="B293" s="191" t="s">
        <v>206</v>
      </c>
      <c r="C293" s="657" t="s">
        <v>207</v>
      </c>
      <c r="D293" s="192" t="s">
        <v>60</v>
      </c>
      <c r="E293" s="193">
        <v>72.83</v>
      </c>
      <c r="F293" s="194">
        <v>39.799999999999997</v>
      </c>
      <c r="G293" s="194"/>
      <c r="H293" s="194"/>
      <c r="I293" s="194"/>
      <c r="J293" s="193">
        <f t="shared" ref="J293:J296" si="393">F293+H293-I293</f>
        <v>39.799999999999997</v>
      </c>
      <c r="K293" s="193">
        <f t="shared" ref="K293:K296" si="394">J293*E293</f>
        <v>2898.6339999999996</v>
      </c>
      <c r="L293" s="193"/>
      <c r="M293" s="193"/>
      <c r="N293" s="193"/>
      <c r="O293" s="622">
        <f t="shared" ref="O293:O296" si="395">J293*E293</f>
        <v>2898.6339999999996</v>
      </c>
      <c r="P293" s="194">
        <f>'3.3.9.1'!R23</f>
        <v>39.799999999999997</v>
      </c>
      <c r="Q293" s="622">
        <f t="shared" ref="Q293" si="396">TRUNC(P293*E293,2)</f>
        <v>2898.63</v>
      </c>
      <c r="R293" s="745">
        <f>'3.3.9.1'!R24</f>
        <v>0</v>
      </c>
      <c r="S293" s="746">
        <f t="shared" ref="S293" si="397">U293-Q293</f>
        <v>0</v>
      </c>
      <c r="T293" s="194">
        <f>R293+P293</f>
        <v>39.799999999999997</v>
      </c>
      <c r="U293" s="630">
        <f t="shared" ref="U293" si="398">TRUNC(T293*E293,2)</f>
        <v>2898.63</v>
      </c>
      <c r="V293" s="194">
        <f t="shared" si="391"/>
        <v>0</v>
      </c>
      <c r="W293" s="630">
        <f t="shared" ref="W293:W296" si="399">V293*E293</f>
        <v>0</v>
      </c>
    </row>
    <row r="294" spans="1:23">
      <c r="A294" s="190" t="s">
        <v>449</v>
      </c>
      <c r="B294" s="191">
        <v>90302</v>
      </c>
      <c r="C294" s="657" t="s">
        <v>208</v>
      </c>
      <c r="D294" s="192" t="s">
        <v>51</v>
      </c>
      <c r="E294" s="193">
        <v>31.38</v>
      </c>
      <c r="F294" s="194">
        <v>62.2</v>
      </c>
      <c r="G294" s="194"/>
      <c r="H294" s="194"/>
      <c r="I294" s="194"/>
      <c r="J294" s="193">
        <f t="shared" si="393"/>
        <v>62.2</v>
      </c>
      <c r="K294" s="193">
        <f t="shared" si="394"/>
        <v>1951.836</v>
      </c>
      <c r="L294" s="193"/>
      <c r="M294" s="193"/>
      <c r="N294" s="193"/>
      <c r="O294" s="622">
        <f t="shared" si="395"/>
        <v>1951.836</v>
      </c>
      <c r="P294" s="194">
        <f>'3.3.9.2'!R23</f>
        <v>62.2</v>
      </c>
      <c r="Q294" s="622">
        <f>TRUNC(P294*E294,2)</f>
        <v>1951.83</v>
      </c>
      <c r="R294" s="745">
        <f>'3.3.9.2'!R24</f>
        <v>0</v>
      </c>
      <c r="S294" s="746">
        <f>U294-Q294</f>
        <v>0</v>
      </c>
      <c r="T294" s="194">
        <f>R294+P294</f>
        <v>62.2</v>
      </c>
      <c r="U294" s="630">
        <f>TRUNC(T294*E294,2)</f>
        <v>1951.83</v>
      </c>
      <c r="V294" s="194">
        <f t="shared" si="391"/>
        <v>0</v>
      </c>
      <c r="W294" s="630">
        <f t="shared" si="399"/>
        <v>0</v>
      </c>
    </row>
    <row r="295" spans="1:23" ht="25.5">
      <c r="A295" s="190" t="s">
        <v>450</v>
      </c>
      <c r="B295" s="191">
        <v>141909</v>
      </c>
      <c r="C295" s="657" t="s">
        <v>209</v>
      </c>
      <c r="D295" s="192" t="s">
        <v>51</v>
      </c>
      <c r="E295" s="193">
        <v>61.57</v>
      </c>
      <c r="F295" s="194">
        <v>10</v>
      </c>
      <c r="G295" s="194"/>
      <c r="H295" s="194"/>
      <c r="I295" s="194"/>
      <c r="J295" s="193">
        <f t="shared" si="393"/>
        <v>10</v>
      </c>
      <c r="K295" s="193">
        <f t="shared" si="394"/>
        <v>615.70000000000005</v>
      </c>
      <c r="L295" s="193"/>
      <c r="M295" s="193"/>
      <c r="N295" s="193"/>
      <c r="O295" s="622">
        <f t="shared" si="395"/>
        <v>615.70000000000005</v>
      </c>
      <c r="P295" s="194">
        <f>'3.3.9.3'!R23</f>
        <v>10</v>
      </c>
      <c r="Q295" s="622">
        <f t="shared" ref="Q295:Q296" si="400">TRUNC(P295*E295,2)</f>
        <v>615.70000000000005</v>
      </c>
      <c r="R295" s="745">
        <f>'3.3.9.3'!R24</f>
        <v>0</v>
      </c>
      <c r="S295" s="746">
        <f t="shared" ref="S295:S296" si="401">U295-Q295</f>
        <v>0</v>
      </c>
      <c r="T295" s="194">
        <f t="shared" ref="T295:T296" si="402">R295+P295</f>
        <v>10</v>
      </c>
      <c r="U295" s="630">
        <f t="shared" ref="U295:U296" si="403">TRUNC(T295*E295,2)</f>
        <v>615.70000000000005</v>
      </c>
      <c r="V295" s="194">
        <f t="shared" si="391"/>
        <v>0</v>
      </c>
      <c r="W295" s="630">
        <f t="shared" si="399"/>
        <v>0</v>
      </c>
    </row>
    <row r="296" spans="1:23" ht="25.5">
      <c r="A296" s="190" t="s">
        <v>451</v>
      </c>
      <c r="B296" s="191">
        <v>140904</v>
      </c>
      <c r="C296" s="657" t="s">
        <v>210</v>
      </c>
      <c r="D296" s="192" t="s">
        <v>51</v>
      </c>
      <c r="E296" s="193">
        <v>80.5</v>
      </c>
      <c r="F296" s="194">
        <v>11</v>
      </c>
      <c r="G296" s="194"/>
      <c r="H296" s="194"/>
      <c r="I296" s="194"/>
      <c r="J296" s="193">
        <f t="shared" si="393"/>
        <v>11</v>
      </c>
      <c r="K296" s="193">
        <f t="shared" si="394"/>
        <v>885.5</v>
      </c>
      <c r="L296" s="193"/>
      <c r="M296" s="193"/>
      <c r="N296" s="193"/>
      <c r="O296" s="622">
        <f t="shared" si="395"/>
        <v>885.5</v>
      </c>
      <c r="P296" s="194">
        <f>'3.3.9.4'!R23</f>
        <v>11</v>
      </c>
      <c r="Q296" s="622">
        <f t="shared" si="400"/>
        <v>885.5</v>
      </c>
      <c r="R296" s="745">
        <f>'3.3.9.4'!R24</f>
        <v>0</v>
      </c>
      <c r="S296" s="746">
        <f t="shared" si="401"/>
        <v>0</v>
      </c>
      <c r="T296" s="194">
        <f t="shared" si="402"/>
        <v>11</v>
      </c>
      <c r="U296" s="630">
        <f t="shared" si="403"/>
        <v>885.5</v>
      </c>
      <c r="V296" s="194">
        <f t="shared" si="391"/>
        <v>0</v>
      </c>
      <c r="W296" s="630">
        <f t="shared" si="399"/>
        <v>0</v>
      </c>
    </row>
    <row r="297" spans="1:23">
      <c r="A297" s="138"/>
      <c r="B297" s="132"/>
      <c r="C297" s="123"/>
      <c r="D297" s="123"/>
      <c r="E297" s="123"/>
      <c r="F297" s="123"/>
      <c r="G297" s="123"/>
      <c r="H297" s="123"/>
      <c r="I297" s="123"/>
      <c r="J297" s="123"/>
      <c r="K297" s="123"/>
      <c r="L297" s="123"/>
      <c r="M297" s="123"/>
      <c r="N297" s="123"/>
      <c r="O297" s="623"/>
      <c r="P297" s="123"/>
      <c r="Q297" s="623"/>
      <c r="R297" s="791"/>
      <c r="S297" s="792"/>
      <c r="T297" s="123"/>
      <c r="U297" s="631"/>
      <c r="V297" s="123"/>
      <c r="W297" s="631"/>
    </row>
    <row r="298" spans="1:23" s="131" customFormat="1">
      <c r="A298" s="137" t="s">
        <v>894</v>
      </c>
      <c r="B298" s="133"/>
      <c r="C298" s="658" t="s">
        <v>212</v>
      </c>
      <c r="D298" s="126"/>
      <c r="E298" s="127"/>
      <c r="F298" s="128"/>
      <c r="G298" s="128"/>
      <c r="H298" s="128"/>
      <c r="I298" s="128"/>
      <c r="J298" s="129"/>
      <c r="K298" s="129">
        <f>SUBTOTAL(9,K299:K309)</f>
        <v>115012.46699999998</v>
      </c>
      <c r="L298" s="129"/>
      <c r="M298" s="129"/>
      <c r="N298" s="129"/>
      <c r="O298" s="624"/>
      <c r="P298" s="130"/>
      <c r="Q298" s="624">
        <f>SUBTOTAL(9,Q299:Q309)</f>
        <v>115012.40999999999</v>
      </c>
      <c r="R298" s="743"/>
      <c r="S298" s="744">
        <f>SUBTOTAL(9,S299:S309)</f>
        <v>0</v>
      </c>
      <c r="T298" s="129"/>
      <c r="U298" s="624">
        <f>SUBTOTAL(9,U299:U309)</f>
        <v>115012.40999999999</v>
      </c>
      <c r="V298" s="129">
        <f t="shared" si="391"/>
        <v>0</v>
      </c>
      <c r="W298" s="624">
        <f>SUBTOTAL(9,W299:W309)</f>
        <v>0</v>
      </c>
    </row>
    <row r="299" spans="1:23">
      <c r="A299" s="190" t="s">
        <v>452</v>
      </c>
      <c r="B299" s="191" t="s">
        <v>224</v>
      </c>
      <c r="C299" s="657" t="s">
        <v>229</v>
      </c>
      <c r="D299" s="192" t="s">
        <v>50</v>
      </c>
      <c r="E299" s="193">
        <v>280.31</v>
      </c>
      <c r="F299" s="194">
        <v>118.46</v>
      </c>
      <c r="G299" s="194"/>
      <c r="H299" s="194"/>
      <c r="I299" s="194"/>
      <c r="J299" s="193">
        <f t="shared" ref="J299:J309" si="404">F299+H299-I299</f>
        <v>118.46</v>
      </c>
      <c r="K299" s="193">
        <f t="shared" ref="K299:K309" si="405">J299*E299</f>
        <v>33205.522599999997</v>
      </c>
      <c r="L299" s="193"/>
      <c r="M299" s="193"/>
      <c r="N299" s="193"/>
      <c r="O299" s="622">
        <f t="shared" ref="O299:O309" si="406">J299*E299</f>
        <v>33205.522599999997</v>
      </c>
      <c r="P299" s="194">
        <f>'3.3.10.1'!R24</f>
        <v>118.46</v>
      </c>
      <c r="Q299" s="622">
        <f t="shared" ref="Q299" si="407">TRUNC(P299*E299,2)</f>
        <v>33205.519999999997</v>
      </c>
      <c r="R299" s="745">
        <v>0</v>
      </c>
      <c r="S299" s="746">
        <f t="shared" ref="S299" si="408">U299-Q299</f>
        <v>0</v>
      </c>
      <c r="T299" s="194">
        <f t="shared" ref="T299" si="409">R299+P299</f>
        <v>118.46</v>
      </c>
      <c r="U299" s="630">
        <f t="shared" ref="U299" si="410">TRUNC(T299*E299,2)</f>
        <v>33205.519999999997</v>
      </c>
      <c r="V299" s="194">
        <f t="shared" si="391"/>
        <v>0</v>
      </c>
      <c r="W299" s="630">
        <f t="shared" ref="W299:W309" si="411">V299*E299</f>
        <v>0</v>
      </c>
    </row>
    <row r="300" spans="1:23">
      <c r="A300" s="190" t="s">
        <v>453</v>
      </c>
      <c r="B300" s="191" t="s">
        <v>225</v>
      </c>
      <c r="C300" s="657" t="s">
        <v>230</v>
      </c>
      <c r="D300" s="192" t="s">
        <v>50</v>
      </c>
      <c r="E300" s="193">
        <v>645.84</v>
      </c>
      <c r="F300" s="194">
        <v>11.14</v>
      </c>
      <c r="G300" s="194"/>
      <c r="H300" s="194"/>
      <c r="I300" s="194"/>
      <c r="J300" s="193">
        <f t="shared" si="404"/>
        <v>11.14</v>
      </c>
      <c r="K300" s="193">
        <f t="shared" si="405"/>
        <v>7194.6576000000005</v>
      </c>
      <c r="L300" s="193"/>
      <c r="M300" s="193"/>
      <c r="N300" s="193"/>
      <c r="O300" s="622">
        <f t="shared" si="406"/>
        <v>7194.6576000000005</v>
      </c>
      <c r="P300" s="194">
        <f>'3.3.10.2'!R17</f>
        <v>11.14</v>
      </c>
      <c r="Q300" s="622">
        <f>TRUNC(P300*E300,2)</f>
        <v>7194.65</v>
      </c>
      <c r="R300" s="745">
        <f>'3.3.10.2'!R18</f>
        <v>0</v>
      </c>
      <c r="S300" s="746">
        <f>U300-Q300</f>
        <v>0</v>
      </c>
      <c r="T300" s="194">
        <f>R300+P300</f>
        <v>11.14</v>
      </c>
      <c r="U300" s="630">
        <f>TRUNC(T300*E300,2)</f>
        <v>7194.65</v>
      </c>
      <c r="V300" s="194">
        <f t="shared" si="391"/>
        <v>0</v>
      </c>
      <c r="W300" s="630">
        <f t="shared" si="411"/>
        <v>0</v>
      </c>
    </row>
    <row r="301" spans="1:23" ht="25.5">
      <c r="A301" s="190" t="s">
        <v>454</v>
      </c>
      <c r="B301" s="191" t="s">
        <v>226</v>
      </c>
      <c r="C301" s="657" t="s">
        <v>231</v>
      </c>
      <c r="D301" s="192" t="s">
        <v>50</v>
      </c>
      <c r="E301" s="193">
        <v>651.87</v>
      </c>
      <c r="F301" s="194">
        <v>11.25</v>
      </c>
      <c r="G301" s="194"/>
      <c r="H301" s="194"/>
      <c r="I301" s="194"/>
      <c r="J301" s="193">
        <f t="shared" si="404"/>
        <v>11.25</v>
      </c>
      <c r="K301" s="193">
        <f t="shared" si="405"/>
        <v>7333.5375000000004</v>
      </c>
      <c r="L301" s="193"/>
      <c r="M301" s="193"/>
      <c r="N301" s="193"/>
      <c r="O301" s="622">
        <f t="shared" si="406"/>
        <v>7333.5375000000004</v>
      </c>
      <c r="P301" s="194">
        <f>'3.3.10.3'!R17</f>
        <v>11.25</v>
      </c>
      <c r="Q301" s="622">
        <f t="shared" ref="Q301:Q309" si="412">TRUNC(P301*E301,2)</f>
        <v>7333.53</v>
      </c>
      <c r="R301" s="745">
        <f>'3.3.10.3'!R18</f>
        <v>0</v>
      </c>
      <c r="S301" s="746">
        <f t="shared" ref="S301:S309" si="413">U301-Q301</f>
        <v>0</v>
      </c>
      <c r="T301" s="194">
        <f t="shared" ref="T301:T309" si="414">R301+P301</f>
        <v>11.25</v>
      </c>
      <c r="U301" s="630">
        <f t="shared" ref="U301:U309" si="415">TRUNC(T301*E301,2)</f>
        <v>7333.53</v>
      </c>
      <c r="V301" s="194">
        <f t="shared" si="391"/>
        <v>0</v>
      </c>
      <c r="W301" s="630">
        <f t="shared" si="411"/>
        <v>0</v>
      </c>
    </row>
    <row r="302" spans="1:23" ht="25.5">
      <c r="A302" s="190" t="s">
        <v>455</v>
      </c>
      <c r="B302" s="191">
        <v>210322</v>
      </c>
      <c r="C302" s="657" t="s">
        <v>232</v>
      </c>
      <c r="D302" s="192" t="s">
        <v>51</v>
      </c>
      <c r="E302" s="193">
        <v>91.5</v>
      </c>
      <c r="F302" s="194">
        <v>17.55</v>
      </c>
      <c r="G302" s="194"/>
      <c r="H302" s="194"/>
      <c r="I302" s="194"/>
      <c r="J302" s="193">
        <f t="shared" si="404"/>
        <v>17.55</v>
      </c>
      <c r="K302" s="193">
        <f t="shared" si="405"/>
        <v>1605.825</v>
      </c>
      <c r="L302" s="193"/>
      <c r="M302" s="193"/>
      <c r="N302" s="193"/>
      <c r="O302" s="622">
        <f t="shared" si="406"/>
        <v>1605.825</v>
      </c>
      <c r="P302" s="194">
        <f>'3.3.10.4'!R17</f>
        <v>17.55</v>
      </c>
      <c r="Q302" s="622">
        <f t="shared" si="412"/>
        <v>1605.82</v>
      </c>
      <c r="R302" s="745">
        <f>'3.3.10.4'!R18</f>
        <v>0</v>
      </c>
      <c r="S302" s="746">
        <f t="shared" si="413"/>
        <v>0</v>
      </c>
      <c r="T302" s="194">
        <f t="shared" si="414"/>
        <v>17.55</v>
      </c>
      <c r="U302" s="630">
        <f t="shared" si="415"/>
        <v>1605.82</v>
      </c>
      <c r="V302" s="194">
        <f t="shared" si="391"/>
        <v>0</v>
      </c>
      <c r="W302" s="630">
        <f t="shared" si="411"/>
        <v>0</v>
      </c>
    </row>
    <row r="303" spans="1:23" ht="25.5">
      <c r="A303" s="190" t="s">
        <v>456</v>
      </c>
      <c r="B303" s="191" t="s">
        <v>227</v>
      </c>
      <c r="C303" s="657" t="s">
        <v>233</v>
      </c>
      <c r="D303" s="192" t="s">
        <v>51</v>
      </c>
      <c r="E303" s="193">
        <v>366.23</v>
      </c>
      <c r="F303" s="194">
        <v>4.1500000000000004</v>
      </c>
      <c r="G303" s="194"/>
      <c r="H303" s="194"/>
      <c r="I303" s="194"/>
      <c r="J303" s="193">
        <f t="shared" si="404"/>
        <v>4.1500000000000004</v>
      </c>
      <c r="K303" s="193">
        <f t="shared" si="405"/>
        <v>1519.8545000000001</v>
      </c>
      <c r="L303" s="193"/>
      <c r="M303" s="193"/>
      <c r="N303" s="193"/>
      <c r="O303" s="622">
        <f t="shared" si="406"/>
        <v>1519.8545000000001</v>
      </c>
      <c r="P303" s="194">
        <f>'3.3.10.5'!R17</f>
        <v>4.1500000000000004</v>
      </c>
      <c r="Q303" s="622">
        <f t="shared" si="412"/>
        <v>1519.85</v>
      </c>
      <c r="R303" s="745">
        <f>'3.3.10.5'!R18</f>
        <v>0</v>
      </c>
      <c r="S303" s="746">
        <f t="shared" si="413"/>
        <v>0</v>
      </c>
      <c r="T303" s="194">
        <f>R303+P303</f>
        <v>4.1500000000000004</v>
      </c>
      <c r="U303" s="630">
        <f t="shared" si="415"/>
        <v>1519.85</v>
      </c>
      <c r="V303" s="194">
        <f t="shared" si="391"/>
        <v>0</v>
      </c>
      <c r="W303" s="630">
        <f t="shared" si="411"/>
        <v>0</v>
      </c>
    </row>
    <row r="304" spans="1:23" ht="51">
      <c r="A304" s="190" t="s">
        <v>457</v>
      </c>
      <c r="B304" s="191">
        <v>50608</v>
      </c>
      <c r="C304" s="657" t="s">
        <v>234</v>
      </c>
      <c r="D304" s="192" t="s">
        <v>57</v>
      </c>
      <c r="E304" s="193">
        <v>88.68</v>
      </c>
      <c r="F304" s="194">
        <v>6.97</v>
      </c>
      <c r="G304" s="194"/>
      <c r="H304" s="194"/>
      <c r="I304" s="194"/>
      <c r="J304" s="193">
        <f t="shared" si="404"/>
        <v>6.97</v>
      </c>
      <c r="K304" s="193">
        <f t="shared" si="405"/>
        <v>618.09960000000001</v>
      </c>
      <c r="L304" s="193"/>
      <c r="M304" s="193"/>
      <c r="N304" s="193"/>
      <c r="O304" s="622">
        <f t="shared" si="406"/>
        <v>618.09960000000001</v>
      </c>
      <c r="P304" s="194">
        <f>'3.3.10.6'!R24</f>
        <v>6.97</v>
      </c>
      <c r="Q304" s="622">
        <f t="shared" si="412"/>
        <v>618.09</v>
      </c>
      <c r="R304" s="745">
        <f>'3.3.10.6'!R25</f>
        <v>0</v>
      </c>
      <c r="S304" s="746">
        <f t="shared" si="413"/>
        <v>0</v>
      </c>
      <c r="T304" s="194">
        <f>R304+P304</f>
        <v>6.97</v>
      </c>
      <c r="U304" s="630">
        <f t="shared" si="415"/>
        <v>618.09</v>
      </c>
      <c r="V304" s="194">
        <f t="shared" si="391"/>
        <v>0</v>
      </c>
      <c r="W304" s="630">
        <f t="shared" si="411"/>
        <v>0</v>
      </c>
    </row>
    <row r="305" spans="1:23" ht="35.25" customHeight="1">
      <c r="A305" s="190" t="s">
        <v>458</v>
      </c>
      <c r="B305" s="191">
        <v>120101</v>
      </c>
      <c r="C305" s="657" t="s">
        <v>235</v>
      </c>
      <c r="D305" s="192" t="s">
        <v>57</v>
      </c>
      <c r="E305" s="193">
        <v>5.64</v>
      </c>
      <c r="F305" s="194">
        <v>540.16999999999996</v>
      </c>
      <c r="G305" s="194"/>
      <c r="H305" s="194"/>
      <c r="I305" s="194"/>
      <c r="J305" s="193">
        <f t="shared" si="404"/>
        <v>540.16999999999996</v>
      </c>
      <c r="K305" s="193">
        <f t="shared" si="405"/>
        <v>3046.5587999999998</v>
      </c>
      <c r="L305" s="193"/>
      <c r="M305" s="193"/>
      <c r="N305" s="193"/>
      <c r="O305" s="622">
        <f t="shared" si="406"/>
        <v>3046.5587999999998</v>
      </c>
      <c r="P305" s="194">
        <f>'3.3.10.7'!R24</f>
        <v>540.16999999999996</v>
      </c>
      <c r="Q305" s="622">
        <f t="shared" si="412"/>
        <v>3046.55</v>
      </c>
      <c r="R305" s="745">
        <f>'3.3.10.7'!R25</f>
        <v>0</v>
      </c>
      <c r="S305" s="746">
        <f t="shared" si="413"/>
        <v>0</v>
      </c>
      <c r="T305" s="194">
        <f>R305+P305</f>
        <v>540.16999999999996</v>
      </c>
      <c r="U305" s="630">
        <f t="shared" si="415"/>
        <v>3046.55</v>
      </c>
      <c r="V305" s="194">
        <f t="shared" si="391"/>
        <v>0</v>
      </c>
      <c r="W305" s="630">
        <f t="shared" si="411"/>
        <v>0</v>
      </c>
    </row>
    <row r="306" spans="1:23" ht="25.5">
      <c r="A306" s="190" t="s">
        <v>459</v>
      </c>
      <c r="B306" s="191">
        <v>120303</v>
      </c>
      <c r="C306" s="657" t="s">
        <v>236</v>
      </c>
      <c r="D306" s="192" t="s">
        <v>57</v>
      </c>
      <c r="E306" s="193">
        <v>49.24</v>
      </c>
      <c r="F306" s="194">
        <v>540.16999999999996</v>
      </c>
      <c r="G306" s="194"/>
      <c r="H306" s="194"/>
      <c r="I306" s="194"/>
      <c r="J306" s="193">
        <f t="shared" si="404"/>
        <v>540.16999999999996</v>
      </c>
      <c r="K306" s="193">
        <f t="shared" si="405"/>
        <v>26597.970799999999</v>
      </c>
      <c r="L306" s="193"/>
      <c r="M306" s="193"/>
      <c r="N306" s="193"/>
      <c r="O306" s="622">
        <f t="shared" si="406"/>
        <v>26597.970799999999</v>
      </c>
      <c r="P306" s="194">
        <f>'3.3.10.8'!R24</f>
        <v>540.16999999999996</v>
      </c>
      <c r="Q306" s="622">
        <f t="shared" si="412"/>
        <v>26597.97</v>
      </c>
      <c r="R306" s="745">
        <f>'3.3.10.8'!R25</f>
        <v>0</v>
      </c>
      <c r="S306" s="746">
        <f t="shared" si="413"/>
        <v>0</v>
      </c>
      <c r="T306" s="194">
        <f t="shared" si="414"/>
        <v>540.16999999999996</v>
      </c>
      <c r="U306" s="630">
        <f t="shared" si="415"/>
        <v>26597.97</v>
      </c>
      <c r="V306" s="194">
        <f t="shared" si="391"/>
        <v>0</v>
      </c>
      <c r="W306" s="630">
        <f t="shared" si="411"/>
        <v>0</v>
      </c>
    </row>
    <row r="307" spans="1:23" ht="25.5">
      <c r="A307" s="190" t="s">
        <v>460</v>
      </c>
      <c r="B307" s="191">
        <v>190117</v>
      </c>
      <c r="C307" s="657" t="s">
        <v>237</v>
      </c>
      <c r="D307" s="192" t="s">
        <v>57</v>
      </c>
      <c r="E307" s="193">
        <v>18.27</v>
      </c>
      <c r="F307" s="194">
        <v>540.16999999999996</v>
      </c>
      <c r="G307" s="194"/>
      <c r="H307" s="194"/>
      <c r="I307" s="194"/>
      <c r="J307" s="193">
        <f t="shared" si="404"/>
        <v>540.16999999999996</v>
      </c>
      <c r="K307" s="193">
        <f t="shared" si="405"/>
        <v>9868.9058999999997</v>
      </c>
      <c r="L307" s="193"/>
      <c r="M307" s="193"/>
      <c r="N307" s="193"/>
      <c r="O307" s="622">
        <f t="shared" si="406"/>
        <v>9868.9058999999997</v>
      </c>
      <c r="P307" s="194">
        <f>'3.3.10.9'!R24</f>
        <v>540.16999999999996</v>
      </c>
      <c r="Q307" s="622">
        <f t="shared" si="412"/>
        <v>9868.9</v>
      </c>
      <c r="R307" s="745">
        <f>'3.3.10.9'!R25</f>
        <v>0</v>
      </c>
      <c r="S307" s="746">
        <f t="shared" si="413"/>
        <v>0</v>
      </c>
      <c r="T307" s="194">
        <f t="shared" si="414"/>
        <v>540.16999999999996</v>
      </c>
      <c r="U307" s="630">
        <f t="shared" si="415"/>
        <v>9868.9</v>
      </c>
      <c r="V307" s="194">
        <f t="shared" si="391"/>
        <v>0</v>
      </c>
      <c r="W307" s="630">
        <f t="shared" si="411"/>
        <v>0</v>
      </c>
    </row>
    <row r="308" spans="1:23" ht="52.5" customHeight="1">
      <c r="A308" s="190" t="s">
        <v>461</v>
      </c>
      <c r="B308" s="191">
        <v>130230</v>
      </c>
      <c r="C308" s="657" t="s">
        <v>238</v>
      </c>
      <c r="D308" s="192" t="s">
        <v>57</v>
      </c>
      <c r="E308" s="193">
        <v>106.19</v>
      </c>
      <c r="F308" s="194">
        <v>157.13</v>
      </c>
      <c r="G308" s="194"/>
      <c r="H308" s="194"/>
      <c r="I308" s="194"/>
      <c r="J308" s="193">
        <f t="shared" si="404"/>
        <v>157.13</v>
      </c>
      <c r="K308" s="193">
        <f t="shared" si="405"/>
        <v>16685.634699999999</v>
      </c>
      <c r="L308" s="193"/>
      <c r="M308" s="193"/>
      <c r="N308" s="193"/>
      <c r="O308" s="622">
        <f t="shared" si="406"/>
        <v>16685.634699999999</v>
      </c>
      <c r="P308" s="194">
        <f>'3.3.10.10'!R23</f>
        <v>157.13000000000002</v>
      </c>
      <c r="Q308" s="622">
        <f t="shared" si="412"/>
        <v>16685.63</v>
      </c>
      <c r="R308" s="745">
        <f>'3.3.10.10'!R24</f>
        <v>0</v>
      </c>
      <c r="S308" s="746">
        <f t="shared" si="413"/>
        <v>0</v>
      </c>
      <c r="T308" s="194">
        <f t="shared" si="414"/>
        <v>157.13000000000002</v>
      </c>
      <c r="U308" s="630">
        <f t="shared" si="415"/>
        <v>16685.63</v>
      </c>
      <c r="V308" s="194">
        <f>J308-T308</f>
        <v>0</v>
      </c>
      <c r="W308" s="630">
        <f t="shared" si="411"/>
        <v>0</v>
      </c>
    </row>
    <row r="309" spans="1:23" ht="25.5">
      <c r="A309" s="190" t="s">
        <v>462</v>
      </c>
      <c r="B309" s="191" t="s">
        <v>228</v>
      </c>
      <c r="C309" s="657" t="s">
        <v>239</v>
      </c>
      <c r="D309" s="192" t="s">
        <v>72</v>
      </c>
      <c r="E309" s="193">
        <v>333.45</v>
      </c>
      <c r="F309" s="194">
        <v>22</v>
      </c>
      <c r="G309" s="194"/>
      <c r="H309" s="194"/>
      <c r="I309" s="194"/>
      <c r="J309" s="193">
        <f t="shared" si="404"/>
        <v>22</v>
      </c>
      <c r="K309" s="193">
        <f t="shared" si="405"/>
        <v>7335.9</v>
      </c>
      <c r="L309" s="193"/>
      <c r="M309" s="193"/>
      <c r="N309" s="193"/>
      <c r="O309" s="622">
        <f t="shared" si="406"/>
        <v>7335.9</v>
      </c>
      <c r="P309" s="194">
        <v>22</v>
      </c>
      <c r="Q309" s="622">
        <f t="shared" si="412"/>
        <v>7335.9</v>
      </c>
      <c r="R309" s="745">
        <v>0</v>
      </c>
      <c r="S309" s="746">
        <f t="shared" si="413"/>
        <v>0</v>
      </c>
      <c r="T309" s="194">
        <f t="shared" si="414"/>
        <v>22</v>
      </c>
      <c r="U309" s="630">
        <f t="shared" si="415"/>
        <v>7335.9</v>
      </c>
      <c r="V309" s="194">
        <f t="shared" si="391"/>
        <v>0</v>
      </c>
      <c r="W309" s="630">
        <f t="shared" si="411"/>
        <v>0</v>
      </c>
    </row>
    <row r="310" spans="1:23">
      <c r="A310" s="138"/>
      <c r="B310" s="132"/>
      <c r="C310" s="123"/>
      <c r="D310" s="123"/>
      <c r="E310" s="123"/>
      <c r="F310" s="123"/>
      <c r="G310" s="123"/>
      <c r="H310" s="123"/>
      <c r="I310" s="123"/>
      <c r="J310" s="123"/>
      <c r="K310" s="123"/>
      <c r="L310" s="123"/>
      <c r="M310" s="123"/>
      <c r="N310" s="123"/>
      <c r="O310" s="623"/>
      <c r="P310" s="123"/>
      <c r="Q310" s="623"/>
      <c r="R310" s="791"/>
      <c r="S310" s="792"/>
      <c r="T310" s="123"/>
      <c r="U310" s="631"/>
      <c r="V310" s="123"/>
      <c r="W310" s="631"/>
    </row>
    <row r="311" spans="1:23" s="213" customFormat="1">
      <c r="A311" s="210" t="s">
        <v>463</v>
      </c>
      <c r="B311" s="211"/>
      <c r="C311" s="655" t="s">
        <v>240</v>
      </c>
      <c r="D311" s="197"/>
      <c r="E311" s="198"/>
      <c r="F311" s="199"/>
      <c r="G311" s="199"/>
      <c r="H311" s="199"/>
      <c r="I311" s="199"/>
      <c r="J311" s="200"/>
      <c r="K311" s="200">
        <f>SUBTOTAL(9,K312:K353)</f>
        <v>489198.49390000006</v>
      </c>
      <c r="L311" s="200"/>
      <c r="M311" s="200"/>
      <c r="N311" s="200"/>
      <c r="O311" s="620"/>
      <c r="P311" s="201"/>
      <c r="Q311" s="620">
        <f>SUBTOTAL(9,Q312:Q353)</f>
        <v>805578.022</v>
      </c>
      <c r="R311" s="743"/>
      <c r="S311" s="744">
        <f>SUBTOTAL(9,S312:S353)</f>
        <v>102411.985</v>
      </c>
      <c r="T311" s="200"/>
      <c r="U311" s="620">
        <f>SUBTOTAL(9,U312:U353)</f>
        <v>907990.00200000021</v>
      </c>
      <c r="V311" s="200">
        <f t="shared" si="391"/>
        <v>0</v>
      </c>
      <c r="W311" s="620">
        <f>SUBTOTAL(9,W312:W353)</f>
        <v>0</v>
      </c>
    </row>
    <row r="312" spans="1:23" s="131" customFormat="1">
      <c r="A312" s="137" t="s">
        <v>464</v>
      </c>
      <c r="B312" s="133"/>
      <c r="C312" s="658" t="s">
        <v>242</v>
      </c>
      <c r="D312" s="126"/>
      <c r="E312" s="127"/>
      <c r="F312" s="128"/>
      <c r="G312" s="128"/>
      <c r="H312" s="128"/>
      <c r="I312" s="128"/>
      <c r="J312" s="129"/>
      <c r="K312" s="129">
        <f>SUBTOTAL(9,K313:K324)</f>
        <v>296584.22210000007</v>
      </c>
      <c r="L312" s="129"/>
      <c r="M312" s="129"/>
      <c r="N312" s="129"/>
      <c r="O312" s="624"/>
      <c r="P312" s="130"/>
      <c r="Q312" s="624">
        <f>SUBTOTAL(9,Q313:Q324)</f>
        <v>304353.90000000002</v>
      </c>
      <c r="R312" s="743"/>
      <c r="S312" s="744">
        <f>SUBTOTAL(9,S313:S324)</f>
        <v>0</v>
      </c>
      <c r="T312" s="129"/>
      <c r="U312" s="624">
        <f>SUBTOTAL(9,U313:U324)</f>
        <v>304353.90000000002</v>
      </c>
      <c r="V312" s="129">
        <f t="shared" si="391"/>
        <v>0</v>
      </c>
      <c r="W312" s="624">
        <f>SUBTOTAL(9,W313:W324)</f>
        <v>0</v>
      </c>
    </row>
    <row r="313" spans="1:23" ht="25.5">
      <c r="A313" s="190" t="s">
        <v>465</v>
      </c>
      <c r="B313" s="191">
        <v>40405</v>
      </c>
      <c r="C313" s="657" t="s">
        <v>264</v>
      </c>
      <c r="D313" s="192" t="s">
        <v>57</v>
      </c>
      <c r="E313" s="193">
        <v>86.33</v>
      </c>
      <c r="F313" s="194">
        <v>341</v>
      </c>
      <c r="G313" s="194"/>
      <c r="H313" s="194">
        <v>90</v>
      </c>
      <c r="I313" s="194">
        <v>0</v>
      </c>
      <c r="J313" s="193">
        <f t="shared" ref="J313:J324" si="416">F313+H313-I313</f>
        <v>431</v>
      </c>
      <c r="K313" s="193">
        <f>F313*E313</f>
        <v>29438.53</v>
      </c>
      <c r="L313" s="193">
        <f t="shared" ref="L313" si="417">H313*E313</f>
        <v>7769.7</v>
      </c>
      <c r="M313" s="193"/>
      <c r="N313" s="193"/>
      <c r="O313" s="622">
        <f>J313*E313</f>
        <v>37208.229999999996</v>
      </c>
      <c r="P313" s="194">
        <f>'3.4.1.1'!R17</f>
        <v>431</v>
      </c>
      <c r="Q313" s="622">
        <f t="shared" ref="Q313:Q324" si="418">TRUNC(P313*E313,2)</f>
        <v>37208.230000000003</v>
      </c>
      <c r="R313" s="745">
        <v>0</v>
      </c>
      <c r="S313" s="746">
        <f>R313*E313</f>
        <v>0</v>
      </c>
      <c r="T313" s="194">
        <f>R313+P313</f>
        <v>431</v>
      </c>
      <c r="U313" s="630">
        <f t="shared" ref="U313:U324" si="419">TRUNC(T313*E313,2)</f>
        <v>37208.230000000003</v>
      </c>
      <c r="V313" s="194">
        <f>J313-T313</f>
        <v>0</v>
      </c>
      <c r="W313" s="630">
        <v>0</v>
      </c>
    </row>
    <row r="314" spans="1:23" ht="25.5">
      <c r="A314" s="190" t="s">
        <v>466</v>
      </c>
      <c r="B314" s="191" t="s">
        <v>255</v>
      </c>
      <c r="C314" s="657" t="s">
        <v>265</v>
      </c>
      <c r="D314" s="192" t="s">
        <v>29</v>
      </c>
      <c r="E314" s="193">
        <v>7.33</v>
      </c>
      <c r="F314" s="194">
        <v>3966.02</v>
      </c>
      <c r="G314" s="194"/>
      <c r="H314" s="194"/>
      <c r="I314" s="194"/>
      <c r="J314" s="193">
        <f t="shared" si="416"/>
        <v>3966.02</v>
      </c>
      <c r="K314" s="193">
        <f t="shared" ref="K314:K324" si="420">J314*E314</f>
        <v>29070.926599999999</v>
      </c>
      <c r="L314" s="193"/>
      <c r="M314" s="193"/>
      <c r="N314" s="193"/>
      <c r="O314" s="622">
        <f t="shared" ref="O314:O324" si="421">J314*E314</f>
        <v>29070.926599999999</v>
      </c>
      <c r="P314" s="194">
        <v>3966.02</v>
      </c>
      <c r="Q314" s="622">
        <f t="shared" si="418"/>
        <v>29070.92</v>
      </c>
      <c r="R314" s="745">
        <v>0</v>
      </c>
      <c r="S314" s="746">
        <f>U314-Q314</f>
        <v>0</v>
      </c>
      <c r="T314" s="194">
        <f t="shared" ref="T314:T324" si="422">R314+P314</f>
        <v>3966.02</v>
      </c>
      <c r="U314" s="630">
        <f t="shared" si="419"/>
        <v>29070.92</v>
      </c>
      <c r="V314" s="194">
        <f t="shared" si="391"/>
        <v>0</v>
      </c>
      <c r="W314" s="630">
        <f t="shared" ref="W314" si="423">V314*E314</f>
        <v>0</v>
      </c>
    </row>
    <row r="315" spans="1:23" ht="25.5">
      <c r="A315" s="190" t="s">
        <v>467</v>
      </c>
      <c r="B315" s="191">
        <v>40328</v>
      </c>
      <c r="C315" s="657" t="s">
        <v>147</v>
      </c>
      <c r="D315" s="192" t="s">
        <v>29</v>
      </c>
      <c r="E315" s="193">
        <v>7.98</v>
      </c>
      <c r="F315" s="194">
        <v>1880</v>
      </c>
      <c r="G315" s="194"/>
      <c r="H315" s="194"/>
      <c r="I315" s="194"/>
      <c r="J315" s="193">
        <f t="shared" si="416"/>
        <v>1880</v>
      </c>
      <c r="K315" s="193">
        <f t="shared" si="420"/>
        <v>15002.400000000001</v>
      </c>
      <c r="L315" s="193"/>
      <c r="M315" s="193"/>
      <c r="N315" s="193"/>
      <c r="O315" s="622">
        <f t="shared" si="421"/>
        <v>15002.400000000001</v>
      </c>
      <c r="P315" s="194">
        <v>1880</v>
      </c>
      <c r="Q315" s="622">
        <f t="shared" si="418"/>
        <v>15002.4</v>
      </c>
      <c r="R315" s="745">
        <v>0</v>
      </c>
      <c r="S315" s="746">
        <f t="shared" ref="S315:S324" si="424">U315-Q315</f>
        <v>0</v>
      </c>
      <c r="T315" s="194">
        <f t="shared" si="422"/>
        <v>1880</v>
      </c>
      <c r="U315" s="630">
        <f t="shared" si="419"/>
        <v>15002.4</v>
      </c>
      <c r="V315" s="194">
        <f t="shared" si="391"/>
        <v>0</v>
      </c>
      <c r="W315" s="635">
        <v>0</v>
      </c>
    </row>
    <row r="316" spans="1:23">
      <c r="A316" s="190" t="s">
        <v>468</v>
      </c>
      <c r="B316" s="191" t="s">
        <v>256</v>
      </c>
      <c r="C316" s="657" t="s">
        <v>266</v>
      </c>
      <c r="D316" s="192" t="s">
        <v>29</v>
      </c>
      <c r="E316" s="193">
        <v>11.02</v>
      </c>
      <c r="F316" s="194">
        <v>73</v>
      </c>
      <c r="G316" s="194"/>
      <c r="H316" s="194"/>
      <c r="I316" s="194"/>
      <c r="J316" s="193">
        <f t="shared" si="416"/>
        <v>73</v>
      </c>
      <c r="K316" s="193">
        <f t="shared" si="420"/>
        <v>804.45999999999992</v>
      </c>
      <c r="L316" s="193"/>
      <c r="M316" s="193"/>
      <c r="N316" s="193"/>
      <c r="O316" s="622">
        <f t="shared" si="421"/>
        <v>804.45999999999992</v>
      </c>
      <c r="P316" s="194">
        <v>73</v>
      </c>
      <c r="Q316" s="622">
        <f t="shared" si="418"/>
        <v>804.46</v>
      </c>
      <c r="R316" s="745">
        <v>0</v>
      </c>
      <c r="S316" s="746">
        <f t="shared" si="424"/>
        <v>0</v>
      </c>
      <c r="T316" s="194">
        <f t="shared" si="422"/>
        <v>73</v>
      </c>
      <c r="U316" s="630">
        <f t="shared" si="419"/>
        <v>804.46</v>
      </c>
      <c r="V316" s="194">
        <f t="shared" si="391"/>
        <v>0</v>
      </c>
      <c r="W316" s="635">
        <v>0</v>
      </c>
    </row>
    <row r="317" spans="1:23" ht="51">
      <c r="A317" s="190" t="s">
        <v>469</v>
      </c>
      <c r="B317" s="191" t="s">
        <v>257</v>
      </c>
      <c r="C317" s="657" t="s">
        <v>267</v>
      </c>
      <c r="D317" s="192" t="s">
        <v>58</v>
      </c>
      <c r="E317" s="193">
        <v>777.83</v>
      </c>
      <c r="F317" s="194">
        <v>28.05</v>
      </c>
      <c r="G317" s="194"/>
      <c r="H317" s="194"/>
      <c r="I317" s="194"/>
      <c r="J317" s="193">
        <f t="shared" si="416"/>
        <v>28.05</v>
      </c>
      <c r="K317" s="193">
        <f t="shared" si="420"/>
        <v>21818.131500000003</v>
      </c>
      <c r="L317" s="193"/>
      <c r="M317" s="193"/>
      <c r="N317" s="193"/>
      <c r="O317" s="622">
        <f t="shared" si="421"/>
        <v>21818.131500000003</v>
      </c>
      <c r="P317" s="194">
        <v>28.05</v>
      </c>
      <c r="Q317" s="622">
        <f t="shared" si="418"/>
        <v>21818.13</v>
      </c>
      <c r="R317" s="745">
        <v>0</v>
      </c>
      <c r="S317" s="746">
        <f t="shared" si="424"/>
        <v>0</v>
      </c>
      <c r="T317" s="194">
        <f t="shared" si="422"/>
        <v>28.05</v>
      </c>
      <c r="U317" s="630">
        <f t="shared" si="419"/>
        <v>21818.13</v>
      </c>
      <c r="V317" s="194">
        <f t="shared" si="391"/>
        <v>0</v>
      </c>
      <c r="W317" s="635">
        <v>0</v>
      </c>
    </row>
    <row r="318" spans="1:23" ht="25.5">
      <c r="A318" s="190" t="s">
        <v>470</v>
      </c>
      <c r="B318" s="191" t="s">
        <v>258</v>
      </c>
      <c r="C318" s="657" t="s">
        <v>268</v>
      </c>
      <c r="D318" s="192" t="s">
        <v>49</v>
      </c>
      <c r="E318" s="193">
        <v>641.15</v>
      </c>
      <c r="F318" s="194">
        <v>113.84</v>
      </c>
      <c r="G318" s="194"/>
      <c r="H318" s="194"/>
      <c r="I318" s="194"/>
      <c r="J318" s="193">
        <f t="shared" si="416"/>
        <v>113.84</v>
      </c>
      <c r="K318" s="193">
        <f t="shared" si="420"/>
        <v>72988.516000000003</v>
      </c>
      <c r="L318" s="193"/>
      <c r="M318" s="193"/>
      <c r="N318" s="193"/>
      <c r="O318" s="622">
        <f t="shared" si="421"/>
        <v>72988.516000000003</v>
      </c>
      <c r="P318" s="194">
        <v>113.84</v>
      </c>
      <c r="Q318" s="622">
        <f t="shared" si="418"/>
        <v>72988.509999999995</v>
      </c>
      <c r="R318" s="745">
        <v>0</v>
      </c>
      <c r="S318" s="746">
        <f t="shared" si="424"/>
        <v>0</v>
      </c>
      <c r="T318" s="194">
        <f t="shared" si="422"/>
        <v>113.84</v>
      </c>
      <c r="U318" s="630">
        <f t="shared" si="419"/>
        <v>72988.509999999995</v>
      </c>
      <c r="V318" s="194">
        <f t="shared" si="391"/>
        <v>0</v>
      </c>
      <c r="W318" s="635">
        <v>0</v>
      </c>
    </row>
    <row r="319" spans="1:23" ht="25.5">
      <c r="A319" s="190" t="s">
        <v>471</v>
      </c>
      <c r="B319" s="191" t="s">
        <v>259</v>
      </c>
      <c r="C319" s="657" t="s">
        <v>269</v>
      </c>
      <c r="D319" s="192" t="s">
        <v>72</v>
      </c>
      <c r="E319" s="193">
        <v>14345.61</v>
      </c>
      <c r="F319" s="194">
        <v>4</v>
      </c>
      <c r="G319" s="194"/>
      <c r="H319" s="194"/>
      <c r="I319" s="194"/>
      <c r="J319" s="193">
        <f t="shared" si="416"/>
        <v>4</v>
      </c>
      <c r="K319" s="193">
        <f t="shared" si="420"/>
        <v>57382.44</v>
      </c>
      <c r="L319" s="193"/>
      <c r="M319" s="193"/>
      <c r="N319" s="193"/>
      <c r="O319" s="622">
        <f t="shared" si="421"/>
        <v>57382.44</v>
      </c>
      <c r="P319" s="194">
        <v>4</v>
      </c>
      <c r="Q319" s="622">
        <f t="shared" si="418"/>
        <v>57382.44</v>
      </c>
      <c r="R319" s="745">
        <v>0</v>
      </c>
      <c r="S319" s="746">
        <f t="shared" si="424"/>
        <v>0</v>
      </c>
      <c r="T319" s="194">
        <f t="shared" si="422"/>
        <v>4</v>
      </c>
      <c r="U319" s="630">
        <f t="shared" si="419"/>
        <v>57382.44</v>
      </c>
      <c r="V319" s="194">
        <f>J319-T319</f>
        <v>0</v>
      </c>
      <c r="W319" s="635">
        <f>V319*E319</f>
        <v>0</v>
      </c>
    </row>
    <row r="320" spans="1:23" ht="25.5">
      <c r="A320" s="190" t="s">
        <v>472</v>
      </c>
      <c r="B320" s="191" t="s">
        <v>260</v>
      </c>
      <c r="C320" s="657" t="s">
        <v>270</v>
      </c>
      <c r="D320" s="192" t="s">
        <v>72</v>
      </c>
      <c r="E320" s="193">
        <v>5478.19</v>
      </c>
      <c r="F320" s="194">
        <v>2</v>
      </c>
      <c r="G320" s="194"/>
      <c r="H320" s="194"/>
      <c r="I320" s="194"/>
      <c r="J320" s="193">
        <f t="shared" si="416"/>
        <v>2</v>
      </c>
      <c r="K320" s="193">
        <f t="shared" si="420"/>
        <v>10956.38</v>
      </c>
      <c r="L320" s="193"/>
      <c r="M320" s="193"/>
      <c r="N320" s="193"/>
      <c r="O320" s="622">
        <f t="shared" si="421"/>
        <v>10956.38</v>
      </c>
      <c r="P320" s="194">
        <v>2</v>
      </c>
      <c r="Q320" s="622">
        <f t="shared" si="418"/>
        <v>10956.38</v>
      </c>
      <c r="R320" s="745">
        <v>0</v>
      </c>
      <c r="S320" s="746">
        <f t="shared" si="424"/>
        <v>0</v>
      </c>
      <c r="T320" s="194">
        <f t="shared" si="422"/>
        <v>2</v>
      </c>
      <c r="U320" s="630">
        <f t="shared" si="419"/>
        <v>10956.38</v>
      </c>
      <c r="V320" s="194">
        <f t="shared" si="391"/>
        <v>0</v>
      </c>
      <c r="W320" s="635">
        <v>0</v>
      </c>
    </row>
    <row r="321" spans="1:23" ht="38.25">
      <c r="A321" s="190" t="s">
        <v>473</v>
      </c>
      <c r="B321" s="191">
        <v>40817</v>
      </c>
      <c r="C321" s="657" t="s">
        <v>271</v>
      </c>
      <c r="D321" s="192" t="s">
        <v>58</v>
      </c>
      <c r="E321" s="193">
        <v>3001.6</v>
      </c>
      <c r="F321" s="194">
        <v>0.03</v>
      </c>
      <c r="G321" s="194"/>
      <c r="H321" s="194"/>
      <c r="I321" s="194"/>
      <c r="J321" s="193">
        <f>F321+H321-I321</f>
        <v>0.03</v>
      </c>
      <c r="K321" s="193">
        <f t="shared" si="420"/>
        <v>90.047999999999988</v>
      </c>
      <c r="L321" s="193"/>
      <c r="M321" s="193"/>
      <c r="N321" s="193"/>
      <c r="O321" s="622">
        <f t="shared" si="421"/>
        <v>90.047999999999988</v>
      </c>
      <c r="P321" s="194">
        <v>0.03</v>
      </c>
      <c r="Q321" s="622">
        <f t="shared" si="418"/>
        <v>90.04</v>
      </c>
      <c r="R321" s="745">
        <v>0</v>
      </c>
      <c r="S321" s="746">
        <f t="shared" si="424"/>
        <v>0</v>
      </c>
      <c r="T321" s="194">
        <f t="shared" si="422"/>
        <v>0.03</v>
      </c>
      <c r="U321" s="630">
        <f t="shared" si="419"/>
        <v>90.04</v>
      </c>
      <c r="V321" s="194">
        <f t="shared" si="391"/>
        <v>0</v>
      </c>
      <c r="W321" s="630">
        <f>V321*E321</f>
        <v>0</v>
      </c>
    </row>
    <row r="322" spans="1:23" ht="36.75" customHeight="1">
      <c r="A322" s="190" t="s">
        <v>474</v>
      </c>
      <c r="B322" s="191" t="s">
        <v>261</v>
      </c>
      <c r="C322" s="657" t="s">
        <v>272</v>
      </c>
      <c r="D322" s="192" t="s">
        <v>72</v>
      </c>
      <c r="E322" s="193">
        <v>2011.04</v>
      </c>
      <c r="F322" s="194">
        <v>15</v>
      </c>
      <c r="G322" s="194"/>
      <c r="H322" s="194"/>
      <c r="I322" s="194"/>
      <c r="J322" s="193">
        <f t="shared" si="416"/>
        <v>15</v>
      </c>
      <c r="K322" s="193">
        <f t="shared" si="420"/>
        <v>30165.599999999999</v>
      </c>
      <c r="L322" s="193"/>
      <c r="M322" s="193"/>
      <c r="N322" s="193"/>
      <c r="O322" s="622">
        <f t="shared" si="421"/>
        <v>30165.599999999999</v>
      </c>
      <c r="P322" s="194">
        <v>15</v>
      </c>
      <c r="Q322" s="622">
        <f t="shared" si="418"/>
        <v>30165.599999999999</v>
      </c>
      <c r="R322" s="745">
        <v>0</v>
      </c>
      <c r="S322" s="746">
        <f t="shared" si="424"/>
        <v>0</v>
      </c>
      <c r="T322" s="194">
        <f t="shared" si="422"/>
        <v>15</v>
      </c>
      <c r="U322" s="630">
        <f t="shared" si="419"/>
        <v>30165.599999999999</v>
      </c>
      <c r="V322" s="194">
        <f t="shared" si="391"/>
        <v>0</v>
      </c>
      <c r="W322" s="630">
        <f>V322*E322</f>
        <v>0</v>
      </c>
    </row>
    <row r="323" spans="1:23" ht="25.5">
      <c r="A323" s="190" t="s">
        <v>475</v>
      </c>
      <c r="B323" s="191" t="s">
        <v>262</v>
      </c>
      <c r="C323" s="657" t="s">
        <v>273</v>
      </c>
      <c r="D323" s="192" t="s">
        <v>72</v>
      </c>
      <c r="E323" s="193">
        <v>28185.33</v>
      </c>
      <c r="F323" s="194">
        <v>1</v>
      </c>
      <c r="G323" s="194"/>
      <c r="H323" s="194"/>
      <c r="I323" s="194"/>
      <c r="J323" s="193">
        <f t="shared" si="416"/>
        <v>1</v>
      </c>
      <c r="K323" s="193">
        <f t="shared" si="420"/>
        <v>28185.33</v>
      </c>
      <c r="L323" s="193"/>
      <c r="M323" s="193"/>
      <c r="N323" s="193"/>
      <c r="O323" s="622">
        <f t="shared" si="421"/>
        <v>28185.33</v>
      </c>
      <c r="P323" s="194">
        <v>1</v>
      </c>
      <c r="Q323" s="622">
        <f t="shared" si="418"/>
        <v>28185.33</v>
      </c>
      <c r="R323" s="745">
        <v>0</v>
      </c>
      <c r="S323" s="746">
        <f t="shared" si="424"/>
        <v>0</v>
      </c>
      <c r="T323" s="194">
        <f t="shared" si="422"/>
        <v>1</v>
      </c>
      <c r="U323" s="630">
        <f t="shared" si="419"/>
        <v>28185.33</v>
      </c>
      <c r="V323" s="194">
        <f t="shared" si="391"/>
        <v>0</v>
      </c>
      <c r="W323" s="630">
        <f>V323*E323</f>
        <v>0</v>
      </c>
    </row>
    <row r="324" spans="1:23">
      <c r="A324" s="190" t="s">
        <v>476</v>
      </c>
      <c r="B324" s="191" t="s">
        <v>263</v>
      </c>
      <c r="C324" s="657" t="s">
        <v>274</v>
      </c>
      <c r="D324" s="192" t="s">
        <v>72</v>
      </c>
      <c r="E324" s="193">
        <v>340.73</v>
      </c>
      <c r="F324" s="194">
        <v>2</v>
      </c>
      <c r="G324" s="194"/>
      <c r="H324" s="194"/>
      <c r="I324" s="194"/>
      <c r="J324" s="193">
        <f t="shared" si="416"/>
        <v>2</v>
      </c>
      <c r="K324" s="193">
        <f t="shared" si="420"/>
        <v>681.46</v>
      </c>
      <c r="L324" s="193"/>
      <c r="M324" s="193"/>
      <c r="N324" s="193"/>
      <c r="O324" s="622">
        <f t="shared" si="421"/>
        <v>681.46</v>
      </c>
      <c r="P324" s="194">
        <v>2</v>
      </c>
      <c r="Q324" s="622">
        <f t="shared" si="418"/>
        <v>681.46</v>
      </c>
      <c r="R324" s="745">
        <v>0</v>
      </c>
      <c r="S324" s="746">
        <f t="shared" si="424"/>
        <v>0</v>
      </c>
      <c r="T324" s="194">
        <f t="shared" si="422"/>
        <v>2</v>
      </c>
      <c r="U324" s="630">
        <f t="shared" si="419"/>
        <v>681.46</v>
      </c>
      <c r="V324" s="194">
        <f t="shared" si="391"/>
        <v>0</v>
      </c>
      <c r="W324" s="635">
        <v>0</v>
      </c>
    </row>
    <row r="325" spans="1:23" ht="25.5">
      <c r="A325" s="190" t="s">
        <v>1178</v>
      </c>
      <c r="B325" s="191" t="s">
        <v>1118</v>
      </c>
      <c r="C325" s="657" t="s">
        <v>1119</v>
      </c>
      <c r="D325" s="192" t="s">
        <v>10</v>
      </c>
      <c r="E325" s="193">
        <v>13295.45</v>
      </c>
      <c r="F325" s="194">
        <v>0</v>
      </c>
      <c r="G325" s="194"/>
      <c r="H325" s="194">
        <v>1</v>
      </c>
      <c r="I325" s="194">
        <v>0</v>
      </c>
      <c r="J325" s="193">
        <f>F325+H325</f>
        <v>1</v>
      </c>
      <c r="K325" s="193">
        <f>F325*E325</f>
        <v>0</v>
      </c>
      <c r="L325" s="193">
        <f>H325*E325</f>
        <v>13295.45</v>
      </c>
      <c r="M325" s="193"/>
      <c r="N325" s="193"/>
      <c r="O325" s="622">
        <f>J325*E325</f>
        <v>13295.45</v>
      </c>
      <c r="P325" s="194">
        <v>1</v>
      </c>
      <c r="Q325" s="622">
        <f>P325*E325</f>
        <v>13295.45</v>
      </c>
      <c r="R325" s="745">
        <v>0</v>
      </c>
      <c r="S325" s="746">
        <f>R325*E325</f>
        <v>0</v>
      </c>
      <c r="T325" s="194">
        <v>1</v>
      </c>
      <c r="U325" s="630">
        <v>13295.45</v>
      </c>
      <c r="V325" s="194">
        <f>J325-T325</f>
        <v>0</v>
      </c>
      <c r="W325" s="630">
        <v>0</v>
      </c>
    </row>
    <row r="326" spans="1:23" s="765" customFormat="1" ht="22.5" customHeight="1">
      <c r="A326" s="758" t="s">
        <v>1512</v>
      </c>
      <c r="B326" s="759" t="s">
        <v>1179</v>
      </c>
      <c r="C326" s="760" t="s">
        <v>1516</v>
      </c>
      <c r="D326" s="761" t="s">
        <v>72</v>
      </c>
      <c r="E326" s="757">
        <v>90060.94</v>
      </c>
      <c r="F326" s="762">
        <v>0</v>
      </c>
      <c r="G326" s="762">
        <v>1</v>
      </c>
      <c r="H326" s="762"/>
      <c r="I326" s="762"/>
      <c r="J326" s="757">
        <f>F326+G326+H326-I326</f>
        <v>1</v>
      </c>
      <c r="K326" s="757"/>
      <c r="L326" s="757"/>
      <c r="M326" s="757">
        <f>E326*G326</f>
        <v>90060.94</v>
      </c>
      <c r="N326" s="757"/>
      <c r="O326" s="763"/>
      <c r="P326" s="762"/>
      <c r="Q326" s="763"/>
      <c r="R326" s="787">
        <v>1</v>
      </c>
      <c r="S326" s="788">
        <f>R326*E326</f>
        <v>90060.94</v>
      </c>
      <c r="T326" s="762">
        <f t="shared" ref="T326" si="425">R326+P326</f>
        <v>1</v>
      </c>
      <c r="U326" s="764">
        <f t="shared" ref="U326" si="426">TRUNC(T326*E326,2)</f>
        <v>90060.94</v>
      </c>
      <c r="V326" s="762">
        <f>J326-T326</f>
        <v>0</v>
      </c>
      <c r="W326" s="764">
        <f t="shared" ref="W326" si="427">V326*E326</f>
        <v>0</v>
      </c>
    </row>
    <row r="327" spans="1:23">
      <c r="A327" s="138"/>
      <c r="B327" s="132"/>
      <c r="C327" s="123"/>
      <c r="D327" s="123"/>
      <c r="E327" s="123"/>
      <c r="F327" s="123"/>
      <c r="G327" s="123"/>
      <c r="H327" s="123"/>
      <c r="I327" s="123"/>
      <c r="J327" s="123"/>
      <c r="K327" s="123"/>
      <c r="L327" s="123"/>
      <c r="M327" s="123"/>
      <c r="N327" s="123"/>
      <c r="O327" s="623"/>
      <c r="P327" s="123"/>
      <c r="Q327" s="623"/>
      <c r="R327" s="791"/>
      <c r="S327" s="792"/>
      <c r="T327" s="123"/>
      <c r="U327" s="631"/>
      <c r="V327" s="123"/>
      <c r="W327" s="631"/>
    </row>
    <row r="328" spans="1:23" s="131" customFormat="1">
      <c r="A328" s="137" t="s">
        <v>477</v>
      </c>
      <c r="B328" s="133"/>
      <c r="C328" s="658" t="s">
        <v>276</v>
      </c>
      <c r="D328" s="126"/>
      <c r="E328" s="127"/>
      <c r="F328" s="128"/>
      <c r="G328" s="128"/>
      <c r="H328" s="128"/>
      <c r="I328" s="128"/>
      <c r="J328" s="129"/>
      <c r="K328" s="129">
        <f>SUBTOTAL(9,K329:K329)</f>
        <v>2219.4899999999998</v>
      </c>
      <c r="L328" s="129"/>
      <c r="M328" s="129"/>
      <c r="N328" s="129"/>
      <c r="O328" s="624"/>
      <c r="P328" s="130"/>
      <c r="Q328" s="624">
        <f>SUBTOTAL(9,Q329:Q329)</f>
        <v>2219.4899999999998</v>
      </c>
      <c r="R328" s="743"/>
      <c r="S328" s="744">
        <f>SUBTOTAL(9,S329:S329)</f>
        <v>0</v>
      </c>
      <c r="T328" s="129"/>
      <c r="U328" s="624">
        <f>SUBTOTAL(9,U329:U329)</f>
        <v>2219.4899999999998</v>
      </c>
      <c r="V328" s="129">
        <f t="shared" si="391"/>
        <v>0</v>
      </c>
      <c r="W328" s="624">
        <f>SUM(W329)</f>
        <v>0</v>
      </c>
    </row>
    <row r="329" spans="1:23" ht="25.5">
      <c r="A329" s="190" t="s">
        <v>478</v>
      </c>
      <c r="B329" s="191" t="s">
        <v>479</v>
      </c>
      <c r="C329" s="657" t="s">
        <v>480</v>
      </c>
      <c r="D329" s="192" t="s">
        <v>72</v>
      </c>
      <c r="E329" s="193">
        <v>2219.4899999999998</v>
      </c>
      <c r="F329" s="194">
        <v>1</v>
      </c>
      <c r="G329" s="194"/>
      <c r="H329" s="194"/>
      <c r="I329" s="194"/>
      <c r="J329" s="193">
        <f t="shared" ref="J329" si="428">F329+H329-I329</f>
        <v>1</v>
      </c>
      <c r="K329" s="193">
        <f t="shared" ref="K329" si="429">J329*E329</f>
        <v>2219.4899999999998</v>
      </c>
      <c r="L329" s="193"/>
      <c r="M329" s="193"/>
      <c r="N329" s="193"/>
      <c r="O329" s="622">
        <f t="shared" ref="O329" si="430">J329*E329</f>
        <v>2219.4899999999998</v>
      </c>
      <c r="P329" s="194">
        <v>1</v>
      </c>
      <c r="Q329" s="622">
        <f t="shared" ref="Q329" si="431">TRUNC(P329*E329,2)</f>
        <v>2219.4899999999998</v>
      </c>
      <c r="R329" s="745">
        <v>0</v>
      </c>
      <c r="S329" s="746">
        <f t="shared" ref="S329" si="432">U329-Q329</f>
        <v>0</v>
      </c>
      <c r="T329" s="194">
        <f t="shared" ref="T329" si="433">R329+P329</f>
        <v>1</v>
      </c>
      <c r="U329" s="630">
        <f t="shared" ref="U329" si="434">TRUNC(T329*E329,2)</f>
        <v>2219.4899999999998</v>
      </c>
      <c r="V329" s="194">
        <f t="shared" si="391"/>
        <v>0</v>
      </c>
      <c r="W329" s="630">
        <f>V329*E329</f>
        <v>0</v>
      </c>
    </row>
    <row r="330" spans="1:23">
      <c r="A330" s="138"/>
      <c r="B330" s="132"/>
      <c r="C330" s="123"/>
      <c r="D330" s="123"/>
      <c r="E330" s="123"/>
      <c r="F330" s="123"/>
      <c r="G330" s="123"/>
      <c r="H330" s="123"/>
      <c r="I330" s="123"/>
      <c r="J330" s="123"/>
      <c r="K330" s="123"/>
      <c r="L330" s="123"/>
      <c r="M330" s="123"/>
      <c r="N330" s="123"/>
      <c r="O330" s="623"/>
      <c r="P330" s="123"/>
      <c r="Q330" s="623"/>
      <c r="R330" s="791"/>
      <c r="S330" s="792"/>
      <c r="T330" s="123"/>
      <c r="U330" s="631"/>
      <c r="V330" s="123"/>
      <c r="W330" s="631"/>
    </row>
    <row r="331" spans="1:23" s="131" customFormat="1">
      <c r="A331" s="137" t="s">
        <v>481</v>
      </c>
      <c r="B331" s="133"/>
      <c r="C331" s="658" t="s">
        <v>281</v>
      </c>
      <c r="D331" s="126"/>
      <c r="E331" s="127"/>
      <c r="F331" s="128"/>
      <c r="G331" s="128"/>
      <c r="H331" s="128"/>
      <c r="I331" s="128"/>
      <c r="J331" s="129"/>
      <c r="K331" s="129">
        <f>SUBTOTAL(9,K332:K345)</f>
        <v>181656.53399999999</v>
      </c>
      <c r="L331" s="129"/>
      <c r="M331" s="129"/>
      <c r="N331" s="129"/>
      <c r="O331" s="624"/>
      <c r="P331" s="130"/>
      <c r="Q331" s="624">
        <f>SUBTOTAL(9,Q332:Q345)</f>
        <v>202184.79</v>
      </c>
      <c r="R331" s="743"/>
      <c r="S331" s="744">
        <f>SUBTOTAL(9,S332:S349)</f>
        <v>0</v>
      </c>
      <c r="T331" s="129"/>
      <c r="U331" s="624">
        <f>SUBTOTAL(9,U332:U345)</f>
        <v>202184.79</v>
      </c>
      <c r="V331" s="129">
        <f t="shared" si="391"/>
        <v>0</v>
      </c>
      <c r="W331" s="624">
        <f>SUM(W332:W349)</f>
        <v>0</v>
      </c>
    </row>
    <row r="332" spans="1:23" ht="38.25">
      <c r="A332" s="190" t="s">
        <v>482</v>
      </c>
      <c r="B332" s="191" t="s">
        <v>496</v>
      </c>
      <c r="C332" s="657" t="s">
        <v>499</v>
      </c>
      <c r="D332" s="192" t="s">
        <v>315</v>
      </c>
      <c r="E332" s="193">
        <v>11945.63</v>
      </c>
      <c r="F332" s="194">
        <v>2</v>
      </c>
      <c r="G332" s="194"/>
      <c r="H332" s="194"/>
      <c r="I332" s="194"/>
      <c r="J332" s="193">
        <f t="shared" ref="J332:J349" si="435">F332+H332-I332</f>
        <v>2</v>
      </c>
      <c r="K332" s="193">
        <f t="shared" ref="K332" si="436">J332*E332</f>
        <v>23891.26</v>
      </c>
      <c r="L332" s="193"/>
      <c r="M332" s="193"/>
      <c r="N332" s="193"/>
      <c r="O332" s="622">
        <f t="shared" ref="O332:O349" si="437">J332*E332</f>
        <v>23891.26</v>
      </c>
      <c r="P332" s="194">
        <v>2</v>
      </c>
      <c r="Q332" s="622">
        <f t="shared" ref="Q332:Q345" si="438">TRUNC(P332*E332,2)</f>
        <v>23891.26</v>
      </c>
      <c r="R332" s="745">
        <v>0</v>
      </c>
      <c r="S332" s="746">
        <f t="shared" ref="S332:S345" si="439">U332-Q332</f>
        <v>0</v>
      </c>
      <c r="T332" s="194">
        <f t="shared" ref="T332:T345" si="440">R332+P332</f>
        <v>2</v>
      </c>
      <c r="U332" s="630">
        <f t="shared" ref="U332:U345" si="441">TRUNC(T332*E332,2)</f>
        <v>23891.26</v>
      </c>
      <c r="V332" s="194">
        <f t="shared" si="391"/>
        <v>0</v>
      </c>
      <c r="W332" s="630">
        <v>0</v>
      </c>
    </row>
    <row r="333" spans="1:23" ht="25.5">
      <c r="A333" s="190" t="s">
        <v>483</v>
      </c>
      <c r="B333" s="191" t="s">
        <v>295</v>
      </c>
      <c r="C333" s="657" t="s">
        <v>305</v>
      </c>
      <c r="D333" s="192" t="s">
        <v>51</v>
      </c>
      <c r="E333" s="193">
        <v>1268.83</v>
      </c>
      <c r="F333" s="194">
        <v>35.799999999999997</v>
      </c>
      <c r="G333" s="194"/>
      <c r="H333" s="194">
        <v>0</v>
      </c>
      <c r="I333" s="194">
        <f>F333</f>
        <v>35.799999999999997</v>
      </c>
      <c r="J333" s="193">
        <f t="shared" si="435"/>
        <v>0</v>
      </c>
      <c r="K333" s="193">
        <f t="shared" ref="K333:K342" si="442">F333*E333</f>
        <v>45424.113999999994</v>
      </c>
      <c r="L333" s="193">
        <f t="shared" ref="L333:L342" si="443">H333*E333</f>
        <v>0</v>
      </c>
      <c r="M333" s="193"/>
      <c r="N333" s="193">
        <f t="shared" ref="N333:N342" si="444">I333*E333</f>
        <v>45424.113999999994</v>
      </c>
      <c r="O333" s="622">
        <f t="shared" si="437"/>
        <v>0</v>
      </c>
      <c r="P333" s="194">
        <v>0</v>
      </c>
      <c r="Q333" s="622">
        <f t="shared" si="438"/>
        <v>0</v>
      </c>
      <c r="R333" s="745">
        <f>IFERROR(VLOOKUP(A333,#REF!,18,FALSE),)</f>
        <v>0</v>
      </c>
      <c r="S333" s="746">
        <f t="shared" si="439"/>
        <v>0</v>
      </c>
      <c r="T333" s="194">
        <f t="shared" si="440"/>
        <v>0</v>
      </c>
      <c r="U333" s="630">
        <f t="shared" si="441"/>
        <v>0</v>
      </c>
      <c r="V333" s="194">
        <v>0</v>
      </c>
      <c r="W333" s="630"/>
    </row>
    <row r="334" spans="1:23" ht="29.25" customHeight="1">
      <c r="A334" s="190" t="s">
        <v>484</v>
      </c>
      <c r="B334" s="191" t="s">
        <v>296</v>
      </c>
      <c r="C334" s="657" t="s">
        <v>306</v>
      </c>
      <c r="D334" s="192" t="s">
        <v>51</v>
      </c>
      <c r="E334" s="193">
        <v>294.97000000000003</v>
      </c>
      <c r="F334" s="194">
        <v>35.799999999999997</v>
      </c>
      <c r="G334" s="194"/>
      <c r="H334" s="194">
        <f>REPLANILHAMENTO!H283</f>
        <v>138.19999999999999</v>
      </c>
      <c r="I334" s="194"/>
      <c r="J334" s="193">
        <f t="shared" si="435"/>
        <v>174</v>
      </c>
      <c r="K334" s="193">
        <f t="shared" si="442"/>
        <v>10559.925999999999</v>
      </c>
      <c r="L334" s="193">
        <f t="shared" si="443"/>
        <v>40764.853999999999</v>
      </c>
      <c r="M334" s="193"/>
      <c r="N334" s="193">
        <f t="shared" si="444"/>
        <v>0</v>
      </c>
      <c r="O334" s="622">
        <f t="shared" si="437"/>
        <v>51324.780000000006</v>
      </c>
      <c r="P334" s="194">
        <f>'3.4.3.3'!R19</f>
        <v>174</v>
      </c>
      <c r="Q334" s="622">
        <f t="shared" si="438"/>
        <v>51324.78</v>
      </c>
      <c r="R334" s="745">
        <f>'3.4.3.3'!R20</f>
        <v>0</v>
      </c>
      <c r="S334" s="746">
        <f t="shared" si="439"/>
        <v>0</v>
      </c>
      <c r="T334" s="194">
        <f t="shared" si="440"/>
        <v>174</v>
      </c>
      <c r="U334" s="630">
        <f t="shared" si="441"/>
        <v>51324.78</v>
      </c>
      <c r="V334" s="194">
        <f>J334-T334</f>
        <v>0</v>
      </c>
      <c r="W334" s="630">
        <f>V334*E334</f>
        <v>0</v>
      </c>
    </row>
    <row r="335" spans="1:23">
      <c r="A335" s="190" t="s">
        <v>485</v>
      </c>
      <c r="B335" s="191" t="s">
        <v>297</v>
      </c>
      <c r="C335" s="657" t="s">
        <v>307</v>
      </c>
      <c r="D335" s="192" t="s">
        <v>51</v>
      </c>
      <c r="E335" s="193">
        <v>309.62</v>
      </c>
      <c r="F335" s="194">
        <v>2.8</v>
      </c>
      <c r="G335" s="194"/>
      <c r="H335" s="194"/>
      <c r="I335" s="194">
        <f>F335</f>
        <v>2.8</v>
      </c>
      <c r="J335" s="193">
        <f t="shared" si="435"/>
        <v>0</v>
      </c>
      <c r="K335" s="193">
        <f t="shared" si="442"/>
        <v>866.93599999999992</v>
      </c>
      <c r="L335" s="193">
        <f t="shared" si="443"/>
        <v>0</v>
      </c>
      <c r="M335" s="193"/>
      <c r="N335" s="193">
        <f t="shared" si="444"/>
        <v>866.93599999999992</v>
      </c>
      <c r="O335" s="622">
        <f t="shared" si="437"/>
        <v>0</v>
      </c>
      <c r="P335" s="194">
        <v>0</v>
      </c>
      <c r="Q335" s="622">
        <f t="shared" si="438"/>
        <v>0</v>
      </c>
      <c r="R335" s="745">
        <f>IFERROR(VLOOKUP(A335,#REF!,18,FALSE),)</f>
        <v>0</v>
      </c>
      <c r="S335" s="746">
        <f t="shared" si="439"/>
        <v>0</v>
      </c>
      <c r="T335" s="194">
        <f t="shared" si="440"/>
        <v>0</v>
      </c>
      <c r="U335" s="630">
        <f t="shared" si="441"/>
        <v>0</v>
      </c>
      <c r="V335" s="194"/>
      <c r="W335" s="630"/>
    </row>
    <row r="336" spans="1:23" ht="29.25" customHeight="1">
      <c r="A336" s="190" t="s">
        <v>486</v>
      </c>
      <c r="B336" s="191" t="s">
        <v>298</v>
      </c>
      <c r="C336" s="657" t="s">
        <v>308</v>
      </c>
      <c r="D336" s="192" t="s">
        <v>51</v>
      </c>
      <c r="E336" s="193">
        <v>358.26</v>
      </c>
      <c r="F336" s="194">
        <v>2.8</v>
      </c>
      <c r="G336" s="194"/>
      <c r="H336" s="194">
        <v>171.2</v>
      </c>
      <c r="I336" s="194"/>
      <c r="J336" s="193">
        <f t="shared" si="435"/>
        <v>174</v>
      </c>
      <c r="K336" s="193">
        <f t="shared" si="442"/>
        <v>1003.1279999999999</v>
      </c>
      <c r="L336" s="193">
        <f t="shared" si="443"/>
        <v>61334.111999999994</v>
      </c>
      <c r="M336" s="193"/>
      <c r="N336" s="193">
        <f t="shared" si="444"/>
        <v>0</v>
      </c>
      <c r="O336" s="622">
        <f t="shared" si="437"/>
        <v>62337.24</v>
      </c>
      <c r="P336" s="194">
        <f>'3.4.3.5'!R19</f>
        <v>174</v>
      </c>
      <c r="Q336" s="622">
        <f t="shared" si="438"/>
        <v>62337.24</v>
      </c>
      <c r="R336" s="745">
        <f>'3.4.3.5'!R20</f>
        <v>0</v>
      </c>
      <c r="S336" s="746">
        <f t="shared" si="439"/>
        <v>0</v>
      </c>
      <c r="T336" s="194">
        <f t="shared" si="440"/>
        <v>174</v>
      </c>
      <c r="U336" s="630">
        <f t="shared" si="441"/>
        <v>62337.24</v>
      </c>
      <c r="V336" s="194">
        <f>J336-T336</f>
        <v>0</v>
      </c>
      <c r="W336" s="630">
        <f>V336*E336</f>
        <v>0</v>
      </c>
    </row>
    <row r="337" spans="1:23" ht="25.5">
      <c r="A337" s="190" t="s">
        <v>487</v>
      </c>
      <c r="B337" s="191" t="s">
        <v>497</v>
      </c>
      <c r="C337" s="657" t="s">
        <v>500</v>
      </c>
      <c r="D337" s="192" t="s">
        <v>51</v>
      </c>
      <c r="E337" s="193">
        <v>3440.35</v>
      </c>
      <c r="F337" s="194">
        <v>8</v>
      </c>
      <c r="G337" s="194"/>
      <c r="H337" s="194"/>
      <c r="I337" s="194">
        <f>F337</f>
        <v>8</v>
      </c>
      <c r="J337" s="193">
        <f t="shared" si="435"/>
        <v>0</v>
      </c>
      <c r="K337" s="193">
        <f t="shared" si="442"/>
        <v>27522.799999999999</v>
      </c>
      <c r="L337" s="193">
        <f t="shared" si="443"/>
        <v>0</v>
      </c>
      <c r="M337" s="193"/>
      <c r="N337" s="193">
        <f t="shared" si="444"/>
        <v>27522.799999999999</v>
      </c>
      <c r="O337" s="622">
        <f t="shared" si="437"/>
        <v>0</v>
      </c>
      <c r="P337" s="194">
        <v>0</v>
      </c>
      <c r="Q337" s="622">
        <f t="shared" si="438"/>
        <v>0</v>
      </c>
      <c r="R337" s="745">
        <f>IFERROR(VLOOKUP(A337,#REF!,18,FALSE),)</f>
        <v>0</v>
      </c>
      <c r="S337" s="746">
        <f t="shared" si="439"/>
        <v>0</v>
      </c>
      <c r="T337" s="194">
        <f t="shared" si="440"/>
        <v>0</v>
      </c>
      <c r="U337" s="630">
        <f t="shared" si="441"/>
        <v>0</v>
      </c>
      <c r="V337" s="194">
        <v>0</v>
      </c>
      <c r="W337" s="630"/>
    </row>
    <row r="338" spans="1:23" ht="50.25" customHeight="1">
      <c r="A338" s="190" t="s">
        <v>488</v>
      </c>
      <c r="B338" s="191" t="s">
        <v>498</v>
      </c>
      <c r="C338" s="657" t="s">
        <v>501</v>
      </c>
      <c r="D338" s="192" t="s">
        <v>51</v>
      </c>
      <c r="E338" s="193">
        <v>2019.23</v>
      </c>
      <c r="F338" s="194">
        <v>8</v>
      </c>
      <c r="G338" s="194"/>
      <c r="H338" s="194">
        <f>REPLANILHAMENTO!H289</f>
        <v>23.200000000000003</v>
      </c>
      <c r="I338" s="194"/>
      <c r="J338" s="193">
        <f t="shared" si="435"/>
        <v>31.200000000000003</v>
      </c>
      <c r="K338" s="193">
        <f t="shared" si="442"/>
        <v>16153.84</v>
      </c>
      <c r="L338" s="193">
        <f t="shared" si="443"/>
        <v>46846.136000000006</v>
      </c>
      <c r="M338" s="193"/>
      <c r="N338" s="193">
        <f t="shared" si="444"/>
        <v>0</v>
      </c>
      <c r="O338" s="622">
        <f t="shared" si="437"/>
        <v>62999.97600000001</v>
      </c>
      <c r="P338" s="194">
        <f>'3.4.3.7'!R19</f>
        <v>31.2</v>
      </c>
      <c r="Q338" s="622">
        <f t="shared" si="438"/>
        <v>62999.97</v>
      </c>
      <c r="R338" s="745">
        <f>'3.4.3.7'!R20</f>
        <v>0</v>
      </c>
      <c r="S338" s="746">
        <f t="shared" si="439"/>
        <v>0</v>
      </c>
      <c r="T338" s="194">
        <f t="shared" si="440"/>
        <v>31.2</v>
      </c>
      <c r="U338" s="630">
        <f t="shared" si="441"/>
        <v>62999.97</v>
      </c>
      <c r="V338" s="194">
        <f>J338-T338</f>
        <v>0</v>
      </c>
      <c r="W338" s="630">
        <f>V338*E338</f>
        <v>0</v>
      </c>
    </row>
    <row r="339" spans="1:23" ht="25.5">
      <c r="A339" s="190" t="s">
        <v>489</v>
      </c>
      <c r="B339" s="191" t="s">
        <v>299</v>
      </c>
      <c r="C339" s="657" t="s">
        <v>309</v>
      </c>
      <c r="D339" s="192" t="s">
        <v>29</v>
      </c>
      <c r="E339" s="193">
        <v>8.1199999999999992</v>
      </c>
      <c r="F339" s="194">
        <v>3870</v>
      </c>
      <c r="G339" s="194"/>
      <c r="H339" s="194"/>
      <c r="I339" s="194">
        <f>F339</f>
        <v>3870</v>
      </c>
      <c r="J339" s="193">
        <f t="shared" si="435"/>
        <v>0</v>
      </c>
      <c r="K339" s="193">
        <f t="shared" si="442"/>
        <v>31424.399999999998</v>
      </c>
      <c r="L339" s="193">
        <f t="shared" si="443"/>
        <v>0</v>
      </c>
      <c r="M339" s="193"/>
      <c r="N339" s="193">
        <f t="shared" si="444"/>
        <v>31424.399999999998</v>
      </c>
      <c r="O339" s="622">
        <f t="shared" si="437"/>
        <v>0</v>
      </c>
      <c r="P339" s="194">
        <v>0</v>
      </c>
      <c r="Q339" s="622">
        <f t="shared" si="438"/>
        <v>0</v>
      </c>
      <c r="R339" s="745">
        <f>IFERROR(VLOOKUP(A339,#REF!,18,FALSE),)</f>
        <v>0</v>
      </c>
      <c r="S339" s="746">
        <f t="shared" si="439"/>
        <v>0</v>
      </c>
      <c r="T339" s="194">
        <f t="shared" si="440"/>
        <v>0</v>
      </c>
      <c r="U339" s="630">
        <f t="shared" si="441"/>
        <v>0</v>
      </c>
      <c r="V339" s="194"/>
      <c r="W339" s="630"/>
    </row>
    <row r="340" spans="1:23">
      <c r="A340" s="190" t="s">
        <v>490</v>
      </c>
      <c r="B340" s="191" t="s">
        <v>300</v>
      </c>
      <c r="C340" s="657" t="s">
        <v>310</v>
      </c>
      <c r="D340" s="192" t="s">
        <v>29</v>
      </c>
      <c r="E340" s="193">
        <v>0.64</v>
      </c>
      <c r="F340" s="194">
        <v>3870</v>
      </c>
      <c r="G340" s="194"/>
      <c r="H340" s="194"/>
      <c r="I340" s="194">
        <f t="shared" ref="I340:I342" si="445">F340</f>
        <v>3870</v>
      </c>
      <c r="J340" s="193">
        <f t="shared" si="435"/>
        <v>0</v>
      </c>
      <c r="K340" s="193">
        <f t="shared" si="442"/>
        <v>2476.8000000000002</v>
      </c>
      <c r="L340" s="193">
        <f t="shared" si="443"/>
        <v>0</v>
      </c>
      <c r="M340" s="193"/>
      <c r="N340" s="193">
        <f t="shared" si="444"/>
        <v>2476.8000000000002</v>
      </c>
      <c r="O340" s="622">
        <f t="shared" si="437"/>
        <v>0</v>
      </c>
      <c r="P340" s="194">
        <v>0</v>
      </c>
      <c r="Q340" s="622">
        <f t="shared" si="438"/>
        <v>0</v>
      </c>
      <c r="R340" s="745">
        <f>IFERROR(VLOOKUP(A340,#REF!,18,FALSE),)</f>
        <v>0</v>
      </c>
      <c r="S340" s="746">
        <f t="shared" si="439"/>
        <v>0</v>
      </c>
      <c r="T340" s="194">
        <f t="shared" si="440"/>
        <v>0</v>
      </c>
      <c r="U340" s="630">
        <f t="shared" si="441"/>
        <v>0</v>
      </c>
      <c r="V340" s="194"/>
      <c r="W340" s="630"/>
    </row>
    <row r="341" spans="1:23" ht="38.25">
      <c r="A341" s="190" t="s">
        <v>491</v>
      </c>
      <c r="B341" s="191" t="s">
        <v>140</v>
      </c>
      <c r="C341" s="657" t="s">
        <v>150</v>
      </c>
      <c r="D341" s="192" t="s">
        <v>58</v>
      </c>
      <c r="E341" s="193">
        <v>486.08</v>
      </c>
      <c r="F341" s="194">
        <v>16.09</v>
      </c>
      <c r="G341" s="194"/>
      <c r="H341" s="194"/>
      <c r="I341" s="194">
        <f t="shared" si="445"/>
        <v>16.09</v>
      </c>
      <c r="J341" s="193">
        <f t="shared" si="435"/>
        <v>0</v>
      </c>
      <c r="K341" s="193">
        <f t="shared" si="442"/>
        <v>7821.0271999999995</v>
      </c>
      <c r="L341" s="193">
        <f t="shared" si="443"/>
        <v>0</v>
      </c>
      <c r="M341" s="193"/>
      <c r="N341" s="193">
        <f t="shared" si="444"/>
        <v>7821.0271999999995</v>
      </c>
      <c r="O341" s="622">
        <f t="shared" si="437"/>
        <v>0</v>
      </c>
      <c r="P341" s="194">
        <v>0</v>
      </c>
      <c r="Q341" s="622">
        <f t="shared" si="438"/>
        <v>0</v>
      </c>
      <c r="R341" s="745">
        <f>IFERROR(VLOOKUP(A341,#REF!,18,FALSE),)</f>
        <v>0</v>
      </c>
      <c r="S341" s="746">
        <f t="shared" si="439"/>
        <v>0</v>
      </c>
      <c r="T341" s="194">
        <f t="shared" si="440"/>
        <v>0</v>
      </c>
      <c r="U341" s="630">
        <f t="shared" si="441"/>
        <v>0</v>
      </c>
      <c r="V341" s="194"/>
      <c r="W341" s="630"/>
    </row>
    <row r="342" spans="1:23">
      <c r="A342" s="190" t="s">
        <v>492</v>
      </c>
      <c r="B342" s="191" t="s">
        <v>301</v>
      </c>
      <c r="C342" s="657" t="s">
        <v>311</v>
      </c>
      <c r="D342" s="192" t="s">
        <v>49</v>
      </c>
      <c r="E342" s="193">
        <v>105.97</v>
      </c>
      <c r="F342" s="194">
        <v>16.09</v>
      </c>
      <c r="G342" s="194"/>
      <c r="H342" s="194"/>
      <c r="I342" s="194">
        <f t="shared" si="445"/>
        <v>16.09</v>
      </c>
      <c r="J342" s="193">
        <f t="shared" si="435"/>
        <v>0</v>
      </c>
      <c r="K342" s="193">
        <f t="shared" si="442"/>
        <v>1705.0572999999999</v>
      </c>
      <c r="L342" s="193">
        <f t="shared" si="443"/>
        <v>0</v>
      </c>
      <c r="M342" s="193"/>
      <c r="N342" s="193">
        <f t="shared" si="444"/>
        <v>1705.0572999999999</v>
      </c>
      <c r="O342" s="622">
        <f t="shared" si="437"/>
        <v>0</v>
      </c>
      <c r="P342" s="194">
        <v>0</v>
      </c>
      <c r="Q342" s="622">
        <f t="shared" si="438"/>
        <v>0</v>
      </c>
      <c r="R342" s="745">
        <f>IFERROR(VLOOKUP(A342,#REF!,18,FALSE),)</f>
        <v>0</v>
      </c>
      <c r="S342" s="746">
        <f t="shared" si="439"/>
        <v>0</v>
      </c>
      <c r="T342" s="194">
        <f t="shared" si="440"/>
        <v>0</v>
      </c>
      <c r="U342" s="630">
        <f t="shared" si="441"/>
        <v>0</v>
      </c>
      <c r="V342" s="194"/>
      <c r="W342" s="630"/>
    </row>
    <row r="343" spans="1:23" ht="33" customHeight="1">
      <c r="A343" s="190" t="s">
        <v>493</v>
      </c>
      <c r="B343" s="191" t="s">
        <v>302</v>
      </c>
      <c r="C343" s="657" t="s">
        <v>312</v>
      </c>
      <c r="D343" s="192" t="s">
        <v>72</v>
      </c>
      <c r="E343" s="193">
        <v>1.62</v>
      </c>
      <c r="F343" s="194">
        <v>4</v>
      </c>
      <c r="G343" s="194"/>
      <c r="H343" s="194"/>
      <c r="I343" s="194"/>
      <c r="J343" s="193">
        <f t="shared" si="435"/>
        <v>4</v>
      </c>
      <c r="K343" s="193">
        <f t="shared" ref="K343" si="446">J343*E343</f>
        <v>6.48</v>
      </c>
      <c r="L343" s="193"/>
      <c r="M343" s="193"/>
      <c r="N343" s="193"/>
      <c r="O343" s="622">
        <f t="shared" si="437"/>
        <v>6.48</v>
      </c>
      <c r="P343" s="194">
        <f>'3.4.3.12'!R19</f>
        <v>4</v>
      </c>
      <c r="Q343" s="622">
        <f t="shared" si="438"/>
        <v>6.48</v>
      </c>
      <c r="R343" s="745">
        <f>'3.4.3.12'!R20</f>
        <v>0</v>
      </c>
      <c r="S343" s="746">
        <f t="shared" si="439"/>
        <v>0</v>
      </c>
      <c r="T343" s="194">
        <f t="shared" si="440"/>
        <v>4</v>
      </c>
      <c r="U343" s="630">
        <f t="shared" si="441"/>
        <v>6.48</v>
      </c>
      <c r="V343" s="194">
        <f t="shared" si="391"/>
        <v>0</v>
      </c>
      <c r="W343" s="630">
        <f>V343*E343</f>
        <v>0</v>
      </c>
    </row>
    <row r="344" spans="1:23" ht="25.5">
      <c r="A344" s="190" t="s">
        <v>494</v>
      </c>
      <c r="B344" s="191" t="s">
        <v>303</v>
      </c>
      <c r="C344" s="657" t="s">
        <v>313</v>
      </c>
      <c r="D344" s="192" t="s">
        <v>72</v>
      </c>
      <c r="E344" s="193">
        <v>5793.75</v>
      </c>
      <c r="F344" s="194">
        <v>2</v>
      </c>
      <c r="G344" s="194"/>
      <c r="H344" s="194"/>
      <c r="I344" s="194">
        <f>F344</f>
        <v>2</v>
      </c>
      <c r="J344" s="193">
        <f t="shared" si="435"/>
        <v>0</v>
      </c>
      <c r="K344" s="193">
        <f t="shared" ref="K344:K349" si="447">F344*E344</f>
        <v>11587.5</v>
      </c>
      <c r="L344" s="193">
        <f t="shared" ref="L344:L349" si="448">H344*E344</f>
        <v>0</v>
      </c>
      <c r="M344" s="193"/>
      <c r="N344" s="193">
        <f t="shared" ref="N344:N349" si="449">I344*E344</f>
        <v>11587.5</v>
      </c>
      <c r="O344" s="622">
        <f t="shared" si="437"/>
        <v>0</v>
      </c>
      <c r="P344" s="194">
        <v>0</v>
      </c>
      <c r="Q344" s="622">
        <f t="shared" si="438"/>
        <v>0</v>
      </c>
      <c r="R344" s="745">
        <f>IFERROR(VLOOKUP(A344,#REF!,18,FALSE),)</f>
        <v>0</v>
      </c>
      <c r="S344" s="746">
        <f t="shared" si="439"/>
        <v>0</v>
      </c>
      <c r="T344" s="194">
        <f t="shared" si="440"/>
        <v>0</v>
      </c>
      <c r="U344" s="630">
        <f t="shared" si="441"/>
        <v>0</v>
      </c>
      <c r="V344" s="194"/>
      <c r="W344" s="630"/>
    </row>
    <row r="345" spans="1:23" ht="25.5">
      <c r="A345" s="190" t="s">
        <v>495</v>
      </c>
      <c r="B345" s="191">
        <v>190418</v>
      </c>
      <c r="C345" s="657" t="s">
        <v>314</v>
      </c>
      <c r="D345" s="192" t="s">
        <v>57</v>
      </c>
      <c r="E345" s="193">
        <v>33.049999999999997</v>
      </c>
      <c r="F345" s="194">
        <v>36.71</v>
      </c>
      <c r="G345" s="194"/>
      <c r="H345" s="194">
        <f>REPLANILHAMENTO!H297</f>
        <v>12.46</v>
      </c>
      <c r="I345" s="194"/>
      <c r="J345" s="193">
        <f t="shared" si="435"/>
        <v>49.17</v>
      </c>
      <c r="K345" s="193">
        <f t="shared" si="447"/>
        <v>1213.2655</v>
      </c>
      <c r="L345" s="193">
        <f t="shared" si="448"/>
        <v>411.803</v>
      </c>
      <c r="M345" s="193"/>
      <c r="N345" s="193">
        <f t="shared" si="449"/>
        <v>0</v>
      </c>
      <c r="O345" s="622">
        <f t="shared" si="437"/>
        <v>1625.0684999999999</v>
      </c>
      <c r="P345" s="194">
        <v>49.17</v>
      </c>
      <c r="Q345" s="622">
        <f t="shared" si="438"/>
        <v>1625.06</v>
      </c>
      <c r="R345" s="745">
        <v>0</v>
      </c>
      <c r="S345" s="746">
        <f t="shared" si="439"/>
        <v>0</v>
      </c>
      <c r="T345" s="194">
        <f t="shared" si="440"/>
        <v>49.17</v>
      </c>
      <c r="U345" s="630">
        <f t="shared" si="441"/>
        <v>1625.06</v>
      </c>
      <c r="V345" s="194">
        <f>J345-T345</f>
        <v>0</v>
      </c>
      <c r="W345" s="630">
        <f>V345*E345</f>
        <v>0</v>
      </c>
    </row>
    <row r="346" spans="1:23" ht="25.5">
      <c r="A346" s="190" t="s">
        <v>1186</v>
      </c>
      <c r="B346" s="191" t="str">
        <f>REPLANILHAMENTO!B282</f>
        <v>COMP-A02</v>
      </c>
      <c r="C346" s="657" t="str">
        <f>REPLANILHAMENTO!D282</f>
        <v>Camisa metálica com espessura de 12.7 mm, D = 355 mm, cravada, exclusive escavação e concretagem</v>
      </c>
      <c r="D346" s="192" t="s">
        <v>51</v>
      </c>
      <c r="E346" s="193">
        <f>REPLANILHAMENTO!F282</f>
        <v>742.5</v>
      </c>
      <c r="F346" s="194">
        <v>0</v>
      </c>
      <c r="G346" s="194"/>
      <c r="H346" s="194">
        <v>174</v>
      </c>
      <c r="I346" s="194">
        <v>0</v>
      </c>
      <c r="J346" s="193">
        <f>F346+H346-I346</f>
        <v>174</v>
      </c>
      <c r="K346" s="193">
        <f t="shared" si="447"/>
        <v>0</v>
      </c>
      <c r="L346" s="193">
        <f t="shared" si="448"/>
        <v>129195</v>
      </c>
      <c r="M346" s="193"/>
      <c r="N346" s="193">
        <f t="shared" si="449"/>
        <v>0</v>
      </c>
      <c r="O346" s="622">
        <f t="shared" si="437"/>
        <v>129195</v>
      </c>
      <c r="P346" s="194">
        <f>'3.4.3.15'!R19</f>
        <v>174</v>
      </c>
      <c r="Q346" s="622">
        <f>P346*E346</f>
        <v>129195</v>
      </c>
      <c r="R346" s="745">
        <f>'3.4.3.15'!R20</f>
        <v>0</v>
      </c>
      <c r="S346" s="746">
        <f>R346*E346</f>
        <v>0</v>
      </c>
      <c r="T346" s="194">
        <f>P346+R346</f>
        <v>174</v>
      </c>
      <c r="U346" s="630">
        <f>T346*E346</f>
        <v>129195</v>
      </c>
      <c r="V346" s="194">
        <f>J346-T346</f>
        <v>0</v>
      </c>
      <c r="W346" s="630">
        <f>V346*E346</f>
        <v>0</v>
      </c>
    </row>
    <row r="347" spans="1:23" ht="25.5">
      <c r="A347" s="190" t="s">
        <v>1187</v>
      </c>
      <c r="B347" s="191" t="s">
        <v>1182</v>
      </c>
      <c r="C347" s="657" t="str">
        <f>REPLANILHAMENTO!D285</f>
        <v>Estaca raiz perfurada em solo, diâm. 410mm com injeção de arg. incl. fornecimento de todos materiais</v>
      </c>
      <c r="D347" s="192" t="s">
        <v>51</v>
      </c>
      <c r="E347" s="193">
        <f>REPLANILHAMENTO!F285</f>
        <v>578.87</v>
      </c>
      <c r="F347" s="194">
        <v>0</v>
      </c>
      <c r="G347" s="194"/>
      <c r="H347" s="194">
        <f>REPLANILHAMENTO!H285</f>
        <v>174</v>
      </c>
      <c r="I347" s="194">
        <v>0</v>
      </c>
      <c r="J347" s="193">
        <f>F347+H347-I347</f>
        <v>174</v>
      </c>
      <c r="K347" s="193">
        <f t="shared" si="447"/>
        <v>0</v>
      </c>
      <c r="L347" s="193">
        <f t="shared" si="448"/>
        <v>100723.38</v>
      </c>
      <c r="M347" s="193"/>
      <c r="N347" s="193">
        <f t="shared" si="449"/>
        <v>0</v>
      </c>
      <c r="O347" s="622">
        <f t="shared" si="437"/>
        <v>100723.38</v>
      </c>
      <c r="P347" s="194">
        <f>'3.4.3.16'!R28</f>
        <v>174</v>
      </c>
      <c r="Q347" s="622">
        <f t="shared" ref="Q347:Q349" si="450">P347*E347</f>
        <v>100723.38</v>
      </c>
      <c r="R347" s="745">
        <f>'3.4.3.16'!R29</f>
        <v>0</v>
      </c>
      <c r="S347" s="746">
        <f t="shared" ref="S347:S350" si="451">R347*E347</f>
        <v>0</v>
      </c>
      <c r="T347" s="194">
        <f t="shared" ref="T347:T349" si="452">P347+R347</f>
        <v>174</v>
      </c>
      <c r="U347" s="630">
        <f t="shared" ref="U347:U349" si="453">T347*E347</f>
        <v>100723.38</v>
      </c>
      <c r="V347" s="194">
        <f t="shared" ref="V347:V349" si="454">J347-T347</f>
        <v>0</v>
      </c>
      <c r="W347" s="630">
        <f>V347*E347</f>
        <v>0</v>
      </c>
    </row>
    <row r="348" spans="1:23" ht="24" customHeight="1">
      <c r="A348" s="190" t="s">
        <v>1189</v>
      </c>
      <c r="B348" s="191" t="s">
        <v>1184</v>
      </c>
      <c r="C348" s="657" t="str">
        <f>REPLANILHAMENTO!D288</f>
        <v>Estaca raiz perfurada em rocha, diâm. 310mm com injeção de arg. incl. fornecimento de todos materiais</v>
      </c>
      <c r="D348" s="192" t="s">
        <v>51</v>
      </c>
      <c r="E348" s="193">
        <f>REPLANILHAMENTO!F288</f>
        <v>1018.16</v>
      </c>
      <c r="F348" s="194"/>
      <c r="G348" s="194"/>
      <c r="H348" s="194">
        <v>31.2</v>
      </c>
      <c r="I348" s="194"/>
      <c r="J348" s="193">
        <f t="shared" si="435"/>
        <v>31.2</v>
      </c>
      <c r="K348" s="193">
        <f t="shared" si="447"/>
        <v>0</v>
      </c>
      <c r="L348" s="193">
        <f t="shared" si="448"/>
        <v>31766.591999999997</v>
      </c>
      <c r="M348" s="193"/>
      <c r="N348" s="193">
        <f t="shared" si="449"/>
        <v>0</v>
      </c>
      <c r="O348" s="622">
        <f t="shared" si="437"/>
        <v>31766.591999999997</v>
      </c>
      <c r="P348" s="194">
        <f>'3.4.3.17'!R25</f>
        <v>31.200000000000006</v>
      </c>
      <c r="Q348" s="622">
        <f t="shared" si="450"/>
        <v>31766.592000000004</v>
      </c>
      <c r="R348" s="745">
        <f>'3.4.3.17'!R26</f>
        <v>0</v>
      </c>
      <c r="S348" s="746">
        <f t="shared" si="451"/>
        <v>0</v>
      </c>
      <c r="T348" s="194">
        <f t="shared" si="452"/>
        <v>31.200000000000006</v>
      </c>
      <c r="U348" s="630">
        <f t="shared" si="453"/>
        <v>31766.592000000004</v>
      </c>
      <c r="V348" s="194">
        <f t="shared" si="454"/>
        <v>0</v>
      </c>
      <c r="W348" s="630">
        <f t="shared" ref="W348:W350" si="455">V348*E348</f>
        <v>0</v>
      </c>
    </row>
    <row r="349" spans="1:23" ht="24" customHeight="1">
      <c r="A349" s="190" t="s">
        <v>1191</v>
      </c>
      <c r="B349" s="191" t="s">
        <v>1188</v>
      </c>
      <c r="C349" s="657" t="str">
        <f>REPLANILHAMENTO!D296</f>
        <v>Tubo de travamento de 12,7 mm D = 300 mm L = 5,10 m - fornecimento e instalação</v>
      </c>
      <c r="D349" s="192" t="str">
        <f>REPLANILHAMENTO!E296</f>
        <v>un</v>
      </c>
      <c r="E349" s="193">
        <f>REPLANILHAMENTO!F296</f>
        <v>6550.59</v>
      </c>
      <c r="F349" s="194"/>
      <c r="G349" s="194"/>
      <c r="H349" s="194">
        <v>2</v>
      </c>
      <c r="I349" s="194"/>
      <c r="J349" s="193">
        <f t="shared" si="435"/>
        <v>2</v>
      </c>
      <c r="K349" s="193">
        <f t="shared" si="447"/>
        <v>0</v>
      </c>
      <c r="L349" s="193">
        <f t="shared" si="448"/>
        <v>13101.18</v>
      </c>
      <c r="M349" s="193"/>
      <c r="N349" s="193">
        <f t="shared" si="449"/>
        <v>0</v>
      </c>
      <c r="O349" s="622">
        <f t="shared" si="437"/>
        <v>13101.18</v>
      </c>
      <c r="P349" s="194">
        <v>2</v>
      </c>
      <c r="Q349" s="622">
        <f t="shared" si="450"/>
        <v>13101.18</v>
      </c>
      <c r="R349" s="745">
        <v>0</v>
      </c>
      <c r="S349" s="746">
        <f t="shared" si="451"/>
        <v>0</v>
      </c>
      <c r="T349" s="194">
        <f t="shared" si="452"/>
        <v>2</v>
      </c>
      <c r="U349" s="630">
        <f t="shared" si="453"/>
        <v>13101.18</v>
      </c>
      <c r="V349" s="194">
        <f t="shared" si="454"/>
        <v>0</v>
      </c>
      <c r="W349" s="630">
        <f t="shared" si="455"/>
        <v>0</v>
      </c>
    </row>
    <row r="350" spans="1:23" s="765" customFormat="1" ht="24" customHeight="1">
      <c r="A350" s="758" t="s">
        <v>1188</v>
      </c>
      <c r="B350" s="759" t="s">
        <v>1191</v>
      </c>
      <c r="C350" s="760" t="s">
        <v>1511</v>
      </c>
      <c r="D350" s="761" t="s">
        <v>51</v>
      </c>
      <c r="E350" s="757">
        <v>619.1</v>
      </c>
      <c r="F350" s="762">
        <v>0</v>
      </c>
      <c r="G350" s="762">
        <v>19.95</v>
      </c>
      <c r="H350" s="762"/>
      <c r="I350" s="762"/>
      <c r="J350" s="757">
        <f>F350+G350+H350-I350</f>
        <v>19.95</v>
      </c>
      <c r="K350" s="757"/>
      <c r="L350" s="757"/>
      <c r="M350" s="757">
        <f>G350*E350</f>
        <v>12351.045</v>
      </c>
      <c r="N350" s="757"/>
      <c r="O350" s="763">
        <f>J350*E350</f>
        <v>12351.045</v>
      </c>
      <c r="P350" s="762"/>
      <c r="Q350" s="763"/>
      <c r="R350" s="787">
        <v>19.95</v>
      </c>
      <c r="S350" s="788">
        <f t="shared" si="451"/>
        <v>12351.045</v>
      </c>
      <c r="T350" s="762">
        <f t="shared" ref="T350" si="456">R350+P350</f>
        <v>19.95</v>
      </c>
      <c r="U350" s="764">
        <f t="shared" ref="U350" si="457">TRUNC(T350*E350,2)</f>
        <v>12351.04</v>
      </c>
      <c r="V350" s="762">
        <f>J350-T350</f>
        <v>0</v>
      </c>
      <c r="W350" s="764">
        <f t="shared" si="455"/>
        <v>0</v>
      </c>
    </row>
    <row r="351" spans="1:23">
      <c r="A351" s="138"/>
      <c r="B351" s="132"/>
      <c r="C351" s="123"/>
      <c r="D351" s="123"/>
      <c r="E351" s="123"/>
      <c r="F351" s="123"/>
      <c r="G351" s="123"/>
      <c r="H351" s="123"/>
      <c r="I351" s="123"/>
      <c r="J351" s="123"/>
      <c r="K351" s="123"/>
      <c r="L351" s="123"/>
      <c r="M351" s="123"/>
      <c r="N351" s="123"/>
      <c r="O351" s="623"/>
      <c r="P351" s="123"/>
      <c r="Q351" s="623"/>
      <c r="R351" s="792"/>
      <c r="S351" s="792"/>
      <c r="T351" s="123"/>
      <c r="U351" s="631"/>
      <c r="V351" s="123"/>
      <c r="W351" s="631"/>
    </row>
    <row r="352" spans="1:23" s="131" customFormat="1" ht="11.25" customHeight="1">
      <c r="A352" s="137" t="s">
        <v>502</v>
      </c>
      <c r="B352" s="133"/>
      <c r="C352" s="658" t="s">
        <v>212</v>
      </c>
      <c r="D352" s="126"/>
      <c r="E352" s="127"/>
      <c r="F352" s="128"/>
      <c r="G352" s="128"/>
      <c r="H352" s="128"/>
      <c r="I352" s="128"/>
      <c r="J352" s="129"/>
      <c r="K352" s="129">
        <f>SUBTOTAL(9,K353:K353)</f>
        <v>8738.247800000001</v>
      </c>
      <c r="L352" s="129"/>
      <c r="M352" s="129"/>
      <c r="N352" s="129"/>
      <c r="O352" s="624"/>
      <c r="P352" s="130"/>
      <c r="Q352" s="624">
        <f>SUBTOTAL(9,Q353:Q353)</f>
        <v>8738.24</v>
      </c>
      <c r="R352" s="743"/>
      <c r="S352" s="744">
        <f>SUBTOTAL(9,S353:S353)</f>
        <v>0</v>
      </c>
      <c r="T352" s="129"/>
      <c r="U352" s="624">
        <f>SUBTOTAL(9,U353:U353)</f>
        <v>8738.24</v>
      </c>
      <c r="V352" s="129">
        <f t="shared" si="391"/>
        <v>0</v>
      </c>
      <c r="W352" s="624">
        <f>SUBTOTAL(9,W353:W353)</f>
        <v>0</v>
      </c>
    </row>
    <row r="353" spans="1:23" ht="25.5">
      <c r="A353" s="190" t="s">
        <v>503</v>
      </c>
      <c r="B353" s="191" t="s">
        <v>227</v>
      </c>
      <c r="C353" s="657" t="s">
        <v>233</v>
      </c>
      <c r="D353" s="192" t="s">
        <v>51</v>
      </c>
      <c r="E353" s="193">
        <v>366.23</v>
      </c>
      <c r="F353" s="194">
        <v>23.86</v>
      </c>
      <c r="G353" s="194"/>
      <c r="H353" s="194"/>
      <c r="I353" s="194"/>
      <c r="J353" s="193">
        <f t="shared" ref="J353" si="458">F353+H353-I353</f>
        <v>23.86</v>
      </c>
      <c r="K353" s="193">
        <f t="shared" ref="K353" si="459">J353*E353</f>
        <v>8738.247800000001</v>
      </c>
      <c r="L353" s="193"/>
      <c r="M353" s="193"/>
      <c r="N353" s="193"/>
      <c r="O353" s="622">
        <f t="shared" ref="O353" si="460">J353*E353</f>
        <v>8738.247800000001</v>
      </c>
      <c r="P353" s="194">
        <v>23.86</v>
      </c>
      <c r="Q353" s="622">
        <f t="shared" ref="Q353" si="461">TRUNC(P353*E353,2)</f>
        <v>8738.24</v>
      </c>
      <c r="R353" s="745">
        <v>0</v>
      </c>
      <c r="S353" s="746">
        <f t="shared" ref="S353" si="462">U353-Q353</f>
        <v>0</v>
      </c>
      <c r="T353" s="194">
        <f t="shared" ref="T353" si="463">R353+P353</f>
        <v>23.86</v>
      </c>
      <c r="U353" s="630">
        <f t="shared" ref="U353" si="464">TRUNC(T353*E353,2)</f>
        <v>8738.24</v>
      </c>
      <c r="V353" s="194">
        <f t="shared" si="391"/>
        <v>0</v>
      </c>
      <c r="W353" s="630">
        <f>V353*E353</f>
        <v>0</v>
      </c>
    </row>
    <row r="354" spans="1:23">
      <c r="A354" s="138"/>
      <c r="B354" s="132"/>
      <c r="C354" s="123"/>
      <c r="D354" s="123"/>
      <c r="E354" s="123"/>
      <c r="F354" s="123"/>
      <c r="G354" s="123"/>
      <c r="H354" s="123"/>
      <c r="I354" s="123"/>
      <c r="J354" s="123"/>
      <c r="K354" s="123"/>
      <c r="L354" s="123"/>
      <c r="M354" s="123"/>
      <c r="N354" s="123"/>
      <c r="O354" s="623"/>
      <c r="P354" s="123"/>
      <c r="Q354" s="623"/>
      <c r="R354" s="791"/>
      <c r="S354" s="792"/>
      <c r="T354" s="123"/>
      <c r="U354" s="631"/>
      <c r="V354" s="123"/>
      <c r="W354" s="631"/>
    </row>
    <row r="355" spans="1:23" s="213" customFormat="1">
      <c r="A355" s="210" t="s">
        <v>504</v>
      </c>
      <c r="B355" s="211"/>
      <c r="C355" s="655" t="s">
        <v>318</v>
      </c>
      <c r="D355" s="197"/>
      <c r="E355" s="198"/>
      <c r="F355" s="199"/>
      <c r="G355" s="199"/>
      <c r="H355" s="199"/>
      <c r="I355" s="199"/>
      <c r="J355" s="200"/>
      <c r="K355" s="200">
        <f>SUBTOTAL(9,K356:K360)</f>
        <v>428979.5944</v>
      </c>
      <c r="L355" s="200"/>
      <c r="M355" s="200"/>
      <c r="N355" s="200"/>
      <c r="O355" s="620"/>
      <c r="P355" s="201"/>
      <c r="Q355" s="620">
        <f>SUBTOTAL(9,Q356:Q360)</f>
        <v>428979.58999999997</v>
      </c>
      <c r="R355" s="743"/>
      <c r="S355" s="744">
        <f>SUBTOTAL(9,S356:S360)</f>
        <v>0</v>
      </c>
      <c r="T355" s="200"/>
      <c r="U355" s="620">
        <f>SUBTOTAL(9,U356:U360)</f>
        <v>428979.58999999997</v>
      </c>
      <c r="V355" s="200">
        <f t="shared" si="391"/>
        <v>0</v>
      </c>
      <c r="W355" s="620">
        <f>SUBTOTAL(9,W356:W360)</f>
        <v>0</v>
      </c>
    </row>
    <row r="356" spans="1:23" s="131" customFormat="1">
      <c r="A356" s="137" t="s">
        <v>505</v>
      </c>
      <c r="B356" s="133"/>
      <c r="C356" s="658" t="s">
        <v>318</v>
      </c>
      <c r="D356" s="126"/>
      <c r="E356" s="127"/>
      <c r="F356" s="128"/>
      <c r="G356" s="128"/>
      <c r="H356" s="128"/>
      <c r="I356" s="128"/>
      <c r="J356" s="129"/>
      <c r="K356" s="129">
        <f>SUBTOTAL(9,K357:K360)</f>
        <v>428979.5944</v>
      </c>
      <c r="L356" s="129"/>
      <c r="M356" s="129"/>
      <c r="N356" s="129"/>
      <c r="O356" s="624"/>
      <c r="P356" s="130"/>
      <c r="Q356" s="624">
        <f>SUBTOTAL(9,Q357:Q360)</f>
        <v>428979.58999999997</v>
      </c>
      <c r="R356" s="743"/>
      <c r="S356" s="744">
        <f>SUBTOTAL(9,S357:S360)</f>
        <v>0</v>
      </c>
      <c r="T356" s="129"/>
      <c r="U356" s="624">
        <f>SUBTOTAL(9,U357:U360)</f>
        <v>428979.58999999997</v>
      </c>
      <c r="V356" s="129">
        <f t="shared" si="391"/>
        <v>0</v>
      </c>
      <c r="W356" s="624">
        <f>SUBTOTAL(9,W357:W360)</f>
        <v>0</v>
      </c>
    </row>
    <row r="357" spans="1:23" ht="24" customHeight="1">
      <c r="A357" s="190" t="s">
        <v>506</v>
      </c>
      <c r="B357" s="191" t="s">
        <v>323</v>
      </c>
      <c r="C357" s="657" t="s">
        <v>326</v>
      </c>
      <c r="D357" s="192" t="s">
        <v>59</v>
      </c>
      <c r="E357" s="193">
        <v>409453.83</v>
      </c>
      <c r="F357" s="194">
        <v>1</v>
      </c>
      <c r="G357" s="194"/>
      <c r="H357" s="194"/>
      <c r="I357" s="194"/>
      <c r="J357" s="193">
        <f t="shared" ref="J357:J360" si="465">F357+H357-I357</f>
        <v>1</v>
      </c>
      <c r="K357" s="193">
        <f t="shared" ref="K357:K360" si="466">J357*E357</f>
        <v>409453.83</v>
      </c>
      <c r="L357" s="193"/>
      <c r="M357" s="193"/>
      <c r="N357" s="193"/>
      <c r="O357" s="622">
        <f t="shared" ref="O357:O360" si="467">J357*E357</f>
        <v>409453.83</v>
      </c>
      <c r="P357" s="194">
        <f>'3.5.1.1'!R20</f>
        <v>0.99999999999999989</v>
      </c>
      <c r="Q357" s="622">
        <f t="shared" ref="Q357" si="468">TRUNC(P357*E357,2)</f>
        <v>409453.83</v>
      </c>
      <c r="R357" s="745">
        <f>'3.5.1.1'!R21</f>
        <v>0</v>
      </c>
      <c r="S357" s="746">
        <f t="shared" ref="S357" si="469">U357-Q357</f>
        <v>0</v>
      </c>
      <c r="T357" s="194">
        <f t="shared" ref="T357" si="470">R357+P357</f>
        <v>0.99999999999999989</v>
      </c>
      <c r="U357" s="630">
        <f t="shared" ref="U357" si="471">TRUNC(T357*E357,2)</f>
        <v>409453.83</v>
      </c>
      <c r="V357" s="194">
        <f t="shared" si="391"/>
        <v>0</v>
      </c>
      <c r="W357" s="630">
        <f>V357*E357</f>
        <v>0</v>
      </c>
    </row>
    <row r="358" spans="1:23" ht="24" customHeight="1">
      <c r="A358" s="190" t="s">
        <v>507</v>
      </c>
      <c r="B358" s="191" t="s">
        <v>324</v>
      </c>
      <c r="C358" s="657" t="s">
        <v>327</v>
      </c>
      <c r="D358" s="192" t="s">
        <v>59</v>
      </c>
      <c r="E358" s="193">
        <v>3812.11</v>
      </c>
      <c r="F358" s="194">
        <v>1</v>
      </c>
      <c r="G358" s="194"/>
      <c r="H358" s="194"/>
      <c r="I358" s="194"/>
      <c r="J358" s="193">
        <f t="shared" si="465"/>
        <v>1</v>
      </c>
      <c r="K358" s="193">
        <f t="shared" si="466"/>
        <v>3812.11</v>
      </c>
      <c r="L358" s="193"/>
      <c r="M358" s="193"/>
      <c r="N358" s="193"/>
      <c r="O358" s="622">
        <f t="shared" si="467"/>
        <v>3812.11</v>
      </c>
      <c r="P358" s="194">
        <f>'3.5.1.2'!R20</f>
        <v>1</v>
      </c>
      <c r="Q358" s="622">
        <f>TRUNC(P358*E358,2)</f>
        <v>3812.11</v>
      </c>
      <c r="R358" s="745">
        <f>'3.5.1.2'!R21</f>
        <v>0</v>
      </c>
      <c r="S358" s="746">
        <f>U358-Q358</f>
        <v>0</v>
      </c>
      <c r="T358" s="194">
        <f>R358+P358</f>
        <v>1</v>
      </c>
      <c r="U358" s="630">
        <f>TRUNC(T358*E358,2)</f>
        <v>3812.11</v>
      </c>
      <c r="V358" s="194">
        <f t="shared" si="391"/>
        <v>0</v>
      </c>
      <c r="W358" s="630">
        <f t="shared" ref="W358:W361" si="472">V358*E358</f>
        <v>0</v>
      </c>
    </row>
    <row r="359" spans="1:23" ht="24" customHeight="1">
      <c r="A359" s="190" t="s">
        <v>508</v>
      </c>
      <c r="B359" s="191" t="s">
        <v>510</v>
      </c>
      <c r="C359" s="657" t="s">
        <v>548</v>
      </c>
      <c r="D359" s="192" t="s">
        <v>72</v>
      </c>
      <c r="E359" s="193">
        <v>1735.29</v>
      </c>
      <c r="F359" s="194">
        <v>1</v>
      </c>
      <c r="G359" s="194"/>
      <c r="H359" s="194"/>
      <c r="I359" s="194"/>
      <c r="J359" s="193">
        <f t="shared" si="465"/>
        <v>1</v>
      </c>
      <c r="K359" s="193">
        <f t="shared" si="466"/>
        <v>1735.29</v>
      </c>
      <c r="L359" s="193"/>
      <c r="M359" s="193"/>
      <c r="N359" s="193"/>
      <c r="O359" s="622">
        <f t="shared" si="467"/>
        <v>1735.29</v>
      </c>
      <c r="P359" s="194">
        <f>'3.5.1.3'!R20</f>
        <v>1</v>
      </c>
      <c r="Q359" s="622">
        <f>TRUNC(P359*E359,2)</f>
        <v>1735.29</v>
      </c>
      <c r="R359" s="745">
        <f>'3.5.1.3'!R21</f>
        <v>0</v>
      </c>
      <c r="S359" s="746">
        <f>U359-Q359</f>
        <v>0</v>
      </c>
      <c r="T359" s="194">
        <f>R359+P359</f>
        <v>1</v>
      </c>
      <c r="U359" s="630">
        <f>TRUNC(T359*E359,2)</f>
        <v>1735.29</v>
      </c>
      <c r="V359" s="194">
        <f t="shared" si="391"/>
        <v>0</v>
      </c>
      <c r="W359" s="630">
        <f t="shared" si="472"/>
        <v>0</v>
      </c>
    </row>
    <row r="360" spans="1:23" ht="24" customHeight="1">
      <c r="A360" s="190" t="s">
        <v>509</v>
      </c>
      <c r="B360" s="191" t="s">
        <v>325</v>
      </c>
      <c r="C360" s="657" t="s">
        <v>328</v>
      </c>
      <c r="D360" s="192" t="s">
        <v>50</v>
      </c>
      <c r="E360" s="193">
        <v>115.83</v>
      </c>
      <c r="F360" s="194">
        <v>120.68</v>
      </c>
      <c r="G360" s="194"/>
      <c r="H360" s="194"/>
      <c r="I360" s="194"/>
      <c r="J360" s="193">
        <f t="shared" si="465"/>
        <v>120.68</v>
      </c>
      <c r="K360" s="193">
        <f t="shared" si="466"/>
        <v>13978.3644</v>
      </c>
      <c r="L360" s="193"/>
      <c r="M360" s="193"/>
      <c r="N360" s="193"/>
      <c r="O360" s="622">
        <f t="shared" si="467"/>
        <v>13978.3644</v>
      </c>
      <c r="P360" s="194">
        <f>'3.5.1.4'!R19</f>
        <v>120.68</v>
      </c>
      <c r="Q360" s="622">
        <f t="shared" ref="Q360" si="473">TRUNC(P360*E360,2)</f>
        <v>13978.36</v>
      </c>
      <c r="R360" s="745">
        <f>'3.5.1.4'!R20</f>
        <v>0</v>
      </c>
      <c r="S360" s="746">
        <f t="shared" ref="S360" si="474">U360-Q360</f>
        <v>0</v>
      </c>
      <c r="T360" s="194">
        <f t="shared" ref="T360:T361" si="475">R360+P360</f>
        <v>120.68</v>
      </c>
      <c r="U360" s="630">
        <f t="shared" ref="U360:U361" si="476">TRUNC(T360*E360,2)</f>
        <v>13978.36</v>
      </c>
      <c r="V360" s="194">
        <f t="shared" si="391"/>
        <v>0</v>
      </c>
      <c r="W360" s="630">
        <f t="shared" si="472"/>
        <v>0</v>
      </c>
    </row>
    <row r="361" spans="1:23" s="765" customFormat="1" ht="24" customHeight="1">
      <c r="A361" s="758" t="s">
        <v>1517</v>
      </c>
      <c r="B361" s="759" t="s">
        <v>1193</v>
      </c>
      <c r="C361" s="760" t="s">
        <v>1518</v>
      </c>
      <c r="D361" s="761" t="s">
        <v>72</v>
      </c>
      <c r="E361" s="757">
        <v>4088.62</v>
      </c>
      <c r="F361" s="762"/>
      <c r="G361" s="762">
        <v>1</v>
      </c>
      <c r="H361" s="762"/>
      <c r="I361" s="762"/>
      <c r="J361" s="757">
        <f>F361+G361+H361-I361</f>
        <v>1</v>
      </c>
      <c r="K361" s="757"/>
      <c r="L361" s="757"/>
      <c r="M361" s="757">
        <f>G361*E361</f>
        <v>4088.62</v>
      </c>
      <c r="N361" s="757"/>
      <c r="O361" s="763">
        <f>J361*E361</f>
        <v>4088.62</v>
      </c>
      <c r="P361" s="762"/>
      <c r="Q361" s="763"/>
      <c r="R361" s="787">
        <v>1</v>
      </c>
      <c r="S361" s="788">
        <f t="shared" ref="S361" si="477">R361*E361</f>
        <v>4088.62</v>
      </c>
      <c r="T361" s="762">
        <f t="shared" si="475"/>
        <v>1</v>
      </c>
      <c r="U361" s="764">
        <f t="shared" si="476"/>
        <v>4088.62</v>
      </c>
      <c r="V361" s="762">
        <f>J361-T361</f>
        <v>0</v>
      </c>
      <c r="W361" s="764">
        <f t="shared" si="472"/>
        <v>0</v>
      </c>
    </row>
    <row r="362" spans="1:23">
      <c r="A362" s="138"/>
      <c r="B362" s="132"/>
      <c r="C362" s="123"/>
      <c r="D362" s="123"/>
      <c r="E362" s="123"/>
      <c r="F362" s="123"/>
      <c r="G362" s="123"/>
      <c r="H362" s="123"/>
      <c r="I362" s="123"/>
      <c r="J362" s="123"/>
      <c r="K362" s="123"/>
      <c r="L362" s="123"/>
      <c r="M362" s="123"/>
      <c r="N362" s="123"/>
      <c r="O362" s="623"/>
      <c r="P362" s="123"/>
      <c r="Q362" s="623"/>
      <c r="R362" s="791"/>
      <c r="S362" s="792"/>
      <c r="T362" s="123"/>
      <c r="U362" s="631"/>
      <c r="V362" s="123"/>
      <c r="W362" s="631"/>
    </row>
    <row r="363" spans="1:23" s="213" customFormat="1">
      <c r="A363" s="210" t="s">
        <v>511</v>
      </c>
      <c r="B363" s="211"/>
      <c r="C363" s="655" t="s">
        <v>329</v>
      </c>
      <c r="D363" s="197"/>
      <c r="E363" s="198"/>
      <c r="F363" s="199"/>
      <c r="G363" s="199"/>
      <c r="H363" s="199"/>
      <c r="I363" s="199"/>
      <c r="J363" s="200"/>
      <c r="K363" s="200">
        <f>SUBTOTAL(9,K364:K389)</f>
        <v>42442.573000000004</v>
      </c>
      <c r="L363" s="200"/>
      <c r="M363" s="200"/>
      <c r="N363" s="200"/>
      <c r="O363" s="620"/>
      <c r="P363" s="201"/>
      <c r="Q363" s="620">
        <f>SUBTOTAL(9,Q364:Q389)</f>
        <v>42442.560000000005</v>
      </c>
      <c r="R363" s="743"/>
      <c r="S363" s="744">
        <f>SUBTOTAL(9,S364:S389)</f>
        <v>0</v>
      </c>
      <c r="T363" s="200"/>
      <c r="U363" s="620">
        <f>SUBTOTAL(9,U364:U389)</f>
        <v>42442.560000000005</v>
      </c>
      <c r="V363" s="200">
        <f t="shared" si="391"/>
        <v>0</v>
      </c>
      <c r="W363" s="620">
        <f>SUBTOTAL(9,W364:W389)</f>
        <v>0</v>
      </c>
    </row>
    <row r="364" spans="1:23" s="131" customFormat="1">
      <c r="A364" s="137" t="s">
        <v>512</v>
      </c>
      <c r="B364" s="133"/>
      <c r="C364" s="658" t="s">
        <v>329</v>
      </c>
      <c r="D364" s="126"/>
      <c r="E364" s="127"/>
      <c r="F364" s="128"/>
      <c r="G364" s="128"/>
      <c r="H364" s="128"/>
      <c r="I364" s="128"/>
      <c r="J364" s="129"/>
      <c r="K364" s="129">
        <f>SUBTOTAL(9,K365:K383)</f>
        <v>39130.33</v>
      </c>
      <c r="L364" s="129"/>
      <c r="M364" s="129"/>
      <c r="N364" s="129"/>
      <c r="O364" s="624"/>
      <c r="P364" s="130"/>
      <c r="Q364" s="624">
        <f>SUBTOTAL(9,Q365:Q383)</f>
        <v>39130.32</v>
      </c>
      <c r="R364" s="743"/>
      <c r="S364" s="744">
        <f>SUBTOTAL(9,S365:S383)</f>
        <v>0</v>
      </c>
      <c r="T364" s="129"/>
      <c r="U364" s="624">
        <f>SUBTOTAL(9,U365:U383)</f>
        <v>39130.32</v>
      </c>
      <c r="V364" s="129">
        <f t="shared" ref="V364:V397" si="478">F364-T364</f>
        <v>0</v>
      </c>
      <c r="W364" s="624">
        <f>SUBTOTAL(9,W365:W383)</f>
        <v>0</v>
      </c>
    </row>
    <row r="365" spans="1:23" ht="25.5">
      <c r="A365" s="190" t="s">
        <v>513</v>
      </c>
      <c r="B365" s="191">
        <v>151701</v>
      </c>
      <c r="C365" s="657" t="s">
        <v>685</v>
      </c>
      <c r="D365" s="192" t="s">
        <v>59</v>
      </c>
      <c r="E365" s="193">
        <v>1510.64</v>
      </c>
      <c r="F365" s="194">
        <v>1</v>
      </c>
      <c r="G365" s="194"/>
      <c r="H365" s="194"/>
      <c r="I365" s="194"/>
      <c r="J365" s="193">
        <f t="shared" ref="J365:J383" si="479">F365+H365-I365</f>
        <v>1</v>
      </c>
      <c r="K365" s="193">
        <f t="shared" ref="K365:K383" si="480">J365*E365</f>
        <v>1510.64</v>
      </c>
      <c r="L365" s="193"/>
      <c r="M365" s="193"/>
      <c r="N365" s="193"/>
      <c r="O365" s="622">
        <f t="shared" ref="O365:O383" si="481">J365*E365</f>
        <v>1510.64</v>
      </c>
      <c r="P365" s="194">
        <v>1</v>
      </c>
      <c r="Q365" s="622">
        <f t="shared" ref="Q365:Q383" si="482">TRUNC(P365*E365,2)</f>
        <v>1510.64</v>
      </c>
      <c r="R365" s="745">
        <v>0</v>
      </c>
      <c r="S365" s="746">
        <f t="shared" ref="S365:S383" si="483">U365-Q365</f>
        <v>0</v>
      </c>
      <c r="T365" s="194">
        <f t="shared" ref="T365:T383" si="484">R365+P365</f>
        <v>1</v>
      </c>
      <c r="U365" s="630">
        <f t="shared" ref="U365:U383" si="485">TRUNC(T365*E365,2)</f>
        <v>1510.64</v>
      </c>
      <c r="V365" s="194">
        <f t="shared" si="478"/>
        <v>0</v>
      </c>
      <c r="W365" s="630">
        <f t="shared" ref="W365" si="486">V365*E365</f>
        <v>0</v>
      </c>
    </row>
    <row r="366" spans="1:23" ht="25.5">
      <c r="A366" s="190" t="s">
        <v>514</v>
      </c>
      <c r="B366" s="191">
        <v>150312</v>
      </c>
      <c r="C366" s="657" t="s">
        <v>350</v>
      </c>
      <c r="D366" s="192" t="s">
        <v>59</v>
      </c>
      <c r="E366" s="193">
        <v>103.79</v>
      </c>
      <c r="F366" s="194">
        <v>1</v>
      </c>
      <c r="G366" s="194"/>
      <c r="H366" s="194"/>
      <c r="I366" s="194"/>
      <c r="J366" s="193">
        <f t="shared" si="479"/>
        <v>1</v>
      </c>
      <c r="K366" s="193">
        <f t="shared" si="480"/>
        <v>103.79</v>
      </c>
      <c r="L366" s="193"/>
      <c r="M366" s="193"/>
      <c r="N366" s="193"/>
      <c r="O366" s="622">
        <f t="shared" si="481"/>
        <v>103.79</v>
      </c>
      <c r="P366" s="194">
        <v>1</v>
      </c>
      <c r="Q366" s="622">
        <f t="shared" si="482"/>
        <v>103.79</v>
      </c>
      <c r="R366" s="745">
        <v>0</v>
      </c>
      <c r="S366" s="746">
        <f t="shared" si="483"/>
        <v>0</v>
      </c>
      <c r="T366" s="194">
        <f t="shared" si="484"/>
        <v>1</v>
      </c>
      <c r="U366" s="630">
        <f t="shared" si="485"/>
        <v>103.79</v>
      </c>
      <c r="V366" s="194">
        <f t="shared" si="478"/>
        <v>0</v>
      </c>
      <c r="W366" s="630">
        <v>0</v>
      </c>
    </row>
    <row r="367" spans="1:23">
      <c r="A367" s="190" t="s">
        <v>515</v>
      </c>
      <c r="B367" s="191">
        <v>150628</v>
      </c>
      <c r="C367" s="657" t="s">
        <v>351</v>
      </c>
      <c r="D367" s="192" t="s">
        <v>59</v>
      </c>
      <c r="E367" s="193">
        <v>7.47</v>
      </c>
      <c r="F367" s="194">
        <v>19</v>
      </c>
      <c r="G367" s="194"/>
      <c r="H367" s="194"/>
      <c r="I367" s="194"/>
      <c r="J367" s="193">
        <f t="shared" si="479"/>
        <v>19</v>
      </c>
      <c r="K367" s="193">
        <f t="shared" si="480"/>
        <v>141.93</v>
      </c>
      <c r="L367" s="193"/>
      <c r="M367" s="193"/>
      <c r="N367" s="193"/>
      <c r="O367" s="622">
        <f t="shared" si="481"/>
        <v>141.93</v>
      </c>
      <c r="P367" s="194">
        <v>19</v>
      </c>
      <c r="Q367" s="622">
        <f t="shared" si="482"/>
        <v>141.93</v>
      </c>
      <c r="R367" s="745">
        <v>0</v>
      </c>
      <c r="S367" s="746">
        <f t="shared" si="483"/>
        <v>0</v>
      </c>
      <c r="T367" s="194">
        <f t="shared" si="484"/>
        <v>19</v>
      </c>
      <c r="U367" s="630">
        <f t="shared" si="485"/>
        <v>141.93</v>
      </c>
      <c r="V367" s="194">
        <f t="shared" si="478"/>
        <v>0</v>
      </c>
      <c r="W367" s="630">
        <v>0</v>
      </c>
    </row>
    <row r="368" spans="1:23" ht="25.5">
      <c r="A368" s="190" t="s">
        <v>516</v>
      </c>
      <c r="B368" s="191">
        <v>151417</v>
      </c>
      <c r="C368" s="657" t="s">
        <v>352</v>
      </c>
      <c r="D368" s="192" t="s">
        <v>51</v>
      </c>
      <c r="E368" s="193">
        <v>5.86</v>
      </c>
      <c r="F368" s="194">
        <v>147.4</v>
      </c>
      <c r="G368" s="194"/>
      <c r="H368" s="194"/>
      <c r="I368" s="194"/>
      <c r="J368" s="193">
        <f t="shared" si="479"/>
        <v>147.4</v>
      </c>
      <c r="K368" s="193">
        <f t="shared" si="480"/>
        <v>863.76400000000012</v>
      </c>
      <c r="L368" s="193"/>
      <c r="M368" s="193"/>
      <c r="N368" s="193"/>
      <c r="O368" s="622">
        <f t="shared" si="481"/>
        <v>863.76400000000012</v>
      </c>
      <c r="P368" s="194">
        <v>147.4</v>
      </c>
      <c r="Q368" s="622">
        <f t="shared" si="482"/>
        <v>863.76</v>
      </c>
      <c r="R368" s="745">
        <v>0</v>
      </c>
      <c r="S368" s="746">
        <f t="shared" si="483"/>
        <v>0</v>
      </c>
      <c r="T368" s="194">
        <f t="shared" si="484"/>
        <v>147.4</v>
      </c>
      <c r="U368" s="630">
        <f t="shared" si="485"/>
        <v>863.76</v>
      </c>
      <c r="V368" s="194">
        <f t="shared" si="478"/>
        <v>0</v>
      </c>
      <c r="W368" s="630">
        <v>0</v>
      </c>
    </row>
    <row r="369" spans="1:23" ht="25.5">
      <c r="A369" s="190" t="s">
        <v>517</v>
      </c>
      <c r="B369" s="191">
        <v>151418</v>
      </c>
      <c r="C369" s="657" t="s">
        <v>353</v>
      </c>
      <c r="D369" s="192" t="s">
        <v>51</v>
      </c>
      <c r="E369" s="193">
        <v>6.74</v>
      </c>
      <c r="F369" s="194">
        <v>315.39999999999998</v>
      </c>
      <c r="G369" s="194"/>
      <c r="H369" s="194"/>
      <c r="I369" s="194"/>
      <c r="J369" s="193">
        <f t="shared" si="479"/>
        <v>315.39999999999998</v>
      </c>
      <c r="K369" s="193">
        <f t="shared" si="480"/>
        <v>2125.7959999999998</v>
      </c>
      <c r="L369" s="193"/>
      <c r="M369" s="193"/>
      <c r="N369" s="193"/>
      <c r="O369" s="622">
        <f t="shared" si="481"/>
        <v>2125.7959999999998</v>
      </c>
      <c r="P369" s="194">
        <v>315.39999999999998</v>
      </c>
      <c r="Q369" s="622">
        <f t="shared" si="482"/>
        <v>2125.79</v>
      </c>
      <c r="R369" s="745">
        <v>0</v>
      </c>
      <c r="S369" s="746">
        <f t="shared" si="483"/>
        <v>0</v>
      </c>
      <c r="T369" s="194">
        <f t="shared" si="484"/>
        <v>315.39999999999998</v>
      </c>
      <c r="U369" s="630">
        <f t="shared" si="485"/>
        <v>2125.79</v>
      </c>
      <c r="V369" s="194">
        <f t="shared" si="478"/>
        <v>0</v>
      </c>
      <c r="W369" s="630">
        <v>0</v>
      </c>
    </row>
    <row r="370" spans="1:23" ht="25.5">
      <c r="A370" s="190" t="s">
        <v>518</v>
      </c>
      <c r="B370" s="191">
        <v>151420</v>
      </c>
      <c r="C370" s="657" t="s">
        <v>354</v>
      </c>
      <c r="D370" s="192" t="s">
        <v>51</v>
      </c>
      <c r="E370" s="193">
        <v>10.63</v>
      </c>
      <c r="F370" s="194">
        <v>60</v>
      </c>
      <c r="G370" s="194"/>
      <c r="H370" s="194"/>
      <c r="I370" s="194"/>
      <c r="J370" s="193">
        <f t="shared" si="479"/>
        <v>60</v>
      </c>
      <c r="K370" s="193">
        <f t="shared" si="480"/>
        <v>637.80000000000007</v>
      </c>
      <c r="L370" s="193"/>
      <c r="M370" s="193"/>
      <c r="N370" s="193"/>
      <c r="O370" s="622">
        <f t="shared" si="481"/>
        <v>637.80000000000007</v>
      </c>
      <c r="P370" s="194">
        <v>60</v>
      </c>
      <c r="Q370" s="622">
        <f t="shared" si="482"/>
        <v>637.79999999999995</v>
      </c>
      <c r="R370" s="745">
        <v>0</v>
      </c>
      <c r="S370" s="746">
        <f t="shared" si="483"/>
        <v>0</v>
      </c>
      <c r="T370" s="194">
        <f t="shared" si="484"/>
        <v>60</v>
      </c>
      <c r="U370" s="630">
        <f t="shared" si="485"/>
        <v>637.79999999999995</v>
      </c>
      <c r="V370" s="194">
        <f t="shared" si="478"/>
        <v>0</v>
      </c>
      <c r="W370" s="630">
        <v>0</v>
      </c>
    </row>
    <row r="371" spans="1:23" ht="38.25">
      <c r="A371" s="190" t="s">
        <v>519</v>
      </c>
      <c r="B371" s="191">
        <v>151809</v>
      </c>
      <c r="C371" s="657" t="s">
        <v>355</v>
      </c>
      <c r="D371" s="192" t="s">
        <v>59</v>
      </c>
      <c r="E371" s="193">
        <v>150.13</v>
      </c>
      <c r="F371" s="194">
        <v>1</v>
      </c>
      <c r="G371" s="194"/>
      <c r="H371" s="194"/>
      <c r="I371" s="194"/>
      <c r="J371" s="193">
        <f t="shared" si="479"/>
        <v>1</v>
      </c>
      <c r="K371" s="193">
        <f t="shared" si="480"/>
        <v>150.13</v>
      </c>
      <c r="L371" s="193"/>
      <c r="M371" s="193"/>
      <c r="N371" s="193"/>
      <c r="O371" s="622">
        <f t="shared" si="481"/>
        <v>150.13</v>
      </c>
      <c r="P371" s="194">
        <v>1</v>
      </c>
      <c r="Q371" s="622">
        <f t="shared" si="482"/>
        <v>150.13</v>
      </c>
      <c r="R371" s="745">
        <v>0</v>
      </c>
      <c r="S371" s="746">
        <f t="shared" si="483"/>
        <v>0</v>
      </c>
      <c r="T371" s="194">
        <f t="shared" si="484"/>
        <v>1</v>
      </c>
      <c r="U371" s="630">
        <f t="shared" si="485"/>
        <v>150.13</v>
      </c>
      <c r="V371" s="194">
        <f t="shared" si="478"/>
        <v>0</v>
      </c>
      <c r="W371" s="630">
        <v>0</v>
      </c>
    </row>
    <row r="372" spans="1:23" ht="38.25">
      <c r="A372" s="190" t="s">
        <v>520</v>
      </c>
      <c r="B372" s="191">
        <v>151803</v>
      </c>
      <c r="C372" s="657" t="s">
        <v>356</v>
      </c>
      <c r="D372" s="192" t="s">
        <v>59</v>
      </c>
      <c r="E372" s="193">
        <v>170.86</v>
      </c>
      <c r="F372" s="194">
        <v>10</v>
      </c>
      <c r="G372" s="194"/>
      <c r="H372" s="194"/>
      <c r="I372" s="194"/>
      <c r="J372" s="193">
        <f t="shared" si="479"/>
        <v>10</v>
      </c>
      <c r="K372" s="193">
        <f t="shared" si="480"/>
        <v>1708.6000000000001</v>
      </c>
      <c r="L372" s="193"/>
      <c r="M372" s="193"/>
      <c r="N372" s="193"/>
      <c r="O372" s="622">
        <f t="shared" si="481"/>
        <v>1708.6000000000001</v>
      </c>
      <c r="P372" s="194">
        <v>10</v>
      </c>
      <c r="Q372" s="622">
        <f t="shared" si="482"/>
        <v>1708.6</v>
      </c>
      <c r="R372" s="745">
        <v>0</v>
      </c>
      <c r="S372" s="746">
        <f t="shared" si="483"/>
        <v>0</v>
      </c>
      <c r="T372" s="194">
        <f t="shared" si="484"/>
        <v>10</v>
      </c>
      <c r="U372" s="630">
        <f t="shared" si="485"/>
        <v>1708.6</v>
      </c>
      <c r="V372" s="194">
        <f t="shared" si="478"/>
        <v>0</v>
      </c>
      <c r="W372" s="630">
        <v>0</v>
      </c>
    </row>
    <row r="373" spans="1:23" ht="25.5">
      <c r="A373" s="190" t="s">
        <v>521</v>
      </c>
      <c r="B373" s="191">
        <v>151338</v>
      </c>
      <c r="C373" s="657" t="s">
        <v>357</v>
      </c>
      <c r="D373" s="192" t="s">
        <v>59</v>
      </c>
      <c r="E373" s="193">
        <v>18.14</v>
      </c>
      <c r="F373" s="194">
        <v>1</v>
      </c>
      <c r="G373" s="194"/>
      <c r="H373" s="194"/>
      <c r="I373" s="194"/>
      <c r="J373" s="193">
        <f t="shared" si="479"/>
        <v>1</v>
      </c>
      <c r="K373" s="193">
        <f t="shared" si="480"/>
        <v>18.14</v>
      </c>
      <c r="L373" s="193"/>
      <c r="M373" s="193"/>
      <c r="N373" s="193"/>
      <c r="O373" s="622">
        <f t="shared" si="481"/>
        <v>18.14</v>
      </c>
      <c r="P373" s="194">
        <v>1</v>
      </c>
      <c r="Q373" s="622">
        <f t="shared" si="482"/>
        <v>18.14</v>
      </c>
      <c r="R373" s="745">
        <v>0</v>
      </c>
      <c r="S373" s="746">
        <f t="shared" si="483"/>
        <v>0</v>
      </c>
      <c r="T373" s="194">
        <f t="shared" si="484"/>
        <v>1</v>
      </c>
      <c r="U373" s="630">
        <f t="shared" si="485"/>
        <v>18.14</v>
      </c>
      <c r="V373" s="194">
        <f t="shared" si="478"/>
        <v>0</v>
      </c>
      <c r="W373" s="630">
        <v>0</v>
      </c>
    </row>
    <row r="374" spans="1:23" ht="25.5">
      <c r="A374" s="190" t="s">
        <v>522</v>
      </c>
      <c r="B374" s="191">
        <v>151301</v>
      </c>
      <c r="C374" s="657" t="s">
        <v>358</v>
      </c>
      <c r="D374" s="192" t="s">
        <v>59</v>
      </c>
      <c r="E374" s="193">
        <v>18.14</v>
      </c>
      <c r="F374" s="194">
        <v>1</v>
      </c>
      <c r="G374" s="194"/>
      <c r="H374" s="194"/>
      <c r="I374" s="194"/>
      <c r="J374" s="193">
        <f t="shared" si="479"/>
        <v>1</v>
      </c>
      <c r="K374" s="193">
        <f t="shared" si="480"/>
        <v>18.14</v>
      </c>
      <c r="L374" s="193"/>
      <c r="M374" s="193"/>
      <c r="N374" s="193"/>
      <c r="O374" s="622">
        <f t="shared" si="481"/>
        <v>18.14</v>
      </c>
      <c r="P374" s="194">
        <v>1</v>
      </c>
      <c r="Q374" s="622">
        <f t="shared" si="482"/>
        <v>18.14</v>
      </c>
      <c r="R374" s="745">
        <v>0</v>
      </c>
      <c r="S374" s="746">
        <f t="shared" si="483"/>
        <v>0</v>
      </c>
      <c r="T374" s="194">
        <f t="shared" si="484"/>
        <v>1</v>
      </c>
      <c r="U374" s="630">
        <f t="shared" si="485"/>
        <v>18.14</v>
      </c>
      <c r="V374" s="194">
        <f t="shared" si="478"/>
        <v>0</v>
      </c>
      <c r="W374" s="630">
        <v>0</v>
      </c>
    </row>
    <row r="375" spans="1:23" ht="25.5">
      <c r="A375" s="190" t="s">
        <v>523</v>
      </c>
      <c r="B375" s="191">
        <v>151303</v>
      </c>
      <c r="C375" s="657" t="s">
        <v>359</v>
      </c>
      <c r="D375" s="192" t="s">
        <v>59</v>
      </c>
      <c r="E375" s="193">
        <v>18.14</v>
      </c>
      <c r="F375" s="194">
        <v>1</v>
      </c>
      <c r="G375" s="194"/>
      <c r="H375" s="194"/>
      <c r="I375" s="194"/>
      <c r="J375" s="193">
        <f t="shared" si="479"/>
        <v>1</v>
      </c>
      <c r="K375" s="193">
        <f t="shared" si="480"/>
        <v>18.14</v>
      </c>
      <c r="L375" s="193"/>
      <c r="M375" s="193"/>
      <c r="N375" s="193"/>
      <c r="O375" s="622">
        <f t="shared" si="481"/>
        <v>18.14</v>
      </c>
      <c r="P375" s="194">
        <v>1</v>
      </c>
      <c r="Q375" s="622">
        <f t="shared" si="482"/>
        <v>18.14</v>
      </c>
      <c r="R375" s="745">
        <v>0</v>
      </c>
      <c r="S375" s="746">
        <f t="shared" si="483"/>
        <v>0</v>
      </c>
      <c r="T375" s="194">
        <f t="shared" si="484"/>
        <v>1</v>
      </c>
      <c r="U375" s="630">
        <f t="shared" si="485"/>
        <v>18.14</v>
      </c>
      <c r="V375" s="194">
        <f t="shared" si="478"/>
        <v>0</v>
      </c>
      <c r="W375" s="630">
        <v>0</v>
      </c>
    </row>
    <row r="376" spans="1:23" ht="25.5">
      <c r="A376" s="190" t="s">
        <v>524</v>
      </c>
      <c r="B376" s="191">
        <v>151318</v>
      </c>
      <c r="C376" s="657" t="s">
        <v>547</v>
      </c>
      <c r="D376" s="192" t="s">
        <v>59</v>
      </c>
      <c r="E376" s="193">
        <v>22.63</v>
      </c>
      <c r="F376" s="194">
        <v>1</v>
      </c>
      <c r="G376" s="194"/>
      <c r="H376" s="194"/>
      <c r="I376" s="194"/>
      <c r="J376" s="193">
        <f t="shared" si="479"/>
        <v>1</v>
      </c>
      <c r="K376" s="193">
        <f t="shared" si="480"/>
        <v>22.63</v>
      </c>
      <c r="L376" s="193"/>
      <c r="M376" s="193"/>
      <c r="N376" s="193"/>
      <c r="O376" s="622">
        <f t="shared" si="481"/>
        <v>22.63</v>
      </c>
      <c r="P376" s="194">
        <v>1</v>
      </c>
      <c r="Q376" s="622">
        <f t="shared" si="482"/>
        <v>22.63</v>
      </c>
      <c r="R376" s="745">
        <v>0</v>
      </c>
      <c r="S376" s="746">
        <f t="shared" si="483"/>
        <v>0</v>
      </c>
      <c r="T376" s="194">
        <f t="shared" si="484"/>
        <v>1</v>
      </c>
      <c r="U376" s="630">
        <f t="shared" si="485"/>
        <v>22.63</v>
      </c>
      <c r="V376" s="194">
        <f t="shared" si="478"/>
        <v>0</v>
      </c>
      <c r="W376" s="630">
        <v>0</v>
      </c>
    </row>
    <row r="377" spans="1:23">
      <c r="A377" s="190" t="s">
        <v>525</v>
      </c>
      <c r="B377" s="191">
        <v>151350</v>
      </c>
      <c r="C377" s="657" t="s">
        <v>360</v>
      </c>
      <c r="D377" s="192" t="s">
        <v>59</v>
      </c>
      <c r="E377" s="193">
        <v>133.04</v>
      </c>
      <c r="F377" s="194">
        <v>1</v>
      </c>
      <c r="G377" s="194"/>
      <c r="H377" s="194"/>
      <c r="I377" s="194"/>
      <c r="J377" s="193">
        <f t="shared" si="479"/>
        <v>1</v>
      </c>
      <c r="K377" s="193">
        <f t="shared" si="480"/>
        <v>133.04</v>
      </c>
      <c r="L377" s="193"/>
      <c r="M377" s="193"/>
      <c r="N377" s="193"/>
      <c r="O377" s="622">
        <f t="shared" si="481"/>
        <v>133.04</v>
      </c>
      <c r="P377" s="194">
        <v>1</v>
      </c>
      <c r="Q377" s="622">
        <f t="shared" si="482"/>
        <v>133.04</v>
      </c>
      <c r="R377" s="745">
        <f>IFERROR(VLOOKUP(A377,#REF!,18,FALSE),)</f>
        <v>0</v>
      </c>
      <c r="S377" s="746">
        <f t="shared" si="483"/>
        <v>0</v>
      </c>
      <c r="T377" s="194">
        <f t="shared" si="484"/>
        <v>1</v>
      </c>
      <c r="U377" s="630">
        <f t="shared" si="485"/>
        <v>133.04</v>
      </c>
      <c r="V377" s="194">
        <f t="shared" si="478"/>
        <v>0</v>
      </c>
      <c r="W377" s="630">
        <v>0</v>
      </c>
    </row>
    <row r="378" spans="1:23">
      <c r="A378" s="190" t="s">
        <v>526</v>
      </c>
      <c r="B378" s="191">
        <v>151132</v>
      </c>
      <c r="C378" s="657" t="s">
        <v>361</v>
      </c>
      <c r="D378" s="192" t="s">
        <v>51</v>
      </c>
      <c r="E378" s="193">
        <v>7.5</v>
      </c>
      <c r="F378" s="194">
        <v>75.7</v>
      </c>
      <c r="G378" s="194"/>
      <c r="H378" s="194"/>
      <c r="I378" s="194"/>
      <c r="J378" s="193">
        <f t="shared" si="479"/>
        <v>75.7</v>
      </c>
      <c r="K378" s="193">
        <f t="shared" si="480"/>
        <v>567.75</v>
      </c>
      <c r="L378" s="193"/>
      <c r="M378" s="193"/>
      <c r="N378" s="193"/>
      <c r="O378" s="622">
        <f t="shared" si="481"/>
        <v>567.75</v>
      </c>
      <c r="P378" s="194">
        <v>75.7</v>
      </c>
      <c r="Q378" s="622">
        <f t="shared" si="482"/>
        <v>567.75</v>
      </c>
      <c r="R378" s="745">
        <f>IFERROR(VLOOKUP(A378,#REF!,18,FALSE),)</f>
        <v>0</v>
      </c>
      <c r="S378" s="746">
        <f t="shared" si="483"/>
        <v>0</v>
      </c>
      <c r="T378" s="194">
        <f t="shared" si="484"/>
        <v>75.7</v>
      </c>
      <c r="U378" s="630">
        <f t="shared" si="485"/>
        <v>567.75</v>
      </c>
      <c r="V378" s="194">
        <f t="shared" si="478"/>
        <v>0</v>
      </c>
      <c r="W378" s="630">
        <v>0</v>
      </c>
    </row>
    <row r="379" spans="1:23" ht="25.5">
      <c r="A379" s="190" t="s">
        <v>527</v>
      </c>
      <c r="B379" s="191">
        <v>150801</v>
      </c>
      <c r="C379" s="657" t="s">
        <v>362</v>
      </c>
      <c r="D379" s="192" t="s">
        <v>51</v>
      </c>
      <c r="E379" s="193">
        <v>12.67</v>
      </c>
      <c r="F379" s="194">
        <v>66</v>
      </c>
      <c r="G379" s="194"/>
      <c r="H379" s="194"/>
      <c r="I379" s="194"/>
      <c r="J379" s="193">
        <f t="shared" si="479"/>
        <v>66</v>
      </c>
      <c r="K379" s="193">
        <f t="shared" si="480"/>
        <v>836.22</v>
      </c>
      <c r="L379" s="193"/>
      <c r="M379" s="193"/>
      <c r="N379" s="193"/>
      <c r="O379" s="622">
        <f t="shared" si="481"/>
        <v>836.22</v>
      </c>
      <c r="P379" s="194">
        <v>66</v>
      </c>
      <c r="Q379" s="622">
        <f t="shared" si="482"/>
        <v>836.22</v>
      </c>
      <c r="R379" s="745">
        <f>IFERROR(VLOOKUP(A379,#REF!,18,FALSE),)</f>
        <v>0</v>
      </c>
      <c r="S379" s="746">
        <f t="shared" si="483"/>
        <v>0</v>
      </c>
      <c r="T379" s="194">
        <f t="shared" si="484"/>
        <v>66</v>
      </c>
      <c r="U379" s="630">
        <f t="shared" si="485"/>
        <v>836.22</v>
      </c>
      <c r="V379" s="194">
        <f t="shared" si="478"/>
        <v>0</v>
      </c>
      <c r="W379" s="630">
        <v>0</v>
      </c>
    </row>
    <row r="380" spans="1:23">
      <c r="A380" s="190" t="s">
        <v>528</v>
      </c>
      <c r="B380" s="191">
        <v>180110</v>
      </c>
      <c r="C380" s="657" t="s">
        <v>363</v>
      </c>
      <c r="D380" s="192" t="s">
        <v>59</v>
      </c>
      <c r="E380" s="193">
        <v>106.15</v>
      </c>
      <c r="F380" s="194">
        <v>5</v>
      </c>
      <c r="G380" s="194"/>
      <c r="H380" s="194"/>
      <c r="I380" s="194"/>
      <c r="J380" s="193">
        <f t="shared" si="479"/>
        <v>5</v>
      </c>
      <c r="K380" s="193">
        <f t="shared" si="480"/>
        <v>530.75</v>
      </c>
      <c r="L380" s="193"/>
      <c r="M380" s="193"/>
      <c r="N380" s="193"/>
      <c r="O380" s="622">
        <f t="shared" si="481"/>
        <v>530.75</v>
      </c>
      <c r="P380" s="194">
        <v>5</v>
      </c>
      <c r="Q380" s="622">
        <f t="shared" si="482"/>
        <v>530.75</v>
      </c>
      <c r="R380" s="745">
        <v>0</v>
      </c>
      <c r="S380" s="746">
        <f t="shared" si="483"/>
        <v>0</v>
      </c>
      <c r="T380" s="194">
        <f t="shared" si="484"/>
        <v>5</v>
      </c>
      <c r="U380" s="630">
        <f t="shared" si="485"/>
        <v>530.75</v>
      </c>
      <c r="V380" s="194">
        <f t="shared" si="478"/>
        <v>0</v>
      </c>
      <c r="W380" s="630">
        <v>0</v>
      </c>
    </row>
    <row r="381" spans="1:23" ht="14.25" customHeight="1">
      <c r="A381" s="190" t="s">
        <v>529</v>
      </c>
      <c r="B381" s="191" t="s">
        <v>367</v>
      </c>
      <c r="C381" s="657" t="s">
        <v>364</v>
      </c>
      <c r="D381" s="192" t="s">
        <v>72</v>
      </c>
      <c r="E381" s="193">
        <v>362.44</v>
      </c>
      <c r="F381" s="194">
        <v>19</v>
      </c>
      <c r="G381" s="194"/>
      <c r="H381" s="194"/>
      <c r="I381" s="194"/>
      <c r="J381" s="193">
        <f t="shared" si="479"/>
        <v>19</v>
      </c>
      <c r="K381" s="193">
        <f t="shared" si="480"/>
        <v>6886.36</v>
      </c>
      <c r="L381" s="193"/>
      <c r="M381" s="193"/>
      <c r="N381" s="193"/>
      <c r="O381" s="622">
        <f t="shared" si="481"/>
        <v>6886.36</v>
      </c>
      <c r="P381" s="194">
        <v>19</v>
      </c>
      <c r="Q381" s="622">
        <f t="shared" si="482"/>
        <v>6886.36</v>
      </c>
      <c r="R381" s="745">
        <v>0</v>
      </c>
      <c r="S381" s="746">
        <f t="shared" si="483"/>
        <v>0</v>
      </c>
      <c r="T381" s="194">
        <f t="shared" si="484"/>
        <v>19</v>
      </c>
      <c r="U381" s="630">
        <f t="shared" si="485"/>
        <v>6886.36</v>
      </c>
      <c r="V381" s="194">
        <f t="shared" si="478"/>
        <v>0</v>
      </c>
      <c r="W381" s="630">
        <v>0</v>
      </c>
    </row>
    <row r="382" spans="1:23" ht="25.5">
      <c r="A382" s="190" t="s">
        <v>530</v>
      </c>
      <c r="B382" s="191" t="s">
        <v>368</v>
      </c>
      <c r="C382" s="657" t="s">
        <v>365</v>
      </c>
      <c r="D382" s="192" t="s">
        <v>72</v>
      </c>
      <c r="E382" s="193">
        <v>4976.67</v>
      </c>
      <c r="F382" s="194">
        <v>2</v>
      </c>
      <c r="G382" s="194"/>
      <c r="H382" s="194"/>
      <c r="I382" s="194"/>
      <c r="J382" s="193">
        <f t="shared" si="479"/>
        <v>2</v>
      </c>
      <c r="K382" s="193">
        <f t="shared" si="480"/>
        <v>9953.34</v>
      </c>
      <c r="L382" s="193"/>
      <c r="M382" s="193"/>
      <c r="N382" s="193"/>
      <c r="O382" s="622">
        <f t="shared" si="481"/>
        <v>9953.34</v>
      </c>
      <c r="P382" s="194">
        <v>2</v>
      </c>
      <c r="Q382" s="622">
        <f t="shared" si="482"/>
        <v>9953.34</v>
      </c>
      <c r="R382" s="745">
        <v>0</v>
      </c>
      <c r="S382" s="746">
        <f t="shared" si="483"/>
        <v>0</v>
      </c>
      <c r="T382" s="194">
        <f t="shared" si="484"/>
        <v>2</v>
      </c>
      <c r="U382" s="630">
        <f t="shared" si="485"/>
        <v>9953.34</v>
      </c>
      <c r="V382" s="194">
        <f>F382-T382</f>
        <v>0</v>
      </c>
      <c r="W382" s="630">
        <f>V382*E382</f>
        <v>0</v>
      </c>
    </row>
    <row r="383" spans="1:23" ht="25.5">
      <c r="A383" s="190" t="s">
        <v>531</v>
      </c>
      <c r="B383" s="191" t="s">
        <v>369</v>
      </c>
      <c r="C383" s="657" t="s">
        <v>366</v>
      </c>
      <c r="D383" s="192" t="s">
        <v>10</v>
      </c>
      <c r="E383" s="193">
        <v>12903.37</v>
      </c>
      <c r="F383" s="194">
        <v>1</v>
      </c>
      <c r="G383" s="194"/>
      <c r="H383" s="194"/>
      <c r="I383" s="194"/>
      <c r="J383" s="193">
        <f t="shared" si="479"/>
        <v>1</v>
      </c>
      <c r="K383" s="193">
        <f t="shared" si="480"/>
        <v>12903.37</v>
      </c>
      <c r="L383" s="193"/>
      <c r="M383" s="193"/>
      <c r="N383" s="193"/>
      <c r="O383" s="622">
        <f t="shared" si="481"/>
        <v>12903.37</v>
      </c>
      <c r="P383" s="194">
        <v>1</v>
      </c>
      <c r="Q383" s="622">
        <f t="shared" si="482"/>
        <v>12903.37</v>
      </c>
      <c r="R383" s="745">
        <v>0</v>
      </c>
      <c r="S383" s="746">
        <f t="shared" si="483"/>
        <v>0</v>
      </c>
      <c r="T383" s="194">
        <f t="shared" si="484"/>
        <v>1</v>
      </c>
      <c r="U383" s="630">
        <f t="shared" si="485"/>
        <v>12903.37</v>
      </c>
      <c r="V383" s="194">
        <f t="shared" si="478"/>
        <v>0</v>
      </c>
      <c r="W383" s="630">
        <f>V383*E383</f>
        <v>0</v>
      </c>
    </row>
    <row r="384" spans="1:23">
      <c r="A384" s="138"/>
      <c r="B384" s="132"/>
      <c r="C384" s="123"/>
      <c r="D384" s="123"/>
      <c r="E384" s="123"/>
      <c r="F384" s="123"/>
      <c r="G384" s="123"/>
      <c r="H384" s="123"/>
      <c r="I384" s="123"/>
      <c r="J384" s="123"/>
      <c r="K384" s="123"/>
      <c r="L384" s="123"/>
      <c r="M384" s="123"/>
      <c r="N384" s="123"/>
      <c r="O384" s="623"/>
      <c r="P384" s="123"/>
      <c r="Q384" s="623"/>
      <c r="R384" s="791"/>
      <c r="S384" s="792"/>
      <c r="T384" s="123"/>
      <c r="U384" s="631"/>
      <c r="V384" s="123"/>
      <c r="W384" s="631"/>
    </row>
    <row r="385" spans="1:23" s="131" customFormat="1">
      <c r="A385" s="137" t="s">
        <v>532</v>
      </c>
      <c r="B385" s="133"/>
      <c r="C385" s="658" t="s">
        <v>371</v>
      </c>
      <c r="D385" s="126"/>
      <c r="E385" s="127"/>
      <c r="F385" s="128"/>
      <c r="G385" s="128"/>
      <c r="H385" s="128"/>
      <c r="I385" s="128"/>
      <c r="J385" s="129"/>
      <c r="K385" s="129">
        <f>SUBTOTAL(9,K386:K389)</f>
        <v>3312.2430000000004</v>
      </c>
      <c r="L385" s="129"/>
      <c r="M385" s="129"/>
      <c r="N385" s="129"/>
      <c r="O385" s="624"/>
      <c r="P385" s="130"/>
      <c r="Q385" s="624">
        <f>SUBTOTAL(9,Q386:Q389)</f>
        <v>3312.2400000000002</v>
      </c>
      <c r="R385" s="743"/>
      <c r="S385" s="744">
        <f>SUBTOTAL(9,S386:S389)</f>
        <v>0</v>
      </c>
      <c r="T385" s="129"/>
      <c r="U385" s="624">
        <f>SUBTOTAL(9,U386:U389)</f>
        <v>3312.2400000000002</v>
      </c>
      <c r="V385" s="129">
        <f t="shared" si="478"/>
        <v>0</v>
      </c>
      <c r="W385" s="624">
        <f>SUBTOTAL(9,W386:W389)</f>
        <v>0</v>
      </c>
    </row>
    <row r="386" spans="1:23" ht="38.25">
      <c r="A386" s="190" t="s">
        <v>533</v>
      </c>
      <c r="B386" s="191">
        <v>150610</v>
      </c>
      <c r="C386" s="657" t="s">
        <v>376</v>
      </c>
      <c r="D386" s="192" t="s">
        <v>59</v>
      </c>
      <c r="E386" s="193">
        <v>188.46</v>
      </c>
      <c r="F386" s="194">
        <v>4</v>
      </c>
      <c r="G386" s="194"/>
      <c r="H386" s="194"/>
      <c r="I386" s="194"/>
      <c r="J386" s="193">
        <f t="shared" ref="J386:J389" si="487">F386+H386-I386</f>
        <v>4</v>
      </c>
      <c r="K386" s="193">
        <f t="shared" ref="K386:K389" si="488">J386*E386</f>
        <v>753.84</v>
      </c>
      <c r="L386" s="193"/>
      <c r="M386" s="193"/>
      <c r="N386" s="193"/>
      <c r="O386" s="622">
        <f t="shared" ref="O386:O389" si="489">J386*E386</f>
        <v>753.84</v>
      </c>
      <c r="P386" s="194">
        <v>4</v>
      </c>
      <c r="Q386" s="622">
        <f t="shared" ref="Q386" si="490">TRUNC(P386*E386,2)</f>
        <v>753.84</v>
      </c>
      <c r="R386" s="745">
        <v>0</v>
      </c>
      <c r="S386" s="746">
        <f t="shared" ref="S386" si="491">U386-Q386</f>
        <v>0</v>
      </c>
      <c r="T386" s="194">
        <f t="shared" ref="T386" si="492">R386+P386</f>
        <v>4</v>
      </c>
      <c r="U386" s="630">
        <f t="shared" ref="U386" si="493">TRUNC(T386*E386,2)</f>
        <v>753.84</v>
      </c>
      <c r="V386" s="194">
        <f t="shared" si="478"/>
        <v>0</v>
      </c>
      <c r="W386" s="630">
        <v>0</v>
      </c>
    </row>
    <row r="387" spans="1:23" ht="38.25">
      <c r="A387" s="190" t="s">
        <v>534</v>
      </c>
      <c r="B387" s="191">
        <v>160324</v>
      </c>
      <c r="C387" s="657" t="s">
        <v>546</v>
      </c>
      <c r="D387" s="192" t="s">
        <v>59</v>
      </c>
      <c r="E387" s="193">
        <v>199.91</v>
      </c>
      <c r="F387" s="194">
        <v>1</v>
      </c>
      <c r="G387" s="194"/>
      <c r="H387" s="194"/>
      <c r="I387" s="194"/>
      <c r="J387" s="193">
        <f t="shared" si="487"/>
        <v>1</v>
      </c>
      <c r="K387" s="193">
        <f t="shared" si="488"/>
        <v>199.91</v>
      </c>
      <c r="L387" s="193"/>
      <c r="M387" s="193"/>
      <c r="N387" s="193"/>
      <c r="O387" s="622">
        <f t="shared" si="489"/>
        <v>199.91</v>
      </c>
      <c r="P387" s="194">
        <v>1</v>
      </c>
      <c r="Q387" s="622">
        <f>TRUNC(P387*E387,2)</f>
        <v>199.91</v>
      </c>
      <c r="R387" s="745">
        <v>0</v>
      </c>
      <c r="S387" s="746">
        <f>U387-Q387</f>
        <v>0</v>
      </c>
      <c r="T387" s="194">
        <f>R387+P387</f>
        <v>1</v>
      </c>
      <c r="U387" s="630">
        <f>TRUNC(T387*E387,2)</f>
        <v>199.91</v>
      </c>
      <c r="V387" s="194">
        <f t="shared" si="478"/>
        <v>0</v>
      </c>
      <c r="W387" s="630">
        <v>0</v>
      </c>
    </row>
    <row r="388" spans="1:23" ht="25.5">
      <c r="A388" s="190" t="s">
        <v>535</v>
      </c>
      <c r="B388" s="191">
        <v>160317</v>
      </c>
      <c r="C388" s="657" t="s">
        <v>377</v>
      </c>
      <c r="D388" s="192" t="s">
        <v>51</v>
      </c>
      <c r="E388" s="193">
        <v>33.369999999999997</v>
      </c>
      <c r="F388" s="194">
        <v>68.900000000000006</v>
      </c>
      <c r="G388" s="194"/>
      <c r="H388" s="194"/>
      <c r="I388" s="194"/>
      <c r="J388" s="193">
        <f t="shared" si="487"/>
        <v>68.900000000000006</v>
      </c>
      <c r="K388" s="193">
        <f t="shared" si="488"/>
        <v>2299.1930000000002</v>
      </c>
      <c r="L388" s="193"/>
      <c r="M388" s="193"/>
      <c r="N388" s="193"/>
      <c r="O388" s="622">
        <f t="shared" si="489"/>
        <v>2299.1930000000002</v>
      </c>
      <c r="P388" s="194">
        <v>68.900000000000006</v>
      </c>
      <c r="Q388" s="622">
        <f t="shared" ref="Q388:Q389" si="494">TRUNC(P388*E388,2)</f>
        <v>2299.19</v>
      </c>
      <c r="R388" s="745">
        <v>0</v>
      </c>
      <c r="S388" s="746">
        <f t="shared" ref="S388:S389" si="495">U388-Q388</f>
        <v>0</v>
      </c>
      <c r="T388" s="194">
        <f t="shared" ref="T388:T389" si="496">R388+P388</f>
        <v>68.900000000000006</v>
      </c>
      <c r="U388" s="630">
        <f t="shared" ref="U388:U389" si="497">TRUNC(T388*E388,2)</f>
        <v>2299.19</v>
      </c>
      <c r="V388" s="194">
        <f t="shared" si="478"/>
        <v>0</v>
      </c>
      <c r="W388" s="630">
        <v>0</v>
      </c>
    </row>
    <row r="389" spans="1:23" ht="25.5">
      <c r="A389" s="190" t="s">
        <v>536</v>
      </c>
      <c r="B389" s="191">
        <v>160334</v>
      </c>
      <c r="C389" s="657" t="s">
        <v>378</v>
      </c>
      <c r="D389" s="192" t="s">
        <v>59</v>
      </c>
      <c r="E389" s="193">
        <v>29.65</v>
      </c>
      <c r="F389" s="194">
        <v>2</v>
      </c>
      <c r="G389" s="194"/>
      <c r="H389" s="194"/>
      <c r="I389" s="194"/>
      <c r="J389" s="193">
        <f t="shared" si="487"/>
        <v>2</v>
      </c>
      <c r="K389" s="193">
        <f t="shared" si="488"/>
        <v>59.3</v>
      </c>
      <c r="L389" s="193"/>
      <c r="M389" s="193"/>
      <c r="N389" s="193"/>
      <c r="O389" s="622">
        <f t="shared" si="489"/>
        <v>59.3</v>
      </c>
      <c r="P389" s="194">
        <v>2</v>
      </c>
      <c r="Q389" s="622">
        <f t="shared" si="494"/>
        <v>59.3</v>
      </c>
      <c r="R389" s="745">
        <v>0</v>
      </c>
      <c r="S389" s="746">
        <f t="shared" si="495"/>
        <v>0</v>
      </c>
      <c r="T389" s="194">
        <f t="shared" si="496"/>
        <v>2</v>
      </c>
      <c r="U389" s="630">
        <f t="shared" si="497"/>
        <v>59.3</v>
      </c>
      <c r="V389" s="194">
        <f t="shared" si="478"/>
        <v>0</v>
      </c>
      <c r="W389" s="630">
        <v>0</v>
      </c>
    </row>
    <row r="390" spans="1:23">
      <c r="A390" s="138"/>
      <c r="B390" s="132"/>
      <c r="C390" s="123"/>
      <c r="D390" s="123"/>
      <c r="E390" s="123"/>
      <c r="F390" s="123"/>
      <c r="G390" s="123"/>
      <c r="H390" s="123"/>
      <c r="I390" s="123"/>
      <c r="J390" s="123"/>
      <c r="K390" s="123"/>
      <c r="L390" s="123"/>
      <c r="M390" s="123"/>
      <c r="N390" s="123"/>
      <c r="O390" s="623"/>
      <c r="P390" s="123"/>
      <c r="Q390" s="623"/>
      <c r="R390" s="791"/>
      <c r="S390" s="792"/>
      <c r="T390" s="123"/>
      <c r="U390" s="631"/>
      <c r="V390" s="123"/>
      <c r="W390" s="631"/>
    </row>
    <row r="391" spans="1:23" s="213" customFormat="1">
      <c r="A391" s="210" t="s">
        <v>537</v>
      </c>
      <c r="B391" s="211"/>
      <c r="C391" s="655" t="s">
        <v>380</v>
      </c>
      <c r="D391" s="197"/>
      <c r="E391" s="198"/>
      <c r="F391" s="199"/>
      <c r="G391" s="199"/>
      <c r="H391" s="199"/>
      <c r="I391" s="199"/>
      <c r="J391" s="200"/>
      <c r="K391" s="200">
        <f>SUBTOTAL(9,K392:K397)</f>
        <v>2061.3539999999998</v>
      </c>
      <c r="L391" s="200"/>
      <c r="M391" s="200"/>
      <c r="N391" s="200"/>
      <c r="O391" s="620"/>
      <c r="P391" s="201"/>
      <c r="Q391" s="620">
        <f>SUBTOTAL(9,Q392:Q397)</f>
        <v>2061.35</v>
      </c>
      <c r="R391" s="743"/>
      <c r="S391" s="744">
        <f>SUBTOTAL(9,S392:S397)</f>
        <v>0</v>
      </c>
      <c r="T391" s="200"/>
      <c r="U391" s="620">
        <f>SUBTOTAL(9,U392:U397)</f>
        <v>2061.35</v>
      </c>
      <c r="V391" s="200">
        <f t="shared" si="478"/>
        <v>0</v>
      </c>
      <c r="W391" s="620">
        <f>SUBTOTAL(9,W392:W397)</f>
        <v>0</v>
      </c>
    </row>
    <row r="392" spans="1:23" s="131" customFormat="1">
      <c r="A392" s="137" t="s">
        <v>538</v>
      </c>
      <c r="B392" s="133"/>
      <c r="C392" s="658" t="s">
        <v>380</v>
      </c>
      <c r="D392" s="126"/>
      <c r="E392" s="127"/>
      <c r="F392" s="128"/>
      <c r="G392" s="128"/>
      <c r="H392" s="128"/>
      <c r="I392" s="128"/>
      <c r="J392" s="129"/>
      <c r="K392" s="129">
        <f>SUBTOTAL(9,K393:K397)</f>
        <v>2061.3539999999998</v>
      </c>
      <c r="L392" s="129"/>
      <c r="M392" s="129"/>
      <c r="N392" s="129"/>
      <c r="O392" s="624"/>
      <c r="P392" s="130"/>
      <c r="Q392" s="624">
        <f>SUBTOTAL(9,Q393:Q397)</f>
        <v>2061.35</v>
      </c>
      <c r="R392" s="743"/>
      <c r="S392" s="744">
        <f>SUBTOTAL(9,S393:S397)</f>
        <v>0</v>
      </c>
      <c r="T392" s="129"/>
      <c r="U392" s="624">
        <f>SUBTOTAL(9,U393:U397)</f>
        <v>2061.35</v>
      </c>
      <c r="V392" s="129">
        <f t="shared" si="478"/>
        <v>0</v>
      </c>
      <c r="W392" s="624">
        <f>SUBTOTAL(9,W393:W397)</f>
        <v>0</v>
      </c>
    </row>
    <row r="393" spans="1:23" ht="25.5">
      <c r="A393" s="190" t="s">
        <v>539</v>
      </c>
      <c r="B393" s="191">
        <v>160612</v>
      </c>
      <c r="C393" s="657" t="s">
        <v>387</v>
      </c>
      <c r="D393" s="192" t="s">
        <v>59</v>
      </c>
      <c r="E393" s="193">
        <v>29.96</v>
      </c>
      <c r="F393" s="194">
        <v>2</v>
      </c>
      <c r="G393" s="194"/>
      <c r="H393" s="194"/>
      <c r="I393" s="194"/>
      <c r="J393" s="193">
        <f t="shared" ref="J393:J397" si="498">F393+H393-I393</f>
        <v>2</v>
      </c>
      <c r="K393" s="193">
        <f t="shared" ref="K393:K397" si="499">J393*E393</f>
        <v>59.92</v>
      </c>
      <c r="L393" s="193"/>
      <c r="M393" s="193"/>
      <c r="N393" s="193"/>
      <c r="O393" s="622">
        <f t="shared" ref="O393:O397" si="500">J393*E393</f>
        <v>59.92</v>
      </c>
      <c r="P393" s="194">
        <v>2</v>
      </c>
      <c r="Q393" s="622">
        <f t="shared" ref="Q393" si="501">TRUNC(P393*E393,2)</f>
        <v>59.92</v>
      </c>
      <c r="R393" s="745">
        <v>0</v>
      </c>
      <c r="S393" s="746">
        <f t="shared" ref="S393" si="502">U393-Q393</f>
        <v>0</v>
      </c>
      <c r="T393" s="194">
        <f t="shared" ref="T393" si="503">R393+P393</f>
        <v>2</v>
      </c>
      <c r="U393" s="630">
        <f t="shared" ref="U393" si="504">TRUNC(T393*E393,2)</f>
        <v>59.92</v>
      </c>
      <c r="V393" s="194">
        <f t="shared" si="478"/>
        <v>0</v>
      </c>
      <c r="W393" s="630">
        <f>V393*E393</f>
        <v>0</v>
      </c>
    </row>
    <row r="394" spans="1:23" ht="38.25">
      <c r="A394" s="190" t="s">
        <v>540</v>
      </c>
      <c r="B394" s="191">
        <v>160608</v>
      </c>
      <c r="C394" s="657" t="s">
        <v>545</v>
      </c>
      <c r="D394" s="192" t="s">
        <v>59</v>
      </c>
      <c r="E394" s="193">
        <v>320.60000000000002</v>
      </c>
      <c r="F394" s="194">
        <v>3</v>
      </c>
      <c r="G394" s="194"/>
      <c r="H394" s="194"/>
      <c r="I394" s="194"/>
      <c r="J394" s="193">
        <f t="shared" si="498"/>
        <v>3</v>
      </c>
      <c r="K394" s="193">
        <f t="shared" si="499"/>
        <v>961.80000000000007</v>
      </c>
      <c r="L394" s="193"/>
      <c r="M394" s="193"/>
      <c r="N394" s="193"/>
      <c r="O394" s="622">
        <f t="shared" si="500"/>
        <v>961.80000000000007</v>
      </c>
      <c r="P394" s="194">
        <v>3</v>
      </c>
      <c r="Q394" s="622">
        <f>TRUNC(P394*E394,2)</f>
        <v>961.8</v>
      </c>
      <c r="R394" s="745">
        <v>0</v>
      </c>
      <c r="S394" s="746">
        <f>U394-Q394</f>
        <v>0</v>
      </c>
      <c r="T394" s="194">
        <f>R394+P394</f>
        <v>3</v>
      </c>
      <c r="U394" s="630">
        <f>TRUNC(T394*E394,2)</f>
        <v>961.8</v>
      </c>
      <c r="V394" s="194">
        <f t="shared" si="478"/>
        <v>0</v>
      </c>
      <c r="W394" s="630">
        <f t="shared" ref="W394:W397" si="505">V394*E394</f>
        <v>0</v>
      </c>
    </row>
    <row r="395" spans="1:23" ht="25.5">
      <c r="A395" s="190" t="s">
        <v>541</v>
      </c>
      <c r="B395" s="191">
        <v>160613</v>
      </c>
      <c r="C395" s="657" t="s">
        <v>389</v>
      </c>
      <c r="D395" s="192" t="s">
        <v>59</v>
      </c>
      <c r="E395" s="193">
        <v>197.45</v>
      </c>
      <c r="F395" s="194">
        <v>3</v>
      </c>
      <c r="G395" s="194"/>
      <c r="H395" s="194"/>
      <c r="I395" s="194"/>
      <c r="J395" s="193">
        <f t="shared" si="498"/>
        <v>3</v>
      </c>
      <c r="K395" s="193">
        <f t="shared" si="499"/>
        <v>592.34999999999991</v>
      </c>
      <c r="L395" s="193"/>
      <c r="M395" s="193"/>
      <c r="N395" s="193"/>
      <c r="O395" s="622">
        <f t="shared" si="500"/>
        <v>592.34999999999991</v>
      </c>
      <c r="P395" s="194">
        <v>3</v>
      </c>
      <c r="Q395" s="622">
        <f t="shared" ref="Q395:Q397" si="506">TRUNC(P395*E395,2)</f>
        <v>592.35</v>
      </c>
      <c r="R395" s="745">
        <v>0</v>
      </c>
      <c r="S395" s="746">
        <f t="shared" ref="S395:S397" si="507">U395-Q395</f>
        <v>0</v>
      </c>
      <c r="T395" s="194">
        <f t="shared" ref="T395:T397" si="508">R395+P395</f>
        <v>3</v>
      </c>
      <c r="U395" s="630">
        <f t="shared" ref="U395:U397" si="509">TRUNC(T395*E395,2)</f>
        <v>592.35</v>
      </c>
      <c r="V395" s="194">
        <f t="shared" si="478"/>
        <v>0</v>
      </c>
      <c r="W395" s="630">
        <f t="shared" si="505"/>
        <v>0</v>
      </c>
    </row>
    <row r="396" spans="1:23" ht="38.25">
      <c r="A396" s="190" t="s">
        <v>542</v>
      </c>
      <c r="B396" s="191">
        <v>160607</v>
      </c>
      <c r="C396" s="657" t="s">
        <v>390</v>
      </c>
      <c r="D396" s="192" t="s">
        <v>59</v>
      </c>
      <c r="E396" s="193">
        <v>178.48</v>
      </c>
      <c r="F396" s="194">
        <v>2</v>
      </c>
      <c r="G396" s="194"/>
      <c r="H396" s="194"/>
      <c r="I396" s="194"/>
      <c r="J396" s="193">
        <f t="shared" si="498"/>
        <v>2</v>
      </c>
      <c r="K396" s="193">
        <f t="shared" si="499"/>
        <v>356.96</v>
      </c>
      <c r="L396" s="193"/>
      <c r="M396" s="193"/>
      <c r="N396" s="193"/>
      <c r="O396" s="622">
        <f t="shared" si="500"/>
        <v>356.96</v>
      </c>
      <c r="P396" s="194">
        <v>2</v>
      </c>
      <c r="Q396" s="622">
        <f t="shared" si="506"/>
        <v>356.96</v>
      </c>
      <c r="R396" s="745">
        <v>0</v>
      </c>
      <c r="S396" s="746">
        <f t="shared" si="507"/>
        <v>0</v>
      </c>
      <c r="T396" s="194">
        <f t="shared" si="508"/>
        <v>2</v>
      </c>
      <c r="U396" s="630">
        <f t="shared" si="509"/>
        <v>356.96</v>
      </c>
      <c r="V396" s="194">
        <f t="shared" si="478"/>
        <v>0</v>
      </c>
      <c r="W396" s="630">
        <f t="shared" si="505"/>
        <v>0</v>
      </c>
    </row>
    <row r="397" spans="1:23" ht="38.25">
      <c r="A397" s="190" t="s">
        <v>543</v>
      </c>
      <c r="B397" s="191">
        <v>190605</v>
      </c>
      <c r="C397" s="657" t="s">
        <v>544</v>
      </c>
      <c r="D397" s="192" t="s">
        <v>57</v>
      </c>
      <c r="E397" s="193">
        <v>50.18</v>
      </c>
      <c r="F397" s="194">
        <v>1.8</v>
      </c>
      <c r="G397" s="194"/>
      <c r="H397" s="194"/>
      <c r="I397" s="194"/>
      <c r="J397" s="193">
        <f t="shared" si="498"/>
        <v>1.8</v>
      </c>
      <c r="K397" s="193">
        <f t="shared" si="499"/>
        <v>90.323999999999998</v>
      </c>
      <c r="L397" s="193"/>
      <c r="M397" s="193"/>
      <c r="N397" s="193"/>
      <c r="O397" s="622">
        <f t="shared" si="500"/>
        <v>90.323999999999998</v>
      </c>
      <c r="P397" s="194">
        <v>1.8</v>
      </c>
      <c r="Q397" s="622">
        <f t="shared" si="506"/>
        <v>90.32</v>
      </c>
      <c r="R397" s="745">
        <v>0</v>
      </c>
      <c r="S397" s="746">
        <f t="shared" si="507"/>
        <v>0</v>
      </c>
      <c r="T397" s="194">
        <f t="shared" si="508"/>
        <v>1.8</v>
      </c>
      <c r="U397" s="630">
        <f t="shared" si="509"/>
        <v>90.32</v>
      </c>
      <c r="V397" s="194">
        <f t="shared" si="478"/>
        <v>0</v>
      </c>
      <c r="W397" s="630">
        <f t="shared" si="505"/>
        <v>0</v>
      </c>
    </row>
    <row r="398" spans="1:23">
      <c r="A398" s="138"/>
      <c r="B398" s="132"/>
      <c r="C398" s="123"/>
      <c r="D398" s="123"/>
      <c r="E398" s="123"/>
      <c r="F398" s="123"/>
      <c r="G398" s="123"/>
      <c r="H398" s="123"/>
      <c r="I398" s="123"/>
      <c r="J398" s="123"/>
      <c r="K398" s="123"/>
      <c r="L398" s="123"/>
      <c r="M398" s="123"/>
      <c r="N398" s="123"/>
      <c r="O398" s="623"/>
      <c r="P398" s="123"/>
      <c r="Q398" s="623"/>
      <c r="R398" s="791"/>
      <c r="S398" s="792"/>
      <c r="T398" s="123"/>
      <c r="U398" s="631"/>
      <c r="V398" s="123"/>
      <c r="W398" s="631"/>
    </row>
    <row r="399" spans="1:23" s="654" customFormat="1">
      <c r="A399" s="202">
        <v>4</v>
      </c>
      <c r="B399" s="653" t="s">
        <v>549</v>
      </c>
      <c r="C399" s="654" t="s">
        <v>549</v>
      </c>
      <c r="D399" s="204"/>
      <c r="E399" s="205"/>
      <c r="F399" s="206"/>
      <c r="G399" s="206"/>
      <c r="H399" s="206"/>
      <c r="I399" s="206"/>
      <c r="J399" s="207"/>
      <c r="K399" s="207">
        <f>SUBTOTAL(9,K400:K565)</f>
        <v>1468117.0323999999</v>
      </c>
      <c r="L399" s="207"/>
      <c r="M399" s="207"/>
      <c r="N399" s="207"/>
      <c r="O399" s="619"/>
      <c r="P399" s="208"/>
      <c r="Q399" s="619">
        <f>SUBTOTAL(9,Q400:Q565)</f>
        <v>646937.5700000003</v>
      </c>
      <c r="R399" s="741"/>
      <c r="S399" s="742">
        <f>SUBTOTAL(9,S400:S565)</f>
        <v>35080.69</v>
      </c>
      <c r="T399" s="207"/>
      <c r="U399" s="619">
        <f>SUBTOTAL(9,U400:U565)</f>
        <v>695313.71000000043</v>
      </c>
      <c r="V399" s="207">
        <f>F399-T399</f>
        <v>0</v>
      </c>
      <c r="W399" s="619">
        <f>SUBTOTAL(9,W400:W565)</f>
        <v>779051.59490000037</v>
      </c>
    </row>
    <row r="400" spans="1:23" s="131" customFormat="1">
      <c r="A400" s="137" t="s">
        <v>1</v>
      </c>
      <c r="B400" s="133"/>
      <c r="C400" s="658" t="s">
        <v>65</v>
      </c>
      <c r="D400" s="126"/>
      <c r="E400" s="127"/>
      <c r="F400" s="128"/>
      <c r="G400" s="128"/>
      <c r="H400" s="128"/>
      <c r="I400" s="128"/>
      <c r="J400" s="129"/>
      <c r="K400" s="129">
        <f>SUBTOTAL(9,K401:K407)</f>
        <v>7682.7566999999999</v>
      </c>
      <c r="L400" s="129"/>
      <c r="M400" s="129"/>
      <c r="N400" s="129"/>
      <c r="O400" s="624"/>
      <c r="P400" s="130"/>
      <c r="Q400" s="624">
        <f>SUBTOTAL(9,Q401:Q407)</f>
        <v>2340.09</v>
      </c>
      <c r="R400" s="743"/>
      <c r="S400" s="744">
        <f>SUBTOTAL(9,S401:S407)</f>
        <v>0</v>
      </c>
      <c r="T400" s="129"/>
      <c r="U400" s="624">
        <f>SUBTOTAL(9,U401:U407)</f>
        <v>2340.09</v>
      </c>
      <c r="V400" s="129">
        <f t="shared" ref="V400:V465" si="510">F400-T400</f>
        <v>0</v>
      </c>
      <c r="W400" s="624">
        <f>SUBTOTAL(9,W401:W407)</f>
        <v>5342.6607000000004</v>
      </c>
    </row>
    <row r="401" spans="1:23" s="131" customFormat="1">
      <c r="A401" s="137" t="s">
        <v>37</v>
      </c>
      <c r="B401" s="133"/>
      <c r="C401" s="658" t="s">
        <v>101</v>
      </c>
      <c r="D401" s="126"/>
      <c r="E401" s="127"/>
      <c r="F401" s="128"/>
      <c r="G401" s="128"/>
      <c r="H401" s="128"/>
      <c r="I401" s="128"/>
      <c r="J401" s="129"/>
      <c r="K401" s="129">
        <f>SUBTOTAL(9,K402:K402)</f>
        <v>1783.68</v>
      </c>
      <c r="L401" s="129"/>
      <c r="M401" s="129"/>
      <c r="N401" s="129"/>
      <c r="O401" s="624"/>
      <c r="P401" s="130"/>
      <c r="Q401" s="624">
        <f>SUBTOTAL(9,Q402:Q402)</f>
        <v>1783.68</v>
      </c>
      <c r="R401" s="743"/>
      <c r="S401" s="744">
        <f>SUBTOTAL(9,S402:S402)</f>
        <v>0</v>
      </c>
      <c r="T401" s="129"/>
      <c r="U401" s="624">
        <f>SUBTOTAL(9,U402:U402)</f>
        <v>1783.68</v>
      </c>
      <c r="V401" s="129">
        <f t="shared" si="510"/>
        <v>0</v>
      </c>
      <c r="W401" s="624">
        <f>SUBTOTAL(9,W402:W402)</f>
        <v>0</v>
      </c>
    </row>
    <row r="402" spans="1:23">
      <c r="A402" s="190" t="s">
        <v>550</v>
      </c>
      <c r="B402" s="191">
        <v>20305</v>
      </c>
      <c r="C402" s="657" t="s">
        <v>103</v>
      </c>
      <c r="D402" s="192" t="s">
        <v>57</v>
      </c>
      <c r="E402" s="193">
        <v>222.96</v>
      </c>
      <c r="F402" s="194">
        <v>8</v>
      </c>
      <c r="G402" s="194"/>
      <c r="H402" s="194"/>
      <c r="I402" s="194"/>
      <c r="J402" s="193">
        <f t="shared" ref="J402" si="511">F402+H402-I402</f>
        <v>8</v>
      </c>
      <c r="K402" s="193">
        <f t="shared" ref="K402" si="512">J402*E402</f>
        <v>1783.68</v>
      </c>
      <c r="L402" s="193"/>
      <c r="M402" s="193"/>
      <c r="N402" s="193"/>
      <c r="O402" s="622">
        <f t="shared" ref="O402" si="513">J402*E402</f>
        <v>1783.68</v>
      </c>
      <c r="P402" s="195">
        <v>8</v>
      </c>
      <c r="Q402" s="622">
        <f>TRUNC(P402*E402,2)</f>
        <v>1783.68</v>
      </c>
      <c r="R402" s="745"/>
      <c r="S402" s="746">
        <f>R402*E402</f>
        <v>0</v>
      </c>
      <c r="T402" s="194">
        <f>R402+P402</f>
        <v>8</v>
      </c>
      <c r="U402" s="630">
        <f>TRUNC(T402*E402,2)</f>
        <v>1783.68</v>
      </c>
      <c r="V402" s="194">
        <f t="shared" si="510"/>
        <v>0</v>
      </c>
      <c r="W402" s="630">
        <f t="shared" ref="W402" si="514">V402*E402</f>
        <v>0</v>
      </c>
    </row>
    <row r="403" spans="1:23">
      <c r="A403" s="138"/>
      <c r="B403" s="132"/>
      <c r="C403" s="123"/>
      <c r="D403" s="123"/>
      <c r="E403" s="123"/>
      <c r="F403" s="123"/>
      <c r="G403" s="123"/>
      <c r="H403" s="123"/>
      <c r="I403" s="123"/>
      <c r="J403" s="123"/>
      <c r="K403" s="123"/>
      <c r="L403" s="123"/>
      <c r="M403" s="123"/>
      <c r="N403" s="123"/>
      <c r="O403" s="623"/>
      <c r="P403" s="123"/>
      <c r="Q403" s="623"/>
      <c r="R403" s="791"/>
      <c r="S403" s="792"/>
      <c r="T403" s="123"/>
      <c r="U403" s="631"/>
      <c r="V403" s="123"/>
      <c r="W403" s="631"/>
    </row>
    <row r="404" spans="1:23" s="131" customFormat="1">
      <c r="A404" s="137" t="s">
        <v>38</v>
      </c>
      <c r="B404" s="133"/>
      <c r="C404" s="658" t="s">
        <v>105</v>
      </c>
      <c r="D404" s="126"/>
      <c r="E404" s="127"/>
      <c r="F404" s="128"/>
      <c r="G404" s="128"/>
      <c r="H404" s="128"/>
      <c r="I404" s="128"/>
      <c r="J404" s="129"/>
      <c r="K404" s="129">
        <f>SUBTOTAL(9,K405:K407)</f>
        <v>5899.0766999999996</v>
      </c>
      <c r="L404" s="129"/>
      <c r="M404" s="129"/>
      <c r="N404" s="129"/>
      <c r="O404" s="624"/>
      <c r="P404" s="130"/>
      <c r="Q404" s="624">
        <f>SUBTOTAL(9,Q405:Q407)</f>
        <v>556.41</v>
      </c>
      <c r="R404" s="743"/>
      <c r="S404" s="744">
        <f>SUBTOTAL(9,S405:S407)</f>
        <v>0</v>
      </c>
      <c r="T404" s="129"/>
      <c r="U404" s="624">
        <f>SUBTOTAL(9,U405:U407)</f>
        <v>556.41</v>
      </c>
      <c r="V404" s="129">
        <f t="shared" si="510"/>
        <v>0</v>
      </c>
      <c r="W404" s="624">
        <f>SUBTOTAL(9,W405:W407)</f>
        <v>5342.6607000000004</v>
      </c>
    </row>
    <row r="405" spans="1:23">
      <c r="A405" s="190" t="s">
        <v>551</v>
      </c>
      <c r="B405" s="191">
        <v>10201</v>
      </c>
      <c r="C405" s="657" t="s">
        <v>397</v>
      </c>
      <c r="D405" s="192" t="s">
        <v>57</v>
      </c>
      <c r="E405" s="193">
        <v>22.08</v>
      </c>
      <c r="F405" s="194">
        <v>175.68</v>
      </c>
      <c r="G405" s="194"/>
      <c r="H405" s="194"/>
      <c r="I405" s="194"/>
      <c r="J405" s="193">
        <f t="shared" ref="J405:J407" si="515">F405+H405-I405</f>
        <v>175.68</v>
      </c>
      <c r="K405" s="193">
        <f t="shared" ref="K405:K407" si="516">J405*E405</f>
        <v>3879.0144</v>
      </c>
      <c r="L405" s="193"/>
      <c r="M405" s="193"/>
      <c r="N405" s="193"/>
      <c r="O405" s="622">
        <f t="shared" ref="O405:O407" si="517">J405*E405</f>
        <v>3879.0144</v>
      </c>
      <c r="P405" s="195">
        <v>25.2</v>
      </c>
      <c r="Q405" s="622">
        <f>TRUNC(P405*E405,2)</f>
        <v>556.41</v>
      </c>
      <c r="R405" s="745">
        <v>0</v>
      </c>
      <c r="S405" s="746">
        <f t="shared" ref="S405:S407" si="518">U405-Q405</f>
        <v>0</v>
      </c>
      <c r="T405" s="194">
        <f>R405+P405</f>
        <v>25.2</v>
      </c>
      <c r="U405" s="630">
        <f>TRUNC(T405*E405,2)</f>
        <v>556.41</v>
      </c>
      <c r="V405" s="194">
        <f t="shared" si="510"/>
        <v>150.48000000000002</v>
      </c>
      <c r="W405" s="630">
        <f t="shared" ref="W405:W407" si="519">V405*E405</f>
        <v>3322.5984000000003</v>
      </c>
    </row>
    <row r="406" spans="1:23">
      <c r="A406" s="190" t="s">
        <v>552</v>
      </c>
      <c r="B406" s="191">
        <v>10209</v>
      </c>
      <c r="C406" s="657" t="s">
        <v>554</v>
      </c>
      <c r="D406" s="192" t="s">
        <v>58</v>
      </c>
      <c r="E406" s="193">
        <v>50.93</v>
      </c>
      <c r="F406" s="194">
        <v>4.96</v>
      </c>
      <c r="G406" s="194"/>
      <c r="H406" s="194"/>
      <c r="I406" s="194"/>
      <c r="J406" s="193">
        <f t="shared" si="515"/>
        <v>4.96</v>
      </c>
      <c r="K406" s="193">
        <f t="shared" si="516"/>
        <v>252.61279999999999</v>
      </c>
      <c r="L406" s="193"/>
      <c r="M406" s="193"/>
      <c r="N406" s="193"/>
      <c r="O406" s="622">
        <f t="shared" si="517"/>
        <v>252.61279999999999</v>
      </c>
      <c r="P406" s="195">
        <v>0</v>
      </c>
      <c r="Q406" s="622">
        <f t="shared" ref="Q406:Q407" si="520">TRUNC(P406*E406,2)</f>
        <v>0</v>
      </c>
      <c r="R406" s="745">
        <f>IFERROR(VLOOKUP(A406,#REF!,18,FALSE),)</f>
        <v>0</v>
      </c>
      <c r="S406" s="746">
        <f t="shared" si="518"/>
        <v>0</v>
      </c>
      <c r="T406" s="194">
        <f t="shared" ref="T406:T407" si="521">R406+P406</f>
        <v>0</v>
      </c>
      <c r="U406" s="630">
        <f t="shared" ref="U406:U407" si="522">TRUNC(T406*E406,2)</f>
        <v>0</v>
      </c>
      <c r="V406" s="194">
        <f t="shared" si="510"/>
        <v>4.96</v>
      </c>
      <c r="W406" s="630">
        <f t="shared" si="519"/>
        <v>252.61279999999999</v>
      </c>
    </row>
    <row r="407" spans="1:23" ht="38.25">
      <c r="A407" s="190" t="s">
        <v>553</v>
      </c>
      <c r="B407" s="191">
        <v>30304</v>
      </c>
      <c r="C407" s="657" t="s">
        <v>109</v>
      </c>
      <c r="D407" s="192" t="s">
        <v>58</v>
      </c>
      <c r="E407" s="193">
        <v>56.45</v>
      </c>
      <c r="F407" s="194">
        <v>31.31</v>
      </c>
      <c r="G407" s="194"/>
      <c r="H407" s="194"/>
      <c r="I407" s="194"/>
      <c r="J407" s="193">
        <f t="shared" si="515"/>
        <v>31.31</v>
      </c>
      <c r="K407" s="193">
        <f t="shared" si="516"/>
        <v>1767.4494999999999</v>
      </c>
      <c r="L407" s="193"/>
      <c r="M407" s="193"/>
      <c r="N407" s="193"/>
      <c r="O407" s="622">
        <f t="shared" si="517"/>
        <v>1767.4494999999999</v>
      </c>
      <c r="P407" s="195">
        <v>0</v>
      </c>
      <c r="Q407" s="622">
        <f t="shared" si="520"/>
        <v>0</v>
      </c>
      <c r="R407" s="745">
        <f>IFERROR(VLOOKUP(A407,#REF!,18,FALSE),)</f>
        <v>0</v>
      </c>
      <c r="S407" s="746">
        <f t="shared" si="518"/>
        <v>0</v>
      </c>
      <c r="T407" s="194">
        <f t="shared" si="521"/>
        <v>0</v>
      </c>
      <c r="U407" s="630">
        <f t="shared" si="522"/>
        <v>0</v>
      </c>
      <c r="V407" s="194">
        <f t="shared" si="510"/>
        <v>31.31</v>
      </c>
      <c r="W407" s="630">
        <f t="shared" si="519"/>
        <v>1767.4494999999999</v>
      </c>
    </row>
    <row r="408" spans="1:23">
      <c r="A408" s="138"/>
      <c r="B408" s="132"/>
      <c r="C408" s="123"/>
      <c r="D408" s="123"/>
      <c r="E408" s="123"/>
      <c r="F408" s="123"/>
      <c r="G408" s="123"/>
      <c r="H408" s="123"/>
      <c r="I408" s="123"/>
      <c r="J408" s="123"/>
      <c r="K408" s="123"/>
      <c r="L408" s="123"/>
      <c r="M408" s="123"/>
      <c r="N408" s="123"/>
      <c r="O408" s="623"/>
      <c r="P408" s="123"/>
      <c r="Q408" s="623"/>
      <c r="R408" s="791"/>
      <c r="S408" s="792"/>
      <c r="T408" s="123"/>
      <c r="U408" s="631"/>
      <c r="V408" s="123"/>
      <c r="W408" s="631"/>
    </row>
    <row r="409" spans="1:23" s="213" customFormat="1">
      <c r="A409" s="210" t="s">
        <v>27</v>
      </c>
      <c r="B409" s="211"/>
      <c r="C409" s="655" t="s">
        <v>56</v>
      </c>
      <c r="D409" s="197"/>
      <c r="E409" s="198"/>
      <c r="F409" s="199"/>
      <c r="G409" s="199"/>
      <c r="H409" s="199"/>
      <c r="I409" s="199"/>
      <c r="J409" s="200"/>
      <c r="K409" s="200">
        <f>SUBTOTAL(9,K410:K412)</f>
        <v>4745.5412000000006</v>
      </c>
      <c r="L409" s="200"/>
      <c r="M409" s="200"/>
      <c r="N409" s="200"/>
      <c r="O409" s="620"/>
      <c r="P409" s="201"/>
      <c r="Q409" s="620">
        <f>SUBTOTAL(9,Q410:Q412)</f>
        <v>0</v>
      </c>
      <c r="R409" s="743"/>
      <c r="S409" s="744">
        <f>SUBTOTAL(9,S410:S412)</f>
        <v>0</v>
      </c>
      <c r="T409" s="200"/>
      <c r="U409" s="620">
        <f>SUBTOTAL(9,U410:U412)</f>
        <v>0</v>
      </c>
      <c r="V409" s="200">
        <f t="shared" si="510"/>
        <v>0</v>
      </c>
      <c r="W409" s="620">
        <f>SUBTOTAL(9,W410:W412)</f>
        <v>4745.5412000000006</v>
      </c>
    </row>
    <row r="410" spans="1:23" s="131" customFormat="1">
      <c r="A410" s="137" t="s">
        <v>39</v>
      </c>
      <c r="B410" s="133"/>
      <c r="C410" s="658" t="s">
        <v>111</v>
      </c>
      <c r="D410" s="126"/>
      <c r="E410" s="127"/>
      <c r="F410" s="128"/>
      <c r="G410" s="128"/>
      <c r="H410" s="128"/>
      <c r="I410" s="128"/>
      <c r="J410" s="129"/>
      <c r="K410" s="129">
        <f>SUBTOTAL(9,K411:K412)</f>
        <v>4745.5412000000006</v>
      </c>
      <c r="L410" s="129"/>
      <c r="M410" s="129"/>
      <c r="N410" s="129"/>
      <c r="O410" s="624"/>
      <c r="P410" s="130"/>
      <c r="Q410" s="624">
        <f>SUBTOTAL(9,Q411:Q412)</f>
        <v>0</v>
      </c>
      <c r="R410" s="743"/>
      <c r="S410" s="744">
        <f>SUBTOTAL(9,S411:S412)</f>
        <v>0</v>
      </c>
      <c r="T410" s="129"/>
      <c r="U410" s="624">
        <f>SUBTOTAL(9,U411:U412)</f>
        <v>0</v>
      </c>
      <c r="V410" s="129">
        <f t="shared" si="510"/>
        <v>0</v>
      </c>
      <c r="W410" s="624">
        <f>SUBTOTAL(9,W411:W412)</f>
        <v>4745.5412000000006</v>
      </c>
    </row>
    <row r="411" spans="1:23">
      <c r="A411" s="190" t="s">
        <v>555</v>
      </c>
      <c r="B411" s="191">
        <v>30103</v>
      </c>
      <c r="C411" s="657" t="s">
        <v>116</v>
      </c>
      <c r="D411" s="192" t="s">
        <v>58</v>
      </c>
      <c r="E411" s="193">
        <v>9.81</v>
      </c>
      <c r="F411" s="194">
        <v>71.62</v>
      </c>
      <c r="G411" s="194"/>
      <c r="H411" s="194"/>
      <c r="I411" s="194"/>
      <c r="J411" s="193">
        <f t="shared" ref="J411:J412" si="523">F411+H411-I411</f>
        <v>71.62</v>
      </c>
      <c r="K411" s="193">
        <f t="shared" ref="K411:K412" si="524">J411*E411</f>
        <v>702.59220000000005</v>
      </c>
      <c r="L411" s="193"/>
      <c r="M411" s="193"/>
      <c r="N411" s="193"/>
      <c r="O411" s="622">
        <f t="shared" ref="O411:O412" si="525">J411*E411</f>
        <v>702.59220000000005</v>
      </c>
      <c r="P411" s="194">
        <v>0</v>
      </c>
      <c r="Q411" s="622">
        <f t="shared" ref="Q411" si="526">TRUNC(P411*E411,2)</f>
        <v>0</v>
      </c>
      <c r="R411" s="745">
        <f>IFERROR(VLOOKUP(A411,'3.2.1.1'!A:U,18,FALSE),)</f>
        <v>0</v>
      </c>
      <c r="S411" s="746">
        <f t="shared" ref="S411" si="527">U411-Q411</f>
        <v>0</v>
      </c>
      <c r="T411" s="194">
        <f t="shared" ref="T411" si="528">R411+P411</f>
        <v>0</v>
      </c>
      <c r="U411" s="630">
        <f t="shared" ref="U411" si="529">TRUNC(T411*E411,2)</f>
        <v>0</v>
      </c>
      <c r="V411" s="194">
        <f t="shared" si="510"/>
        <v>71.62</v>
      </c>
      <c r="W411" s="630">
        <f t="shared" ref="W411:W412" si="530">V411*E411</f>
        <v>702.59220000000005</v>
      </c>
    </row>
    <row r="412" spans="1:23" ht="38.25">
      <c r="A412" s="190" t="s">
        <v>556</v>
      </c>
      <c r="B412" s="191">
        <v>30304</v>
      </c>
      <c r="C412" s="657" t="s">
        <v>109</v>
      </c>
      <c r="D412" s="192" t="s">
        <v>58</v>
      </c>
      <c r="E412" s="193">
        <v>56.45</v>
      </c>
      <c r="F412" s="194">
        <v>71.62</v>
      </c>
      <c r="G412" s="194"/>
      <c r="H412" s="194"/>
      <c r="I412" s="194"/>
      <c r="J412" s="193">
        <f t="shared" si="523"/>
        <v>71.62</v>
      </c>
      <c r="K412" s="193">
        <f t="shared" si="524"/>
        <v>4042.9490000000005</v>
      </c>
      <c r="L412" s="193"/>
      <c r="M412" s="193"/>
      <c r="N412" s="193"/>
      <c r="O412" s="622">
        <f t="shared" si="525"/>
        <v>4042.9490000000005</v>
      </c>
      <c r="P412" s="194">
        <v>0</v>
      </c>
      <c r="Q412" s="622">
        <f>TRUNC(P412*E412,2)</f>
        <v>0</v>
      </c>
      <c r="R412" s="745">
        <f>IFERROR(VLOOKUP(A412,'3.2.1.2'!A:U,18,FALSE),)</f>
        <v>0</v>
      </c>
      <c r="S412" s="746">
        <f>U412-Q412</f>
        <v>0</v>
      </c>
      <c r="T412" s="194">
        <f>R412+P412</f>
        <v>0</v>
      </c>
      <c r="U412" s="630">
        <f>TRUNC(T412*E412,2)</f>
        <v>0</v>
      </c>
      <c r="V412" s="194">
        <f t="shared" si="510"/>
        <v>71.62</v>
      </c>
      <c r="W412" s="630">
        <f t="shared" si="530"/>
        <v>4042.9490000000005</v>
      </c>
    </row>
    <row r="413" spans="1:23" s="213" customFormat="1">
      <c r="A413" s="210" t="s">
        <v>557</v>
      </c>
      <c r="B413" s="211"/>
      <c r="C413" s="655" t="s">
        <v>119</v>
      </c>
      <c r="D413" s="197"/>
      <c r="E413" s="198"/>
      <c r="F413" s="199"/>
      <c r="G413" s="199"/>
      <c r="H413" s="199"/>
      <c r="I413" s="199"/>
      <c r="J413" s="200"/>
      <c r="K413" s="200">
        <f>SUBTOTAL(9,K414:K484)</f>
        <v>365305.14220000006</v>
      </c>
      <c r="L413" s="200"/>
      <c r="M413" s="200"/>
      <c r="N413" s="200"/>
      <c r="O413" s="620"/>
      <c r="P413" s="201"/>
      <c r="Q413" s="620">
        <f>SUBTOTAL(9,Q414:Q484)</f>
        <v>115272.73000000001</v>
      </c>
      <c r="R413" s="743"/>
      <c r="S413" s="744">
        <f>SUBTOTAL(9,S414:S484)</f>
        <v>5071.05</v>
      </c>
      <c r="T413" s="200"/>
      <c r="U413" s="620">
        <f>SUBTOTAL(9,U414:U484)</f>
        <v>120343.78</v>
      </c>
      <c r="V413" s="200">
        <f t="shared" si="510"/>
        <v>0</v>
      </c>
      <c r="W413" s="620">
        <f>SUBTOTAL(9,W414:W484)</f>
        <v>230144.54280000008</v>
      </c>
    </row>
    <row r="414" spans="1:23" s="131" customFormat="1">
      <c r="A414" s="137" t="s">
        <v>558</v>
      </c>
      <c r="B414" s="133"/>
      <c r="C414" s="658" t="s">
        <v>98</v>
      </c>
      <c r="D414" s="126"/>
      <c r="E414" s="127"/>
      <c r="F414" s="128"/>
      <c r="G414" s="128"/>
      <c r="H414" s="128"/>
      <c r="I414" s="128"/>
      <c r="J414" s="129"/>
      <c r="K414" s="129">
        <f>SUBTOTAL(9,K415:K416)</f>
        <v>1390.9672</v>
      </c>
      <c r="L414" s="129"/>
      <c r="M414" s="129"/>
      <c r="N414" s="129"/>
      <c r="O414" s="624"/>
      <c r="P414" s="130"/>
      <c r="Q414" s="624">
        <f>SUBTOTAL(9,Q415)</f>
        <v>0</v>
      </c>
      <c r="R414" s="743"/>
      <c r="S414" s="744">
        <f>SUBTOTAL(9,S415)</f>
        <v>0</v>
      </c>
      <c r="T414" s="129"/>
      <c r="U414" s="624">
        <f>SUBTOTAL(9,U415:U416)</f>
        <v>0</v>
      </c>
      <c r="V414" s="129">
        <f t="shared" si="510"/>
        <v>0</v>
      </c>
      <c r="W414" s="624">
        <f>SUBTOTAL(9,W415)</f>
        <v>1390.9672</v>
      </c>
    </row>
    <row r="415" spans="1:23">
      <c r="A415" s="190" t="s">
        <v>559</v>
      </c>
      <c r="B415" s="191">
        <v>10501</v>
      </c>
      <c r="C415" s="657" t="s">
        <v>122</v>
      </c>
      <c r="D415" s="192" t="s">
        <v>57</v>
      </c>
      <c r="E415" s="193">
        <v>7.69</v>
      </c>
      <c r="F415" s="194">
        <v>180.88</v>
      </c>
      <c r="G415" s="194"/>
      <c r="H415" s="194"/>
      <c r="I415" s="194"/>
      <c r="J415" s="193">
        <f t="shared" ref="J415" si="531">F415+H415-I415</f>
        <v>180.88</v>
      </c>
      <c r="K415" s="193">
        <f t="shared" ref="K415" si="532">J415*E415</f>
        <v>1390.9672</v>
      </c>
      <c r="L415" s="193"/>
      <c r="M415" s="193"/>
      <c r="N415" s="193"/>
      <c r="O415" s="622">
        <f t="shared" ref="O415" si="533">J415*E415</f>
        <v>1390.9672</v>
      </c>
      <c r="P415" s="194">
        <v>0</v>
      </c>
      <c r="Q415" s="622">
        <f t="shared" ref="Q415" si="534">TRUNC(P415*E415,2)</f>
        <v>0</v>
      </c>
      <c r="R415" s="745">
        <f>IFERROR(VLOOKUP(A415,#REF!,18,FALSE),)</f>
        <v>0</v>
      </c>
      <c r="S415" s="746">
        <f t="shared" ref="S415" si="535">U415-Q415</f>
        <v>0</v>
      </c>
      <c r="T415" s="194">
        <f t="shared" ref="T415" si="536">R415+P415</f>
        <v>0</v>
      </c>
      <c r="U415" s="630">
        <f t="shared" ref="U415" si="537">TRUNC(T415*E415,2)</f>
        <v>0</v>
      </c>
      <c r="V415" s="194">
        <f t="shared" si="510"/>
        <v>180.88</v>
      </c>
      <c r="W415" s="630">
        <f t="shared" ref="W415" si="538">V415*E415</f>
        <v>1390.9672</v>
      </c>
    </row>
    <row r="416" spans="1:23">
      <c r="A416" s="190" t="s">
        <v>1198</v>
      </c>
      <c r="B416" s="191" t="s">
        <v>1093</v>
      </c>
      <c r="C416" s="657" t="str">
        <f>REPLANILHAMENTO!D354</f>
        <v>Locação de andaime metálico para fachada - tipo torre (aluguel mensal)</v>
      </c>
      <c r="D416" s="192" t="s">
        <v>51</v>
      </c>
      <c r="E416" s="193">
        <f>REPLANILHAMENTO!F354</f>
        <v>8.0299999999999994</v>
      </c>
      <c r="F416" s="194"/>
      <c r="G416" s="194"/>
      <c r="H416" s="194">
        <f>REPLANILHAMENTO!H354</f>
        <v>109.2</v>
      </c>
      <c r="I416" s="194"/>
      <c r="J416" s="193">
        <f>F416+H416-I416</f>
        <v>109.2</v>
      </c>
      <c r="K416" s="193">
        <f>F416*E416</f>
        <v>0</v>
      </c>
      <c r="L416" s="193">
        <f>H416*E416</f>
        <v>876.87599999999998</v>
      </c>
      <c r="M416" s="193"/>
      <c r="N416" s="193">
        <f>I416*E416</f>
        <v>0</v>
      </c>
      <c r="O416" s="622">
        <f>J416*E416</f>
        <v>876.87599999999998</v>
      </c>
      <c r="P416" s="195">
        <v>109.2</v>
      </c>
      <c r="Q416" s="622"/>
      <c r="R416" s="745"/>
      <c r="S416" s="746">
        <f>R416*E416</f>
        <v>0</v>
      </c>
      <c r="T416" s="194"/>
      <c r="U416" s="630"/>
      <c r="V416" s="194"/>
      <c r="W416" s="630"/>
    </row>
    <row r="417" spans="1:23">
      <c r="A417" s="138"/>
      <c r="B417" s="132"/>
      <c r="C417" s="123"/>
      <c r="D417" s="123"/>
      <c r="E417" s="123"/>
      <c r="F417" s="123"/>
      <c r="G417" s="123"/>
      <c r="H417" s="123"/>
      <c r="I417" s="123"/>
      <c r="J417" s="123"/>
      <c r="K417" s="123"/>
      <c r="L417" s="123"/>
      <c r="M417" s="123"/>
      <c r="N417" s="123"/>
      <c r="O417" s="623"/>
      <c r="P417" s="123"/>
      <c r="Q417" s="623"/>
      <c r="R417" s="791"/>
      <c r="S417" s="792"/>
      <c r="T417" s="123"/>
      <c r="U417" s="631"/>
      <c r="V417" s="123">
        <f t="shared" si="510"/>
        <v>0</v>
      </c>
      <c r="W417" s="631">
        <f t="shared" ref="W417:W453" si="539">J417-U417</f>
        <v>0</v>
      </c>
    </row>
    <row r="418" spans="1:23" s="131" customFormat="1">
      <c r="A418" s="137" t="s">
        <v>560</v>
      </c>
      <c r="B418" s="133"/>
      <c r="C418" s="658" t="s">
        <v>124</v>
      </c>
      <c r="D418" s="126"/>
      <c r="E418" s="127"/>
      <c r="F418" s="128"/>
      <c r="G418" s="128"/>
      <c r="H418" s="128"/>
      <c r="I418" s="128"/>
      <c r="J418" s="129"/>
      <c r="K418" s="129">
        <f>SUBTOTAL(9,K419:K429)</f>
        <v>130072.26519999999</v>
      </c>
      <c r="L418" s="129"/>
      <c r="M418" s="129"/>
      <c r="N418" s="129"/>
      <c r="O418" s="624"/>
      <c r="P418" s="130"/>
      <c r="Q418" s="624">
        <f>SUBTOTAL(9,Q419:Q429)</f>
        <v>42202.009999999995</v>
      </c>
      <c r="R418" s="743"/>
      <c r="S418" s="744">
        <f>SUBTOTAL(9,S419:S429)</f>
        <v>0</v>
      </c>
      <c r="T418" s="129"/>
      <c r="U418" s="624">
        <f>SUBTOTAL(9,U419:U429)</f>
        <v>42202.009999999995</v>
      </c>
      <c r="V418" s="129">
        <f t="shared" si="510"/>
        <v>0</v>
      </c>
      <c r="W418" s="624">
        <f>SUBTOTAL(9,W419:W429)</f>
        <v>75503.334200000012</v>
      </c>
    </row>
    <row r="419" spans="1:23" ht="25.5">
      <c r="A419" s="190" t="s">
        <v>561</v>
      </c>
      <c r="B419" s="191" t="s">
        <v>136</v>
      </c>
      <c r="C419" s="657" t="s">
        <v>141</v>
      </c>
      <c r="D419" s="192" t="s">
        <v>60</v>
      </c>
      <c r="E419" s="193">
        <v>462.96</v>
      </c>
      <c r="F419" s="194">
        <v>85</v>
      </c>
      <c r="G419" s="194"/>
      <c r="H419" s="194"/>
      <c r="I419" s="194"/>
      <c r="J419" s="193">
        <f t="shared" ref="J419:J429" si="540">F419+H419-I419</f>
        <v>85</v>
      </c>
      <c r="K419" s="193">
        <f t="shared" ref="K419:K429" si="541">J419*E419</f>
        <v>39351.599999999999</v>
      </c>
      <c r="L419" s="193"/>
      <c r="M419" s="193"/>
      <c r="N419" s="193"/>
      <c r="O419" s="622">
        <f t="shared" ref="O419:O429" si="542">J419*E419</f>
        <v>39351.599999999999</v>
      </c>
      <c r="P419" s="194">
        <v>85</v>
      </c>
      <c r="Q419" s="622">
        <f t="shared" ref="Q419" si="543">TRUNC(P419*E419,2)</f>
        <v>39351.599999999999</v>
      </c>
      <c r="R419" s="745">
        <v>0</v>
      </c>
      <c r="S419" s="746">
        <f t="shared" ref="S419" si="544">U419-Q419</f>
        <v>0</v>
      </c>
      <c r="T419" s="194">
        <f t="shared" ref="T419" si="545">R419+P419</f>
        <v>85</v>
      </c>
      <c r="U419" s="630">
        <f t="shared" ref="U419" si="546">TRUNC(T419*E419,2)</f>
        <v>39351.599999999999</v>
      </c>
      <c r="V419" s="194">
        <f t="shared" si="510"/>
        <v>0</v>
      </c>
      <c r="W419" s="630">
        <v>0</v>
      </c>
    </row>
    <row r="420" spans="1:23">
      <c r="A420" s="190" t="s">
        <v>562</v>
      </c>
      <c r="B420" s="191" t="s">
        <v>137</v>
      </c>
      <c r="C420" s="657" t="s">
        <v>142</v>
      </c>
      <c r="D420" s="192" t="s">
        <v>49</v>
      </c>
      <c r="E420" s="193">
        <v>596.34</v>
      </c>
      <c r="F420" s="194">
        <v>36.83</v>
      </c>
      <c r="G420" s="194"/>
      <c r="H420" s="194"/>
      <c r="I420" s="194"/>
      <c r="J420" s="193">
        <f t="shared" si="540"/>
        <v>36.83</v>
      </c>
      <c r="K420" s="193">
        <f t="shared" si="541"/>
        <v>21963.2022</v>
      </c>
      <c r="L420" s="193"/>
      <c r="M420" s="193"/>
      <c r="N420" s="193"/>
      <c r="O420" s="622">
        <f t="shared" si="542"/>
        <v>21963.2022</v>
      </c>
      <c r="P420" s="194">
        <v>0</v>
      </c>
      <c r="Q420" s="622">
        <f>TRUNC(P420*E420,2)</f>
        <v>0</v>
      </c>
      <c r="R420" s="745">
        <f>IFERROR(VLOOKUP(A420,#REF!,18,FALSE),)</f>
        <v>0</v>
      </c>
      <c r="S420" s="746">
        <f>U420-Q420</f>
        <v>0</v>
      </c>
      <c r="T420" s="194">
        <f>R420+P420</f>
        <v>0</v>
      </c>
      <c r="U420" s="630">
        <f>TRUNC(T420*E420,2)</f>
        <v>0</v>
      </c>
      <c r="V420" s="194">
        <f t="shared" si="510"/>
        <v>36.83</v>
      </c>
      <c r="W420" s="630">
        <f t="shared" ref="W420:W428" si="547">V420*E420</f>
        <v>21963.2022</v>
      </c>
    </row>
    <row r="421" spans="1:23" ht="25.5">
      <c r="A421" s="190" t="s">
        <v>563</v>
      </c>
      <c r="B421" s="191" t="s">
        <v>138</v>
      </c>
      <c r="C421" s="657" t="s">
        <v>143</v>
      </c>
      <c r="D421" s="192" t="s">
        <v>29</v>
      </c>
      <c r="E421" s="193">
        <v>4.82</v>
      </c>
      <c r="F421" s="194">
        <v>528</v>
      </c>
      <c r="G421" s="194"/>
      <c r="H421" s="194"/>
      <c r="I421" s="194"/>
      <c r="J421" s="193">
        <f t="shared" si="540"/>
        <v>528</v>
      </c>
      <c r="K421" s="193">
        <f t="shared" si="541"/>
        <v>2544.96</v>
      </c>
      <c r="L421" s="193"/>
      <c r="M421" s="193"/>
      <c r="N421" s="193"/>
      <c r="O421" s="622">
        <f t="shared" si="542"/>
        <v>2544.96</v>
      </c>
      <c r="P421" s="194">
        <v>0</v>
      </c>
      <c r="Q421" s="622">
        <f t="shared" ref="Q421:Q427" si="548">TRUNC(P421*E421,2)</f>
        <v>0</v>
      </c>
      <c r="R421" s="745">
        <f>IFERROR(VLOOKUP(A421,#REF!,18,FALSE),)</f>
        <v>0</v>
      </c>
      <c r="S421" s="746">
        <f t="shared" ref="S421:S427" si="549">U421-Q421</f>
        <v>0</v>
      </c>
      <c r="T421" s="194">
        <f t="shared" ref="T421:T427" si="550">R421+P421</f>
        <v>0</v>
      </c>
      <c r="U421" s="630">
        <f t="shared" ref="U421:U427" si="551">TRUNC(T421*E421,2)</f>
        <v>0</v>
      </c>
      <c r="V421" s="194">
        <f t="shared" si="510"/>
        <v>528</v>
      </c>
      <c r="W421" s="630">
        <f t="shared" si="547"/>
        <v>2544.96</v>
      </c>
    </row>
    <row r="422" spans="1:23" ht="25.5">
      <c r="A422" s="190" t="s">
        <v>564</v>
      </c>
      <c r="B422" s="191" t="s">
        <v>139</v>
      </c>
      <c r="C422" s="657" t="s">
        <v>144</v>
      </c>
      <c r="D422" s="192" t="s">
        <v>29</v>
      </c>
      <c r="E422" s="193">
        <v>6.12</v>
      </c>
      <c r="F422" s="194">
        <v>4554</v>
      </c>
      <c r="G422" s="194"/>
      <c r="H422" s="194"/>
      <c r="I422" s="194"/>
      <c r="J422" s="193">
        <f t="shared" si="540"/>
        <v>4554</v>
      </c>
      <c r="K422" s="193">
        <f t="shared" si="541"/>
        <v>27870.48</v>
      </c>
      <c r="L422" s="193"/>
      <c r="M422" s="193"/>
      <c r="N422" s="193"/>
      <c r="O422" s="622">
        <f t="shared" si="542"/>
        <v>27870.48</v>
      </c>
      <c r="P422" s="194">
        <v>0</v>
      </c>
      <c r="Q422" s="622">
        <f t="shared" si="548"/>
        <v>0</v>
      </c>
      <c r="R422" s="745">
        <f>IFERROR(VLOOKUP(A422,#REF!,18,FALSE),)</f>
        <v>0</v>
      </c>
      <c r="S422" s="746">
        <f t="shared" si="549"/>
        <v>0</v>
      </c>
      <c r="T422" s="194">
        <f t="shared" si="550"/>
        <v>0</v>
      </c>
      <c r="U422" s="630">
        <f t="shared" si="551"/>
        <v>0</v>
      </c>
      <c r="V422" s="194">
        <f t="shared" si="510"/>
        <v>4554</v>
      </c>
      <c r="W422" s="630">
        <f t="shared" si="547"/>
        <v>27870.48</v>
      </c>
    </row>
    <row r="423" spans="1:23" ht="25.5">
      <c r="A423" s="190" t="s">
        <v>565</v>
      </c>
      <c r="B423" s="191">
        <v>30101</v>
      </c>
      <c r="C423" s="657" t="s">
        <v>145</v>
      </c>
      <c r="D423" s="192" t="s">
        <v>58</v>
      </c>
      <c r="E423" s="193">
        <v>48.58</v>
      </c>
      <c r="F423" s="194">
        <v>5.8</v>
      </c>
      <c r="G423" s="194"/>
      <c r="H423" s="194"/>
      <c r="I423" s="194"/>
      <c r="J423" s="193">
        <f t="shared" si="540"/>
        <v>5.8</v>
      </c>
      <c r="K423" s="193">
        <f t="shared" si="541"/>
        <v>281.76399999999995</v>
      </c>
      <c r="L423" s="193"/>
      <c r="M423" s="193"/>
      <c r="N423" s="193"/>
      <c r="O423" s="622">
        <f t="shared" si="542"/>
        <v>281.76399999999995</v>
      </c>
      <c r="P423" s="194">
        <v>0</v>
      </c>
      <c r="Q423" s="622">
        <f t="shared" si="548"/>
        <v>0</v>
      </c>
      <c r="R423" s="745">
        <f>IFERROR(VLOOKUP(A423,#REF!,18,FALSE),)</f>
        <v>0</v>
      </c>
      <c r="S423" s="746">
        <f t="shared" si="549"/>
        <v>0</v>
      </c>
      <c r="T423" s="194">
        <f t="shared" si="550"/>
        <v>0</v>
      </c>
      <c r="U423" s="630">
        <f t="shared" si="551"/>
        <v>0</v>
      </c>
      <c r="V423" s="194">
        <f t="shared" si="510"/>
        <v>5.8</v>
      </c>
      <c r="W423" s="630">
        <f t="shared" si="547"/>
        <v>281.76399999999995</v>
      </c>
    </row>
    <row r="424" spans="1:23" ht="51">
      <c r="A424" s="190" t="s">
        <v>566</v>
      </c>
      <c r="B424" s="191">
        <v>40339</v>
      </c>
      <c r="C424" s="657" t="s">
        <v>146</v>
      </c>
      <c r="D424" s="192" t="s">
        <v>57</v>
      </c>
      <c r="E424" s="193">
        <v>91.04</v>
      </c>
      <c r="F424" s="194">
        <v>122.6</v>
      </c>
      <c r="G424" s="194"/>
      <c r="H424" s="194"/>
      <c r="I424" s="194"/>
      <c r="J424" s="193">
        <f t="shared" si="540"/>
        <v>122.6</v>
      </c>
      <c r="K424" s="193">
        <f t="shared" si="541"/>
        <v>11161.504000000001</v>
      </c>
      <c r="L424" s="193"/>
      <c r="M424" s="193"/>
      <c r="N424" s="193"/>
      <c r="O424" s="622">
        <f t="shared" si="542"/>
        <v>11161.504000000001</v>
      </c>
      <c r="P424" s="194">
        <v>0</v>
      </c>
      <c r="Q424" s="622">
        <f t="shared" si="548"/>
        <v>0</v>
      </c>
      <c r="R424" s="745">
        <f>IFERROR(VLOOKUP(A424,#REF!,18,FALSE),)</f>
        <v>0</v>
      </c>
      <c r="S424" s="746">
        <f t="shared" si="549"/>
        <v>0</v>
      </c>
      <c r="T424" s="194">
        <f t="shared" si="550"/>
        <v>0</v>
      </c>
      <c r="U424" s="630">
        <f t="shared" si="551"/>
        <v>0</v>
      </c>
      <c r="V424" s="194">
        <f t="shared" si="510"/>
        <v>122.6</v>
      </c>
      <c r="W424" s="630">
        <f t="shared" si="547"/>
        <v>11161.504000000001</v>
      </c>
    </row>
    <row r="425" spans="1:23" ht="25.5">
      <c r="A425" s="190" t="s">
        <v>567</v>
      </c>
      <c r="B425" s="191">
        <v>40328</v>
      </c>
      <c r="C425" s="657" t="s">
        <v>147</v>
      </c>
      <c r="D425" s="192" t="s">
        <v>29</v>
      </c>
      <c r="E425" s="193">
        <v>7.98</v>
      </c>
      <c r="F425" s="194">
        <v>584</v>
      </c>
      <c r="G425" s="194"/>
      <c r="H425" s="194"/>
      <c r="I425" s="194"/>
      <c r="J425" s="193">
        <f t="shared" si="540"/>
        <v>584</v>
      </c>
      <c r="K425" s="193">
        <f t="shared" si="541"/>
        <v>4660.3200000000006</v>
      </c>
      <c r="L425" s="193"/>
      <c r="M425" s="193"/>
      <c r="N425" s="193"/>
      <c r="O425" s="622">
        <f t="shared" si="542"/>
        <v>4660.3200000000006</v>
      </c>
      <c r="P425" s="194">
        <v>0</v>
      </c>
      <c r="Q425" s="622">
        <f t="shared" si="548"/>
        <v>0</v>
      </c>
      <c r="R425" s="745">
        <f>IFERROR(VLOOKUP(A425,#REF!,18,FALSE),)</f>
        <v>0</v>
      </c>
      <c r="S425" s="746">
        <f t="shared" si="549"/>
        <v>0</v>
      </c>
      <c r="T425" s="194">
        <f t="shared" si="550"/>
        <v>0</v>
      </c>
      <c r="U425" s="630">
        <f t="shared" si="551"/>
        <v>0</v>
      </c>
      <c r="V425" s="194">
        <f t="shared" si="510"/>
        <v>584</v>
      </c>
      <c r="W425" s="630">
        <f t="shared" si="547"/>
        <v>4660.3200000000006</v>
      </c>
    </row>
    <row r="426" spans="1:23" ht="25.5">
      <c r="A426" s="190" t="s">
        <v>568</v>
      </c>
      <c r="B426" s="191">
        <v>40245</v>
      </c>
      <c r="C426" s="657" t="s">
        <v>148</v>
      </c>
      <c r="D426" s="192" t="s">
        <v>29</v>
      </c>
      <c r="E426" s="193">
        <v>8.41</v>
      </c>
      <c r="F426" s="194">
        <v>144</v>
      </c>
      <c r="G426" s="194"/>
      <c r="H426" s="194"/>
      <c r="I426" s="194"/>
      <c r="J426" s="193">
        <f t="shared" si="540"/>
        <v>144</v>
      </c>
      <c r="K426" s="193">
        <f t="shared" si="541"/>
        <v>1211.04</v>
      </c>
      <c r="L426" s="193"/>
      <c r="M426" s="193"/>
      <c r="N426" s="193"/>
      <c r="O426" s="622">
        <f t="shared" si="542"/>
        <v>1211.04</v>
      </c>
      <c r="P426" s="194">
        <v>0</v>
      </c>
      <c r="Q426" s="622">
        <f t="shared" si="548"/>
        <v>0</v>
      </c>
      <c r="R426" s="745">
        <f>IFERROR(VLOOKUP(A426,#REF!,18,FALSE),)</f>
        <v>0</v>
      </c>
      <c r="S426" s="746">
        <f t="shared" si="549"/>
        <v>0</v>
      </c>
      <c r="T426" s="194">
        <f t="shared" si="550"/>
        <v>0</v>
      </c>
      <c r="U426" s="630">
        <f t="shared" si="551"/>
        <v>0</v>
      </c>
      <c r="V426" s="194">
        <f t="shared" si="510"/>
        <v>144</v>
      </c>
      <c r="W426" s="630">
        <f t="shared" si="547"/>
        <v>1211.04</v>
      </c>
    </row>
    <row r="427" spans="1:23" ht="25.5">
      <c r="A427" s="190" t="s">
        <v>569</v>
      </c>
      <c r="B427" s="191">
        <v>40246</v>
      </c>
      <c r="C427" s="657" t="s">
        <v>149</v>
      </c>
      <c r="D427" s="192" t="s">
        <v>29</v>
      </c>
      <c r="E427" s="193">
        <v>8.08</v>
      </c>
      <c r="F427" s="194">
        <v>37</v>
      </c>
      <c r="G427" s="194"/>
      <c r="H427" s="194"/>
      <c r="I427" s="194"/>
      <c r="J427" s="193">
        <f t="shared" si="540"/>
        <v>37</v>
      </c>
      <c r="K427" s="193">
        <f t="shared" si="541"/>
        <v>298.95999999999998</v>
      </c>
      <c r="L427" s="193"/>
      <c r="M427" s="193"/>
      <c r="N427" s="193"/>
      <c r="O427" s="622">
        <f t="shared" si="542"/>
        <v>298.95999999999998</v>
      </c>
      <c r="P427" s="194">
        <v>0</v>
      </c>
      <c r="Q427" s="622">
        <f t="shared" si="548"/>
        <v>0</v>
      </c>
      <c r="R427" s="745">
        <f>IFERROR(VLOOKUP(A427,#REF!,18,FALSE),)</f>
        <v>0</v>
      </c>
      <c r="S427" s="746">
        <f t="shared" si="549"/>
        <v>0</v>
      </c>
      <c r="T427" s="194">
        <f t="shared" si="550"/>
        <v>0</v>
      </c>
      <c r="U427" s="630">
        <f t="shared" si="551"/>
        <v>0</v>
      </c>
      <c r="V427" s="194">
        <f t="shared" si="510"/>
        <v>37</v>
      </c>
      <c r="W427" s="630">
        <f t="shared" si="547"/>
        <v>298.95999999999998</v>
      </c>
    </row>
    <row r="428" spans="1:23" ht="51">
      <c r="A428" s="190" t="s">
        <v>570</v>
      </c>
      <c r="B428" s="191" t="s">
        <v>140</v>
      </c>
      <c r="C428" s="657" t="s">
        <v>177</v>
      </c>
      <c r="D428" s="192" t="s">
        <v>58</v>
      </c>
      <c r="E428" s="193">
        <v>486.08</v>
      </c>
      <c r="F428" s="194">
        <v>16.8</v>
      </c>
      <c r="G428" s="194"/>
      <c r="H428" s="194"/>
      <c r="I428" s="194"/>
      <c r="J428" s="193">
        <f t="shared" si="540"/>
        <v>16.8</v>
      </c>
      <c r="K428" s="193">
        <f t="shared" si="541"/>
        <v>8166.1440000000002</v>
      </c>
      <c r="L428" s="193"/>
      <c r="M428" s="193"/>
      <c r="N428" s="193"/>
      <c r="O428" s="622">
        <f t="shared" si="542"/>
        <v>8166.1440000000002</v>
      </c>
      <c r="P428" s="194">
        <v>0</v>
      </c>
      <c r="Q428" s="622">
        <f>TRUNC(P428*E428,2)</f>
        <v>0</v>
      </c>
      <c r="R428" s="745">
        <f>IFERROR(VLOOKUP(A428,#REF!,18,FALSE),)</f>
        <v>0</v>
      </c>
      <c r="S428" s="746">
        <f>U428-Q428</f>
        <v>0</v>
      </c>
      <c r="T428" s="194">
        <f>R428+P428</f>
        <v>0</v>
      </c>
      <c r="U428" s="630">
        <f>TRUNC(T428*E428,2)</f>
        <v>0</v>
      </c>
      <c r="V428" s="194">
        <f t="shared" si="510"/>
        <v>16.8</v>
      </c>
      <c r="W428" s="630">
        <f t="shared" si="547"/>
        <v>8166.1440000000002</v>
      </c>
    </row>
    <row r="429" spans="1:23" ht="30" customHeight="1">
      <c r="A429" s="190" t="s">
        <v>571</v>
      </c>
      <c r="B429" s="191">
        <v>40813</v>
      </c>
      <c r="C429" s="657" t="s">
        <v>151</v>
      </c>
      <c r="D429" s="192" t="s">
        <v>57</v>
      </c>
      <c r="E429" s="193">
        <v>64.3</v>
      </c>
      <c r="F429" s="194">
        <v>195.37</v>
      </c>
      <c r="G429" s="194"/>
      <c r="H429" s="194"/>
      <c r="I429" s="194"/>
      <c r="J429" s="193">
        <f t="shared" si="540"/>
        <v>195.37</v>
      </c>
      <c r="K429" s="193">
        <f t="shared" si="541"/>
        <v>12562.290999999999</v>
      </c>
      <c r="L429" s="193"/>
      <c r="M429" s="193"/>
      <c r="N429" s="193"/>
      <c r="O429" s="622">
        <f t="shared" si="542"/>
        <v>12562.290999999999</v>
      </c>
      <c r="P429" s="194">
        <v>44.33</v>
      </c>
      <c r="Q429" s="622">
        <f>TRUNC(P429*E429,2)</f>
        <v>2850.41</v>
      </c>
      <c r="R429" s="745">
        <v>0</v>
      </c>
      <c r="S429" s="746">
        <f>U429-Q429</f>
        <v>0</v>
      </c>
      <c r="T429" s="194">
        <f>R429+P429</f>
        <v>44.33</v>
      </c>
      <c r="U429" s="630">
        <f>TRUNC(T429*E429,2)</f>
        <v>2850.41</v>
      </c>
      <c r="V429" s="194">
        <f t="shared" si="510"/>
        <v>151.04000000000002</v>
      </c>
      <c r="W429" s="630">
        <f t="shared" si="539"/>
        <v>-2655.04</v>
      </c>
    </row>
    <row r="430" spans="1:23">
      <c r="A430" s="138"/>
      <c r="B430" s="132"/>
      <c r="C430" s="123"/>
      <c r="D430" s="123"/>
      <c r="E430" s="123"/>
      <c r="F430" s="123"/>
      <c r="G430" s="123"/>
      <c r="H430" s="123"/>
      <c r="I430" s="123"/>
      <c r="J430" s="123"/>
      <c r="K430" s="123"/>
      <c r="L430" s="123"/>
      <c r="M430" s="123"/>
      <c r="N430" s="123"/>
      <c r="O430" s="623"/>
      <c r="P430" s="123"/>
      <c r="Q430" s="623"/>
      <c r="R430" s="791"/>
      <c r="S430" s="792"/>
      <c r="T430" s="123"/>
      <c r="U430" s="631"/>
      <c r="V430" s="123"/>
      <c r="W430" s="631"/>
    </row>
    <row r="431" spans="1:23" s="131" customFormat="1">
      <c r="A431" s="137" t="s">
        <v>572</v>
      </c>
      <c r="B431" s="133"/>
      <c r="C431" s="658" t="s">
        <v>153</v>
      </c>
      <c r="D431" s="126"/>
      <c r="E431" s="127"/>
      <c r="F431" s="128"/>
      <c r="G431" s="128"/>
      <c r="H431" s="128"/>
      <c r="I431" s="128"/>
      <c r="J431" s="129"/>
      <c r="K431" s="129">
        <f>SUBTOTAL(9,K432)</f>
        <v>13844.9586</v>
      </c>
      <c r="L431" s="129"/>
      <c r="M431" s="129"/>
      <c r="N431" s="129"/>
      <c r="O431" s="624"/>
      <c r="P431" s="130"/>
      <c r="Q431" s="624">
        <f>SUBTOTAL(9,Q432)</f>
        <v>13844.95</v>
      </c>
      <c r="R431" s="743"/>
      <c r="S431" s="744">
        <f>SUBTOTAL(9,S432)</f>
        <v>0</v>
      </c>
      <c r="T431" s="129"/>
      <c r="U431" s="624">
        <f>SUBTOTAL(9,U432)</f>
        <v>13844.95</v>
      </c>
      <c r="V431" s="129">
        <f t="shared" si="510"/>
        <v>0</v>
      </c>
      <c r="W431" s="624">
        <f>SUBTOTAL(9,W432)</f>
        <v>0</v>
      </c>
    </row>
    <row r="432" spans="1:23" ht="30" customHeight="1">
      <c r="A432" s="190" t="s">
        <v>573</v>
      </c>
      <c r="B432" s="191" t="s">
        <v>155</v>
      </c>
      <c r="C432" s="657" t="s">
        <v>156</v>
      </c>
      <c r="D432" s="192" t="s">
        <v>50</v>
      </c>
      <c r="E432" s="193">
        <v>91.41</v>
      </c>
      <c r="F432" s="194">
        <v>151.46</v>
      </c>
      <c r="G432" s="194"/>
      <c r="H432" s="194"/>
      <c r="I432" s="194"/>
      <c r="J432" s="193">
        <f t="shared" ref="J432" si="552">F432+H432-I432</f>
        <v>151.46</v>
      </c>
      <c r="K432" s="193">
        <f t="shared" ref="K432" si="553">J432*E432</f>
        <v>13844.9586</v>
      </c>
      <c r="L432" s="193"/>
      <c r="M432" s="193"/>
      <c r="N432" s="193"/>
      <c r="O432" s="622">
        <f t="shared" ref="O432" si="554">J432*E432</f>
        <v>13844.9586</v>
      </c>
      <c r="P432" s="194">
        <f>'4.3.3.1 '!R21</f>
        <v>151.46</v>
      </c>
      <c r="Q432" s="622">
        <f t="shared" ref="Q432" si="555">TRUNC(P432*E432,2)</f>
        <v>13844.95</v>
      </c>
      <c r="R432" s="745">
        <f>'4.3.3.1 '!R22</f>
        <v>0</v>
      </c>
      <c r="S432" s="746">
        <f t="shared" ref="S432" si="556">U432-Q432</f>
        <v>0</v>
      </c>
      <c r="T432" s="194">
        <f t="shared" ref="T432" si="557">R432+P432</f>
        <v>151.46</v>
      </c>
      <c r="U432" s="630">
        <f t="shared" ref="U432" si="558">TRUNC(T432*E432,2)</f>
        <v>13844.95</v>
      </c>
      <c r="V432" s="194">
        <f t="shared" si="510"/>
        <v>0</v>
      </c>
      <c r="W432" s="630">
        <f t="shared" ref="W432" si="559">V432*E432</f>
        <v>0</v>
      </c>
    </row>
    <row r="433" spans="1:23">
      <c r="A433" s="138"/>
      <c r="B433" s="132"/>
      <c r="C433" s="123"/>
      <c r="D433" s="123"/>
      <c r="E433" s="123"/>
      <c r="F433" s="123"/>
      <c r="G433" s="123"/>
      <c r="H433" s="123"/>
      <c r="I433" s="123"/>
      <c r="J433" s="123"/>
      <c r="K433" s="123"/>
      <c r="L433" s="123"/>
      <c r="M433" s="123"/>
      <c r="N433" s="123"/>
      <c r="O433" s="623"/>
      <c r="P433" s="123"/>
      <c r="Q433" s="623"/>
      <c r="R433" s="791"/>
      <c r="S433" s="792"/>
      <c r="T433" s="123"/>
      <c r="U433" s="631"/>
      <c r="V433" s="123"/>
      <c r="W433" s="631"/>
    </row>
    <row r="434" spans="1:23" s="131" customFormat="1">
      <c r="A434" s="137" t="s">
        <v>574</v>
      </c>
      <c r="B434" s="133"/>
      <c r="C434" s="658" t="s">
        <v>158</v>
      </c>
      <c r="D434" s="126"/>
      <c r="E434" s="127"/>
      <c r="F434" s="128"/>
      <c r="G434" s="128"/>
      <c r="H434" s="128"/>
      <c r="I434" s="128"/>
      <c r="J434" s="129"/>
      <c r="K434" s="129">
        <f>SUBTOTAL(9,K435:K437)</f>
        <v>2958.9223000000002</v>
      </c>
      <c r="L434" s="129"/>
      <c r="M434" s="129"/>
      <c r="N434" s="129"/>
      <c r="O434" s="624"/>
      <c r="P434" s="130"/>
      <c r="Q434" s="624">
        <f>SUBTOTAL(9,Q435:Q437)</f>
        <v>0</v>
      </c>
      <c r="R434" s="743"/>
      <c r="S434" s="744">
        <f>SUBTOTAL(9,S435:S437)</f>
        <v>0</v>
      </c>
      <c r="T434" s="129"/>
      <c r="U434" s="624">
        <f>SUBTOTAL(9,U435:U437)</f>
        <v>0</v>
      </c>
      <c r="V434" s="129">
        <f t="shared" si="510"/>
        <v>0</v>
      </c>
      <c r="W434" s="624">
        <f>SUBTOTAL(9,W435:W437)</f>
        <v>2958.9223000000002</v>
      </c>
    </row>
    <row r="435" spans="1:23" ht="25.5">
      <c r="A435" s="190" t="s">
        <v>575</v>
      </c>
      <c r="B435" s="191" t="s">
        <v>155</v>
      </c>
      <c r="C435" s="657" t="s">
        <v>156</v>
      </c>
      <c r="D435" s="192" t="s">
        <v>50</v>
      </c>
      <c r="E435" s="193">
        <v>91.41</v>
      </c>
      <c r="F435" s="194">
        <v>23.59</v>
      </c>
      <c r="G435" s="194"/>
      <c r="H435" s="194"/>
      <c r="I435" s="194"/>
      <c r="J435" s="193">
        <f t="shared" ref="J435:J437" si="560">F435+H435-I435</f>
        <v>23.59</v>
      </c>
      <c r="K435" s="193">
        <f t="shared" ref="K435:K437" si="561">J435*E435</f>
        <v>2156.3618999999999</v>
      </c>
      <c r="L435" s="193"/>
      <c r="M435" s="193"/>
      <c r="N435" s="193"/>
      <c r="O435" s="622">
        <f t="shared" ref="O435:O437" si="562">J435*E435</f>
        <v>2156.3618999999999</v>
      </c>
      <c r="P435" s="194">
        <v>0</v>
      </c>
      <c r="Q435" s="622">
        <f t="shared" ref="Q435" si="563">TRUNC(P435*E435,2)</f>
        <v>0</v>
      </c>
      <c r="R435" s="745">
        <f>IFERROR(VLOOKUP(A435,#REF!,18,FALSE),)</f>
        <v>0</v>
      </c>
      <c r="S435" s="746">
        <f t="shared" ref="S435" si="564">U435-Q435</f>
        <v>0</v>
      </c>
      <c r="T435" s="194">
        <f t="shared" ref="T435" si="565">R435+P435</f>
        <v>0</v>
      </c>
      <c r="U435" s="630">
        <f t="shared" ref="U435" si="566">TRUNC(T435*E435,2)</f>
        <v>0</v>
      </c>
      <c r="V435" s="194">
        <f t="shared" si="510"/>
        <v>23.59</v>
      </c>
      <c r="W435" s="630">
        <f t="shared" ref="W435:W437" si="567">V435*E435</f>
        <v>2156.3618999999999</v>
      </c>
    </row>
    <row r="436" spans="1:23">
      <c r="A436" s="190" t="s">
        <v>576</v>
      </c>
      <c r="B436" s="191">
        <v>200323</v>
      </c>
      <c r="C436" s="657" t="s">
        <v>162</v>
      </c>
      <c r="D436" s="192" t="s">
        <v>58</v>
      </c>
      <c r="E436" s="193">
        <v>125.94</v>
      </c>
      <c r="F436" s="194">
        <v>4.76</v>
      </c>
      <c r="G436" s="194"/>
      <c r="H436" s="194"/>
      <c r="I436" s="194"/>
      <c r="J436" s="193">
        <f t="shared" si="560"/>
        <v>4.76</v>
      </c>
      <c r="K436" s="193">
        <f t="shared" si="561"/>
        <v>599.47439999999995</v>
      </c>
      <c r="L436" s="193"/>
      <c r="M436" s="193"/>
      <c r="N436" s="193"/>
      <c r="O436" s="622">
        <f t="shared" si="562"/>
        <v>599.47439999999995</v>
      </c>
      <c r="P436" s="194">
        <v>0</v>
      </c>
      <c r="Q436" s="622">
        <f>TRUNC(P436*E436,2)</f>
        <v>0</v>
      </c>
      <c r="R436" s="745">
        <f>IFERROR(VLOOKUP(A436,#REF!,18,FALSE),)</f>
        <v>0</v>
      </c>
      <c r="S436" s="746">
        <f>U436-Q436</f>
        <v>0</v>
      </c>
      <c r="T436" s="194">
        <f>R436+P436</f>
        <v>0</v>
      </c>
      <c r="U436" s="630">
        <f>TRUNC(T436*E436,2)</f>
        <v>0</v>
      </c>
      <c r="V436" s="194">
        <f t="shared" si="510"/>
        <v>4.76</v>
      </c>
      <c r="W436" s="630">
        <f t="shared" si="567"/>
        <v>599.47439999999995</v>
      </c>
    </row>
    <row r="437" spans="1:23" ht="38.25">
      <c r="A437" s="190" t="s">
        <v>577</v>
      </c>
      <c r="B437" s="191">
        <v>50501</v>
      </c>
      <c r="C437" s="657" t="s">
        <v>916</v>
      </c>
      <c r="D437" s="192" t="s">
        <v>57</v>
      </c>
      <c r="E437" s="193">
        <v>94.9</v>
      </c>
      <c r="F437" s="194">
        <v>2.14</v>
      </c>
      <c r="G437" s="194"/>
      <c r="H437" s="194"/>
      <c r="I437" s="194"/>
      <c r="J437" s="193">
        <f t="shared" si="560"/>
        <v>2.14</v>
      </c>
      <c r="K437" s="193">
        <f t="shared" si="561"/>
        <v>203.08600000000001</v>
      </c>
      <c r="L437" s="193"/>
      <c r="M437" s="193"/>
      <c r="N437" s="193"/>
      <c r="O437" s="622">
        <f t="shared" si="562"/>
        <v>203.08600000000001</v>
      </c>
      <c r="P437" s="194">
        <v>0</v>
      </c>
      <c r="Q437" s="622">
        <f t="shared" ref="Q437" si="568">TRUNC(P437*E437,2)</f>
        <v>0</v>
      </c>
      <c r="R437" s="745">
        <f>IFERROR(VLOOKUP(A437,#REF!,18,FALSE),)</f>
        <v>0</v>
      </c>
      <c r="S437" s="746">
        <f t="shared" ref="S437" si="569">U437-Q437</f>
        <v>0</v>
      </c>
      <c r="T437" s="194">
        <f t="shared" ref="T437" si="570">R437+P437</f>
        <v>0</v>
      </c>
      <c r="U437" s="630">
        <f t="shared" ref="U437" si="571">TRUNC(T437*E437,2)</f>
        <v>0</v>
      </c>
      <c r="V437" s="194">
        <f t="shared" si="510"/>
        <v>2.14</v>
      </c>
      <c r="W437" s="630">
        <f t="shared" si="567"/>
        <v>203.08600000000001</v>
      </c>
    </row>
    <row r="438" spans="1:23">
      <c r="A438" s="138"/>
      <c r="B438" s="132"/>
      <c r="C438" s="123"/>
      <c r="D438" s="123"/>
      <c r="E438" s="123"/>
      <c r="F438" s="123"/>
      <c r="G438" s="123"/>
      <c r="H438" s="123"/>
      <c r="I438" s="123"/>
      <c r="J438" s="123"/>
      <c r="K438" s="123"/>
      <c r="L438" s="123"/>
      <c r="M438" s="123"/>
      <c r="N438" s="123"/>
      <c r="O438" s="623"/>
      <c r="P438" s="123"/>
      <c r="Q438" s="623"/>
      <c r="R438" s="791"/>
      <c r="S438" s="792"/>
      <c r="T438" s="123"/>
      <c r="U438" s="631"/>
      <c r="V438" s="123"/>
      <c r="W438" s="631"/>
    </row>
    <row r="439" spans="1:23" s="131" customFormat="1">
      <c r="A439" s="137" t="s">
        <v>578</v>
      </c>
      <c r="B439" s="133"/>
      <c r="C439" s="658" t="s">
        <v>164</v>
      </c>
      <c r="D439" s="126"/>
      <c r="E439" s="127"/>
      <c r="F439" s="128"/>
      <c r="G439" s="128"/>
      <c r="H439" s="128"/>
      <c r="I439" s="128"/>
      <c r="J439" s="129"/>
      <c r="K439" s="129">
        <f>SUBTOTAL(9,K440:K444)</f>
        <v>9240.366</v>
      </c>
      <c r="L439" s="129"/>
      <c r="M439" s="129"/>
      <c r="N439" s="129"/>
      <c r="O439" s="624"/>
      <c r="P439" s="130"/>
      <c r="Q439" s="624">
        <f>SUBTOTAL(9,Q440:Q444)</f>
        <v>0</v>
      </c>
      <c r="R439" s="743"/>
      <c r="S439" s="744">
        <f>SUBTOTAL(9,S440:S444)</f>
        <v>0</v>
      </c>
      <c r="T439" s="129"/>
      <c r="U439" s="624">
        <f>SUBTOTAL(9,U440:U444)</f>
        <v>0</v>
      </c>
      <c r="V439" s="129">
        <f t="shared" si="510"/>
        <v>0</v>
      </c>
      <c r="W439" s="624">
        <f>SUBTOTAL(9,W440:W444)</f>
        <v>9240.366</v>
      </c>
    </row>
    <row r="440" spans="1:23" ht="51">
      <c r="A440" s="190" t="s">
        <v>579</v>
      </c>
      <c r="B440" s="191">
        <v>40339</v>
      </c>
      <c r="C440" s="657" t="s">
        <v>146</v>
      </c>
      <c r="D440" s="192" t="s">
        <v>57</v>
      </c>
      <c r="E440" s="193">
        <v>91.04</v>
      </c>
      <c r="F440" s="194">
        <v>52.4</v>
      </c>
      <c r="G440" s="194"/>
      <c r="H440" s="194"/>
      <c r="I440" s="194"/>
      <c r="J440" s="193">
        <f t="shared" ref="J440:J444" si="572">F440+H440-I440</f>
        <v>52.4</v>
      </c>
      <c r="K440" s="193">
        <f t="shared" ref="K440:K444" si="573">J440*E440</f>
        <v>4770.4960000000001</v>
      </c>
      <c r="L440" s="193"/>
      <c r="M440" s="193"/>
      <c r="N440" s="193"/>
      <c r="O440" s="622">
        <f t="shared" ref="O440:O444" si="574">J440*E440</f>
        <v>4770.4960000000001</v>
      </c>
      <c r="P440" s="194">
        <v>0</v>
      </c>
      <c r="Q440" s="622">
        <f t="shared" ref="Q440" si="575">TRUNC(P440*E440,2)</f>
        <v>0</v>
      </c>
      <c r="R440" s="745">
        <f>IFERROR(VLOOKUP(A440,#REF!,18,FALSE),)</f>
        <v>0</v>
      </c>
      <c r="S440" s="746">
        <f t="shared" ref="S440" si="576">U440-Q440</f>
        <v>0</v>
      </c>
      <c r="T440" s="194">
        <f t="shared" ref="T440" si="577">R440+P440</f>
        <v>0</v>
      </c>
      <c r="U440" s="630">
        <f t="shared" ref="U440" si="578">TRUNC(T440*E440,2)</f>
        <v>0</v>
      </c>
      <c r="V440" s="194">
        <f t="shared" si="510"/>
        <v>52.4</v>
      </c>
      <c r="W440" s="630">
        <f t="shared" ref="W440:W444" si="579">V440*E440</f>
        <v>4770.4960000000001</v>
      </c>
    </row>
    <row r="441" spans="1:23" ht="25.5">
      <c r="A441" s="190" t="s">
        <v>580</v>
      </c>
      <c r="B441" s="191">
        <v>40328</v>
      </c>
      <c r="C441" s="657" t="s">
        <v>147</v>
      </c>
      <c r="D441" s="192" t="s">
        <v>29</v>
      </c>
      <c r="E441" s="193">
        <v>7.98</v>
      </c>
      <c r="F441" s="194">
        <v>210</v>
      </c>
      <c r="G441" s="194"/>
      <c r="H441" s="194"/>
      <c r="I441" s="194"/>
      <c r="J441" s="193">
        <f t="shared" si="572"/>
        <v>210</v>
      </c>
      <c r="K441" s="193">
        <f t="shared" si="573"/>
        <v>1675.8000000000002</v>
      </c>
      <c r="L441" s="193"/>
      <c r="M441" s="193"/>
      <c r="N441" s="193"/>
      <c r="O441" s="622">
        <f t="shared" si="574"/>
        <v>1675.8000000000002</v>
      </c>
      <c r="P441" s="194">
        <v>0</v>
      </c>
      <c r="Q441" s="622">
        <f>TRUNC(P441*E441,2)</f>
        <v>0</v>
      </c>
      <c r="R441" s="745">
        <f>IFERROR(VLOOKUP(A441,#REF!,18,FALSE),)</f>
        <v>0</v>
      </c>
      <c r="S441" s="746">
        <f>U441-Q441</f>
        <v>0</v>
      </c>
      <c r="T441" s="194">
        <f>R441+P441</f>
        <v>0</v>
      </c>
      <c r="U441" s="630">
        <f>TRUNC(T441*E441,2)</f>
        <v>0</v>
      </c>
      <c r="V441" s="194">
        <f t="shared" si="510"/>
        <v>210</v>
      </c>
      <c r="W441" s="630">
        <f t="shared" si="579"/>
        <v>1675.8000000000002</v>
      </c>
    </row>
    <row r="442" spans="1:23" ht="25.5">
      <c r="A442" s="190" t="s">
        <v>581</v>
      </c>
      <c r="B442" s="191">
        <v>40245</v>
      </c>
      <c r="C442" s="657" t="s">
        <v>148</v>
      </c>
      <c r="D442" s="192" t="s">
        <v>29</v>
      </c>
      <c r="E442" s="193">
        <v>8.41</v>
      </c>
      <c r="F442" s="194">
        <v>55</v>
      </c>
      <c r="G442" s="194"/>
      <c r="H442" s="194"/>
      <c r="I442" s="194"/>
      <c r="J442" s="193">
        <f t="shared" si="572"/>
        <v>55</v>
      </c>
      <c r="K442" s="193">
        <f t="shared" si="573"/>
        <v>462.55</v>
      </c>
      <c r="L442" s="193"/>
      <c r="M442" s="193"/>
      <c r="N442" s="193"/>
      <c r="O442" s="622">
        <f t="shared" si="574"/>
        <v>462.55</v>
      </c>
      <c r="P442" s="194">
        <v>0</v>
      </c>
      <c r="Q442" s="622">
        <f t="shared" ref="Q442:Q444" si="580">TRUNC(P442*E442,2)</f>
        <v>0</v>
      </c>
      <c r="R442" s="745">
        <f>IFERROR(VLOOKUP(A442,#REF!,18,FALSE),)</f>
        <v>0</v>
      </c>
      <c r="S442" s="746">
        <f t="shared" ref="S442:S444" si="581">U442-Q442</f>
        <v>0</v>
      </c>
      <c r="T442" s="194">
        <f t="shared" ref="T442:T444" si="582">R442+P442</f>
        <v>0</v>
      </c>
      <c r="U442" s="630">
        <f t="shared" ref="U442:U444" si="583">TRUNC(T442*E442,2)</f>
        <v>0</v>
      </c>
      <c r="V442" s="194">
        <f t="shared" si="510"/>
        <v>55</v>
      </c>
      <c r="W442" s="630">
        <f t="shared" si="579"/>
        <v>462.55</v>
      </c>
    </row>
    <row r="443" spans="1:23" ht="25.5">
      <c r="A443" s="190" t="s">
        <v>582</v>
      </c>
      <c r="B443" s="191">
        <v>40246</v>
      </c>
      <c r="C443" s="657" t="s">
        <v>149</v>
      </c>
      <c r="D443" s="192" t="s">
        <v>29</v>
      </c>
      <c r="E443" s="193">
        <v>8.08</v>
      </c>
      <c r="F443" s="194">
        <v>78</v>
      </c>
      <c r="G443" s="194"/>
      <c r="H443" s="194"/>
      <c r="I443" s="194"/>
      <c r="J443" s="193">
        <f t="shared" si="572"/>
        <v>78</v>
      </c>
      <c r="K443" s="193">
        <f t="shared" si="573"/>
        <v>630.24</v>
      </c>
      <c r="L443" s="193"/>
      <c r="M443" s="193"/>
      <c r="N443" s="193"/>
      <c r="O443" s="622">
        <f t="shared" si="574"/>
        <v>630.24</v>
      </c>
      <c r="P443" s="194">
        <v>0</v>
      </c>
      <c r="Q443" s="622">
        <f t="shared" si="580"/>
        <v>0</v>
      </c>
      <c r="R443" s="745">
        <f>IFERROR(VLOOKUP(A443,#REF!,18,FALSE),)</f>
        <v>0</v>
      </c>
      <c r="S443" s="746">
        <f t="shared" si="581"/>
        <v>0</v>
      </c>
      <c r="T443" s="194">
        <f t="shared" si="582"/>
        <v>0</v>
      </c>
      <c r="U443" s="630">
        <f t="shared" si="583"/>
        <v>0</v>
      </c>
      <c r="V443" s="194">
        <f t="shared" si="510"/>
        <v>78</v>
      </c>
      <c r="W443" s="630">
        <f t="shared" si="579"/>
        <v>630.24</v>
      </c>
    </row>
    <row r="444" spans="1:23" ht="38.25">
      <c r="A444" s="190" t="s">
        <v>583</v>
      </c>
      <c r="B444" s="191" t="s">
        <v>140</v>
      </c>
      <c r="C444" s="657" t="s">
        <v>150</v>
      </c>
      <c r="D444" s="192" t="s">
        <v>58</v>
      </c>
      <c r="E444" s="193">
        <v>486.08</v>
      </c>
      <c r="F444" s="194">
        <v>3.5</v>
      </c>
      <c r="G444" s="194"/>
      <c r="H444" s="194"/>
      <c r="I444" s="194"/>
      <c r="J444" s="193">
        <f t="shared" si="572"/>
        <v>3.5</v>
      </c>
      <c r="K444" s="193">
        <f t="shared" si="573"/>
        <v>1701.28</v>
      </c>
      <c r="L444" s="193"/>
      <c r="M444" s="193"/>
      <c r="N444" s="193"/>
      <c r="O444" s="622">
        <f t="shared" si="574"/>
        <v>1701.28</v>
      </c>
      <c r="P444" s="194">
        <v>0</v>
      </c>
      <c r="Q444" s="622">
        <f t="shared" si="580"/>
        <v>0</v>
      </c>
      <c r="R444" s="745">
        <f>IFERROR(VLOOKUP(A444,#REF!,18,FALSE),)</f>
        <v>0</v>
      </c>
      <c r="S444" s="746">
        <f t="shared" si="581"/>
        <v>0</v>
      </c>
      <c r="T444" s="194">
        <f t="shared" si="582"/>
        <v>0</v>
      </c>
      <c r="U444" s="630">
        <f t="shared" si="583"/>
        <v>0</v>
      </c>
      <c r="V444" s="194">
        <f t="shared" si="510"/>
        <v>3.5</v>
      </c>
      <c r="W444" s="630">
        <f t="shared" si="579"/>
        <v>1701.28</v>
      </c>
    </row>
    <row r="445" spans="1:23">
      <c r="A445" s="138"/>
      <c r="B445" s="132"/>
      <c r="C445" s="123"/>
      <c r="D445" s="123"/>
      <c r="E445" s="123"/>
      <c r="F445" s="123"/>
      <c r="G445" s="123"/>
      <c r="H445" s="123"/>
      <c r="I445" s="123"/>
      <c r="J445" s="123"/>
      <c r="K445" s="123"/>
      <c r="L445" s="123"/>
      <c r="M445" s="123"/>
      <c r="N445" s="123"/>
      <c r="O445" s="623"/>
      <c r="P445" s="123"/>
      <c r="Q445" s="623"/>
      <c r="R445" s="791"/>
      <c r="S445" s="792"/>
      <c r="T445" s="123"/>
      <c r="U445" s="631"/>
      <c r="V445" s="123"/>
      <c r="W445" s="631"/>
    </row>
    <row r="446" spans="1:23" s="131" customFormat="1">
      <c r="A446" s="137" t="s">
        <v>584</v>
      </c>
      <c r="B446" s="133"/>
      <c r="C446" s="658" t="s">
        <v>171</v>
      </c>
      <c r="D446" s="126"/>
      <c r="E446" s="127"/>
      <c r="F446" s="128"/>
      <c r="G446" s="128"/>
      <c r="H446" s="128"/>
      <c r="I446" s="128"/>
      <c r="J446" s="129"/>
      <c r="K446" s="129">
        <f>SUBTOTAL(9,K447:K451)</f>
        <v>18264.59</v>
      </c>
      <c r="L446" s="129"/>
      <c r="M446" s="129"/>
      <c r="N446" s="129"/>
      <c r="O446" s="624"/>
      <c r="P446" s="130"/>
      <c r="Q446" s="624">
        <f>SUBTOTAL(9,Q447:Q451)</f>
        <v>2809.54</v>
      </c>
      <c r="R446" s="743"/>
      <c r="S446" s="744">
        <f>SUBTOTAL(9,S447:S451)</f>
        <v>0</v>
      </c>
      <c r="T446" s="129"/>
      <c r="U446" s="624">
        <f>SUBTOTAL(9,U447:U451)</f>
        <v>2809.54</v>
      </c>
      <c r="V446" s="129">
        <f t="shared" si="510"/>
        <v>0</v>
      </c>
      <c r="W446" s="624">
        <f>SUBTOTAL(9,W447:W451)</f>
        <v>15455.047600000002</v>
      </c>
    </row>
    <row r="447" spans="1:23" ht="51">
      <c r="A447" s="190" t="s">
        <v>585</v>
      </c>
      <c r="B447" s="191">
        <v>40339</v>
      </c>
      <c r="C447" s="657" t="s">
        <v>146</v>
      </c>
      <c r="D447" s="192" t="s">
        <v>57</v>
      </c>
      <c r="E447" s="193">
        <v>91.04</v>
      </c>
      <c r="F447" s="194">
        <v>87.7</v>
      </c>
      <c r="G447" s="194"/>
      <c r="H447" s="194"/>
      <c r="I447" s="194"/>
      <c r="J447" s="193">
        <f t="shared" ref="J447:J451" si="584">F447+H447-I447</f>
        <v>87.7</v>
      </c>
      <c r="K447" s="193">
        <f t="shared" ref="K447:K451" si="585">J447*E447</f>
        <v>7984.2080000000005</v>
      </c>
      <c r="L447" s="193"/>
      <c r="M447" s="193"/>
      <c r="N447" s="193"/>
      <c r="O447" s="622">
        <f t="shared" ref="O447:O451" si="586">J447*E447</f>
        <v>7984.2080000000005</v>
      </c>
      <c r="P447" s="194">
        <v>0</v>
      </c>
      <c r="Q447" s="622">
        <f t="shared" ref="Q447" si="587">TRUNC(P447*E447,2)</f>
        <v>0</v>
      </c>
      <c r="R447" s="745">
        <f>IFERROR(VLOOKUP(A447,#REF!,18,FALSE),)</f>
        <v>0</v>
      </c>
      <c r="S447" s="746">
        <f t="shared" ref="S447" si="588">U447-Q447</f>
        <v>0</v>
      </c>
      <c r="T447" s="194">
        <f t="shared" ref="T447" si="589">R447+P447</f>
        <v>0</v>
      </c>
      <c r="U447" s="630">
        <f t="shared" ref="U447" si="590">TRUNC(T447*E447,2)</f>
        <v>0</v>
      </c>
      <c r="V447" s="194">
        <f t="shared" si="510"/>
        <v>87.7</v>
      </c>
      <c r="W447" s="630">
        <f t="shared" ref="W447:W451" si="591">V447*E447</f>
        <v>7984.2080000000005</v>
      </c>
    </row>
    <row r="448" spans="1:23" ht="25.5">
      <c r="A448" s="190" t="s">
        <v>586</v>
      </c>
      <c r="B448" s="191">
        <v>40328</v>
      </c>
      <c r="C448" s="657" t="s">
        <v>147</v>
      </c>
      <c r="D448" s="192" t="s">
        <v>29</v>
      </c>
      <c r="E448" s="193">
        <v>7.98</v>
      </c>
      <c r="F448" s="194">
        <v>502</v>
      </c>
      <c r="G448" s="194"/>
      <c r="H448" s="194"/>
      <c r="I448" s="194"/>
      <c r="J448" s="193">
        <f t="shared" si="584"/>
        <v>502</v>
      </c>
      <c r="K448" s="193">
        <f t="shared" si="585"/>
        <v>4005.96</v>
      </c>
      <c r="L448" s="193"/>
      <c r="M448" s="193"/>
      <c r="N448" s="193"/>
      <c r="O448" s="622">
        <f t="shared" si="586"/>
        <v>4005.96</v>
      </c>
      <c r="P448" s="194">
        <v>0</v>
      </c>
      <c r="Q448" s="622">
        <f>TRUNC(P448*E448,2)</f>
        <v>0</v>
      </c>
      <c r="R448" s="745">
        <f>IFERROR(VLOOKUP(A448,#REF!,18,FALSE),)</f>
        <v>0</v>
      </c>
      <c r="S448" s="746">
        <f>U448-Q448</f>
        <v>0</v>
      </c>
      <c r="T448" s="194">
        <f>R448+P448</f>
        <v>0</v>
      </c>
      <c r="U448" s="630">
        <f>TRUNC(T448*E448,2)</f>
        <v>0</v>
      </c>
      <c r="V448" s="194">
        <f t="shared" si="510"/>
        <v>502</v>
      </c>
      <c r="W448" s="630">
        <f t="shared" si="591"/>
        <v>4005.96</v>
      </c>
    </row>
    <row r="449" spans="1:23" ht="25.5">
      <c r="A449" s="190" t="s">
        <v>587</v>
      </c>
      <c r="B449" s="191">
        <v>40245</v>
      </c>
      <c r="C449" s="657" t="s">
        <v>148</v>
      </c>
      <c r="D449" s="192" t="s">
        <v>29</v>
      </c>
      <c r="E449" s="193">
        <v>8.41</v>
      </c>
      <c r="F449" s="194">
        <v>199</v>
      </c>
      <c r="G449" s="194"/>
      <c r="H449" s="194"/>
      <c r="I449" s="194"/>
      <c r="J449" s="193">
        <f t="shared" si="584"/>
        <v>199</v>
      </c>
      <c r="K449" s="193">
        <f t="shared" si="585"/>
        <v>1673.59</v>
      </c>
      <c r="L449" s="193"/>
      <c r="M449" s="193"/>
      <c r="N449" s="193"/>
      <c r="O449" s="622">
        <f t="shared" si="586"/>
        <v>1673.59</v>
      </c>
      <c r="P449" s="194">
        <v>0</v>
      </c>
      <c r="Q449" s="622">
        <f t="shared" ref="Q449:Q451" si="592">TRUNC(P449*E449,2)</f>
        <v>0</v>
      </c>
      <c r="R449" s="745">
        <f>IFERROR(VLOOKUP(A449,#REF!,18,FALSE),)</f>
        <v>0</v>
      </c>
      <c r="S449" s="746">
        <f t="shared" ref="S449:S451" si="593">U449-Q449</f>
        <v>0</v>
      </c>
      <c r="T449" s="194">
        <f t="shared" ref="T449:T451" si="594">R449+P449</f>
        <v>0</v>
      </c>
      <c r="U449" s="630">
        <f t="shared" ref="U449:U451" si="595">TRUNC(T449*E449,2)</f>
        <v>0</v>
      </c>
      <c r="V449" s="194">
        <f t="shared" si="510"/>
        <v>199</v>
      </c>
      <c r="W449" s="630">
        <f t="shared" si="591"/>
        <v>1673.59</v>
      </c>
    </row>
    <row r="450" spans="1:23" ht="25.5">
      <c r="A450" s="190" t="s">
        <v>588</v>
      </c>
      <c r="B450" s="191">
        <v>40246</v>
      </c>
      <c r="C450" s="657" t="s">
        <v>149</v>
      </c>
      <c r="D450" s="192" t="s">
        <v>29</v>
      </c>
      <c r="E450" s="193">
        <v>8.08</v>
      </c>
      <c r="F450" s="194">
        <v>34</v>
      </c>
      <c r="G450" s="194"/>
      <c r="H450" s="194"/>
      <c r="I450" s="194"/>
      <c r="J450" s="193">
        <f t="shared" si="584"/>
        <v>34</v>
      </c>
      <c r="K450" s="193">
        <f t="shared" si="585"/>
        <v>274.72000000000003</v>
      </c>
      <c r="L450" s="193"/>
      <c r="M450" s="193"/>
      <c r="N450" s="193"/>
      <c r="O450" s="622">
        <f t="shared" si="586"/>
        <v>274.72000000000003</v>
      </c>
      <c r="P450" s="194">
        <v>0</v>
      </c>
      <c r="Q450" s="622">
        <f t="shared" si="592"/>
        <v>0</v>
      </c>
      <c r="R450" s="745">
        <f>IFERROR(VLOOKUP(A450,#REF!,18,FALSE),)</f>
        <v>0</v>
      </c>
      <c r="S450" s="746">
        <f t="shared" si="593"/>
        <v>0</v>
      </c>
      <c r="T450" s="194">
        <f t="shared" si="594"/>
        <v>0</v>
      </c>
      <c r="U450" s="630">
        <f t="shared" si="595"/>
        <v>0</v>
      </c>
      <c r="V450" s="194">
        <f t="shared" si="510"/>
        <v>34</v>
      </c>
      <c r="W450" s="630">
        <f t="shared" si="591"/>
        <v>274.72000000000003</v>
      </c>
    </row>
    <row r="451" spans="1:23" ht="51">
      <c r="A451" s="190" t="s">
        <v>589</v>
      </c>
      <c r="B451" s="191" t="s">
        <v>140</v>
      </c>
      <c r="C451" s="657" t="s">
        <v>177</v>
      </c>
      <c r="D451" s="192" t="s">
        <v>58</v>
      </c>
      <c r="E451" s="193">
        <v>486.08</v>
      </c>
      <c r="F451" s="194">
        <v>8.9</v>
      </c>
      <c r="G451" s="194"/>
      <c r="H451" s="194"/>
      <c r="I451" s="194"/>
      <c r="J451" s="193">
        <f t="shared" si="584"/>
        <v>8.9</v>
      </c>
      <c r="K451" s="193">
        <f t="shared" si="585"/>
        <v>4326.1120000000001</v>
      </c>
      <c r="L451" s="193"/>
      <c r="M451" s="193"/>
      <c r="N451" s="193"/>
      <c r="O451" s="622">
        <f t="shared" si="586"/>
        <v>4326.1120000000001</v>
      </c>
      <c r="P451" s="194">
        <f>'4.3.6.5'!R21</f>
        <v>5.78</v>
      </c>
      <c r="Q451" s="622">
        <f t="shared" si="592"/>
        <v>2809.54</v>
      </c>
      <c r="R451" s="745">
        <f>'4.3.6.5'!R22</f>
        <v>0</v>
      </c>
      <c r="S451" s="746">
        <f t="shared" si="593"/>
        <v>0</v>
      </c>
      <c r="T451" s="194">
        <f t="shared" si="594"/>
        <v>5.78</v>
      </c>
      <c r="U451" s="630">
        <f t="shared" si="595"/>
        <v>2809.54</v>
      </c>
      <c r="V451" s="194">
        <f t="shared" si="510"/>
        <v>3.12</v>
      </c>
      <c r="W451" s="630">
        <f t="shared" si="591"/>
        <v>1516.5696</v>
      </c>
    </row>
    <row r="452" spans="1:23">
      <c r="A452" s="138"/>
      <c r="B452" s="132"/>
      <c r="C452" s="123"/>
      <c r="D452" s="123"/>
      <c r="E452" s="123"/>
      <c r="F452" s="123"/>
      <c r="G452" s="123"/>
      <c r="H452" s="123"/>
      <c r="I452" s="123"/>
      <c r="J452" s="123"/>
      <c r="K452" s="123"/>
      <c r="L452" s="123"/>
      <c r="M452" s="123"/>
      <c r="N452" s="123"/>
      <c r="O452" s="623"/>
      <c r="P452" s="123"/>
      <c r="Q452" s="623"/>
      <c r="R452" s="791"/>
      <c r="S452" s="792"/>
      <c r="T452" s="123"/>
      <c r="U452" s="631"/>
      <c r="V452" s="123"/>
      <c r="W452" s="631"/>
    </row>
    <row r="453" spans="1:23" s="131" customFormat="1">
      <c r="A453" s="137" t="s">
        <v>590</v>
      </c>
      <c r="B453" s="133"/>
      <c r="C453" s="658" t="s">
        <v>179</v>
      </c>
      <c r="D453" s="126"/>
      <c r="E453" s="127"/>
      <c r="F453" s="128"/>
      <c r="G453" s="128"/>
      <c r="H453" s="128"/>
      <c r="I453" s="128"/>
      <c r="J453" s="129"/>
      <c r="K453" s="129">
        <f>SUBTOTAL(9,K454:K457)</f>
        <v>22658.711199999998</v>
      </c>
      <c r="L453" s="129"/>
      <c r="M453" s="129"/>
      <c r="N453" s="129"/>
      <c r="O453" s="624"/>
      <c r="P453" s="130"/>
      <c r="Q453" s="624">
        <f>SUBTOTAL(9,Q454:Q457)</f>
        <v>2449.84</v>
      </c>
      <c r="R453" s="743"/>
      <c r="S453" s="744">
        <f>SUBTOTAL(9,S454:S457)</f>
        <v>0</v>
      </c>
      <c r="T453" s="129"/>
      <c r="U453" s="624">
        <f>SUBTOTAL(9,U454:U457)</f>
        <v>2449.84</v>
      </c>
      <c r="V453" s="129">
        <f t="shared" si="510"/>
        <v>0</v>
      </c>
      <c r="W453" s="624">
        <f t="shared" si="539"/>
        <v>-2449.84</v>
      </c>
    </row>
    <row r="454" spans="1:23" ht="51">
      <c r="A454" s="190" t="s">
        <v>591</v>
      </c>
      <c r="B454" s="191">
        <v>40339</v>
      </c>
      <c r="C454" s="657" t="s">
        <v>184</v>
      </c>
      <c r="D454" s="192" t="s">
        <v>57</v>
      </c>
      <c r="E454" s="193">
        <v>91.04</v>
      </c>
      <c r="F454" s="194">
        <v>34.1</v>
      </c>
      <c r="G454" s="194"/>
      <c r="H454" s="194"/>
      <c r="I454" s="194"/>
      <c r="J454" s="193">
        <f t="shared" ref="J454:J457" si="596">F454+H454-I454</f>
        <v>34.1</v>
      </c>
      <c r="K454" s="193">
        <f t="shared" ref="K454:K457" si="597">J454*E454</f>
        <v>3104.4640000000004</v>
      </c>
      <c r="L454" s="193"/>
      <c r="M454" s="193"/>
      <c r="N454" s="193"/>
      <c r="O454" s="622">
        <f t="shared" ref="O454:O457" si="598">J454*E454</f>
        <v>3104.4640000000004</v>
      </c>
      <c r="P454" s="194">
        <v>0</v>
      </c>
      <c r="Q454" s="622">
        <f t="shared" ref="Q454" si="599">TRUNC(P454*E454,2)</f>
        <v>0</v>
      </c>
      <c r="R454" s="745">
        <f>IFERROR(VLOOKUP(A454,#REF!,18,FALSE),)</f>
        <v>0</v>
      </c>
      <c r="S454" s="746">
        <f t="shared" ref="S454" si="600">U454-Q454</f>
        <v>0</v>
      </c>
      <c r="T454" s="194">
        <f t="shared" ref="T454" si="601">R454+P454</f>
        <v>0</v>
      </c>
      <c r="U454" s="630">
        <f t="shared" ref="U454" si="602">TRUNC(T454*E454,2)</f>
        <v>0</v>
      </c>
      <c r="V454" s="194">
        <f t="shared" si="510"/>
        <v>34.1</v>
      </c>
      <c r="W454" s="630">
        <f t="shared" ref="W454:W457" si="603">V454*E454</f>
        <v>3104.4640000000004</v>
      </c>
    </row>
    <row r="455" spans="1:23" ht="25.5">
      <c r="A455" s="190" t="s">
        <v>592</v>
      </c>
      <c r="B455" s="191">
        <v>40328</v>
      </c>
      <c r="C455" s="657" t="s">
        <v>147</v>
      </c>
      <c r="D455" s="192" t="s">
        <v>29</v>
      </c>
      <c r="E455" s="193">
        <v>7.98</v>
      </c>
      <c r="F455" s="194">
        <v>370.3</v>
      </c>
      <c r="G455" s="194"/>
      <c r="H455" s="194"/>
      <c r="I455" s="194"/>
      <c r="J455" s="193">
        <f t="shared" si="596"/>
        <v>370.3</v>
      </c>
      <c r="K455" s="193">
        <f t="shared" si="597"/>
        <v>2954.9940000000001</v>
      </c>
      <c r="L455" s="193"/>
      <c r="M455" s="193"/>
      <c r="N455" s="193"/>
      <c r="O455" s="622">
        <f t="shared" si="598"/>
        <v>2954.9940000000001</v>
      </c>
      <c r="P455" s="194">
        <v>0</v>
      </c>
      <c r="Q455" s="622">
        <f>TRUNC(P455*E455,2)</f>
        <v>0</v>
      </c>
      <c r="R455" s="745">
        <f>IFERROR(VLOOKUP(A455,#REF!,18,FALSE),)</f>
        <v>0</v>
      </c>
      <c r="S455" s="746">
        <f>U455-Q455</f>
        <v>0</v>
      </c>
      <c r="T455" s="194">
        <f>R455+P455</f>
        <v>0</v>
      </c>
      <c r="U455" s="630">
        <f>TRUNC(T455*E455,2)</f>
        <v>0</v>
      </c>
      <c r="V455" s="194">
        <f t="shared" si="510"/>
        <v>370.3</v>
      </c>
      <c r="W455" s="630">
        <f t="shared" si="603"/>
        <v>2954.9940000000001</v>
      </c>
    </row>
    <row r="456" spans="1:23" ht="51">
      <c r="A456" s="190" t="s">
        <v>593</v>
      </c>
      <c r="B456" s="191" t="s">
        <v>140</v>
      </c>
      <c r="C456" s="657" t="s">
        <v>177</v>
      </c>
      <c r="D456" s="192" t="s">
        <v>58</v>
      </c>
      <c r="E456" s="193">
        <v>486.08</v>
      </c>
      <c r="F456" s="194">
        <v>6.54</v>
      </c>
      <c r="G456" s="194"/>
      <c r="H456" s="194"/>
      <c r="I456" s="194"/>
      <c r="J456" s="193">
        <f t="shared" si="596"/>
        <v>6.54</v>
      </c>
      <c r="K456" s="193">
        <f t="shared" si="597"/>
        <v>3178.9631999999997</v>
      </c>
      <c r="L456" s="193"/>
      <c r="M456" s="193"/>
      <c r="N456" s="193"/>
      <c r="O456" s="622">
        <f t="shared" si="598"/>
        <v>3178.9631999999997</v>
      </c>
      <c r="P456" s="194">
        <v>5.04</v>
      </c>
      <c r="Q456" s="622">
        <f t="shared" ref="Q456:Q457" si="604">TRUNC(P456*E456,2)</f>
        <v>2449.84</v>
      </c>
      <c r="R456" s="745">
        <v>0</v>
      </c>
      <c r="S456" s="746">
        <f t="shared" ref="S456:S457" si="605">U456-Q456</f>
        <v>0</v>
      </c>
      <c r="T456" s="194">
        <f t="shared" ref="T456:T457" si="606">R456+P456</f>
        <v>5.04</v>
      </c>
      <c r="U456" s="630">
        <f t="shared" ref="U456:U457" si="607">TRUNC(T456*E456,2)</f>
        <v>2449.84</v>
      </c>
      <c r="V456" s="194">
        <f t="shared" si="510"/>
        <v>1.5</v>
      </c>
      <c r="W456" s="630">
        <f t="shared" si="603"/>
        <v>729.12</v>
      </c>
    </row>
    <row r="457" spans="1:23" ht="25.5">
      <c r="A457" s="190" t="s">
        <v>594</v>
      </c>
      <c r="B457" s="191">
        <v>40602</v>
      </c>
      <c r="C457" s="657" t="s">
        <v>185</v>
      </c>
      <c r="D457" s="192" t="s">
        <v>57</v>
      </c>
      <c r="E457" s="193">
        <v>79.41</v>
      </c>
      <c r="F457" s="194">
        <v>169</v>
      </c>
      <c r="G457" s="194"/>
      <c r="H457" s="194"/>
      <c r="I457" s="194"/>
      <c r="J457" s="193">
        <f t="shared" si="596"/>
        <v>169</v>
      </c>
      <c r="K457" s="193">
        <f t="shared" si="597"/>
        <v>13420.289999999999</v>
      </c>
      <c r="L457" s="193"/>
      <c r="M457" s="193"/>
      <c r="N457" s="193"/>
      <c r="O457" s="622">
        <f t="shared" si="598"/>
        <v>13420.289999999999</v>
      </c>
      <c r="P457" s="194">
        <v>0</v>
      </c>
      <c r="Q457" s="622">
        <f t="shared" si="604"/>
        <v>0</v>
      </c>
      <c r="R457" s="745">
        <f>IFERROR(VLOOKUP(A457,#REF!,18,FALSE),)</f>
        <v>0</v>
      </c>
      <c r="S457" s="746">
        <f t="shared" si="605"/>
        <v>0</v>
      </c>
      <c r="T457" s="194">
        <f t="shared" si="606"/>
        <v>0</v>
      </c>
      <c r="U457" s="630">
        <f t="shared" si="607"/>
        <v>0</v>
      </c>
      <c r="V457" s="194">
        <f t="shared" si="510"/>
        <v>169</v>
      </c>
      <c r="W457" s="630">
        <f t="shared" si="603"/>
        <v>13420.289999999999</v>
      </c>
    </row>
    <row r="458" spans="1:23">
      <c r="A458" s="138"/>
      <c r="B458" s="132"/>
      <c r="C458" s="123"/>
      <c r="D458" s="123"/>
      <c r="E458" s="123"/>
      <c r="F458" s="123"/>
      <c r="G458" s="123"/>
      <c r="H458" s="123"/>
      <c r="I458" s="123"/>
      <c r="J458" s="123"/>
      <c r="K458" s="123"/>
      <c r="L458" s="123"/>
      <c r="M458" s="123"/>
      <c r="N458" s="123"/>
      <c r="O458" s="623"/>
      <c r="P458" s="123"/>
      <c r="Q458" s="623"/>
      <c r="R458" s="791"/>
      <c r="S458" s="792"/>
      <c r="T458" s="123"/>
      <c r="U458" s="631"/>
      <c r="V458" s="123"/>
      <c r="W458" s="631"/>
    </row>
    <row r="459" spans="1:23" s="131" customFormat="1">
      <c r="A459" s="137" t="s">
        <v>595</v>
      </c>
      <c r="B459" s="133"/>
      <c r="C459" s="658" t="s">
        <v>187</v>
      </c>
      <c r="D459" s="126"/>
      <c r="E459" s="127"/>
      <c r="F459" s="128"/>
      <c r="G459" s="128"/>
      <c r="H459" s="128"/>
      <c r="I459" s="128"/>
      <c r="J459" s="129"/>
      <c r="K459" s="129">
        <f>SUBTOTAL(9,K460:K465)</f>
        <v>49946.759399999988</v>
      </c>
      <c r="L459" s="129"/>
      <c r="M459" s="129"/>
      <c r="N459" s="129"/>
      <c r="O459" s="624"/>
      <c r="P459" s="130"/>
      <c r="Q459" s="624">
        <f>SUBTOTAL(9,Q460:Q465)</f>
        <v>2618.62</v>
      </c>
      <c r="R459" s="743"/>
      <c r="S459" s="744">
        <f>SUBTOTAL(9,S460:S465)</f>
        <v>0</v>
      </c>
      <c r="T459" s="129"/>
      <c r="U459" s="624">
        <f>SUBTOTAL(9,U460:U465)</f>
        <v>2618.62</v>
      </c>
      <c r="V459" s="129">
        <f t="shared" si="510"/>
        <v>0</v>
      </c>
      <c r="W459" s="624">
        <f>SUBTOTAL(9,W460:W465)</f>
        <v>47328.139399999993</v>
      </c>
    </row>
    <row r="460" spans="1:23" ht="51">
      <c r="A460" s="190" t="s">
        <v>596</v>
      </c>
      <c r="B460" s="191">
        <v>90102</v>
      </c>
      <c r="C460" s="657" t="s">
        <v>194</v>
      </c>
      <c r="D460" s="192" t="s">
        <v>57</v>
      </c>
      <c r="E460" s="193">
        <v>89.99</v>
      </c>
      <c r="F460" s="194">
        <v>191.8</v>
      </c>
      <c r="G460" s="194"/>
      <c r="H460" s="194"/>
      <c r="I460" s="194"/>
      <c r="J460" s="193">
        <f t="shared" ref="J460:J465" si="608">F460+H460-I460</f>
        <v>191.8</v>
      </c>
      <c r="K460" s="193">
        <f t="shared" ref="K460:K465" si="609">J460*E460</f>
        <v>17260.081999999999</v>
      </c>
      <c r="L460" s="193"/>
      <c r="M460" s="193"/>
      <c r="N460" s="193"/>
      <c r="O460" s="622">
        <f t="shared" ref="O460:O465" si="610">J460*E460</f>
        <v>17260.081999999999</v>
      </c>
      <c r="P460" s="194">
        <v>0</v>
      </c>
      <c r="Q460" s="622">
        <f t="shared" ref="Q460" si="611">TRUNC(P460*E460,2)</f>
        <v>0</v>
      </c>
      <c r="R460" s="745">
        <f>IFERROR(VLOOKUP(A460,#REF!,18,FALSE),)</f>
        <v>0</v>
      </c>
      <c r="S460" s="746">
        <f t="shared" ref="S460" si="612">U460-Q460</f>
        <v>0</v>
      </c>
      <c r="T460" s="194">
        <f t="shared" ref="T460" si="613">R460+P460</f>
        <v>0</v>
      </c>
      <c r="U460" s="630">
        <f t="shared" ref="U460" si="614">TRUNC(T460*E460,2)</f>
        <v>0</v>
      </c>
      <c r="V460" s="194">
        <f t="shared" si="510"/>
        <v>191.8</v>
      </c>
      <c r="W460" s="630">
        <f t="shared" ref="W460:W465" si="615">V460*E460</f>
        <v>17260.081999999999</v>
      </c>
    </row>
    <row r="461" spans="1:23" ht="51">
      <c r="A461" s="190" t="s">
        <v>597</v>
      </c>
      <c r="B461" s="191">
        <v>90223</v>
      </c>
      <c r="C461" s="657" t="s">
        <v>195</v>
      </c>
      <c r="D461" s="192" t="s">
        <v>57</v>
      </c>
      <c r="E461" s="193">
        <v>124.46</v>
      </c>
      <c r="F461" s="194">
        <v>200.69</v>
      </c>
      <c r="G461" s="194"/>
      <c r="H461" s="194"/>
      <c r="I461" s="194"/>
      <c r="J461" s="193">
        <f t="shared" si="608"/>
        <v>200.69</v>
      </c>
      <c r="K461" s="193">
        <f t="shared" si="609"/>
        <v>24977.877399999998</v>
      </c>
      <c r="L461" s="193"/>
      <c r="M461" s="193"/>
      <c r="N461" s="193"/>
      <c r="O461" s="622">
        <f t="shared" si="610"/>
        <v>24977.877399999998</v>
      </c>
      <c r="P461" s="194">
        <v>0</v>
      </c>
      <c r="Q461" s="622">
        <f>TRUNC(P461*E461,2)</f>
        <v>0</v>
      </c>
      <c r="R461" s="745">
        <f>IFERROR(VLOOKUP(A461,#REF!,18,FALSE),)</f>
        <v>0</v>
      </c>
      <c r="S461" s="746">
        <f>U461-Q461</f>
        <v>0</v>
      </c>
      <c r="T461" s="194">
        <f>R461+P461</f>
        <v>0</v>
      </c>
      <c r="U461" s="630">
        <f>TRUNC(T461*E461,2)</f>
        <v>0</v>
      </c>
      <c r="V461" s="194">
        <f t="shared" si="510"/>
        <v>200.69</v>
      </c>
      <c r="W461" s="630">
        <f t="shared" si="615"/>
        <v>24977.877399999998</v>
      </c>
    </row>
    <row r="462" spans="1:23" ht="51">
      <c r="A462" s="190" t="s">
        <v>598</v>
      </c>
      <c r="B462" s="191">
        <v>40339</v>
      </c>
      <c r="C462" s="657" t="s">
        <v>196</v>
      </c>
      <c r="D462" s="192" t="s">
        <v>57</v>
      </c>
      <c r="E462" s="193">
        <v>91.04</v>
      </c>
      <c r="F462" s="194">
        <v>25.2</v>
      </c>
      <c r="G462" s="194"/>
      <c r="H462" s="194"/>
      <c r="I462" s="194"/>
      <c r="J462" s="193">
        <f t="shared" si="608"/>
        <v>25.2</v>
      </c>
      <c r="K462" s="193">
        <f t="shared" si="609"/>
        <v>2294.2080000000001</v>
      </c>
      <c r="L462" s="193"/>
      <c r="M462" s="193"/>
      <c r="N462" s="193"/>
      <c r="O462" s="622">
        <f t="shared" si="610"/>
        <v>2294.2080000000001</v>
      </c>
      <c r="P462" s="194">
        <v>0</v>
      </c>
      <c r="Q462" s="622">
        <f t="shared" ref="Q462:Q465" si="616">TRUNC(P462*E462,2)</f>
        <v>0</v>
      </c>
      <c r="R462" s="745">
        <f>IFERROR(VLOOKUP(A462,#REF!,18,FALSE),)</f>
        <v>0</v>
      </c>
      <c r="S462" s="746">
        <f t="shared" ref="S462:S464" si="617">U462-Q462</f>
        <v>0</v>
      </c>
      <c r="T462" s="194">
        <f t="shared" ref="T462:T465" si="618">R462+P462</f>
        <v>0</v>
      </c>
      <c r="U462" s="630">
        <f t="shared" ref="U462:U465" si="619">TRUNC(T462*E462,2)</f>
        <v>0</v>
      </c>
      <c r="V462" s="194">
        <f t="shared" si="510"/>
        <v>25.2</v>
      </c>
      <c r="W462" s="630">
        <f t="shared" si="615"/>
        <v>2294.2080000000001</v>
      </c>
    </row>
    <row r="463" spans="1:23" ht="25.5">
      <c r="A463" s="190" t="s">
        <v>599</v>
      </c>
      <c r="B463" s="191">
        <v>40328</v>
      </c>
      <c r="C463" s="657" t="s">
        <v>197</v>
      </c>
      <c r="D463" s="192" t="s">
        <v>29</v>
      </c>
      <c r="E463" s="193">
        <v>7.98</v>
      </c>
      <c r="F463" s="194">
        <v>122</v>
      </c>
      <c r="G463" s="194"/>
      <c r="H463" s="194"/>
      <c r="I463" s="194"/>
      <c r="J463" s="193">
        <f t="shared" si="608"/>
        <v>122</v>
      </c>
      <c r="K463" s="193">
        <f t="shared" si="609"/>
        <v>973.56000000000006</v>
      </c>
      <c r="L463" s="193"/>
      <c r="M463" s="193"/>
      <c r="N463" s="193"/>
      <c r="O463" s="622">
        <f t="shared" si="610"/>
        <v>973.56000000000006</v>
      </c>
      <c r="P463" s="194">
        <v>0</v>
      </c>
      <c r="Q463" s="622">
        <f t="shared" si="616"/>
        <v>0</v>
      </c>
      <c r="R463" s="745">
        <f>IFERROR(VLOOKUP(A463,#REF!,18,FALSE),)</f>
        <v>0</v>
      </c>
      <c r="S463" s="746">
        <f t="shared" si="617"/>
        <v>0</v>
      </c>
      <c r="T463" s="194">
        <f t="shared" si="618"/>
        <v>0</v>
      </c>
      <c r="U463" s="630">
        <f t="shared" si="619"/>
        <v>0</v>
      </c>
      <c r="V463" s="194">
        <f t="shared" si="510"/>
        <v>122</v>
      </c>
      <c r="W463" s="630">
        <f t="shared" si="615"/>
        <v>973.56000000000006</v>
      </c>
    </row>
    <row r="464" spans="1:23" ht="51">
      <c r="A464" s="190" t="s">
        <v>600</v>
      </c>
      <c r="B464" s="191" t="s">
        <v>140</v>
      </c>
      <c r="C464" s="657" t="s">
        <v>198</v>
      </c>
      <c r="D464" s="192" t="s">
        <v>58</v>
      </c>
      <c r="E464" s="193">
        <v>486.08</v>
      </c>
      <c r="F464" s="194">
        <v>1.3</v>
      </c>
      <c r="G464" s="194"/>
      <c r="H464" s="194"/>
      <c r="I464" s="194"/>
      <c r="J464" s="193">
        <f t="shared" si="608"/>
        <v>1.3</v>
      </c>
      <c r="K464" s="193">
        <f t="shared" si="609"/>
        <v>631.904</v>
      </c>
      <c r="L464" s="193"/>
      <c r="M464" s="193"/>
      <c r="N464" s="193"/>
      <c r="O464" s="622">
        <f t="shared" si="610"/>
        <v>631.904</v>
      </c>
      <c r="P464" s="194">
        <v>0</v>
      </c>
      <c r="Q464" s="622">
        <f t="shared" si="616"/>
        <v>0</v>
      </c>
      <c r="R464" s="745">
        <f>IFERROR(VLOOKUP(A464,#REF!,18,FALSE),)</f>
        <v>0</v>
      </c>
      <c r="S464" s="746">
        <f t="shared" si="617"/>
        <v>0</v>
      </c>
      <c r="T464" s="194">
        <f t="shared" si="618"/>
        <v>0</v>
      </c>
      <c r="U464" s="630">
        <f t="shared" si="619"/>
        <v>0</v>
      </c>
      <c r="V464" s="194">
        <f t="shared" si="510"/>
        <v>1.3</v>
      </c>
      <c r="W464" s="630">
        <f t="shared" si="615"/>
        <v>631.904</v>
      </c>
    </row>
    <row r="465" spans="1:24" ht="51">
      <c r="A465" s="190" t="s">
        <v>601</v>
      </c>
      <c r="B465" s="191">
        <v>50602</v>
      </c>
      <c r="C465" s="657" t="s">
        <v>199</v>
      </c>
      <c r="D465" s="192" t="s">
        <v>57</v>
      </c>
      <c r="E465" s="193">
        <v>62.2</v>
      </c>
      <c r="F465" s="194">
        <v>61.24</v>
      </c>
      <c r="G465" s="194"/>
      <c r="H465" s="194"/>
      <c r="I465" s="194"/>
      <c r="J465" s="193">
        <f t="shared" si="608"/>
        <v>61.24</v>
      </c>
      <c r="K465" s="193">
        <f t="shared" si="609"/>
        <v>3809.1280000000002</v>
      </c>
      <c r="L465" s="193"/>
      <c r="M465" s="193"/>
      <c r="N465" s="193"/>
      <c r="O465" s="622">
        <f t="shared" si="610"/>
        <v>3809.1280000000002</v>
      </c>
      <c r="P465" s="195">
        <v>42.1</v>
      </c>
      <c r="Q465" s="622">
        <f t="shared" si="616"/>
        <v>2618.62</v>
      </c>
      <c r="R465" s="745"/>
      <c r="S465" s="746">
        <f>R465*E465</f>
        <v>0</v>
      </c>
      <c r="T465" s="194">
        <f t="shared" si="618"/>
        <v>42.1</v>
      </c>
      <c r="U465" s="630">
        <f t="shared" si="619"/>
        <v>2618.62</v>
      </c>
      <c r="V465" s="194">
        <f t="shared" si="510"/>
        <v>19.14</v>
      </c>
      <c r="W465" s="630">
        <f t="shared" si="615"/>
        <v>1190.508</v>
      </c>
      <c r="X465" s="640" t="s">
        <v>1488</v>
      </c>
    </row>
    <row r="466" spans="1:24">
      <c r="A466" s="138"/>
      <c r="B466" s="132"/>
      <c r="C466" s="123"/>
      <c r="D466" s="123"/>
      <c r="E466" s="123"/>
      <c r="F466" s="123"/>
      <c r="G466" s="123"/>
      <c r="H466" s="123"/>
      <c r="I466" s="123"/>
      <c r="J466" s="123"/>
      <c r="K466" s="123"/>
      <c r="L466" s="123"/>
      <c r="M466" s="123"/>
      <c r="N466" s="123"/>
      <c r="O466" s="623"/>
      <c r="P466" s="123"/>
      <c r="Q466" s="623"/>
      <c r="R466" s="791"/>
      <c r="S466" s="792"/>
      <c r="T466" s="123"/>
      <c r="U466" s="631"/>
      <c r="V466" s="123"/>
      <c r="W466" s="631"/>
    </row>
    <row r="467" spans="1:24" s="131" customFormat="1">
      <c r="A467" s="137" t="s">
        <v>602</v>
      </c>
      <c r="B467" s="133"/>
      <c r="C467" s="658" t="s">
        <v>201</v>
      </c>
      <c r="D467" s="126"/>
      <c r="E467" s="127"/>
      <c r="F467" s="128"/>
      <c r="G467" s="128"/>
      <c r="H467" s="128"/>
      <c r="I467" s="128"/>
      <c r="J467" s="129"/>
      <c r="K467" s="129">
        <f>SUBTOTAL(9,K468:K471)</f>
        <v>6322.5289000000002</v>
      </c>
      <c r="L467" s="129"/>
      <c r="M467" s="129"/>
      <c r="N467" s="129"/>
      <c r="O467" s="624"/>
      <c r="P467" s="130"/>
      <c r="Q467" s="624">
        <f>SUBTOTAL(9,Q468:Q471)</f>
        <v>5231.79</v>
      </c>
      <c r="R467" s="743"/>
      <c r="S467" s="744">
        <f>SUBTOTAL(9,S468:S471)</f>
        <v>0</v>
      </c>
      <c r="T467" s="129"/>
      <c r="U467" s="624">
        <f>SUBTOTAL(9,U468:U471)</f>
        <v>5231.79</v>
      </c>
      <c r="V467" s="129">
        <f t="shared" ref="V467:V533" si="620">F467-T467</f>
        <v>0</v>
      </c>
      <c r="W467" s="624">
        <f>SUBTOTAL(9,W468:W471)</f>
        <v>1090.7296999999999</v>
      </c>
    </row>
    <row r="468" spans="1:24" ht="25.5">
      <c r="A468" s="190" t="s">
        <v>603</v>
      </c>
      <c r="B468" s="191" t="s">
        <v>206</v>
      </c>
      <c r="C468" s="657" t="s">
        <v>207</v>
      </c>
      <c r="D468" s="192" t="s">
        <v>60</v>
      </c>
      <c r="E468" s="193">
        <v>72.83</v>
      </c>
      <c r="F468" s="194">
        <v>44.2</v>
      </c>
      <c r="G468" s="194"/>
      <c r="H468" s="194"/>
      <c r="I468" s="194"/>
      <c r="J468" s="193">
        <f t="shared" ref="J468:J471" si="621">F468+H468-I468</f>
        <v>44.2</v>
      </c>
      <c r="K468" s="193">
        <f t="shared" ref="K468:K471" si="622">J468*E468</f>
        <v>3219.0860000000002</v>
      </c>
      <c r="L468" s="193"/>
      <c r="M468" s="193"/>
      <c r="N468" s="193"/>
      <c r="O468" s="622">
        <f t="shared" ref="O468:O471" si="623">J468*E468</f>
        <v>3219.0860000000002</v>
      </c>
      <c r="P468" s="195">
        <v>44.2</v>
      </c>
      <c r="Q468" s="622">
        <f t="shared" ref="Q468" si="624">TRUNC(P468*E468,2)</f>
        <v>3219.08</v>
      </c>
      <c r="R468" s="745"/>
      <c r="S468" s="746">
        <f>R468*E468</f>
        <v>0</v>
      </c>
      <c r="T468" s="194">
        <f t="shared" ref="T468" si="625">R468+P468</f>
        <v>44.2</v>
      </c>
      <c r="U468" s="630">
        <f t="shared" ref="U468" si="626">TRUNC(T468*E468,2)</f>
        <v>3219.08</v>
      </c>
      <c r="V468" s="194">
        <f t="shared" si="620"/>
        <v>0</v>
      </c>
      <c r="W468" s="630">
        <f t="shared" ref="W468:W471" si="627">V468*E468</f>
        <v>0</v>
      </c>
    </row>
    <row r="469" spans="1:24">
      <c r="A469" s="190" t="s">
        <v>604</v>
      </c>
      <c r="B469" s="191">
        <v>90302</v>
      </c>
      <c r="C469" s="657" t="s">
        <v>208</v>
      </c>
      <c r="D469" s="192" t="s">
        <v>51</v>
      </c>
      <c r="E469" s="193">
        <v>31.38</v>
      </c>
      <c r="F469" s="194">
        <v>64.14</v>
      </c>
      <c r="G469" s="194"/>
      <c r="H469" s="194"/>
      <c r="I469" s="194"/>
      <c r="J469" s="193">
        <f t="shared" si="621"/>
        <v>64.14</v>
      </c>
      <c r="K469" s="193">
        <f t="shared" si="622"/>
        <v>2012.7131999999999</v>
      </c>
      <c r="L469" s="193"/>
      <c r="M469" s="193"/>
      <c r="N469" s="193"/>
      <c r="O469" s="622">
        <f t="shared" si="623"/>
        <v>2012.7131999999999</v>
      </c>
      <c r="P469" s="195">
        <v>64.14</v>
      </c>
      <c r="Q469" s="622">
        <f>TRUNC(P469*E469,2)</f>
        <v>2012.71</v>
      </c>
      <c r="R469" s="745"/>
      <c r="S469" s="746">
        <f>R469*E469</f>
        <v>0</v>
      </c>
      <c r="T469" s="194">
        <f>R469+P469</f>
        <v>64.14</v>
      </c>
      <c r="U469" s="630">
        <f>TRUNC(T469*E469,2)</f>
        <v>2012.71</v>
      </c>
      <c r="V469" s="194">
        <f t="shared" si="620"/>
        <v>0</v>
      </c>
      <c r="W469" s="630">
        <f t="shared" si="627"/>
        <v>0</v>
      </c>
    </row>
    <row r="470" spans="1:24" ht="25.5">
      <c r="A470" s="190" t="s">
        <v>605</v>
      </c>
      <c r="B470" s="191">
        <v>141909</v>
      </c>
      <c r="C470" s="657" t="s">
        <v>209</v>
      </c>
      <c r="D470" s="192" t="s">
        <v>51</v>
      </c>
      <c r="E470" s="193">
        <v>61.57</v>
      </c>
      <c r="F470" s="194">
        <v>9.27</v>
      </c>
      <c r="G470" s="194"/>
      <c r="H470" s="194"/>
      <c r="I470" s="194"/>
      <c r="J470" s="193">
        <f t="shared" si="621"/>
        <v>9.27</v>
      </c>
      <c r="K470" s="193">
        <f t="shared" si="622"/>
        <v>570.75389999999993</v>
      </c>
      <c r="L470" s="193"/>
      <c r="M470" s="193"/>
      <c r="N470" s="193"/>
      <c r="O470" s="622">
        <f t="shared" si="623"/>
        <v>570.75389999999993</v>
      </c>
      <c r="P470" s="194">
        <v>0</v>
      </c>
      <c r="Q470" s="622">
        <f t="shared" ref="Q470:Q471" si="628">TRUNC(P470*E470,2)</f>
        <v>0</v>
      </c>
      <c r="R470" s="745">
        <f>IFERROR(VLOOKUP(A470,#REF!,18,FALSE),)</f>
        <v>0</v>
      </c>
      <c r="S470" s="746">
        <f t="shared" ref="S470:S471" si="629">U470-Q470</f>
        <v>0</v>
      </c>
      <c r="T470" s="194">
        <f t="shared" ref="T470:T471" si="630">R470+P470</f>
        <v>0</v>
      </c>
      <c r="U470" s="630">
        <f t="shared" ref="U470:U471" si="631">TRUNC(T470*E470,2)</f>
        <v>0</v>
      </c>
      <c r="V470" s="194">
        <f t="shared" si="620"/>
        <v>9.27</v>
      </c>
      <c r="W470" s="630">
        <f t="shared" si="627"/>
        <v>570.75389999999993</v>
      </c>
    </row>
    <row r="471" spans="1:24" ht="25.5">
      <c r="A471" s="190" t="s">
        <v>606</v>
      </c>
      <c r="B471" s="191">
        <v>140903</v>
      </c>
      <c r="C471" s="657" t="s">
        <v>607</v>
      </c>
      <c r="D471" s="192" t="s">
        <v>51</v>
      </c>
      <c r="E471" s="193">
        <v>48.46</v>
      </c>
      <c r="F471" s="194">
        <v>10.73</v>
      </c>
      <c r="G471" s="194"/>
      <c r="H471" s="194"/>
      <c r="I471" s="194"/>
      <c r="J471" s="193">
        <f t="shared" si="621"/>
        <v>10.73</v>
      </c>
      <c r="K471" s="193">
        <f t="shared" si="622"/>
        <v>519.97580000000005</v>
      </c>
      <c r="L471" s="193"/>
      <c r="M471" s="193"/>
      <c r="N471" s="193"/>
      <c r="O471" s="622">
        <f t="shared" si="623"/>
        <v>519.97580000000005</v>
      </c>
      <c r="P471" s="194">
        <v>0</v>
      </c>
      <c r="Q471" s="622">
        <f t="shared" si="628"/>
        <v>0</v>
      </c>
      <c r="R471" s="745">
        <f>IFERROR(VLOOKUP(A471,#REF!,18,FALSE),)</f>
        <v>0</v>
      </c>
      <c r="S471" s="746">
        <f t="shared" si="629"/>
        <v>0</v>
      </c>
      <c r="T471" s="194">
        <f t="shared" si="630"/>
        <v>0</v>
      </c>
      <c r="U471" s="630">
        <f t="shared" si="631"/>
        <v>0</v>
      </c>
      <c r="V471" s="194">
        <f t="shared" si="620"/>
        <v>10.73</v>
      </c>
      <c r="W471" s="630">
        <f t="shared" si="627"/>
        <v>519.97580000000005</v>
      </c>
    </row>
    <row r="472" spans="1:24">
      <c r="A472" s="138"/>
      <c r="B472" s="132"/>
      <c r="C472" s="123"/>
      <c r="D472" s="123"/>
      <c r="E472" s="123"/>
      <c r="F472" s="123"/>
      <c r="G472" s="123"/>
      <c r="H472" s="123"/>
      <c r="I472" s="123"/>
      <c r="J472" s="123"/>
      <c r="K472" s="123"/>
      <c r="L472" s="123"/>
      <c r="M472" s="123"/>
      <c r="N472" s="123"/>
      <c r="O472" s="623"/>
      <c r="P472" s="123"/>
      <c r="Q472" s="623"/>
      <c r="R472" s="791"/>
      <c r="S472" s="792"/>
      <c r="T472" s="123"/>
      <c r="U472" s="631"/>
      <c r="V472" s="123"/>
      <c r="W472" s="631"/>
    </row>
    <row r="473" spans="1:24" s="131" customFormat="1">
      <c r="A473" s="137" t="s">
        <v>849</v>
      </c>
      <c r="B473" s="133"/>
      <c r="C473" s="658" t="s">
        <v>212</v>
      </c>
      <c r="D473" s="126"/>
      <c r="E473" s="127"/>
      <c r="F473" s="128"/>
      <c r="G473" s="128"/>
      <c r="H473" s="128"/>
      <c r="I473" s="128"/>
      <c r="J473" s="129"/>
      <c r="K473" s="129">
        <f>SUBTOTAL(9,K474:K484)</f>
        <v>110605.07340000001</v>
      </c>
      <c r="L473" s="129"/>
      <c r="M473" s="129"/>
      <c r="N473" s="129"/>
      <c r="O473" s="624"/>
      <c r="P473" s="130"/>
      <c r="Q473" s="624">
        <f>SUBTOTAL(9,Q474:Q484)</f>
        <v>46115.979999999996</v>
      </c>
      <c r="R473" s="743"/>
      <c r="S473" s="744">
        <f>SUBTOTAL(9,S474:S484)</f>
        <v>5071.05</v>
      </c>
      <c r="T473" s="129"/>
      <c r="U473" s="624">
        <f>SUBTOTAL(9,U474:U484)</f>
        <v>51187.03</v>
      </c>
      <c r="V473" s="129">
        <f t="shared" si="620"/>
        <v>0</v>
      </c>
      <c r="W473" s="624">
        <f>SUBTOTAL(9,W474:W484)</f>
        <v>59418.008399999999</v>
      </c>
    </row>
    <row r="474" spans="1:24" ht="25.5" customHeight="1">
      <c r="A474" s="190" t="s">
        <v>608</v>
      </c>
      <c r="B474" s="191" t="s">
        <v>224</v>
      </c>
      <c r="C474" s="657" t="s">
        <v>229</v>
      </c>
      <c r="D474" s="192" t="s">
        <v>50</v>
      </c>
      <c r="E474" s="193">
        <v>280.31</v>
      </c>
      <c r="F474" s="194">
        <v>111.39</v>
      </c>
      <c r="G474" s="194"/>
      <c r="H474" s="194"/>
      <c r="I474" s="194"/>
      <c r="J474" s="193">
        <f t="shared" ref="J474:J484" si="632">F474+H474-I474</f>
        <v>111.39</v>
      </c>
      <c r="K474" s="193">
        <f t="shared" ref="K474:K484" si="633">J474*E474</f>
        <v>31223.730899999999</v>
      </c>
      <c r="L474" s="193"/>
      <c r="M474" s="193"/>
      <c r="N474" s="193"/>
      <c r="O474" s="622">
        <f t="shared" ref="O474:O484" si="634">J474*E474</f>
        <v>31223.730899999999</v>
      </c>
      <c r="P474" s="194">
        <f>'4.3.10.1'!N24</f>
        <v>111.39</v>
      </c>
      <c r="Q474" s="622">
        <f t="shared" ref="Q474" si="635">TRUNC(P474*E474,2)</f>
        <v>31223.73</v>
      </c>
      <c r="R474" s="745">
        <f>'4.3.10.1'!N25</f>
        <v>0</v>
      </c>
      <c r="S474" s="746">
        <f t="shared" ref="S474" si="636">U474-Q474</f>
        <v>0</v>
      </c>
      <c r="T474" s="194">
        <f t="shared" ref="T474" si="637">R474+P474</f>
        <v>111.39</v>
      </c>
      <c r="U474" s="630">
        <f t="shared" ref="U474" si="638">TRUNC(T474*E474,2)</f>
        <v>31223.73</v>
      </c>
      <c r="V474" s="194">
        <f t="shared" si="620"/>
        <v>0</v>
      </c>
      <c r="W474" s="630">
        <f t="shared" ref="W474:W484" si="639">V474*E474</f>
        <v>0</v>
      </c>
    </row>
    <row r="475" spans="1:24">
      <c r="A475" s="190" t="s">
        <v>609</v>
      </c>
      <c r="B475" s="191" t="s">
        <v>225</v>
      </c>
      <c r="C475" s="657" t="s">
        <v>230</v>
      </c>
      <c r="D475" s="192" t="s">
        <v>50</v>
      </c>
      <c r="E475" s="193">
        <v>645.84</v>
      </c>
      <c r="F475" s="194">
        <v>15.3</v>
      </c>
      <c r="G475" s="194"/>
      <c r="H475" s="194"/>
      <c r="I475" s="194"/>
      <c r="J475" s="193">
        <f t="shared" si="632"/>
        <v>15.3</v>
      </c>
      <c r="K475" s="193">
        <f t="shared" si="633"/>
        <v>9881.3520000000008</v>
      </c>
      <c r="L475" s="193"/>
      <c r="M475" s="193"/>
      <c r="N475" s="193"/>
      <c r="O475" s="622">
        <f t="shared" si="634"/>
        <v>9881.3520000000008</v>
      </c>
      <c r="P475" s="195">
        <v>15.3</v>
      </c>
      <c r="Q475" s="622">
        <f>TRUNC(P475*E475,2)</f>
        <v>9881.35</v>
      </c>
      <c r="R475" s="745"/>
      <c r="S475" s="746">
        <f>R475*E475</f>
        <v>0</v>
      </c>
      <c r="T475" s="194">
        <f>R475+P475</f>
        <v>15.3</v>
      </c>
      <c r="U475" s="630">
        <f>TRUNC(T475*E475,2)</f>
        <v>9881.35</v>
      </c>
      <c r="V475" s="194">
        <f t="shared" si="620"/>
        <v>0</v>
      </c>
      <c r="W475" s="630">
        <f t="shared" si="639"/>
        <v>0</v>
      </c>
    </row>
    <row r="476" spans="1:24" ht="25.5">
      <c r="A476" s="190" t="s">
        <v>610</v>
      </c>
      <c r="B476" s="191" t="s">
        <v>226</v>
      </c>
      <c r="C476" s="657" t="s">
        <v>231</v>
      </c>
      <c r="D476" s="192" t="s">
        <v>50</v>
      </c>
      <c r="E476" s="193">
        <v>651.87</v>
      </c>
      <c r="F476" s="194">
        <v>5.63</v>
      </c>
      <c r="G476" s="194"/>
      <c r="H476" s="194"/>
      <c r="I476" s="194"/>
      <c r="J476" s="193">
        <f t="shared" si="632"/>
        <v>5.63</v>
      </c>
      <c r="K476" s="193">
        <f t="shared" si="633"/>
        <v>3670.0281</v>
      </c>
      <c r="L476" s="193"/>
      <c r="M476" s="193"/>
      <c r="N476" s="193"/>
      <c r="O476" s="622">
        <f t="shared" si="634"/>
        <v>3670.0281</v>
      </c>
      <c r="P476" s="195">
        <v>5.63</v>
      </c>
      <c r="Q476" s="622">
        <f t="shared" ref="Q476:Q484" si="640">TRUNC(P476*E476,2)</f>
        <v>3670.02</v>
      </c>
      <c r="R476" s="745"/>
      <c r="S476" s="746">
        <f>R476*E476</f>
        <v>0</v>
      </c>
      <c r="T476" s="194">
        <f t="shared" ref="T476:T484" si="641">R476+P476</f>
        <v>5.63</v>
      </c>
      <c r="U476" s="630">
        <f t="shared" ref="U476:U484" si="642">TRUNC(T476*E476,2)</f>
        <v>3670.02</v>
      </c>
      <c r="V476" s="194">
        <f t="shared" si="620"/>
        <v>0</v>
      </c>
      <c r="W476" s="630">
        <f t="shared" si="639"/>
        <v>0</v>
      </c>
    </row>
    <row r="477" spans="1:24" ht="25.5">
      <c r="A477" s="190" t="s">
        <v>611</v>
      </c>
      <c r="B477" s="191">
        <v>210322</v>
      </c>
      <c r="C477" s="657" t="s">
        <v>232</v>
      </c>
      <c r="D477" s="192" t="s">
        <v>51</v>
      </c>
      <c r="E477" s="193">
        <v>91.5</v>
      </c>
      <c r="F477" s="194">
        <v>13.65</v>
      </c>
      <c r="G477" s="194"/>
      <c r="H477" s="194"/>
      <c r="I477" s="194"/>
      <c r="J477" s="193">
        <f t="shared" si="632"/>
        <v>13.65</v>
      </c>
      <c r="K477" s="193">
        <f t="shared" si="633"/>
        <v>1248.9750000000001</v>
      </c>
      <c r="L477" s="193"/>
      <c r="M477" s="193"/>
      <c r="N477" s="193"/>
      <c r="O477" s="622">
        <f t="shared" si="634"/>
        <v>1248.9750000000001</v>
      </c>
      <c r="P477" s="194">
        <v>0</v>
      </c>
      <c r="Q477" s="622">
        <f t="shared" si="640"/>
        <v>0</v>
      </c>
      <c r="R477" s="745">
        <f>IFERROR(VLOOKUP(A477,#REF!,18,FALSE),)</f>
        <v>0</v>
      </c>
      <c r="S477" s="746">
        <f t="shared" ref="S477:S484" si="643">U477-Q477</f>
        <v>0</v>
      </c>
      <c r="T477" s="194">
        <f t="shared" si="641"/>
        <v>0</v>
      </c>
      <c r="U477" s="630">
        <f t="shared" si="642"/>
        <v>0</v>
      </c>
      <c r="V477" s="194">
        <f t="shared" si="620"/>
        <v>13.65</v>
      </c>
      <c r="W477" s="630">
        <f t="shared" si="639"/>
        <v>1248.9750000000001</v>
      </c>
    </row>
    <row r="478" spans="1:24" ht="25.5">
      <c r="A478" s="190" t="s">
        <v>612</v>
      </c>
      <c r="B478" s="191" t="s">
        <v>227</v>
      </c>
      <c r="C478" s="657" t="s">
        <v>233</v>
      </c>
      <c r="D478" s="192" t="s">
        <v>51</v>
      </c>
      <c r="E478" s="193">
        <v>366.23</v>
      </c>
      <c r="F478" s="194">
        <v>4.1500000000000004</v>
      </c>
      <c r="G478" s="194"/>
      <c r="H478" s="194"/>
      <c r="I478" s="194"/>
      <c r="J478" s="193">
        <f t="shared" si="632"/>
        <v>4.1500000000000004</v>
      </c>
      <c r="K478" s="193">
        <f t="shared" si="633"/>
        <v>1519.8545000000001</v>
      </c>
      <c r="L478" s="193"/>
      <c r="M478" s="193"/>
      <c r="N478" s="193"/>
      <c r="O478" s="622">
        <f t="shared" si="634"/>
        <v>1519.8545000000001</v>
      </c>
      <c r="P478" s="194">
        <v>0</v>
      </c>
      <c r="Q478" s="622">
        <f t="shared" si="640"/>
        <v>0</v>
      </c>
      <c r="R478" s="745">
        <f>IFERROR(VLOOKUP(A478,#REF!,18,FALSE),)</f>
        <v>0</v>
      </c>
      <c r="S478" s="746">
        <f t="shared" si="643"/>
        <v>0</v>
      </c>
      <c r="T478" s="194">
        <f t="shared" si="641"/>
        <v>0</v>
      </c>
      <c r="U478" s="630">
        <f t="shared" si="642"/>
        <v>0</v>
      </c>
      <c r="V478" s="194">
        <f t="shared" si="620"/>
        <v>4.1500000000000004</v>
      </c>
      <c r="W478" s="630">
        <f t="shared" si="639"/>
        <v>1519.8545000000001</v>
      </c>
    </row>
    <row r="479" spans="1:24" ht="51">
      <c r="A479" s="190" t="s">
        <v>613</v>
      </c>
      <c r="B479" s="191">
        <v>50608</v>
      </c>
      <c r="C479" s="657" t="s">
        <v>234</v>
      </c>
      <c r="D479" s="192" t="s">
        <v>57</v>
      </c>
      <c r="E479" s="193">
        <v>88.68</v>
      </c>
      <c r="F479" s="194">
        <v>8.32</v>
      </c>
      <c r="G479" s="194"/>
      <c r="H479" s="194"/>
      <c r="I479" s="194"/>
      <c r="J479" s="193">
        <f t="shared" si="632"/>
        <v>8.32</v>
      </c>
      <c r="K479" s="193">
        <f t="shared" si="633"/>
        <v>737.81760000000008</v>
      </c>
      <c r="L479" s="193"/>
      <c r="M479" s="193"/>
      <c r="N479" s="193"/>
      <c r="O479" s="622">
        <f t="shared" si="634"/>
        <v>737.81760000000008</v>
      </c>
      <c r="P479" s="194">
        <f>'4.3.10.6'!O20</f>
        <v>6.85</v>
      </c>
      <c r="Q479" s="622">
        <f t="shared" si="640"/>
        <v>607.45000000000005</v>
      </c>
      <c r="R479" s="745">
        <f>'4.3.10.6'!O21</f>
        <v>0</v>
      </c>
      <c r="S479" s="746">
        <f t="shared" si="643"/>
        <v>0</v>
      </c>
      <c r="T479" s="194">
        <f t="shared" si="641"/>
        <v>6.85</v>
      </c>
      <c r="U479" s="630">
        <f t="shared" si="642"/>
        <v>607.45000000000005</v>
      </c>
      <c r="V479" s="194">
        <f t="shared" si="620"/>
        <v>1.4700000000000006</v>
      </c>
      <c r="W479" s="630">
        <f t="shared" si="639"/>
        <v>130.35960000000006</v>
      </c>
    </row>
    <row r="480" spans="1:24" ht="25.5">
      <c r="A480" s="190" t="s">
        <v>614</v>
      </c>
      <c r="B480" s="191">
        <v>120101</v>
      </c>
      <c r="C480" s="657" t="s">
        <v>235</v>
      </c>
      <c r="D480" s="192" t="s">
        <v>57</v>
      </c>
      <c r="E480" s="193">
        <v>5.64</v>
      </c>
      <c r="F480" s="194">
        <v>531.42999999999995</v>
      </c>
      <c r="G480" s="194"/>
      <c r="H480" s="194"/>
      <c r="I480" s="194"/>
      <c r="J480" s="193">
        <f t="shared" si="632"/>
        <v>531.42999999999995</v>
      </c>
      <c r="K480" s="193">
        <f t="shared" si="633"/>
        <v>2997.2651999999994</v>
      </c>
      <c r="L480" s="193"/>
      <c r="M480" s="193"/>
      <c r="N480" s="193"/>
      <c r="O480" s="622">
        <f t="shared" si="634"/>
        <v>2997.2651999999994</v>
      </c>
      <c r="P480" s="195">
        <v>11.7</v>
      </c>
      <c r="Q480" s="622">
        <f t="shared" si="640"/>
        <v>65.98</v>
      </c>
      <c r="R480" s="745"/>
      <c r="S480" s="746">
        <f>R480*E480</f>
        <v>0</v>
      </c>
      <c r="T480" s="194">
        <f t="shared" si="641"/>
        <v>11.7</v>
      </c>
      <c r="U480" s="630">
        <f t="shared" si="642"/>
        <v>65.98</v>
      </c>
      <c r="V480" s="194">
        <f t="shared" si="620"/>
        <v>519.7299999999999</v>
      </c>
      <c r="W480" s="630">
        <f t="shared" si="639"/>
        <v>2931.2771999999991</v>
      </c>
    </row>
    <row r="481" spans="1:23" ht="25.5">
      <c r="A481" s="190" t="s">
        <v>615</v>
      </c>
      <c r="B481" s="191">
        <v>120303</v>
      </c>
      <c r="C481" s="657" t="s">
        <v>236</v>
      </c>
      <c r="D481" s="192" t="s">
        <v>57</v>
      </c>
      <c r="E481" s="193">
        <v>49.24</v>
      </c>
      <c r="F481" s="194">
        <v>531.42999999999995</v>
      </c>
      <c r="G481" s="194"/>
      <c r="H481" s="194"/>
      <c r="I481" s="194"/>
      <c r="J481" s="193">
        <f t="shared" si="632"/>
        <v>531.42999999999995</v>
      </c>
      <c r="K481" s="193">
        <f t="shared" si="633"/>
        <v>26167.6132</v>
      </c>
      <c r="L481" s="193"/>
      <c r="M481" s="193"/>
      <c r="N481" s="193"/>
      <c r="O481" s="622">
        <f t="shared" si="634"/>
        <v>26167.6132</v>
      </c>
      <c r="P481" s="195">
        <v>11.7</v>
      </c>
      <c r="Q481" s="622">
        <f t="shared" si="640"/>
        <v>576.1</v>
      </c>
      <c r="R481" s="785">
        <f>'4.3.10.8'!R21</f>
        <v>90</v>
      </c>
      <c r="S481" s="786">
        <f>R481*E481</f>
        <v>4431.6000000000004</v>
      </c>
      <c r="T481" s="194">
        <f t="shared" si="641"/>
        <v>101.7</v>
      </c>
      <c r="U481" s="630">
        <f t="shared" si="642"/>
        <v>5007.7</v>
      </c>
      <c r="V481" s="194">
        <f t="shared" si="620"/>
        <v>429.72999999999996</v>
      </c>
      <c r="W481" s="630">
        <f t="shared" si="639"/>
        <v>21159.905199999997</v>
      </c>
    </row>
    <row r="482" spans="1:23" ht="25.5">
      <c r="A482" s="190" t="s">
        <v>616</v>
      </c>
      <c r="B482" s="191">
        <v>190117</v>
      </c>
      <c r="C482" s="657" t="s">
        <v>237</v>
      </c>
      <c r="D482" s="192" t="s">
        <v>57</v>
      </c>
      <c r="E482" s="193">
        <v>18.27</v>
      </c>
      <c r="F482" s="194">
        <v>531.42999999999995</v>
      </c>
      <c r="G482" s="194"/>
      <c r="H482" s="194"/>
      <c r="I482" s="194"/>
      <c r="J482" s="193">
        <f t="shared" si="632"/>
        <v>531.42999999999995</v>
      </c>
      <c r="K482" s="193">
        <f t="shared" si="633"/>
        <v>9709.226099999998</v>
      </c>
      <c r="L482" s="193"/>
      <c r="M482" s="193"/>
      <c r="N482" s="193"/>
      <c r="O482" s="622">
        <f t="shared" si="634"/>
        <v>9709.226099999998</v>
      </c>
      <c r="P482" s="195">
        <v>5</v>
      </c>
      <c r="Q482" s="622">
        <f t="shared" si="640"/>
        <v>91.35</v>
      </c>
      <c r="R482" s="785">
        <f>'4.3.10.9'!R19</f>
        <v>35</v>
      </c>
      <c r="S482" s="786">
        <f>R482*E482</f>
        <v>639.44999999999993</v>
      </c>
      <c r="T482" s="194">
        <f t="shared" si="641"/>
        <v>40</v>
      </c>
      <c r="U482" s="630">
        <f t="shared" si="642"/>
        <v>730.8</v>
      </c>
      <c r="V482" s="194">
        <f t="shared" si="620"/>
        <v>491.42999999999995</v>
      </c>
      <c r="W482" s="630">
        <f t="shared" si="639"/>
        <v>8978.4260999999988</v>
      </c>
    </row>
    <row r="483" spans="1:23" ht="51">
      <c r="A483" s="190" t="s">
        <v>617</v>
      </c>
      <c r="B483" s="191">
        <v>130230</v>
      </c>
      <c r="C483" s="657" t="s">
        <v>238</v>
      </c>
      <c r="D483" s="192" t="s">
        <v>57</v>
      </c>
      <c r="E483" s="193">
        <v>106.19</v>
      </c>
      <c r="F483" s="194">
        <v>142.32</v>
      </c>
      <c r="G483" s="194"/>
      <c r="H483" s="194"/>
      <c r="I483" s="194"/>
      <c r="J483" s="193">
        <f t="shared" si="632"/>
        <v>142.32</v>
      </c>
      <c r="K483" s="193">
        <f t="shared" si="633"/>
        <v>15112.960799999999</v>
      </c>
      <c r="L483" s="193"/>
      <c r="M483" s="193"/>
      <c r="N483" s="193"/>
      <c r="O483" s="622">
        <f t="shared" si="634"/>
        <v>15112.960799999999</v>
      </c>
      <c r="P483" s="194">
        <v>0</v>
      </c>
      <c r="Q483" s="622">
        <f t="shared" si="640"/>
        <v>0</v>
      </c>
      <c r="R483" s="745">
        <f>IFERROR(VLOOKUP(A483,#REF!,18,FALSE),)</f>
        <v>0</v>
      </c>
      <c r="S483" s="746">
        <f t="shared" si="643"/>
        <v>0</v>
      </c>
      <c r="T483" s="194">
        <f t="shared" si="641"/>
        <v>0</v>
      </c>
      <c r="U483" s="630">
        <f t="shared" si="642"/>
        <v>0</v>
      </c>
      <c r="V483" s="194">
        <f t="shared" si="620"/>
        <v>142.32</v>
      </c>
      <c r="W483" s="630">
        <f t="shared" si="639"/>
        <v>15112.960799999999</v>
      </c>
    </row>
    <row r="484" spans="1:23" ht="25.5">
      <c r="A484" s="190" t="s">
        <v>618</v>
      </c>
      <c r="B484" s="191" t="s">
        <v>228</v>
      </c>
      <c r="C484" s="657" t="s">
        <v>239</v>
      </c>
      <c r="D484" s="192" t="s">
        <v>72</v>
      </c>
      <c r="E484" s="193">
        <v>333.45</v>
      </c>
      <c r="F484" s="194">
        <v>25</v>
      </c>
      <c r="G484" s="194"/>
      <c r="H484" s="194"/>
      <c r="I484" s="194"/>
      <c r="J484" s="193">
        <f t="shared" si="632"/>
        <v>25</v>
      </c>
      <c r="K484" s="193">
        <f t="shared" si="633"/>
        <v>8336.25</v>
      </c>
      <c r="L484" s="193"/>
      <c r="M484" s="193"/>
      <c r="N484" s="193"/>
      <c r="O484" s="622">
        <f t="shared" si="634"/>
        <v>8336.25</v>
      </c>
      <c r="P484" s="194">
        <v>0</v>
      </c>
      <c r="Q484" s="622">
        <f t="shared" si="640"/>
        <v>0</v>
      </c>
      <c r="R484" s="745">
        <f>IFERROR(VLOOKUP(A484,#REF!,18,FALSE),)</f>
        <v>0</v>
      </c>
      <c r="S484" s="746">
        <f t="shared" si="643"/>
        <v>0</v>
      </c>
      <c r="T484" s="194">
        <f t="shared" si="641"/>
        <v>0</v>
      </c>
      <c r="U484" s="630">
        <f t="shared" si="642"/>
        <v>0</v>
      </c>
      <c r="V484" s="194">
        <f t="shared" si="620"/>
        <v>25</v>
      </c>
      <c r="W484" s="630">
        <f t="shared" si="639"/>
        <v>8336.25</v>
      </c>
    </row>
    <row r="485" spans="1:23">
      <c r="A485" s="138"/>
      <c r="B485" s="132"/>
      <c r="C485" s="123"/>
      <c r="D485" s="123"/>
      <c r="E485" s="123"/>
      <c r="F485" s="123"/>
      <c r="G485" s="123"/>
      <c r="H485" s="123"/>
      <c r="I485" s="123"/>
      <c r="J485" s="123"/>
      <c r="K485" s="123"/>
      <c r="L485" s="123"/>
      <c r="M485" s="123"/>
      <c r="N485" s="123"/>
      <c r="O485" s="623"/>
      <c r="P485" s="123"/>
      <c r="Q485" s="623"/>
      <c r="R485" s="791"/>
      <c r="S485" s="792"/>
      <c r="T485" s="123"/>
      <c r="U485" s="631"/>
      <c r="V485" s="123"/>
      <c r="W485" s="631"/>
    </row>
    <row r="486" spans="1:23" s="213" customFormat="1">
      <c r="A486" s="210" t="s">
        <v>619</v>
      </c>
      <c r="B486" s="211"/>
      <c r="C486" s="655" t="s">
        <v>240</v>
      </c>
      <c r="D486" s="197"/>
      <c r="E486" s="198"/>
      <c r="F486" s="199"/>
      <c r="G486" s="199"/>
      <c r="H486" s="199"/>
      <c r="I486" s="199"/>
      <c r="J486" s="200"/>
      <c r="K486" s="200">
        <f>SUBTOTAL(9,K487:K522)</f>
        <v>616385.40690000006</v>
      </c>
      <c r="L486" s="200"/>
      <c r="M486" s="200"/>
      <c r="N486" s="200"/>
      <c r="O486" s="620"/>
      <c r="P486" s="201"/>
      <c r="Q486" s="620">
        <f>SUBTOTAL(9,Q487:Q522)</f>
        <v>523087.3299999999</v>
      </c>
      <c r="R486" s="743"/>
      <c r="S486" s="744">
        <f>SUBTOTAL(9,S487:S522)</f>
        <v>30009.64</v>
      </c>
      <c r="T486" s="200"/>
      <c r="U486" s="620">
        <f>SUBTOTAL(9,U487:U522)</f>
        <v>566392.42000000016</v>
      </c>
      <c r="V486" s="200">
        <f t="shared" si="620"/>
        <v>0</v>
      </c>
      <c r="W486" s="620">
        <f>SUBTOTAL(9,W487:W522)</f>
        <v>71058.087800000008</v>
      </c>
    </row>
    <row r="487" spans="1:23" s="131" customFormat="1">
      <c r="A487" s="137" t="s">
        <v>620</v>
      </c>
      <c r="B487" s="133"/>
      <c r="C487" s="658" t="s">
        <v>242</v>
      </c>
      <c r="D487" s="126"/>
      <c r="E487" s="127"/>
      <c r="F487" s="128"/>
      <c r="G487" s="128"/>
      <c r="H487" s="128"/>
      <c r="I487" s="128"/>
      <c r="J487" s="129"/>
      <c r="K487" s="129">
        <f>SUBTOTAL(9,K488:K499)</f>
        <v>296584.22210000007</v>
      </c>
      <c r="L487" s="129"/>
      <c r="M487" s="129"/>
      <c r="N487" s="129"/>
      <c r="O487" s="624"/>
      <c r="P487" s="130"/>
      <c r="Q487" s="624">
        <f>SUBTOTAL(9,Q488:Q499)</f>
        <v>216715.81999999998</v>
      </c>
      <c r="R487" s="743"/>
      <c r="S487" s="744">
        <f>SUBTOTAL(9,S488:S499)</f>
        <v>28691.22</v>
      </c>
      <c r="T487" s="129"/>
      <c r="U487" s="624">
        <f>SUBTOTAL(9,U488:U500)</f>
        <v>258702.49000000002</v>
      </c>
      <c r="V487" s="129">
        <f t="shared" si="620"/>
        <v>0</v>
      </c>
      <c r="W487" s="624">
        <f>SUBTOTAL(9,W488:W500)</f>
        <v>58946.868000000002</v>
      </c>
    </row>
    <row r="488" spans="1:23" ht="25.5">
      <c r="A488" s="190" t="s">
        <v>621</v>
      </c>
      <c r="B488" s="191">
        <v>40405</v>
      </c>
      <c r="C488" s="657" t="s">
        <v>264</v>
      </c>
      <c r="D488" s="192" t="s">
        <v>57</v>
      </c>
      <c r="E488" s="193">
        <v>86.33</v>
      </c>
      <c r="F488" s="194">
        <v>341</v>
      </c>
      <c r="G488" s="194"/>
      <c r="H488" s="194">
        <f>REPLANILHAMENTO!H416</f>
        <v>90</v>
      </c>
      <c r="I488" s="194"/>
      <c r="J488" s="193">
        <f>F488+H488-I488</f>
        <v>431</v>
      </c>
      <c r="K488" s="193">
        <f>F488*E488</f>
        <v>29438.53</v>
      </c>
      <c r="L488" s="193">
        <f>H488*E488</f>
        <v>7769.7</v>
      </c>
      <c r="M488" s="193"/>
      <c r="N488" s="193"/>
      <c r="O488" s="622">
        <f>J488*E488</f>
        <v>37208.229999999996</v>
      </c>
      <c r="P488" s="194">
        <f>'4.4.1.1'!R21</f>
        <v>431</v>
      </c>
      <c r="Q488" s="622">
        <f t="shared" ref="Q488:Q499" si="644">TRUNC(P488*E488,2)</f>
        <v>37208.230000000003</v>
      </c>
      <c r="R488" s="745">
        <f>'4.4.1.1'!R22</f>
        <v>0</v>
      </c>
      <c r="S488" s="746">
        <f t="shared" ref="S488:S499" si="645">U488-Q488</f>
        <v>0</v>
      </c>
      <c r="T488" s="194">
        <f>R488+P488</f>
        <v>431</v>
      </c>
      <c r="U488" s="630">
        <f t="shared" ref="U488:U500" si="646">TRUNC(T488*E488,2)</f>
        <v>37208.230000000003</v>
      </c>
      <c r="V488" s="194">
        <f>J488-T488</f>
        <v>0</v>
      </c>
      <c r="W488" s="630">
        <v>0</v>
      </c>
    </row>
    <row r="489" spans="1:23" ht="25.5">
      <c r="A489" s="190" t="s">
        <v>622</v>
      </c>
      <c r="B489" s="191" t="s">
        <v>255</v>
      </c>
      <c r="C489" s="657" t="s">
        <v>265</v>
      </c>
      <c r="D489" s="192" t="s">
        <v>29</v>
      </c>
      <c r="E489" s="193">
        <v>7.33</v>
      </c>
      <c r="F489" s="194">
        <v>3966.02</v>
      </c>
      <c r="G489" s="194"/>
      <c r="H489" s="194"/>
      <c r="I489" s="194"/>
      <c r="J489" s="193">
        <f t="shared" ref="J489:J499" si="647">F489+H489-I489</f>
        <v>3966.02</v>
      </c>
      <c r="K489" s="193">
        <f>J489*E489</f>
        <v>29070.926599999999</v>
      </c>
      <c r="L489" s="193"/>
      <c r="M489" s="193"/>
      <c r="N489" s="193"/>
      <c r="O489" s="622">
        <f t="shared" ref="O489:O499" si="648">J489*E489</f>
        <v>29070.926599999999</v>
      </c>
      <c r="P489" s="194">
        <f>'4.4.1.2'!R24</f>
        <v>3966.02</v>
      </c>
      <c r="Q489" s="622">
        <f t="shared" si="644"/>
        <v>29070.92</v>
      </c>
      <c r="R489" s="745">
        <f>'4.4.1.2'!R25</f>
        <v>0</v>
      </c>
      <c r="S489" s="746">
        <f t="shared" si="645"/>
        <v>0</v>
      </c>
      <c r="T489" s="194">
        <f>R489+P489</f>
        <v>3966.02</v>
      </c>
      <c r="U489" s="630">
        <f t="shared" si="646"/>
        <v>29070.92</v>
      </c>
      <c r="V489" s="194">
        <f t="shared" si="620"/>
        <v>0</v>
      </c>
      <c r="W489" s="630">
        <f t="shared" ref="W489:W500" si="649">V489*E489</f>
        <v>0</v>
      </c>
    </row>
    <row r="490" spans="1:23" ht="25.5">
      <c r="A490" s="190" t="s">
        <v>623</v>
      </c>
      <c r="B490" s="191">
        <v>40328</v>
      </c>
      <c r="C490" s="657" t="s">
        <v>147</v>
      </c>
      <c r="D490" s="192" t="s">
        <v>29</v>
      </c>
      <c r="E490" s="193">
        <v>7.98</v>
      </c>
      <c r="F490" s="194">
        <v>1880</v>
      </c>
      <c r="G490" s="194"/>
      <c r="H490" s="194"/>
      <c r="I490" s="194"/>
      <c r="J490" s="193">
        <f t="shared" si="647"/>
        <v>1880</v>
      </c>
      <c r="K490" s="193">
        <f t="shared" ref="K490:K499" si="650">J490*E490</f>
        <v>15002.400000000001</v>
      </c>
      <c r="L490" s="193"/>
      <c r="M490" s="193"/>
      <c r="N490" s="193"/>
      <c r="O490" s="622">
        <f t="shared" si="648"/>
        <v>15002.400000000001</v>
      </c>
      <c r="P490" s="194">
        <f>'4.4.1.3'!R24</f>
        <v>1880</v>
      </c>
      <c r="Q490" s="622">
        <f>TRUNC(P490*E490,2)</f>
        <v>15002.4</v>
      </c>
      <c r="R490" s="745">
        <f>'4.4.1.3'!R25</f>
        <v>0</v>
      </c>
      <c r="S490" s="746">
        <f t="shared" si="645"/>
        <v>0</v>
      </c>
      <c r="T490" s="194">
        <f t="shared" ref="T490:T498" si="651">R490+P490</f>
        <v>1880</v>
      </c>
      <c r="U490" s="630">
        <f t="shared" si="646"/>
        <v>15002.4</v>
      </c>
      <c r="V490" s="194">
        <f t="shared" si="620"/>
        <v>0</v>
      </c>
      <c r="W490" s="630">
        <f t="shared" si="649"/>
        <v>0</v>
      </c>
    </row>
    <row r="491" spans="1:23">
      <c r="A491" s="190" t="s">
        <v>624</v>
      </c>
      <c r="B491" s="191" t="s">
        <v>256</v>
      </c>
      <c r="C491" s="657" t="s">
        <v>266</v>
      </c>
      <c r="D491" s="192" t="s">
        <v>29</v>
      </c>
      <c r="E491" s="193">
        <v>11.02</v>
      </c>
      <c r="F491" s="194">
        <v>73</v>
      </c>
      <c r="G491" s="194"/>
      <c r="H491" s="194"/>
      <c r="I491" s="194"/>
      <c r="J491" s="193">
        <f t="shared" si="647"/>
        <v>73</v>
      </c>
      <c r="K491" s="193">
        <f t="shared" si="650"/>
        <v>804.45999999999992</v>
      </c>
      <c r="L491" s="193"/>
      <c r="M491" s="193"/>
      <c r="N491" s="193"/>
      <c r="O491" s="622">
        <f t="shared" si="648"/>
        <v>804.45999999999992</v>
      </c>
      <c r="P491" s="194">
        <v>73</v>
      </c>
      <c r="Q491" s="622">
        <f t="shared" si="644"/>
        <v>804.46</v>
      </c>
      <c r="R491" s="745">
        <v>0</v>
      </c>
      <c r="S491" s="746">
        <f t="shared" si="645"/>
        <v>0</v>
      </c>
      <c r="T491" s="194">
        <f>R491+P491</f>
        <v>73</v>
      </c>
      <c r="U491" s="630">
        <f t="shared" si="646"/>
        <v>804.46</v>
      </c>
      <c r="V491" s="194">
        <f t="shared" si="620"/>
        <v>0</v>
      </c>
      <c r="W491" s="630">
        <f t="shared" si="649"/>
        <v>0</v>
      </c>
    </row>
    <row r="492" spans="1:23" ht="51">
      <c r="A492" s="190" t="s">
        <v>625</v>
      </c>
      <c r="B492" s="191" t="s">
        <v>257</v>
      </c>
      <c r="C492" s="657" t="s">
        <v>267</v>
      </c>
      <c r="D492" s="192" t="s">
        <v>58</v>
      </c>
      <c r="E492" s="193">
        <v>777.83</v>
      </c>
      <c r="F492" s="194">
        <v>28.05</v>
      </c>
      <c r="G492" s="194"/>
      <c r="H492" s="194"/>
      <c r="I492" s="194"/>
      <c r="J492" s="193">
        <f t="shared" si="647"/>
        <v>28.05</v>
      </c>
      <c r="K492" s="193">
        <f t="shared" si="650"/>
        <v>21818.131500000003</v>
      </c>
      <c r="L492" s="193"/>
      <c r="M492" s="193"/>
      <c r="N492" s="193"/>
      <c r="O492" s="622">
        <f t="shared" si="648"/>
        <v>21818.131500000003</v>
      </c>
      <c r="P492" s="194">
        <f>'4.4.1.5'!R20</f>
        <v>28.05</v>
      </c>
      <c r="Q492" s="622">
        <f>TRUNC(P492*E492,2)</f>
        <v>21818.13</v>
      </c>
      <c r="R492" s="745">
        <f>'4.4.1.5'!R21</f>
        <v>0</v>
      </c>
      <c r="S492" s="746">
        <f t="shared" si="645"/>
        <v>0</v>
      </c>
      <c r="T492" s="194">
        <f>R492+P492</f>
        <v>28.05</v>
      </c>
      <c r="U492" s="630">
        <f t="shared" si="646"/>
        <v>21818.13</v>
      </c>
      <c r="V492" s="194">
        <f t="shared" si="620"/>
        <v>0</v>
      </c>
      <c r="W492" s="630">
        <f t="shared" si="649"/>
        <v>0</v>
      </c>
    </row>
    <row r="493" spans="1:23" ht="25.5">
      <c r="A493" s="190" t="s">
        <v>626</v>
      </c>
      <c r="B493" s="191" t="s">
        <v>258</v>
      </c>
      <c r="C493" s="657" t="s">
        <v>268</v>
      </c>
      <c r="D493" s="192" t="s">
        <v>49</v>
      </c>
      <c r="E493" s="193">
        <v>641.15</v>
      </c>
      <c r="F493" s="194">
        <v>113.84</v>
      </c>
      <c r="G493" s="194"/>
      <c r="H493" s="194"/>
      <c r="I493" s="194"/>
      <c r="J493" s="193">
        <f t="shared" si="647"/>
        <v>113.84</v>
      </c>
      <c r="K493" s="193">
        <f t="shared" si="650"/>
        <v>72988.516000000003</v>
      </c>
      <c r="L493" s="193"/>
      <c r="M493" s="193"/>
      <c r="N493" s="193"/>
      <c r="O493" s="622">
        <f t="shared" si="648"/>
        <v>72988.516000000003</v>
      </c>
      <c r="P493" s="194">
        <f>'4.4.1.6'!R23</f>
        <v>113.84</v>
      </c>
      <c r="Q493" s="622">
        <f t="shared" si="644"/>
        <v>72988.509999999995</v>
      </c>
      <c r="R493" s="745">
        <f>'4.4.1.6'!R24</f>
        <v>0</v>
      </c>
      <c r="S493" s="746">
        <f t="shared" si="645"/>
        <v>0</v>
      </c>
      <c r="T493" s="194">
        <f t="shared" si="651"/>
        <v>113.84</v>
      </c>
      <c r="U493" s="630">
        <f t="shared" si="646"/>
        <v>72988.509999999995</v>
      </c>
      <c r="V493" s="194">
        <f t="shared" si="620"/>
        <v>0</v>
      </c>
      <c r="W493" s="630">
        <f t="shared" si="649"/>
        <v>0</v>
      </c>
    </row>
    <row r="494" spans="1:23" ht="24" customHeight="1">
      <c r="A494" s="190" t="s">
        <v>627</v>
      </c>
      <c r="B494" s="191" t="s">
        <v>259</v>
      </c>
      <c r="C494" s="657" t="s">
        <v>269</v>
      </c>
      <c r="D494" s="192" t="s">
        <v>72</v>
      </c>
      <c r="E494" s="193">
        <v>14345.61</v>
      </c>
      <c r="F494" s="194">
        <v>4</v>
      </c>
      <c r="G494" s="194">
        <v>0</v>
      </c>
      <c r="H494" s="194"/>
      <c r="I494" s="194"/>
      <c r="J494" s="193">
        <f t="shared" si="647"/>
        <v>4</v>
      </c>
      <c r="K494" s="193">
        <f t="shared" si="650"/>
        <v>57382.44</v>
      </c>
      <c r="L494" s="193"/>
      <c r="M494" s="193"/>
      <c r="N494" s="193"/>
      <c r="O494" s="622">
        <f t="shared" si="648"/>
        <v>57382.44</v>
      </c>
      <c r="P494" s="194">
        <v>0</v>
      </c>
      <c r="Q494" s="622">
        <f t="shared" si="644"/>
        <v>0</v>
      </c>
      <c r="R494" s="745">
        <v>2</v>
      </c>
      <c r="S494" s="746">
        <f t="shared" si="645"/>
        <v>28691.22</v>
      </c>
      <c r="T494" s="194">
        <f t="shared" si="651"/>
        <v>2</v>
      </c>
      <c r="U494" s="630">
        <f t="shared" si="646"/>
        <v>28691.22</v>
      </c>
      <c r="V494" s="194">
        <f t="shared" si="620"/>
        <v>2</v>
      </c>
      <c r="W494" s="630">
        <f t="shared" si="649"/>
        <v>28691.22</v>
      </c>
    </row>
    <row r="495" spans="1:23" ht="25.5">
      <c r="A495" s="190" t="s">
        <v>628</v>
      </c>
      <c r="B495" s="191" t="s">
        <v>260</v>
      </c>
      <c r="C495" s="657" t="s">
        <v>270</v>
      </c>
      <c r="D495" s="192" t="s">
        <v>72</v>
      </c>
      <c r="E495" s="193">
        <v>5478.19</v>
      </c>
      <c r="F495" s="194">
        <v>2</v>
      </c>
      <c r="G495" s="194"/>
      <c r="H495" s="194"/>
      <c r="I495" s="194"/>
      <c r="J495" s="193">
        <f t="shared" si="647"/>
        <v>2</v>
      </c>
      <c r="K495" s="193">
        <f t="shared" si="650"/>
        <v>10956.38</v>
      </c>
      <c r="L495" s="193"/>
      <c r="M495" s="193"/>
      <c r="N495" s="193"/>
      <c r="O495" s="622">
        <f t="shared" si="648"/>
        <v>10956.38</v>
      </c>
      <c r="P495" s="194">
        <f>'4.4.1.8'!R18</f>
        <v>2</v>
      </c>
      <c r="Q495" s="622">
        <f t="shared" si="644"/>
        <v>10956.38</v>
      </c>
      <c r="R495" s="745">
        <f>'4.4.1.8'!R19</f>
        <v>0</v>
      </c>
      <c r="S495" s="746">
        <f t="shared" si="645"/>
        <v>0</v>
      </c>
      <c r="T495" s="194">
        <f t="shared" si="651"/>
        <v>2</v>
      </c>
      <c r="U495" s="630">
        <f t="shared" si="646"/>
        <v>10956.38</v>
      </c>
      <c r="V495" s="194">
        <f>F495-T495</f>
        <v>0</v>
      </c>
      <c r="W495" s="630">
        <f t="shared" si="649"/>
        <v>0</v>
      </c>
    </row>
    <row r="496" spans="1:23" ht="38.25">
      <c r="A496" s="190" t="s">
        <v>629</v>
      </c>
      <c r="B496" s="191">
        <v>40817</v>
      </c>
      <c r="C496" s="657" t="s">
        <v>271</v>
      </c>
      <c r="D496" s="192" t="s">
        <v>58</v>
      </c>
      <c r="E496" s="193">
        <v>3001.6</v>
      </c>
      <c r="F496" s="194">
        <v>0.03</v>
      </c>
      <c r="G496" s="194"/>
      <c r="H496" s="194"/>
      <c r="I496" s="194"/>
      <c r="J496" s="193">
        <f t="shared" si="647"/>
        <v>0.03</v>
      </c>
      <c r="K496" s="193">
        <f t="shared" si="650"/>
        <v>90.047999999999988</v>
      </c>
      <c r="L496" s="193"/>
      <c r="M496" s="193"/>
      <c r="N496" s="193"/>
      <c r="O496" s="622">
        <f t="shared" si="648"/>
        <v>90.047999999999988</v>
      </c>
      <c r="P496" s="194">
        <v>0</v>
      </c>
      <c r="Q496" s="622">
        <f t="shared" si="644"/>
        <v>0</v>
      </c>
      <c r="R496" s="745">
        <f>IFERROR(VLOOKUP(A496,#REF!,18,FALSE),)</f>
        <v>0</v>
      </c>
      <c r="S496" s="746">
        <f t="shared" si="645"/>
        <v>0</v>
      </c>
      <c r="T496" s="194">
        <f t="shared" si="651"/>
        <v>0</v>
      </c>
      <c r="U496" s="630">
        <f t="shared" si="646"/>
        <v>0</v>
      </c>
      <c r="V496" s="194">
        <f t="shared" si="620"/>
        <v>0.03</v>
      </c>
      <c r="W496" s="630">
        <f t="shared" si="649"/>
        <v>90.047999999999988</v>
      </c>
    </row>
    <row r="497" spans="1:23">
      <c r="A497" s="190" t="s">
        <v>630</v>
      </c>
      <c r="B497" s="191" t="s">
        <v>261</v>
      </c>
      <c r="C497" s="657" t="s">
        <v>272</v>
      </c>
      <c r="D497" s="192" t="s">
        <v>72</v>
      </c>
      <c r="E497" s="193">
        <v>2011.04</v>
      </c>
      <c r="F497" s="194">
        <v>15</v>
      </c>
      <c r="G497" s="194"/>
      <c r="H497" s="194"/>
      <c r="I497" s="194"/>
      <c r="J497" s="193">
        <f t="shared" si="647"/>
        <v>15</v>
      </c>
      <c r="K497" s="193">
        <f t="shared" si="650"/>
        <v>30165.599999999999</v>
      </c>
      <c r="L497" s="193"/>
      <c r="M497" s="193"/>
      <c r="N497" s="193"/>
      <c r="O497" s="622">
        <f t="shared" si="648"/>
        <v>30165.599999999999</v>
      </c>
      <c r="P497" s="194">
        <v>0</v>
      </c>
      <c r="Q497" s="622">
        <f t="shared" si="644"/>
        <v>0</v>
      </c>
      <c r="R497" s="745">
        <f>IFERROR(VLOOKUP(A497,#REF!,18,FALSE),)</f>
        <v>0</v>
      </c>
      <c r="S497" s="746">
        <f t="shared" si="645"/>
        <v>0</v>
      </c>
      <c r="T497" s="194">
        <f t="shared" si="651"/>
        <v>0</v>
      </c>
      <c r="U497" s="630">
        <f t="shared" si="646"/>
        <v>0</v>
      </c>
      <c r="V497" s="194">
        <f t="shared" si="620"/>
        <v>15</v>
      </c>
      <c r="W497" s="630">
        <f t="shared" si="649"/>
        <v>30165.599999999999</v>
      </c>
    </row>
    <row r="498" spans="1:23" ht="25.5">
      <c r="A498" s="190" t="s">
        <v>631</v>
      </c>
      <c r="B498" s="191" t="s">
        <v>262</v>
      </c>
      <c r="C498" s="657" t="s">
        <v>273</v>
      </c>
      <c r="D498" s="192" t="s">
        <v>72</v>
      </c>
      <c r="E498" s="193">
        <v>28185.33</v>
      </c>
      <c r="F498" s="194">
        <v>1</v>
      </c>
      <c r="G498" s="194"/>
      <c r="H498" s="194"/>
      <c r="I498" s="194"/>
      <c r="J498" s="193">
        <f t="shared" si="647"/>
        <v>1</v>
      </c>
      <c r="K498" s="193">
        <f t="shared" si="650"/>
        <v>28185.33</v>
      </c>
      <c r="L498" s="193"/>
      <c r="M498" s="193"/>
      <c r="N498" s="193"/>
      <c r="O498" s="622">
        <f t="shared" si="648"/>
        <v>28185.33</v>
      </c>
      <c r="P498" s="194">
        <v>1</v>
      </c>
      <c r="Q498" s="622">
        <f t="shared" si="644"/>
        <v>28185.33</v>
      </c>
      <c r="R498" s="745">
        <v>0</v>
      </c>
      <c r="S498" s="746">
        <f t="shared" si="645"/>
        <v>0</v>
      </c>
      <c r="T498" s="194">
        <f t="shared" si="651"/>
        <v>1</v>
      </c>
      <c r="U498" s="630">
        <f t="shared" si="646"/>
        <v>28185.33</v>
      </c>
      <c r="V498" s="194">
        <f t="shared" si="620"/>
        <v>0</v>
      </c>
      <c r="W498" s="630">
        <f t="shared" si="649"/>
        <v>0</v>
      </c>
    </row>
    <row r="499" spans="1:23">
      <c r="A499" s="190" t="s">
        <v>632</v>
      </c>
      <c r="B499" s="191" t="s">
        <v>263</v>
      </c>
      <c r="C499" s="657" t="s">
        <v>274</v>
      </c>
      <c r="D499" s="192" t="s">
        <v>72</v>
      </c>
      <c r="E499" s="193">
        <v>340.73</v>
      </c>
      <c r="F499" s="194">
        <v>2</v>
      </c>
      <c r="G499" s="194"/>
      <c r="H499" s="194"/>
      <c r="I499" s="194"/>
      <c r="J499" s="193">
        <f t="shared" si="647"/>
        <v>2</v>
      </c>
      <c r="K499" s="193">
        <f t="shared" si="650"/>
        <v>681.46</v>
      </c>
      <c r="L499" s="193"/>
      <c r="M499" s="193"/>
      <c r="N499" s="193"/>
      <c r="O499" s="622">
        <f t="shared" si="648"/>
        <v>681.46</v>
      </c>
      <c r="P499" s="194">
        <v>2</v>
      </c>
      <c r="Q499" s="622">
        <f t="shared" si="644"/>
        <v>681.46</v>
      </c>
      <c r="R499" s="745">
        <v>0</v>
      </c>
      <c r="S499" s="746">
        <f t="shared" si="645"/>
        <v>0</v>
      </c>
      <c r="T499" s="194">
        <f>R499+P499</f>
        <v>2</v>
      </c>
      <c r="U499" s="630">
        <f t="shared" si="646"/>
        <v>681.46</v>
      </c>
      <c r="V499" s="194">
        <f t="shared" si="620"/>
        <v>0</v>
      </c>
      <c r="W499" s="630">
        <f t="shared" si="649"/>
        <v>0</v>
      </c>
    </row>
    <row r="500" spans="1:23" ht="25.5">
      <c r="A500" s="190" t="s">
        <v>1207</v>
      </c>
      <c r="B500" s="191" t="s">
        <v>1118</v>
      </c>
      <c r="C500" s="657" t="s">
        <v>1119</v>
      </c>
      <c r="D500" s="192" t="s">
        <v>59</v>
      </c>
      <c r="E500" s="193">
        <f>REPLANILHAMENTO!F417</f>
        <v>13295.45</v>
      </c>
      <c r="F500" s="194">
        <v>0</v>
      </c>
      <c r="G500" s="194"/>
      <c r="H500" s="194">
        <v>1</v>
      </c>
      <c r="I500" s="194">
        <v>0</v>
      </c>
      <c r="J500" s="193">
        <f>F500+H500-I500</f>
        <v>1</v>
      </c>
      <c r="K500" s="193"/>
      <c r="L500" s="193">
        <f>H500*E500</f>
        <v>13295.45</v>
      </c>
      <c r="M500" s="193"/>
      <c r="N500" s="193"/>
      <c r="O500" s="622">
        <f>J500*E500</f>
        <v>13295.45</v>
      </c>
      <c r="P500" s="194">
        <v>1</v>
      </c>
      <c r="Q500" s="622">
        <v>0</v>
      </c>
      <c r="R500" s="745">
        <v>0</v>
      </c>
      <c r="S500" s="746">
        <f>R500*E500</f>
        <v>0</v>
      </c>
      <c r="T500" s="194">
        <f>R500+P500</f>
        <v>1</v>
      </c>
      <c r="U500" s="630">
        <f t="shared" si="646"/>
        <v>13295.45</v>
      </c>
      <c r="V500" s="194">
        <f>J500-T500</f>
        <v>0</v>
      </c>
      <c r="W500" s="630">
        <f t="shared" si="649"/>
        <v>0</v>
      </c>
    </row>
    <row r="501" spans="1:23">
      <c r="A501" s="138"/>
      <c r="B501" s="132"/>
      <c r="C501" s="123"/>
      <c r="D501" s="123"/>
      <c r="E501" s="123"/>
      <c r="F501" s="123"/>
      <c r="G501" s="123"/>
      <c r="H501" s="123"/>
      <c r="I501" s="123"/>
      <c r="J501" s="123"/>
      <c r="K501" s="123"/>
      <c r="L501" s="123"/>
      <c r="M501" s="123"/>
      <c r="N501" s="123"/>
      <c r="O501" s="623"/>
      <c r="P501" s="123"/>
      <c r="Q501" s="623"/>
      <c r="R501" s="791"/>
      <c r="S501" s="792"/>
      <c r="T501" s="123"/>
      <c r="U501" s="631"/>
      <c r="V501" s="123"/>
      <c r="W501" s="631"/>
    </row>
    <row r="502" spans="1:23" s="131" customFormat="1">
      <c r="A502" s="137" t="s">
        <v>633</v>
      </c>
      <c r="B502" s="133"/>
      <c r="C502" s="658" t="s">
        <v>276</v>
      </c>
      <c r="D502" s="126"/>
      <c r="E502" s="127"/>
      <c r="F502" s="128"/>
      <c r="G502" s="128"/>
      <c r="H502" s="128"/>
      <c r="I502" s="128"/>
      <c r="J502" s="129"/>
      <c r="K502" s="129">
        <f>SUBTOTAL(9,K503:K503)</f>
        <v>1770.61</v>
      </c>
      <c r="L502" s="129"/>
      <c r="M502" s="129"/>
      <c r="N502" s="129"/>
      <c r="O502" s="624"/>
      <c r="P502" s="130"/>
      <c r="Q502" s="624">
        <f>SUBTOTAL(9,Q503:Q503)</f>
        <v>1770.61</v>
      </c>
      <c r="R502" s="743"/>
      <c r="S502" s="744">
        <f>SUBTOTAL(9,S503:S503)</f>
        <v>0</v>
      </c>
      <c r="T502" s="129"/>
      <c r="U502" s="624">
        <f>SUBTOTAL(9,U503:U503)</f>
        <v>1770.61</v>
      </c>
      <c r="V502" s="129">
        <f t="shared" si="620"/>
        <v>0</v>
      </c>
      <c r="W502" s="624">
        <f>SUBTOTAL(9,W503:W503)</f>
        <v>0</v>
      </c>
    </row>
    <row r="503" spans="1:23" ht="25.5">
      <c r="A503" s="190" t="s">
        <v>634</v>
      </c>
      <c r="B503" s="191" t="s">
        <v>635</v>
      </c>
      <c r="C503" s="657" t="s">
        <v>636</v>
      </c>
      <c r="D503" s="192" t="s">
        <v>72</v>
      </c>
      <c r="E503" s="193">
        <v>1770.61</v>
      </c>
      <c r="F503" s="194">
        <v>1</v>
      </c>
      <c r="G503" s="194"/>
      <c r="H503" s="194"/>
      <c r="I503" s="194"/>
      <c r="J503" s="193">
        <f t="shared" ref="J503" si="652">F503+H503-I503</f>
        <v>1</v>
      </c>
      <c r="K503" s="193">
        <f t="shared" ref="K503" si="653">J503*E503</f>
        <v>1770.61</v>
      </c>
      <c r="L503" s="193"/>
      <c r="M503" s="193"/>
      <c r="N503" s="193"/>
      <c r="O503" s="622">
        <f t="shared" ref="O503" si="654">J503*E503</f>
        <v>1770.61</v>
      </c>
      <c r="P503" s="194">
        <v>1</v>
      </c>
      <c r="Q503" s="622">
        <f t="shared" ref="Q503" si="655">TRUNC(P503*E503,2)</f>
        <v>1770.61</v>
      </c>
      <c r="R503" s="745"/>
      <c r="S503" s="746">
        <f t="shared" ref="S503" si="656">U503-Q503</f>
        <v>0</v>
      </c>
      <c r="T503" s="194">
        <f t="shared" ref="T503" si="657">R503+P503</f>
        <v>1</v>
      </c>
      <c r="U503" s="630">
        <f t="shared" ref="U503" si="658">TRUNC(T503*E503,2)</f>
        <v>1770.61</v>
      </c>
      <c r="V503" s="194">
        <f t="shared" si="620"/>
        <v>0</v>
      </c>
      <c r="W503" s="630">
        <f t="shared" ref="W503" si="659">V503*E503</f>
        <v>0</v>
      </c>
    </row>
    <row r="504" spans="1:23">
      <c r="A504" s="138"/>
      <c r="B504" s="132"/>
      <c r="C504" s="123"/>
      <c r="D504" s="123"/>
      <c r="E504" s="123"/>
      <c r="F504" s="123"/>
      <c r="G504" s="123"/>
      <c r="H504" s="123"/>
      <c r="I504" s="123"/>
      <c r="J504" s="123"/>
      <c r="K504" s="123"/>
      <c r="L504" s="123"/>
      <c r="M504" s="123"/>
      <c r="N504" s="123"/>
      <c r="O504" s="623"/>
      <c r="P504" s="123"/>
      <c r="Q504" s="623"/>
      <c r="R504" s="791"/>
      <c r="S504" s="792"/>
      <c r="T504" s="123"/>
      <c r="U504" s="631"/>
      <c r="V504" s="123"/>
      <c r="W504" s="631"/>
    </row>
    <row r="505" spans="1:23" s="131" customFormat="1">
      <c r="A505" s="137" t="s">
        <v>637</v>
      </c>
      <c r="B505" s="133"/>
      <c r="C505" s="658" t="s">
        <v>281</v>
      </c>
      <c r="D505" s="126"/>
      <c r="E505" s="127"/>
      <c r="F505" s="128"/>
      <c r="G505" s="128"/>
      <c r="H505" s="128"/>
      <c r="I505" s="128"/>
      <c r="J505" s="129"/>
      <c r="K505" s="129">
        <f>SUBTOTAL(9,K506:K519)</f>
        <v>309292.32699999993</v>
      </c>
      <c r="L505" s="129"/>
      <c r="M505" s="129"/>
      <c r="N505" s="129"/>
      <c r="O505" s="624"/>
      <c r="P505" s="130"/>
      <c r="Q505" s="624">
        <f>SUBTOTAL(9,Q506:Q519)</f>
        <v>304600.89999999991</v>
      </c>
      <c r="R505" s="743"/>
      <c r="S505" s="744">
        <f>SUBTOTAL(9,S506:S519)</f>
        <v>0</v>
      </c>
      <c r="T505" s="129"/>
      <c r="U505" s="624">
        <f>SUBTOTAL(9,U506:U519)</f>
        <v>304600.89999999991</v>
      </c>
      <c r="V505" s="129">
        <f t="shared" si="620"/>
        <v>0</v>
      </c>
      <c r="W505" s="624">
        <f>SUBTOTAL(9,W506:W519)</f>
        <v>4691.3999999999996</v>
      </c>
    </row>
    <row r="506" spans="1:23" ht="25.5">
      <c r="A506" s="190" t="s">
        <v>638</v>
      </c>
      <c r="B506" s="191" t="s">
        <v>652</v>
      </c>
      <c r="C506" s="657" t="s">
        <v>653</v>
      </c>
      <c r="D506" s="192" t="s">
        <v>315</v>
      </c>
      <c r="E506" s="193">
        <v>16620.009999999998</v>
      </c>
      <c r="F506" s="194">
        <v>2</v>
      </c>
      <c r="G506" s="194"/>
      <c r="H506" s="194"/>
      <c r="I506" s="194"/>
      <c r="J506" s="193">
        <f t="shared" ref="J506:J519" si="660">F506+H506-I506</f>
        <v>2</v>
      </c>
      <c r="K506" s="193">
        <f t="shared" ref="K506:K519" si="661">J506*E506</f>
        <v>33240.019999999997</v>
      </c>
      <c r="L506" s="193"/>
      <c r="M506" s="193"/>
      <c r="N506" s="193"/>
      <c r="O506" s="622">
        <f t="shared" ref="O506:O519" si="662">J506*E506</f>
        <v>33240.019999999997</v>
      </c>
      <c r="P506" s="194">
        <v>2</v>
      </c>
      <c r="Q506" s="622">
        <f t="shared" ref="Q506:Q519" si="663">TRUNC(P506*E506,2)</f>
        <v>33240.019999999997</v>
      </c>
      <c r="R506" s="745">
        <v>0</v>
      </c>
      <c r="S506" s="746">
        <f t="shared" ref="S506:S519" si="664">U506-Q506</f>
        <v>0</v>
      </c>
      <c r="T506" s="194">
        <f t="shared" ref="T506:T519" si="665">R506+P506</f>
        <v>2</v>
      </c>
      <c r="U506" s="630">
        <f t="shared" ref="U506:U519" si="666">TRUNC(T506*E506,2)</f>
        <v>33240.019999999997</v>
      </c>
      <c r="V506" s="194">
        <f t="shared" si="620"/>
        <v>0</v>
      </c>
      <c r="W506" s="630">
        <f t="shared" ref="W506:W519" si="667">V506*E506</f>
        <v>0</v>
      </c>
    </row>
    <row r="507" spans="1:23" ht="25.5">
      <c r="A507" s="190" t="s">
        <v>639</v>
      </c>
      <c r="B507" s="191" t="s">
        <v>295</v>
      </c>
      <c r="C507" s="657" t="s">
        <v>305</v>
      </c>
      <c r="D507" s="192" t="s">
        <v>51</v>
      </c>
      <c r="E507" s="193">
        <v>1268.83</v>
      </c>
      <c r="F507" s="194">
        <v>77.2</v>
      </c>
      <c r="G507" s="194"/>
      <c r="H507" s="194"/>
      <c r="I507" s="194"/>
      <c r="J507" s="193">
        <f t="shared" si="660"/>
        <v>77.2</v>
      </c>
      <c r="K507" s="193">
        <f t="shared" si="661"/>
        <v>97953.675999999992</v>
      </c>
      <c r="L507" s="193"/>
      <c r="M507" s="193"/>
      <c r="N507" s="193"/>
      <c r="O507" s="622">
        <f t="shared" si="662"/>
        <v>97953.675999999992</v>
      </c>
      <c r="P507" s="194">
        <v>74.2</v>
      </c>
      <c r="Q507" s="622">
        <f t="shared" si="663"/>
        <v>94147.18</v>
      </c>
      <c r="R507" s="745">
        <v>0</v>
      </c>
      <c r="S507" s="746">
        <f t="shared" si="664"/>
        <v>0</v>
      </c>
      <c r="T507" s="194">
        <f>R507+P507</f>
        <v>74.2</v>
      </c>
      <c r="U507" s="630">
        <f t="shared" si="666"/>
        <v>94147.18</v>
      </c>
      <c r="V507" s="194">
        <f>F507-T507</f>
        <v>3</v>
      </c>
      <c r="W507" s="630">
        <f t="shared" si="667"/>
        <v>3806.49</v>
      </c>
    </row>
    <row r="508" spans="1:23" ht="25.5">
      <c r="A508" s="190" t="s">
        <v>640</v>
      </c>
      <c r="B508" s="191" t="s">
        <v>296</v>
      </c>
      <c r="C508" s="657" t="s">
        <v>306</v>
      </c>
      <c r="D508" s="192" t="s">
        <v>51</v>
      </c>
      <c r="E508" s="193">
        <v>294.97000000000003</v>
      </c>
      <c r="F508" s="194">
        <v>77.2</v>
      </c>
      <c r="G508" s="194"/>
      <c r="H508" s="194"/>
      <c r="I508" s="194"/>
      <c r="J508" s="193">
        <f t="shared" si="660"/>
        <v>77.2</v>
      </c>
      <c r="K508" s="193">
        <f t="shared" si="661"/>
        <v>22771.684000000005</v>
      </c>
      <c r="L508" s="193"/>
      <c r="M508" s="193"/>
      <c r="N508" s="193"/>
      <c r="O508" s="622">
        <f t="shared" si="662"/>
        <v>22771.684000000005</v>
      </c>
      <c r="P508" s="194">
        <v>74.2</v>
      </c>
      <c r="Q508" s="622">
        <f t="shared" si="663"/>
        <v>21886.77</v>
      </c>
      <c r="R508" s="745">
        <v>0</v>
      </c>
      <c r="S508" s="746">
        <f t="shared" si="664"/>
        <v>0</v>
      </c>
      <c r="T508" s="194">
        <f t="shared" si="665"/>
        <v>74.2</v>
      </c>
      <c r="U508" s="630">
        <f t="shared" si="666"/>
        <v>21886.77</v>
      </c>
      <c r="V508" s="194">
        <f t="shared" si="620"/>
        <v>3</v>
      </c>
      <c r="W508" s="630">
        <f t="shared" si="667"/>
        <v>884.91000000000008</v>
      </c>
    </row>
    <row r="509" spans="1:23">
      <c r="A509" s="190" t="s">
        <v>641</v>
      </c>
      <c r="B509" s="191" t="s">
        <v>297</v>
      </c>
      <c r="C509" s="657" t="s">
        <v>307</v>
      </c>
      <c r="D509" s="192" t="s">
        <v>51</v>
      </c>
      <c r="E509" s="193">
        <v>309.62</v>
      </c>
      <c r="F509" s="194">
        <v>50.2</v>
      </c>
      <c r="G509" s="194"/>
      <c r="H509" s="194"/>
      <c r="I509" s="194"/>
      <c r="J509" s="193">
        <f t="shared" si="660"/>
        <v>50.2</v>
      </c>
      <c r="K509" s="193">
        <f t="shared" si="661"/>
        <v>15542.924000000001</v>
      </c>
      <c r="L509" s="193"/>
      <c r="M509" s="193"/>
      <c r="N509" s="193"/>
      <c r="O509" s="622">
        <f t="shared" si="662"/>
        <v>15542.924000000001</v>
      </c>
      <c r="P509" s="194">
        <v>50.2</v>
      </c>
      <c r="Q509" s="622">
        <f t="shared" si="663"/>
        <v>15542.92</v>
      </c>
      <c r="R509" s="745">
        <v>0</v>
      </c>
      <c r="S509" s="746">
        <f t="shared" si="664"/>
        <v>0</v>
      </c>
      <c r="T509" s="194">
        <f t="shared" si="665"/>
        <v>50.2</v>
      </c>
      <c r="U509" s="630">
        <f t="shared" si="666"/>
        <v>15542.92</v>
      </c>
      <c r="V509" s="194">
        <f t="shared" si="620"/>
        <v>0</v>
      </c>
      <c r="W509" s="630">
        <f t="shared" si="667"/>
        <v>0</v>
      </c>
    </row>
    <row r="510" spans="1:23" ht="25.5">
      <c r="A510" s="190" t="s">
        <v>642</v>
      </c>
      <c r="B510" s="191" t="s">
        <v>298</v>
      </c>
      <c r="C510" s="657" t="s">
        <v>308</v>
      </c>
      <c r="D510" s="192" t="s">
        <v>51</v>
      </c>
      <c r="E510" s="193">
        <v>358.26</v>
      </c>
      <c r="F510" s="194">
        <v>50.2</v>
      </c>
      <c r="G510" s="194"/>
      <c r="H510" s="194"/>
      <c r="I510" s="194"/>
      <c r="J510" s="193">
        <f t="shared" si="660"/>
        <v>50.2</v>
      </c>
      <c r="K510" s="193">
        <f t="shared" si="661"/>
        <v>17984.652000000002</v>
      </c>
      <c r="L510" s="193"/>
      <c r="M510" s="193"/>
      <c r="N510" s="193"/>
      <c r="O510" s="622">
        <f t="shared" si="662"/>
        <v>17984.652000000002</v>
      </c>
      <c r="P510" s="194">
        <v>50.2</v>
      </c>
      <c r="Q510" s="622">
        <f t="shared" si="663"/>
        <v>17984.650000000001</v>
      </c>
      <c r="R510" s="745">
        <v>0</v>
      </c>
      <c r="S510" s="746">
        <f t="shared" si="664"/>
        <v>0</v>
      </c>
      <c r="T510" s="194">
        <f t="shared" si="665"/>
        <v>50.2</v>
      </c>
      <c r="U510" s="630">
        <f t="shared" si="666"/>
        <v>17984.650000000001</v>
      </c>
      <c r="V510" s="194">
        <f t="shared" si="620"/>
        <v>0</v>
      </c>
      <c r="W510" s="630">
        <f t="shared" si="667"/>
        <v>0</v>
      </c>
    </row>
    <row r="511" spans="1:23" ht="25.5">
      <c r="A511" s="190" t="s">
        <v>643</v>
      </c>
      <c r="B511" s="191" t="s">
        <v>497</v>
      </c>
      <c r="C511" s="657" t="s">
        <v>500</v>
      </c>
      <c r="D511" s="192" t="s">
        <v>51</v>
      </c>
      <c r="E511" s="193">
        <v>3440.35</v>
      </c>
      <c r="F511" s="194">
        <v>8</v>
      </c>
      <c r="G511" s="194"/>
      <c r="H511" s="194"/>
      <c r="I511" s="194"/>
      <c r="J511" s="193">
        <f t="shared" si="660"/>
        <v>8</v>
      </c>
      <c r="K511" s="193">
        <f t="shared" si="661"/>
        <v>27522.799999999999</v>
      </c>
      <c r="L511" s="193"/>
      <c r="M511" s="193"/>
      <c r="N511" s="193"/>
      <c r="O511" s="622">
        <f t="shared" si="662"/>
        <v>27522.799999999999</v>
      </c>
      <c r="P511" s="194">
        <v>8</v>
      </c>
      <c r="Q511" s="622">
        <f t="shared" si="663"/>
        <v>27522.799999999999</v>
      </c>
      <c r="R511" s="745">
        <v>0</v>
      </c>
      <c r="S511" s="746">
        <f t="shared" si="664"/>
        <v>0</v>
      </c>
      <c r="T511" s="194">
        <f t="shared" si="665"/>
        <v>8</v>
      </c>
      <c r="U511" s="630">
        <f t="shared" si="666"/>
        <v>27522.799999999999</v>
      </c>
      <c r="V511" s="194">
        <f t="shared" si="620"/>
        <v>0</v>
      </c>
      <c r="W511" s="630">
        <f t="shared" si="667"/>
        <v>0</v>
      </c>
    </row>
    <row r="512" spans="1:23" ht="38.25">
      <c r="A512" s="190" t="s">
        <v>644</v>
      </c>
      <c r="B512" s="191" t="s">
        <v>498</v>
      </c>
      <c r="C512" s="657" t="s">
        <v>501</v>
      </c>
      <c r="D512" s="192" t="s">
        <v>51</v>
      </c>
      <c r="E512" s="193">
        <v>2019.23</v>
      </c>
      <c r="F512" s="194">
        <v>8</v>
      </c>
      <c r="G512" s="194"/>
      <c r="H512" s="194"/>
      <c r="I512" s="194"/>
      <c r="J512" s="193">
        <f t="shared" si="660"/>
        <v>8</v>
      </c>
      <c r="K512" s="193">
        <f t="shared" si="661"/>
        <v>16153.84</v>
      </c>
      <c r="L512" s="193"/>
      <c r="M512" s="193"/>
      <c r="N512" s="193"/>
      <c r="O512" s="622">
        <f t="shared" si="662"/>
        <v>16153.84</v>
      </c>
      <c r="P512" s="194">
        <v>8</v>
      </c>
      <c r="Q512" s="622">
        <f t="shared" si="663"/>
        <v>16153.84</v>
      </c>
      <c r="R512" s="745">
        <v>0</v>
      </c>
      <c r="S512" s="746">
        <f t="shared" si="664"/>
        <v>0</v>
      </c>
      <c r="T512" s="194">
        <f t="shared" si="665"/>
        <v>8</v>
      </c>
      <c r="U512" s="630">
        <f t="shared" si="666"/>
        <v>16153.84</v>
      </c>
      <c r="V512" s="194">
        <f t="shared" si="620"/>
        <v>0</v>
      </c>
      <c r="W512" s="630">
        <f t="shared" si="667"/>
        <v>0</v>
      </c>
    </row>
    <row r="513" spans="1:23" ht="25.5">
      <c r="A513" s="190" t="s">
        <v>645</v>
      </c>
      <c r="B513" s="191" t="s">
        <v>299</v>
      </c>
      <c r="C513" s="657" t="s">
        <v>309</v>
      </c>
      <c r="D513" s="192" t="s">
        <v>29</v>
      </c>
      <c r="E513" s="193">
        <v>8.1199999999999992</v>
      </c>
      <c r="F513" s="194">
        <v>5340</v>
      </c>
      <c r="G513" s="194"/>
      <c r="H513" s="194"/>
      <c r="I513" s="194"/>
      <c r="J513" s="193">
        <f t="shared" si="660"/>
        <v>5340</v>
      </c>
      <c r="K513" s="193">
        <f t="shared" si="661"/>
        <v>43360.799999999996</v>
      </c>
      <c r="L513" s="193"/>
      <c r="M513" s="193"/>
      <c r="N513" s="193"/>
      <c r="O513" s="622">
        <f t="shared" si="662"/>
        <v>43360.799999999996</v>
      </c>
      <c r="P513" s="194">
        <v>5340</v>
      </c>
      <c r="Q513" s="622">
        <f t="shared" si="663"/>
        <v>43360.800000000003</v>
      </c>
      <c r="R513" s="745">
        <v>0</v>
      </c>
      <c r="S513" s="746">
        <f t="shared" si="664"/>
        <v>0</v>
      </c>
      <c r="T513" s="194">
        <f t="shared" si="665"/>
        <v>5340</v>
      </c>
      <c r="U513" s="630">
        <f t="shared" si="666"/>
        <v>43360.800000000003</v>
      </c>
      <c r="V513" s="194">
        <f t="shared" si="620"/>
        <v>0</v>
      </c>
      <c r="W513" s="630">
        <f t="shared" si="667"/>
        <v>0</v>
      </c>
    </row>
    <row r="514" spans="1:23">
      <c r="A514" s="190" t="s">
        <v>646</v>
      </c>
      <c r="B514" s="191" t="s">
        <v>300</v>
      </c>
      <c r="C514" s="657" t="s">
        <v>310</v>
      </c>
      <c r="D514" s="192" t="s">
        <v>29</v>
      </c>
      <c r="E514" s="193">
        <v>0.64</v>
      </c>
      <c r="F514" s="194">
        <v>5340</v>
      </c>
      <c r="G514" s="194"/>
      <c r="H514" s="194"/>
      <c r="I514" s="194"/>
      <c r="J514" s="193">
        <f t="shared" si="660"/>
        <v>5340</v>
      </c>
      <c r="K514" s="193">
        <f t="shared" si="661"/>
        <v>3417.6</v>
      </c>
      <c r="L514" s="193"/>
      <c r="M514" s="193"/>
      <c r="N514" s="193"/>
      <c r="O514" s="622">
        <f t="shared" si="662"/>
        <v>3417.6</v>
      </c>
      <c r="P514" s="194">
        <v>5340</v>
      </c>
      <c r="Q514" s="622">
        <f t="shared" si="663"/>
        <v>3417.6</v>
      </c>
      <c r="R514" s="745">
        <v>0</v>
      </c>
      <c r="S514" s="746">
        <f t="shared" si="664"/>
        <v>0</v>
      </c>
      <c r="T514" s="194">
        <f t="shared" si="665"/>
        <v>5340</v>
      </c>
      <c r="U514" s="630">
        <f t="shared" si="666"/>
        <v>3417.6</v>
      </c>
      <c r="V514" s="194">
        <f t="shared" si="620"/>
        <v>0</v>
      </c>
      <c r="W514" s="630">
        <f t="shared" si="667"/>
        <v>0</v>
      </c>
    </row>
    <row r="515" spans="1:23" ht="51">
      <c r="A515" s="190" t="s">
        <v>647</v>
      </c>
      <c r="B515" s="191" t="s">
        <v>140</v>
      </c>
      <c r="C515" s="657" t="s">
        <v>177</v>
      </c>
      <c r="D515" s="192" t="s">
        <v>58</v>
      </c>
      <c r="E515" s="193">
        <v>486.08</v>
      </c>
      <c r="F515" s="194">
        <v>31.31</v>
      </c>
      <c r="G515" s="194"/>
      <c r="H515" s="194"/>
      <c r="I515" s="194"/>
      <c r="J515" s="193">
        <f t="shared" si="660"/>
        <v>31.31</v>
      </c>
      <c r="K515" s="193">
        <f t="shared" si="661"/>
        <v>15219.164799999999</v>
      </c>
      <c r="L515" s="193"/>
      <c r="M515" s="193"/>
      <c r="N515" s="193"/>
      <c r="O515" s="622">
        <f t="shared" si="662"/>
        <v>15219.164799999999</v>
      </c>
      <c r="P515" s="194">
        <v>31.31</v>
      </c>
      <c r="Q515" s="622">
        <f t="shared" si="663"/>
        <v>15219.16</v>
      </c>
      <c r="R515" s="745">
        <v>0</v>
      </c>
      <c r="S515" s="746">
        <f t="shared" si="664"/>
        <v>0</v>
      </c>
      <c r="T515" s="194">
        <f t="shared" si="665"/>
        <v>31.31</v>
      </c>
      <c r="U515" s="630">
        <f t="shared" si="666"/>
        <v>15219.16</v>
      </c>
      <c r="V515" s="194">
        <f t="shared" si="620"/>
        <v>0</v>
      </c>
      <c r="W515" s="630">
        <f t="shared" si="667"/>
        <v>0</v>
      </c>
    </row>
    <row r="516" spans="1:23">
      <c r="A516" s="190" t="s">
        <v>648</v>
      </c>
      <c r="B516" s="191" t="s">
        <v>301</v>
      </c>
      <c r="C516" s="657" t="s">
        <v>311</v>
      </c>
      <c r="D516" s="192" t="s">
        <v>49</v>
      </c>
      <c r="E516" s="193">
        <v>105.97</v>
      </c>
      <c r="F516" s="194">
        <v>31.31</v>
      </c>
      <c r="G516" s="194"/>
      <c r="H516" s="194"/>
      <c r="I516" s="194"/>
      <c r="J516" s="193">
        <f t="shared" si="660"/>
        <v>31.31</v>
      </c>
      <c r="K516" s="193">
        <f t="shared" si="661"/>
        <v>3317.9206999999997</v>
      </c>
      <c r="L516" s="193"/>
      <c r="M516" s="193"/>
      <c r="N516" s="193"/>
      <c r="O516" s="622">
        <f t="shared" si="662"/>
        <v>3317.9206999999997</v>
      </c>
      <c r="P516" s="194">
        <v>31.31</v>
      </c>
      <c r="Q516" s="622">
        <f t="shared" si="663"/>
        <v>3317.92</v>
      </c>
      <c r="R516" s="745">
        <v>0</v>
      </c>
      <c r="S516" s="746">
        <f t="shared" si="664"/>
        <v>0</v>
      </c>
      <c r="T516" s="194">
        <f t="shared" si="665"/>
        <v>31.31</v>
      </c>
      <c r="U516" s="630">
        <f t="shared" si="666"/>
        <v>3317.92</v>
      </c>
      <c r="V516" s="194">
        <f t="shared" si="620"/>
        <v>0</v>
      </c>
      <c r="W516" s="630">
        <f t="shared" si="667"/>
        <v>0</v>
      </c>
    </row>
    <row r="517" spans="1:23">
      <c r="A517" s="190" t="s">
        <v>649</v>
      </c>
      <c r="B517" s="191" t="s">
        <v>302</v>
      </c>
      <c r="C517" s="657" t="s">
        <v>312</v>
      </c>
      <c r="D517" s="192" t="s">
        <v>72</v>
      </c>
      <c r="E517" s="193">
        <v>1.62</v>
      </c>
      <c r="F517" s="194">
        <v>4</v>
      </c>
      <c r="G517" s="194"/>
      <c r="H517" s="194"/>
      <c r="I517" s="194"/>
      <c r="J517" s="193">
        <f t="shared" si="660"/>
        <v>4</v>
      </c>
      <c r="K517" s="193">
        <f t="shared" si="661"/>
        <v>6.48</v>
      </c>
      <c r="L517" s="193"/>
      <c r="M517" s="193"/>
      <c r="N517" s="193"/>
      <c r="O517" s="622">
        <f t="shared" si="662"/>
        <v>6.48</v>
      </c>
      <c r="P517" s="194">
        <v>4</v>
      </c>
      <c r="Q517" s="622">
        <f t="shared" si="663"/>
        <v>6.48</v>
      </c>
      <c r="R517" s="745">
        <v>0</v>
      </c>
      <c r="S517" s="746">
        <f t="shared" si="664"/>
        <v>0</v>
      </c>
      <c r="T517" s="194">
        <f t="shared" si="665"/>
        <v>4</v>
      </c>
      <c r="U517" s="630">
        <f t="shared" si="666"/>
        <v>6.48</v>
      </c>
      <c r="V517" s="194">
        <f t="shared" si="620"/>
        <v>0</v>
      </c>
      <c r="W517" s="630">
        <f t="shared" si="667"/>
        <v>0</v>
      </c>
    </row>
    <row r="518" spans="1:23" ht="25.5">
      <c r="A518" s="190" t="s">
        <v>650</v>
      </c>
      <c r="B518" s="191" t="s">
        <v>303</v>
      </c>
      <c r="C518" s="657" t="s">
        <v>313</v>
      </c>
      <c r="D518" s="192" t="s">
        <v>72</v>
      </c>
      <c r="E518" s="193">
        <v>5793.75</v>
      </c>
      <c r="F518" s="194">
        <v>2</v>
      </c>
      <c r="G518" s="194"/>
      <c r="H518" s="194"/>
      <c r="I518" s="194"/>
      <c r="J518" s="193">
        <f t="shared" si="660"/>
        <v>2</v>
      </c>
      <c r="K518" s="193">
        <f t="shared" si="661"/>
        <v>11587.5</v>
      </c>
      <c r="L518" s="193"/>
      <c r="M518" s="193"/>
      <c r="N518" s="193"/>
      <c r="O518" s="622">
        <f t="shared" si="662"/>
        <v>11587.5</v>
      </c>
      <c r="P518" s="194">
        <v>2</v>
      </c>
      <c r="Q518" s="622">
        <f t="shared" si="663"/>
        <v>11587.5</v>
      </c>
      <c r="R518" s="745">
        <v>0</v>
      </c>
      <c r="S518" s="746">
        <f t="shared" si="664"/>
        <v>0</v>
      </c>
      <c r="T518" s="194">
        <f t="shared" si="665"/>
        <v>2</v>
      </c>
      <c r="U518" s="630">
        <f t="shared" si="666"/>
        <v>11587.5</v>
      </c>
      <c r="V518" s="194">
        <f t="shared" si="620"/>
        <v>0</v>
      </c>
      <c r="W518" s="630">
        <f t="shared" si="667"/>
        <v>0</v>
      </c>
    </row>
    <row r="519" spans="1:23" ht="25.5">
      <c r="A519" s="190" t="s">
        <v>651</v>
      </c>
      <c r="B519" s="191">
        <v>190418</v>
      </c>
      <c r="C519" s="657" t="s">
        <v>314</v>
      </c>
      <c r="D519" s="192" t="s">
        <v>57</v>
      </c>
      <c r="E519" s="193">
        <v>33.049999999999997</v>
      </c>
      <c r="F519" s="194">
        <v>36.71</v>
      </c>
      <c r="G519" s="194"/>
      <c r="H519" s="194"/>
      <c r="I519" s="194"/>
      <c r="J519" s="193">
        <f t="shared" si="660"/>
        <v>36.71</v>
      </c>
      <c r="K519" s="193">
        <f t="shared" si="661"/>
        <v>1213.2655</v>
      </c>
      <c r="L519" s="193"/>
      <c r="M519" s="193"/>
      <c r="N519" s="193"/>
      <c r="O519" s="622">
        <f t="shared" si="662"/>
        <v>1213.2655</v>
      </c>
      <c r="P519" s="194">
        <v>36.71</v>
      </c>
      <c r="Q519" s="622">
        <f t="shared" si="663"/>
        <v>1213.26</v>
      </c>
      <c r="R519" s="745">
        <v>0</v>
      </c>
      <c r="S519" s="746">
        <f t="shared" si="664"/>
        <v>0</v>
      </c>
      <c r="T519" s="194">
        <f t="shared" si="665"/>
        <v>36.71</v>
      </c>
      <c r="U519" s="630">
        <f t="shared" si="666"/>
        <v>1213.26</v>
      </c>
      <c r="V519" s="194">
        <f t="shared" si="620"/>
        <v>0</v>
      </c>
      <c r="W519" s="630">
        <f t="shared" si="667"/>
        <v>0</v>
      </c>
    </row>
    <row r="520" spans="1:23">
      <c r="A520" s="138"/>
      <c r="B520" s="132"/>
      <c r="C520" s="123"/>
      <c r="D520" s="123"/>
      <c r="E520" s="123"/>
      <c r="F520" s="123"/>
      <c r="G520" s="123"/>
      <c r="H520" s="123"/>
      <c r="I520" s="123"/>
      <c r="J520" s="123"/>
      <c r="K520" s="123"/>
      <c r="L520" s="123"/>
      <c r="M520" s="123"/>
      <c r="N520" s="123"/>
      <c r="O520" s="623"/>
      <c r="P520" s="123"/>
      <c r="Q520" s="623"/>
      <c r="R520" s="791"/>
      <c r="S520" s="792"/>
      <c r="T520" s="123"/>
      <c r="U520" s="631"/>
      <c r="V520" s="123"/>
      <c r="W520" s="631"/>
    </row>
    <row r="521" spans="1:23" s="131" customFormat="1">
      <c r="A521" s="137" t="s">
        <v>654</v>
      </c>
      <c r="B521" s="133"/>
      <c r="C521" s="658" t="s">
        <v>212</v>
      </c>
      <c r="D521" s="126"/>
      <c r="E521" s="127"/>
      <c r="F521" s="128"/>
      <c r="G521" s="128"/>
      <c r="H521" s="128"/>
      <c r="I521" s="128"/>
      <c r="J521" s="129"/>
      <c r="K521" s="129">
        <f>SUBTOTAL(9,K522:K522)</f>
        <v>8738.247800000001</v>
      </c>
      <c r="L521" s="129"/>
      <c r="M521" s="129"/>
      <c r="N521" s="129"/>
      <c r="O521" s="624"/>
      <c r="P521" s="130"/>
      <c r="Q521" s="624">
        <f>SUBTOTAL(9,Q522:Q522)</f>
        <v>0</v>
      </c>
      <c r="R521" s="743"/>
      <c r="S521" s="744">
        <f>SUBTOTAL(9,S522:S522)</f>
        <v>1318.42</v>
      </c>
      <c r="T521" s="129"/>
      <c r="U521" s="624">
        <f>SUBTOTAL(9,U522:U522)</f>
        <v>1318.42</v>
      </c>
      <c r="V521" s="129">
        <f t="shared" si="620"/>
        <v>0</v>
      </c>
      <c r="W521" s="624">
        <f>SUBTOTAL(9,W522:W522)</f>
        <v>7419.8197999999993</v>
      </c>
    </row>
    <row r="522" spans="1:23" ht="25.5">
      <c r="A522" s="190" t="s">
        <v>655</v>
      </c>
      <c r="B522" s="191" t="s">
        <v>227</v>
      </c>
      <c r="C522" s="657" t="s">
        <v>233</v>
      </c>
      <c r="D522" s="192" t="s">
        <v>51</v>
      </c>
      <c r="E522" s="193">
        <v>366.23</v>
      </c>
      <c r="F522" s="194">
        <v>23.86</v>
      </c>
      <c r="G522" s="194"/>
      <c r="H522" s="194"/>
      <c r="I522" s="194"/>
      <c r="J522" s="193">
        <f t="shared" ref="J522" si="668">F522+H522-I522</f>
        <v>23.86</v>
      </c>
      <c r="K522" s="193">
        <f t="shared" ref="K522" si="669">J522*E522</f>
        <v>8738.247800000001</v>
      </c>
      <c r="L522" s="193"/>
      <c r="M522" s="193"/>
      <c r="N522" s="193"/>
      <c r="O522" s="622">
        <f t="shared" ref="O522" si="670">J522*E522</f>
        <v>8738.247800000001</v>
      </c>
      <c r="P522" s="194">
        <v>0</v>
      </c>
      <c r="Q522" s="622">
        <f t="shared" ref="Q522" si="671">TRUNC(P522*E522,2)</f>
        <v>0</v>
      </c>
      <c r="R522" s="785">
        <f>'4.4.1.4'!N18</f>
        <v>3.5999999999999996</v>
      </c>
      <c r="S522" s="786">
        <f t="shared" ref="S522" si="672">U522-Q522</f>
        <v>1318.42</v>
      </c>
      <c r="T522" s="194">
        <f t="shared" ref="T522" si="673">R522+P522</f>
        <v>3.5999999999999996</v>
      </c>
      <c r="U522" s="630">
        <f t="shared" ref="U522" si="674">TRUNC(T522*E522,2)</f>
        <v>1318.42</v>
      </c>
      <c r="V522" s="194">
        <f t="shared" si="620"/>
        <v>20.259999999999998</v>
      </c>
      <c r="W522" s="630">
        <f t="shared" ref="W522" si="675">V522*E522</f>
        <v>7419.8197999999993</v>
      </c>
    </row>
    <row r="523" spans="1:23">
      <c r="A523" s="138"/>
      <c r="B523" s="132"/>
      <c r="C523" s="123"/>
      <c r="D523" s="123"/>
      <c r="E523" s="123"/>
      <c r="F523" s="123"/>
      <c r="G523" s="123"/>
      <c r="H523" s="123"/>
      <c r="I523" s="123"/>
      <c r="J523" s="123"/>
      <c r="K523" s="123"/>
      <c r="L523" s="123"/>
      <c r="M523" s="123"/>
      <c r="N523" s="123"/>
      <c r="O523" s="623"/>
      <c r="P523" s="123"/>
      <c r="Q523" s="623"/>
      <c r="R523" s="791"/>
      <c r="S523" s="792"/>
      <c r="T523" s="123"/>
      <c r="U523" s="631"/>
      <c r="V523" s="123"/>
      <c r="W523" s="631"/>
    </row>
    <row r="524" spans="1:23" s="213" customFormat="1">
      <c r="A524" s="210" t="s">
        <v>656</v>
      </c>
      <c r="B524" s="211"/>
      <c r="C524" s="655" t="s">
        <v>318</v>
      </c>
      <c r="D524" s="197"/>
      <c r="E524" s="198"/>
      <c r="F524" s="199"/>
      <c r="G524" s="199"/>
      <c r="H524" s="199"/>
      <c r="I524" s="199"/>
      <c r="J524" s="200"/>
      <c r="K524" s="200">
        <f>SUBTOTAL(9,K525:K529)</f>
        <v>428188.12440000003</v>
      </c>
      <c r="L524" s="200"/>
      <c r="M524" s="200"/>
      <c r="N524" s="200"/>
      <c r="O524" s="620"/>
      <c r="P524" s="201"/>
      <c r="Q524" s="620">
        <f>SUBTOTAL(9,Q525:Q529)</f>
        <v>0</v>
      </c>
      <c r="R524" s="743"/>
      <c r="S524" s="744">
        <f>SUBTOTAL(9,S525:S529)</f>
        <v>0</v>
      </c>
      <c r="T524" s="200"/>
      <c r="U524" s="620">
        <f>SUBTOTAL(9,U525:U529)</f>
        <v>0</v>
      </c>
      <c r="V524" s="200">
        <f t="shared" si="620"/>
        <v>0</v>
      </c>
      <c r="W524" s="620">
        <f>SUBTOTAL(9,W525:W529)</f>
        <v>428188.12440000003</v>
      </c>
    </row>
    <row r="525" spans="1:23" s="131" customFormat="1">
      <c r="A525" s="137" t="s">
        <v>657</v>
      </c>
      <c r="B525" s="133"/>
      <c r="C525" s="658" t="s">
        <v>318</v>
      </c>
      <c r="D525" s="126"/>
      <c r="E525" s="127"/>
      <c r="F525" s="128"/>
      <c r="G525" s="128"/>
      <c r="H525" s="128"/>
      <c r="I525" s="128"/>
      <c r="J525" s="129"/>
      <c r="K525" s="129">
        <f>SUBTOTAL(9,K526:K529)</f>
        <v>428188.12440000003</v>
      </c>
      <c r="L525" s="129"/>
      <c r="M525" s="129"/>
      <c r="N525" s="129"/>
      <c r="O525" s="624"/>
      <c r="P525" s="130"/>
      <c r="Q525" s="624">
        <f>SUBTOTAL(9,Q526:Q529)</f>
        <v>0</v>
      </c>
      <c r="R525" s="743"/>
      <c r="S525" s="744">
        <f>SUBTOTAL(9,S526:S529)</f>
        <v>0</v>
      </c>
      <c r="T525" s="129"/>
      <c r="U525" s="624">
        <f>SUBTOTAL(9,U526:U529)</f>
        <v>0</v>
      </c>
      <c r="V525" s="129">
        <f t="shared" si="620"/>
        <v>0</v>
      </c>
      <c r="W525" s="624">
        <f>SUBTOTAL(9,W526:W529)</f>
        <v>428188.12440000003</v>
      </c>
    </row>
    <row r="526" spans="1:23" ht="25.5">
      <c r="A526" s="190" t="s">
        <v>658</v>
      </c>
      <c r="B526" s="191" t="s">
        <v>323</v>
      </c>
      <c r="C526" s="657" t="s">
        <v>326</v>
      </c>
      <c r="D526" s="192" t="s">
        <v>59</v>
      </c>
      <c r="E526" s="193">
        <v>409453.83</v>
      </c>
      <c r="F526" s="194">
        <v>1</v>
      </c>
      <c r="G526" s="194"/>
      <c r="H526" s="194"/>
      <c r="I526" s="194"/>
      <c r="J526" s="193">
        <f t="shared" ref="J526:J529" si="676">F526+H526-I526</f>
        <v>1</v>
      </c>
      <c r="K526" s="193">
        <f t="shared" ref="K526:K529" si="677">J526*E526</f>
        <v>409453.83</v>
      </c>
      <c r="L526" s="193"/>
      <c r="M526" s="193"/>
      <c r="N526" s="193"/>
      <c r="O526" s="622">
        <f t="shared" ref="O526:O529" si="678">J526*E526</f>
        <v>409453.83</v>
      </c>
      <c r="P526" s="194">
        <v>0</v>
      </c>
      <c r="Q526" s="622">
        <f t="shared" ref="Q526" si="679">TRUNC(P526*E526,2)</f>
        <v>0</v>
      </c>
      <c r="R526" s="745">
        <f>'4.5.1.1'!R30</f>
        <v>0</v>
      </c>
      <c r="S526" s="746">
        <f t="shared" ref="S526" si="680">U526-Q526</f>
        <v>0</v>
      </c>
      <c r="T526" s="194">
        <f t="shared" ref="T526" si="681">R526+P526</f>
        <v>0</v>
      </c>
      <c r="U526" s="630">
        <f t="shared" ref="U526" si="682">TRUNC(T526*E526,2)</f>
        <v>0</v>
      </c>
      <c r="V526" s="194">
        <f t="shared" si="620"/>
        <v>1</v>
      </c>
      <c r="W526" s="630">
        <f t="shared" ref="W526:W529" si="683">V526*E526</f>
        <v>409453.83</v>
      </c>
    </row>
    <row r="527" spans="1:23">
      <c r="A527" s="190" t="s">
        <v>659</v>
      </c>
      <c r="B527" s="191" t="s">
        <v>324</v>
      </c>
      <c r="C527" s="657" t="s">
        <v>327</v>
      </c>
      <c r="D527" s="192" t="s">
        <v>59</v>
      </c>
      <c r="E527" s="193">
        <v>3812.11</v>
      </c>
      <c r="F527" s="194">
        <v>1</v>
      </c>
      <c r="G527" s="194"/>
      <c r="H527" s="194"/>
      <c r="I527" s="194"/>
      <c r="J527" s="193">
        <f t="shared" si="676"/>
        <v>1</v>
      </c>
      <c r="K527" s="193">
        <f t="shared" si="677"/>
        <v>3812.11</v>
      </c>
      <c r="L527" s="193"/>
      <c r="M527" s="193"/>
      <c r="N527" s="193"/>
      <c r="O527" s="622">
        <f t="shared" si="678"/>
        <v>3812.11</v>
      </c>
      <c r="P527" s="194">
        <v>0</v>
      </c>
      <c r="Q527" s="622">
        <f>TRUNC(P527*E527,2)</f>
        <v>0</v>
      </c>
      <c r="R527" s="745">
        <f>IFERROR(VLOOKUP(A527,#REF!,18,FALSE),)</f>
        <v>0</v>
      </c>
      <c r="S527" s="746">
        <f>U527-Q527</f>
        <v>0</v>
      </c>
      <c r="T527" s="194">
        <f>R527+P527</f>
        <v>0</v>
      </c>
      <c r="U527" s="630">
        <f>TRUNC(T527*E527,2)</f>
        <v>0</v>
      </c>
      <c r="V527" s="194">
        <f t="shared" si="620"/>
        <v>1</v>
      </c>
      <c r="W527" s="630">
        <f t="shared" si="683"/>
        <v>3812.11</v>
      </c>
    </row>
    <row r="528" spans="1:23" ht="25.5">
      <c r="A528" s="190" t="s">
        <v>660</v>
      </c>
      <c r="B528" s="191" t="s">
        <v>663</v>
      </c>
      <c r="C528" s="657" t="s">
        <v>662</v>
      </c>
      <c r="D528" s="192" t="s">
        <v>72</v>
      </c>
      <c r="E528" s="193">
        <v>943.82</v>
      </c>
      <c r="F528" s="194">
        <v>1</v>
      </c>
      <c r="G528" s="194"/>
      <c r="H528" s="194"/>
      <c r="I528" s="194"/>
      <c r="J528" s="193">
        <f t="shared" si="676"/>
        <v>1</v>
      </c>
      <c r="K528" s="193">
        <f t="shared" si="677"/>
        <v>943.82</v>
      </c>
      <c r="L528" s="193"/>
      <c r="M528" s="193"/>
      <c r="N528" s="193"/>
      <c r="O528" s="622">
        <f t="shared" si="678"/>
        <v>943.82</v>
      </c>
      <c r="P528" s="194">
        <v>0</v>
      </c>
      <c r="Q528" s="622">
        <f>TRUNC(P528*E528,2)</f>
        <v>0</v>
      </c>
      <c r="R528" s="745">
        <f>IFERROR(VLOOKUP(A528,#REF!,18,FALSE),)</f>
        <v>0</v>
      </c>
      <c r="S528" s="746">
        <f>U528-Q528</f>
        <v>0</v>
      </c>
      <c r="T528" s="194">
        <f>R528+P528</f>
        <v>0</v>
      </c>
      <c r="U528" s="630">
        <f>TRUNC(T528*E528,2)</f>
        <v>0</v>
      </c>
      <c r="V528" s="194">
        <f t="shared" si="620"/>
        <v>1</v>
      </c>
      <c r="W528" s="630">
        <f t="shared" si="683"/>
        <v>943.82</v>
      </c>
    </row>
    <row r="529" spans="1:23" ht="25.5">
      <c r="A529" s="190" t="s">
        <v>661</v>
      </c>
      <c r="B529" s="191" t="s">
        <v>325</v>
      </c>
      <c r="C529" s="657" t="s">
        <v>328</v>
      </c>
      <c r="D529" s="192" t="s">
        <v>50</v>
      </c>
      <c r="E529" s="193">
        <v>115.83</v>
      </c>
      <c r="F529" s="194">
        <v>120.68</v>
      </c>
      <c r="G529" s="194"/>
      <c r="H529" s="194"/>
      <c r="I529" s="194"/>
      <c r="J529" s="193">
        <f t="shared" si="676"/>
        <v>120.68</v>
      </c>
      <c r="K529" s="193">
        <f t="shared" si="677"/>
        <v>13978.3644</v>
      </c>
      <c r="L529" s="193"/>
      <c r="M529" s="193"/>
      <c r="N529" s="193"/>
      <c r="O529" s="622">
        <f t="shared" si="678"/>
        <v>13978.3644</v>
      </c>
      <c r="P529" s="194">
        <v>0</v>
      </c>
      <c r="Q529" s="622">
        <f t="shared" ref="Q529" si="684">TRUNC(P529*E529,2)</f>
        <v>0</v>
      </c>
      <c r="R529" s="745"/>
      <c r="S529" s="746">
        <f t="shared" ref="S529" si="685">U529-Q529</f>
        <v>0</v>
      </c>
      <c r="T529" s="194">
        <f t="shared" ref="T529" si="686">R529+P529</f>
        <v>0</v>
      </c>
      <c r="U529" s="630">
        <f t="shared" ref="U529" si="687">TRUNC(T529*E529,2)</f>
        <v>0</v>
      </c>
      <c r="V529" s="194">
        <f t="shared" si="620"/>
        <v>120.68</v>
      </c>
      <c r="W529" s="630">
        <f t="shared" si="683"/>
        <v>13978.3644</v>
      </c>
    </row>
    <row r="530" spans="1:23">
      <c r="A530" s="138"/>
      <c r="B530" s="132"/>
      <c r="C530" s="123"/>
      <c r="D530" s="123"/>
      <c r="E530" s="123"/>
      <c r="F530" s="123"/>
      <c r="G530" s="123"/>
      <c r="H530" s="123"/>
      <c r="I530" s="123"/>
      <c r="J530" s="123"/>
      <c r="K530" s="123"/>
      <c r="L530" s="123"/>
      <c r="M530" s="123"/>
      <c r="N530" s="123"/>
      <c r="O530" s="623"/>
      <c r="P530" s="123"/>
      <c r="Q530" s="623"/>
      <c r="R530" s="791"/>
      <c r="S530" s="792"/>
      <c r="T530" s="123"/>
      <c r="U530" s="631"/>
      <c r="V530" s="123"/>
      <c r="W530" s="631"/>
    </row>
    <row r="531" spans="1:23" s="213" customFormat="1">
      <c r="A531" s="210" t="s">
        <v>664</v>
      </c>
      <c r="B531" s="211"/>
      <c r="C531" s="655" t="s">
        <v>329</v>
      </c>
      <c r="D531" s="197"/>
      <c r="E531" s="198"/>
      <c r="F531" s="199"/>
      <c r="G531" s="199"/>
      <c r="H531" s="199"/>
      <c r="I531" s="199"/>
      <c r="J531" s="200"/>
      <c r="K531" s="200">
        <f>SUBTOTAL(9,K532:K557)</f>
        <v>43372.777000000002</v>
      </c>
      <c r="L531" s="200"/>
      <c r="M531" s="200"/>
      <c r="N531" s="200"/>
      <c r="O531" s="620"/>
      <c r="P531" s="201"/>
      <c r="Q531" s="620">
        <f>SUBTOTAL(9,Q532:Q557)</f>
        <v>6237.42</v>
      </c>
      <c r="R531" s="743"/>
      <c r="S531" s="744">
        <f>SUBTOTAL(9,S532:S557)</f>
        <v>0</v>
      </c>
      <c r="T531" s="200"/>
      <c r="U531" s="620">
        <f>SUBTOTAL(9,U532:U557)</f>
        <v>6237.42</v>
      </c>
      <c r="V531" s="200">
        <f t="shared" si="620"/>
        <v>0</v>
      </c>
      <c r="W531" s="620">
        <f>SUBTOTAL(9,W532:W557)</f>
        <v>37135.354000000007</v>
      </c>
    </row>
    <row r="532" spans="1:23" s="131" customFormat="1">
      <c r="A532" s="137" t="s">
        <v>665</v>
      </c>
      <c r="B532" s="133"/>
      <c r="C532" s="658" t="s">
        <v>329</v>
      </c>
      <c r="D532" s="126"/>
      <c r="E532" s="127"/>
      <c r="F532" s="128"/>
      <c r="G532" s="128"/>
      <c r="H532" s="128"/>
      <c r="I532" s="128"/>
      <c r="J532" s="129"/>
      <c r="K532" s="129">
        <f>SUBTOTAL(9,K533:K551)</f>
        <v>39993.794000000002</v>
      </c>
      <c r="L532" s="129"/>
      <c r="M532" s="129"/>
      <c r="N532" s="129"/>
      <c r="O532" s="624"/>
      <c r="P532" s="130"/>
      <c r="Q532" s="624">
        <f>SUBTOTAL(9,Q533:Q551)</f>
        <v>3494.5699999999997</v>
      </c>
      <c r="R532" s="743"/>
      <c r="S532" s="744">
        <f>SUBTOTAL(9,S533:S551)</f>
        <v>0</v>
      </c>
      <c r="T532" s="129"/>
      <c r="U532" s="624">
        <f>SUBTOTAL(9,U533:U551)</f>
        <v>3494.5699999999997</v>
      </c>
      <c r="V532" s="129">
        <f t="shared" si="620"/>
        <v>0</v>
      </c>
      <c r="W532" s="624">
        <f>SUBTOTAL(9,W533:W551)</f>
        <v>36499.224000000002</v>
      </c>
    </row>
    <row r="533" spans="1:23" ht="25.5">
      <c r="A533" s="190" t="s">
        <v>666</v>
      </c>
      <c r="B533" s="191">
        <v>151701</v>
      </c>
      <c r="C533" s="657" t="s">
        <v>685</v>
      </c>
      <c r="D533" s="192" t="s">
        <v>59</v>
      </c>
      <c r="E533" s="193">
        <v>1510.64</v>
      </c>
      <c r="F533" s="194">
        <v>1</v>
      </c>
      <c r="G533" s="194"/>
      <c r="H533" s="194"/>
      <c r="I533" s="194"/>
      <c r="J533" s="193">
        <f t="shared" ref="J533:J551" si="688">F533+H533-I533</f>
        <v>1</v>
      </c>
      <c r="K533" s="193">
        <f t="shared" ref="K533:K551" si="689">J533*E533</f>
        <v>1510.64</v>
      </c>
      <c r="L533" s="193"/>
      <c r="M533" s="193"/>
      <c r="N533" s="193"/>
      <c r="O533" s="622">
        <f t="shared" ref="O533:O551" si="690">J533*E533</f>
        <v>1510.64</v>
      </c>
      <c r="P533" s="194">
        <v>0</v>
      </c>
      <c r="Q533" s="622">
        <f t="shared" ref="Q533:Q551" si="691">TRUNC(P533*E533,2)</f>
        <v>0</v>
      </c>
      <c r="R533" s="745">
        <f>IFERROR(VLOOKUP(A533,#REF!,18,FALSE),)</f>
        <v>0</v>
      </c>
      <c r="S533" s="746">
        <f t="shared" ref="S533:S551" si="692">U533-Q533</f>
        <v>0</v>
      </c>
      <c r="T533" s="194">
        <f t="shared" ref="T533:T551" si="693">R533+P533</f>
        <v>0</v>
      </c>
      <c r="U533" s="630">
        <f t="shared" ref="U533:U551" si="694">TRUNC(T533*E533,2)</f>
        <v>0</v>
      </c>
      <c r="V533" s="194">
        <f t="shared" si="620"/>
        <v>1</v>
      </c>
      <c r="W533" s="630">
        <f t="shared" ref="W533:W551" si="695">V533*E533</f>
        <v>1510.64</v>
      </c>
    </row>
    <row r="534" spans="1:23" ht="25.5">
      <c r="A534" s="190" t="s">
        <v>667</v>
      </c>
      <c r="B534" s="191">
        <v>150312</v>
      </c>
      <c r="C534" s="657" t="s">
        <v>350</v>
      </c>
      <c r="D534" s="192" t="s">
        <v>59</v>
      </c>
      <c r="E534" s="193">
        <v>103.79</v>
      </c>
      <c r="F534" s="194">
        <v>1</v>
      </c>
      <c r="G534" s="194"/>
      <c r="H534" s="194"/>
      <c r="I534" s="194"/>
      <c r="J534" s="193">
        <f t="shared" si="688"/>
        <v>1</v>
      </c>
      <c r="K534" s="193">
        <f t="shared" si="689"/>
        <v>103.79</v>
      </c>
      <c r="L534" s="193"/>
      <c r="M534" s="193"/>
      <c r="N534" s="193"/>
      <c r="O534" s="622">
        <f t="shared" si="690"/>
        <v>103.79</v>
      </c>
      <c r="P534" s="194">
        <v>0</v>
      </c>
      <c r="Q534" s="622">
        <f t="shared" si="691"/>
        <v>0</v>
      </c>
      <c r="R534" s="745">
        <f>IFERROR(VLOOKUP(A534,#REF!,18,FALSE),)</f>
        <v>0</v>
      </c>
      <c r="S534" s="746">
        <f t="shared" si="692"/>
        <v>0</v>
      </c>
      <c r="T534" s="194">
        <f t="shared" si="693"/>
        <v>0</v>
      </c>
      <c r="U534" s="630">
        <f t="shared" si="694"/>
        <v>0</v>
      </c>
      <c r="V534" s="194">
        <f t="shared" ref="V534:V565" si="696">F534-T534</f>
        <v>1</v>
      </c>
      <c r="W534" s="630">
        <f t="shared" si="695"/>
        <v>103.79</v>
      </c>
    </row>
    <row r="535" spans="1:23">
      <c r="A535" s="190" t="s">
        <v>668</v>
      </c>
      <c r="B535" s="191">
        <v>150628</v>
      </c>
      <c r="C535" s="657" t="s">
        <v>351</v>
      </c>
      <c r="D535" s="192" t="s">
        <v>59</v>
      </c>
      <c r="E535" s="193">
        <v>7.47</v>
      </c>
      <c r="F535" s="194">
        <v>20</v>
      </c>
      <c r="G535" s="194"/>
      <c r="H535" s="194"/>
      <c r="I535" s="194"/>
      <c r="J535" s="193">
        <f t="shared" si="688"/>
        <v>20</v>
      </c>
      <c r="K535" s="193">
        <f t="shared" si="689"/>
        <v>149.4</v>
      </c>
      <c r="L535" s="193"/>
      <c r="M535" s="193"/>
      <c r="N535" s="193"/>
      <c r="O535" s="622">
        <f t="shared" si="690"/>
        <v>149.4</v>
      </c>
      <c r="P535" s="194">
        <f>'4.6.1.13'!R20</f>
        <v>15</v>
      </c>
      <c r="Q535" s="622">
        <f t="shared" si="691"/>
        <v>112.05</v>
      </c>
      <c r="R535" s="745">
        <f>'4.6.1.13'!R21</f>
        <v>0</v>
      </c>
      <c r="S535" s="746">
        <f t="shared" si="692"/>
        <v>0</v>
      </c>
      <c r="T535" s="194">
        <f t="shared" si="693"/>
        <v>15</v>
      </c>
      <c r="U535" s="630">
        <f t="shared" si="694"/>
        <v>112.05</v>
      </c>
      <c r="V535" s="194">
        <f t="shared" si="696"/>
        <v>5</v>
      </c>
      <c r="W535" s="630">
        <f t="shared" si="695"/>
        <v>37.35</v>
      </c>
    </row>
    <row r="536" spans="1:23" ht="25.5">
      <c r="A536" s="190" t="s">
        <v>669</v>
      </c>
      <c r="B536" s="191">
        <v>151417</v>
      </c>
      <c r="C536" s="657" t="s">
        <v>352</v>
      </c>
      <c r="D536" s="192" t="s">
        <v>51</v>
      </c>
      <c r="E536" s="193">
        <v>5.86</v>
      </c>
      <c r="F536" s="194">
        <v>169.2</v>
      </c>
      <c r="G536" s="194"/>
      <c r="H536" s="194"/>
      <c r="I536" s="194"/>
      <c r="J536" s="193">
        <f t="shared" si="688"/>
        <v>169.2</v>
      </c>
      <c r="K536" s="193">
        <f t="shared" si="689"/>
        <v>991.51199999999994</v>
      </c>
      <c r="L536" s="193"/>
      <c r="M536" s="193"/>
      <c r="N536" s="193"/>
      <c r="O536" s="622">
        <f t="shared" si="690"/>
        <v>991.51199999999994</v>
      </c>
      <c r="P536" s="194">
        <v>0</v>
      </c>
      <c r="Q536" s="622">
        <f t="shared" si="691"/>
        <v>0</v>
      </c>
      <c r="R536" s="745">
        <f>IFERROR(VLOOKUP(A536,#REF!,18,FALSE),)</f>
        <v>0</v>
      </c>
      <c r="S536" s="746">
        <f t="shared" si="692"/>
        <v>0</v>
      </c>
      <c r="T536" s="194">
        <f t="shared" si="693"/>
        <v>0</v>
      </c>
      <c r="U536" s="630">
        <f t="shared" si="694"/>
        <v>0</v>
      </c>
      <c r="V536" s="194">
        <f t="shared" si="696"/>
        <v>169.2</v>
      </c>
      <c r="W536" s="630">
        <f t="shared" si="695"/>
        <v>991.51199999999994</v>
      </c>
    </row>
    <row r="537" spans="1:23" ht="25.5">
      <c r="A537" s="190" t="s">
        <v>670</v>
      </c>
      <c r="B537" s="191">
        <v>151418</v>
      </c>
      <c r="C537" s="657" t="s">
        <v>353</v>
      </c>
      <c r="D537" s="192" t="s">
        <v>51</v>
      </c>
      <c r="E537" s="193">
        <v>6.74</v>
      </c>
      <c r="F537" s="194">
        <v>333.8</v>
      </c>
      <c r="G537" s="194"/>
      <c r="H537" s="194"/>
      <c r="I537" s="194"/>
      <c r="J537" s="193">
        <f t="shared" si="688"/>
        <v>333.8</v>
      </c>
      <c r="K537" s="193">
        <f t="shared" si="689"/>
        <v>2249.8120000000004</v>
      </c>
      <c r="L537" s="193"/>
      <c r="M537" s="193"/>
      <c r="N537" s="193"/>
      <c r="O537" s="622">
        <f t="shared" si="690"/>
        <v>2249.8120000000004</v>
      </c>
      <c r="P537" s="194">
        <v>0</v>
      </c>
      <c r="Q537" s="622">
        <f t="shared" si="691"/>
        <v>0</v>
      </c>
      <c r="R537" s="745">
        <f>IFERROR(VLOOKUP(A537,#REF!,18,FALSE),)</f>
        <v>0</v>
      </c>
      <c r="S537" s="746">
        <f t="shared" si="692"/>
        <v>0</v>
      </c>
      <c r="T537" s="194">
        <f t="shared" si="693"/>
        <v>0</v>
      </c>
      <c r="U537" s="630">
        <f t="shared" si="694"/>
        <v>0</v>
      </c>
      <c r="V537" s="194">
        <f t="shared" si="696"/>
        <v>333.8</v>
      </c>
      <c r="W537" s="630">
        <f t="shared" si="695"/>
        <v>2249.8120000000004</v>
      </c>
    </row>
    <row r="538" spans="1:23" ht="25.5">
      <c r="A538" s="190" t="s">
        <v>671</v>
      </c>
      <c r="B538" s="191">
        <v>151420</v>
      </c>
      <c r="C538" s="657" t="s">
        <v>354</v>
      </c>
      <c r="D538" s="192" t="s">
        <v>51</v>
      </c>
      <c r="E538" s="193">
        <v>10.63</v>
      </c>
      <c r="F538" s="194">
        <v>60</v>
      </c>
      <c r="G538" s="194"/>
      <c r="H538" s="194"/>
      <c r="I538" s="194"/>
      <c r="J538" s="193">
        <f t="shared" si="688"/>
        <v>60</v>
      </c>
      <c r="K538" s="193">
        <f t="shared" si="689"/>
        <v>637.80000000000007</v>
      </c>
      <c r="L538" s="193"/>
      <c r="M538" s="193"/>
      <c r="N538" s="193"/>
      <c r="O538" s="622">
        <f t="shared" si="690"/>
        <v>637.80000000000007</v>
      </c>
      <c r="P538" s="194">
        <v>0</v>
      </c>
      <c r="Q538" s="622">
        <f t="shared" si="691"/>
        <v>0</v>
      </c>
      <c r="R538" s="745">
        <f>IFERROR(VLOOKUP(A538,#REF!,18,FALSE),)</f>
        <v>0</v>
      </c>
      <c r="S538" s="746">
        <f t="shared" si="692"/>
        <v>0</v>
      </c>
      <c r="T538" s="194">
        <f t="shared" si="693"/>
        <v>0</v>
      </c>
      <c r="U538" s="630">
        <f t="shared" si="694"/>
        <v>0</v>
      </c>
      <c r="V538" s="194">
        <f t="shared" si="696"/>
        <v>60</v>
      </c>
      <c r="W538" s="630">
        <f t="shared" si="695"/>
        <v>637.80000000000007</v>
      </c>
    </row>
    <row r="539" spans="1:23" ht="38.25">
      <c r="A539" s="190" t="s">
        <v>672</v>
      </c>
      <c r="B539" s="191">
        <v>151809</v>
      </c>
      <c r="C539" s="657" t="s">
        <v>355</v>
      </c>
      <c r="D539" s="192" t="s">
        <v>59</v>
      </c>
      <c r="E539" s="193">
        <v>150.13</v>
      </c>
      <c r="F539" s="194">
        <v>1</v>
      </c>
      <c r="G539" s="194"/>
      <c r="H539" s="194"/>
      <c r="I539" s="194"/>
      <c r="J539" s="193">
        <f t="shared" si="688"/>
        <v>1</v>
      </c>
      <c r="K539" s="193">
        <f t="shared" si="689"/>
        <v>150.13</v>
      </c>
      <c r="L539" s="193"/>
      <c r="M539" s="193"/>
      <c r="N539" s="193"/>
      <c r="O539" s="622">
        <f t="shared" si="690"/>
        <v>150.13</v>
      </c>
      <c r="P539" s="194">
        <v>0</v>
      </c>
      <c r="Q539" s="622">
        <f t="shared" si="691"/>
        <v>0</v>
      </c>
      <c r="R539" s="745">
        <f>IFERROR(VLOOKUP(A539,#REF!,18,FALSE),)</f>
        <v>0</v>
      </c>
      <c r="S539" s="746">
        <f t="shared" si="692"/>
        <v>0</v>
      </c>
      <c r="T539" s="194">
        <f t="shared" si="693"/>
        <v>0</v>
      </c>
      <c r="U539" s="630">
        <f t="shared" si="694"/>
        <v>0</v>
      </c>
      <c r="V539" s="194">
        <f t="shared" si="696"/>
        <v>1</v>
      </c>
      <c r="W539" s="630">
        <f t="shared" si="695"/>
        <v>150.13</v>
      </c>
    </row>
    <row r="540" spans="1:23" ht="38.25">
      <c r="A540" s="190" t="s">
        <v>673</v>
      </c>
      <c r="B540" s="191">
        <v>151803</v>
      </c>
      <c r="C540" s="657" t="s">
        <v>356</v>
      </c>
      <c r="D540" s="192" t="s">
        <v>59</v>
      </c>
      <c r="E540" s="193">
        <v>170.86</v>
      </c>
      <c r="F540" s="194">
        <v>11</v>
      </c>
      <c r="G540" s="194"/>
      <c r="H540" s="194"/>
      <c r="I540" s="194"/>
      <c r="J540" s="193">
        <f t="shared" si="688"/>
        <v>11</v>
      </c>
      <c r="K540" s="193">
        <f t="shared" si="689"/>
        <v>1879.46</v>
      </c>
      <c r="L540" s="193"/>
      <c r="M540" s="193"/>
      <c r="N540" s="193"/>
      <c r="O540" s="622">
        <f t="shared" si="690"/>
        <v>1879.46</v>
      </c>
      <c r="P540" s="194">
        <v>0</v>
      </c>
      <c r="Q540" s="622">
        <f t="shared" si="691"/>
        <v>0</v>
      </c>
      <c r="R540" s="745">
        <f>IFERROR(VLOOKUP(A540,#REF!,18,FALSE),)</f>
        <v>0</v>
      </c>
      <c r="S540" s="746">
        <f t="shared" si="692"/>
        <v>0</v>
      </c>
      <c r="T540" s="194">
        <f t="shared" si="693"/>
        <v>0</v>
      </c>
      <c r="U540" s="630">
        <f t="shared" si="694"/>
        <v>0</v>
      </c>
      <c r="V540" s="194">
        <f t="shared" si="696"/>
        <v>11</v>
      </c>
      <c r="W540" s="630">
        <f t="shared" si="695"/>
        <v>1879.46</v>
      </c>
    </row>
    <row r="541" spans="1:23" ht="25.5">
      <c r="A541" s="190" t="s">
        <v>674</v>
      </c>
      <c r="B541" s="191">
        <v>151338</v>
      </c>
      <c r="C541" s="657" t="s">
        <v>357</v>
      </c>
      <c r="D541" s="192" t="s">
        <v>59</v>
      </c>
      <c r="E541" s="193">
        <v>18.14</v>
      </c>
      <c r="F541" s="194">
        <v>1</v>
      </c>
      <c r="G541" s="194"/>
      <c r="H541" s="194"/>
      <c r="I541" s="194"/>
      <c r="J541" s="193">
        <f t="shared" si="688"/>
        <v>1</v>
      </c>
      <c r="K541" s="193">
        <f t="shared" si="689"/>
        <v>18.14</v>
      </c>
      <c r="L541" s="193"/>
      <c r="M541" s="193"/>
      <c r="N541" s="193"/>
      <c r="O541" s="622">
        <f t="shared" si="690"/>
        <v>18.14</v>
      </c>
      <c r="P541" s="194">
        <v>0</v>
      </c>
      <c r="Q541" s="622">
        <f t="shared" si="691"/>
        <v>0</v>
      </c>
      <c r="R541" s="745">
        <f>IFERROR(VLOOKUP(A541,#REF!,18,FALSE),)</f>
        <v>0</v>
      </c>
      <c r="S541" s="746">
        <f t="shared" si="692"/>
        <v>0</v>
      </c>
      <c r="T541" s="194">
        <f t="shared" si="693"/>
        <v>0</v>
      </c>
      <c r="U541" s="630">
        <f t="shared" si="694"/>
        <v>0</v>
      </c>
      <c r="V541" s="194">
        <f t="shared" si="696"/>
        <v>1</v>
      </c>
      <c r="W541" s="630">
        <f t="shared" si="695"/>
        <v>18.14</v>
      </c>
    </row>
    <row r="542" spans="1:23" ht="25.5">
      <c r="A542" s="190" t="s">
        <v>675</v>
      </c>
      <c r="B542" s="191">
        <v>151301</v>
      </c>
      <c r="C542" s="657" t="s">
        <v>358</v>
      </c>
      <c r="D542" s="192" t="s">
        <v>59</v>
      </c>
      <c r="E542" s="193">
        <v>18.14</v>
      </c>
      <c r="F542" s="194">
        <v>1</v>
      </c>
      <c r="G542" s="194"/>
      <c r="H542" s="194"/>
      <c r="I542" s="194"/>
      <c r="J542" s="193">
        <f t="shared" si="688"/>
        <v>1</v>
      </c>
      <c r="K542" s="193">
        <f t="shared" si="689"/>
        <v>18.14</v>
      </c>
      <c r="L542" s="193"/>
      <c r="M542" s="193"/>
      <c r="N542" s="193"/>
      <c r="O542" s="622">
        <f t="shared" si="690"/>
        <v>18.14</v>
      </c>
      <c r="P542" s="194">
        <v>0</v>
      </c>
      <c r="Q542" s="622">
        <f t="shared" si="691"/>
        <v>0</v>
      </c>
      <c r="R542" s="745">
        <f>IFERROR(VLOOKUP(A542,#REF!,18,FALSE),)</f>
        <v>0</v>
      </c>
      <c r="S542" s="746">
        <f t="shared" si="692"/>
        <v>0</v>
      </c>
      <c r="T542" s="194">
        <f t="shared" si="693"/>
        <v>0</v>
      </c>
      <c r="U542" s="630">
        <f t="shared" si="694"/>
        <v>0</v>
      </c>
      <c r="V542" s="194">
        <f t="shared" si="696"/>
        <v>1</v>
      </c>
      <c r="W542" s="630">
        <f t="shared" si="695"/>
        <v>18.14</v>
      </c>
    </row>
    <row r="543" spans="1:23" ht="25.5">
      <c r="A543" s="190" t="s">
        <v>676</v>
      </c>
      <c r="B543" s="191">
        <v>151303</v>
      </c>
      <c r="C543" s="657" t="s">
        <v>359</v>
      </c>
      <c r="D543" s="192" t="s">
        <v>59</v>
      </c>
      <c r="E543" s="193">
        <v>18.14</v>
      </c>
      <c r="F543" s="194">
        <v>1</v>
      </c>
      <c r="G543" s="194"/>
      <c r="H543" s="194"/>
      <c r="I543" s="194"/>
      <c r="J543" s="193">
        <f t="shared" si="688"/>
        <v>1</v>
      </c>
      <c r="K543" s="193">
        <f t="shared" si="689"/>
        <v>18.14</v>
      </c>
      <c r="L543" s="193"/>
      <c r="M543" s="193"/>
      <c r="N543" s="193"/>
      <c r="O543" s="622">
        <f t="shared" si="690"/>
        <v>18.14</v>
      </c>
      <c r="P543" s="194">
        <v>0</v>
      </c>
      <c r="Q543" s="622">
        <f t="shared" si="691"/>
        <v>0</v>
      </c>
      <c r="R543" s="745">
        <f>IFERROR(VLOOKUP(A543,#REF!,18,FALSE),)</f>
        <v>0</v>
      </c>
      <c r="S543" s="746">
        <f t="shared" si="692"/>
        <v>0</v>
      </c>
      <c r="T543" s="194">
        <f t="shared" si="693"/>
        <v>0</v>
      </c>
      <c r="U543" s="630">
        <f t="shared" si="694"/>
        <v>0</v>
      </c>
      <c r="V543" s="194">
        <f t="shared" si="696"/>
        <v>1</v>
      </c>
      <c r="W543" s="630">
        <f t="shared" si="695"/>
        <v>18.14</v>
      </c>
    </row>
    <row r="544" spans="1:23" ht="25.5">
      <c r="A544" s="190" t="s">
        <v>677</v>
      </c>
      <c r="B544" s="191">
        <v>151318</v>
      </c>
      <c r="C544" s="657" t="s">
        <v>547</v>
      </c>
      <c r="D544" s="192" t="s">
        <v>59</v>
      </c>
      <c r="E544" s="193">
        <v>22.63</v>
      </c>
      <c r="F544" s="194">
        <v>1</v>
      </c>
      <c r="G544" s="194"/>
      <c r="H544" s="194"/>
      <c r="I544" s="194"/>
      <c r="J544" s="193">
        <f t="shared" si="688"/>
        <v>1</v>
      </c>
      <c r="K544" s="193">
        <f t="shared" si="689"/>
        <v>22.63</v>
      </c>
      <c r="L544" s="193"/>
      <c r="M544" s="193"/>
      <c r="N544" s="193"/>
      <c r="O544" s="622">
        <f t="shared" si="690"/>
        <v>22.63</v>
      </c>
      <c r="P544" s="194">
        <v>0</v>
      </c>
      <c r="Q544" s="622">
        <f t="shared" si="691"/>
        <v>0</v>
      </c>
      <c r="R544" s="745">
        <f>IFERROR(VLOOKUP(A544,#REF!,18,FALSE),)</f>
        <v>0</v>
      </c>
      <c r="S544" s="746">
        <f t="shared" si="692"/>
        <v>0</v>
      </c>
      <c r="T544" s="194">
        <f t="shared" si="693"/>
        <v>0</v>
      </c>
      <c r="U544" s="630">
        <f t="shared" si="694"/>
        <v>0</v>
      </c>
      <c r="V544" s="194">
        <f t="shared" si="696"/>
        <v>1</v>
      </c>
      <c r="W544" s="630">
        <f t="shared" si="695"/>
        <v>22.63</v>
      </c>
    </row>
    <row r="545" spans="1:23">
      <c r="A545" s="190" t="s">
        <v>678</v>
      </c>
      <c r="B545" s="191">
        <v>151350</v>
      </c>
      <c r="C545" s="657" t="s">
        <v>360</v>
      </c>
      <c r="D545" s="192" t="s">
        <v>59</v>
      </c>
      <c r="E545" s="193">
        <v>133.04</v>
      </c>
      <c r="F545" s="194">
        <v>1</v>
      </c>
      <c r="G545" s="194"/>
      <c r="H545" s="194"/>
      <c r="I545" s="194"/>
      <c r="J545" s="193">
        <f t="shared" si="688"/>
        <v>1</v>
      </c>
      <c r="K545" s="193">
        <f t="shared" si="689"/>
        <v>133.04</v>
      </c>
      <c r="L545" s="193"/>
      <c r="M545" s="193"/>
      <c r="N545" s="193"/>
      <c r="O545" s="622">
        <f t="shared" si="690"/>
        <v>133.04</v>
      </c>
      <c r="P545" s="194">
        <v>0</v>
      </c>
      <c r="Q545" s="622">
        <f t="shared" si="691"/>
        <v>0</v>
      </c>
      <c r="R545" s="745">
        <f>IFERROR(VLOOKUP(A545,#REF!,18,FALSE),)</f>
        <v>0</v>
      </c>
      <c r="S545" s="746">
        <f t="shared" si="692"/>
        <v>0</v>
      </c>
      <c r="T545" s="194">
        <f t="shared" si="693"/>
        <v>0</v>
      </c>
      <c r="U545" s="630">
        <f t="shared" si="694"/>
        <v>0</v>
      </c>
      <c r="V545" s="194">
        <f t="shared" si="696"/>
        <v>1</v>
      </c>
      <c r="W545" s="630">
        <f t="shared" si="695"/>
        <v>133.04</v>
      </c>
    </row>
    <row r="546" spans="1:23">
      <c r="A546" s="190" t="s">
        <v>679</v>
      </c>
      <c r="B546" s="191">
        <v>151132</v>
      </c>
      <c r="C546" s="657" t="s">
        <v>361</v>
      </c>
      <c r="D546" s="192" t="s">
        <v>51</v>
      </c>
      <c r="E546" s="193">
        <v>7.5</v>
      </c>
      <c r="F546" s="194">
        <v>78.400000000000006</v>
      </c>
      <c r="G546" s="194"/>
      <c r="H546" s="194"/>
      <c r="I546" s="194"/>
      <c r="J546" s="193">
        <f t="shared" si="688"/>
        <v>78.400000000000006</v>
      </c>
      <c r="K546" s="193">
        <f t="shared" si="689"/>
        <v>588</v>
      </c>
      <c r="L546" s="193"/>
      <c r="M546" s="193"/>
      <c r="N546" s="193"/>
      <c r="O546" s="622">
        <f t="shared" si="690"/>
        <v>588</v>
      </c>
      <c r="P546" s="194">
        <f>'4.6.1.14'!R20</f>
        <v>64.400000000000006</v>
      </c>
      <c r="Q546" s="622">
        <f t="shared" si="691"/>
        <v>483</v>
      </c>
      <c r="R546" s="745">
        <f>'4.6.1.14'!R21</f>
        <v>0</v>
      </c>
      <c r="S546" s="746">
        <f t="shared" si="692"/>
        <v>0</v>
      </c>
      <c r="T546" s="194">
        <f t="shared" si="693"/>
        <v>64.400000000000006</v>
      </c>
      <c r="U546" s="630">
        <f t="shared" si="694"/>
        <v>483</v>
      </c>
      <c r="V546" s="194">
        <f t="shared" si="696"/>
        <v>14</v>
      </c>
      <c r="W546" s="630">
        <f t="shared" si="695"/>
        <v>105</v>
      </c>
    </row>
    <row r="547" spans="1:23" ht="25.5">
      <c r="A547" s="190" t="s">
        <v>680</v>
      </c>
      <c r="B547" s="191">
        <v>150801</v>
      </c>
      <c r="C547" s="657" t="s">
        <v>362</v>
      </c>
      <c r="D547" s="192" t="s">
        <v>51</v>
      </c>
      <c r="E547" s="193">
        <v>12.67</v>
      </c>
      <c r="F547" s="194">
        <v>70</v>
      </c>
      <c r="G547" s="194"/>
      <c r="H547" s="194"/>
      <c r="I547" s="194"/>
      <c r="J547" s="193">
        <f t="shared" si="688"/>
        <v>70</v>
      </c>
      <c r="K547" s="193">
        <f t="shared" si="689"/>
        <v>886.9</v>
      </c>
      <c r="L547" s="193"/>
      <c r="M547" s="193"/>
      <c r="N547" s="193"/>
      <c r="O547" s="622">
        <f t="shared" si="690"/>
        <v>886.9</v>
      </c>
      <c r="P547" s="194">
        <v>0</v>
      </c>
      <c r="Q547" s="622">
        <f t="shared" si="691"/>
        <v>0</v>
      </c>
      <c r="R547" s="745">
        <f>IFERROR(VLOOKUP(A547,#REF!,18,FALSE),)</f>
        <v>0</v>
      </c>
      <c r="S547" s="746">
        <f t="shared" si="692"/>
        <v>0</v>
      </c>
      <c r="T547" s="194">
        <f t="shared" si="693"/>
        <v>0</v>
      </c>
      <c r="U547" s="630">
        <f t="shared" si="694"/>
        <v>0</v>
      </c>
      <c r="V547" s="194">
        <f t="shared" si="696"/>
        <v>70</v>
      </c>
      <c r="W547" s="630">
        <f t="shared" si="695"/>
        <v>886.9</v>
      </c>
    </row>
    <row r="548" spans="1:23">
      <c r="A548" s="190" t="s">
        <v>681</v>
      </c>
      <c r="B548" s="191">
        <v>180110</v>
      </c>
      <c r="C548" s="657" t="s">
        <v>363</v>
      </c>
      <c r="D548" s="192" t="s">
        <v>59</v>
      </c>
      <c r="E548" s="193">
        <v>106.15</v>
      </c>
      <c r="F548" s="194">
        <v>5</v>
      </c>
      <c r="G548" s="194"/>
      <c r="H548" s="194"/>
      <c r="I548" s="194"/>
      <c r="J548" s="193">
        <f t="shared" si="688"/>
        <v>5</v>
      </c>
      <c r="K548" s="193">
        <f t="shared" si="689"/>
        <v>530.75</v>
      </c>
      <c r="L548" s="193"/>
      <c r="M548" s="193"/>
      <c r="N548" s="193"/>
      <c r="O548" s="622">
        <f t="shared" si="690"/>
        <v>530.75</v>
      </c>
      <c r="P548" s="194">
        <v>0</v>
      </c>
      <c r="Q548" s="622">
        <f t="shared" si="691"/>
        <v>0</v>
      </c>
      <c r="R548" s="745">
        <f>IFERROR(VLOOKUP(A548,#REF!,18,FALSE),)</f>
        <v>0</v>
      </c>
      <c r="S548" s="746">
        <f t="shared" si="692"/>
        <v>0</v>
      </c>
      <c r="T548" s="194">
        <f t="shared" si="693"/>
        <v>0</v>
      </c>
      <c r="U548" s="630">
        <f t="shared" si="694"/>
        <v>0</v>
      </c>
      <c r="V548" s="194">
        <f t="shared" si="696"/>
        <v>5</v>
      </c>
      <c r="W548" s="630">
        <f t="shared" si="695"/>
        <v>530.75</v>
      </c>
    </row>
    <row r="549" spans="1:23" ht="18.75" customHeight="1">
      <c r="A549" s="190" t="s">
        <v>682</v>
      </c>
      <c r="B549" s="191" t="s">
        <v>367</v>
      </c>
      <c r="C549" s="657" t="s">
        <v>364</v>
      </c>
      <c r="D549" s="192" t="s">
        <v>72</v>
      </c>
      <c r="E549" s="193">
        <v>362.44</v>
      </c>
      <c r="F549" s="194">
        <v>20</v>
      </c>
      <c r="G549" s="194"/>
      <c r="H549" s="194"/>
      <c r="I549" s="194"/>
      <c r="J549" s="193">
        <f t="shared" si="688"/>
        <v>20</v>
      </c>
      <c r="K549" s="193">
        <f t="shared" si="689"/>
        <v>7248.8</v>
      </c>
      <c r="L549" s="193"/>
      <c r="M549" s="193"/>
      <c r="N549" s="193"/>
      <c r="O549" s="622">
        <f t="shared" si="690"/>
        <v>7248.8</v>
      </c>
      <c r="P549" s="194">
        <f>'4.6.1.17'!R20</f>
        <v>8</v>
      </c>
      <c r="Q549" s="622">
        <f t="shared" si="691"/>
        <v>2899.52</v>
      </c>
      <c r="R549" s="745">
        <f>'4.4.1.17excluir'!N18</f>
        <v>0</v>
      </c>
      <c r="S549" s="746">
        <f t="shared" si="692"/>
        <v>0</v>
      </c>
      <c r="T549" s="194">
        <f t="shared" si="693"/>
        <v>8</v>
      </c>
      <c r="U549" s="630">
        <f t="shared" si="694"/>
        <v>2899.52</v>
      </c>
      <c r="V549" s="194">
        <f t="shared" si="696"/>
        <v>12</v>
      </c>
      <c r="W549" s="630">
        <f t="shared" si="695"/>
        <v>4349.28</v>
      </c>
    </row>
    <row r="550" spans="1:23" ht="25.5">
      <c r="A550" s="190" t="s">
        <v>683</v>
      </c>
      <c r="B550" s="191" t="s">
        <v>368</v>
      </c>
      <c r="C550" s="657" t="s">
        <v>365</v>
      </c>
      <c r="D550" s="192" t="s">
        <v>72</v>
      </c>
      <c r="E550" s="193">
        <v>4976.67</v>
      </c>
      <c r="F550" s="194">
        <v>2</v>
      </c>
      <c r="G550" s="194"/>
      <c r="H550" s="194"/>
      <c r="I550" s="194"/>
      <c r="J550" s="193">
        <f t="shared" si="688"/>
        <v>2</v>
      </c>
      <c r="K550" s="193">
        <f t="shared" si="689"/>
        <v>9953.34</v>
      </c>
      <c r="L550" s="193"/>
      <c r="M550" s="193"/>
      <c r="N550" s="193"/>
      <c r="O550" s="622">
        <f t="shared" si="690"/>
        <v>9953.34</v>
      </c>
      <c r="P550" s="194">
        <v>0</v>
      </c>
      <c r="Q550" s="622">
        <f t="shared" si="691"/>
        <v>0</v>
      </c>
      <c r="R550" s="745">
        <f>IFERROR(VLOOKUP(A550,#REF!,18,FALSE),)</f>
        <v>0</v>
      </c>
      <c r="S550" s="746">
        <f t="shared" si="692"/>
        <v>0</v>
      </c>
      <c r="T550" s="194">
        <f t="shared" si="693"/>
        <v>0</v>
      </c>
      <c r="U550" s="630">
        <f t="shared" si="694"/>
        <v>0</v>
      </c>
      <c r="V550" s="194">
        <f t="shared" si="696"/>
        <v>2</v>
      </c>
      <c r="W550" s="630">
        <f t="shared" si="695"/>
        <v>9953.34</v>
      </c>
    </row>
    <row r="551" spans="1:23" ht="25.5">
      <c r="A551" s="190" t="s">
        <v>684</v>
      </c>
      <c r="B551" s="191" t="s">
        <v>369</v>
      </c>
      <c r="C551" s="657" t="s">
        <v>366</v>
      </c>
      <c r="D551" s="192" t="s">
        <v>10</v>
      </c>
      <c r="E551" s="193">
        <v>12903.37</v>
      </c>
      <c r="F551" s="194">
        <v>1</v>
      </c>
      <c r="G551" s="194"/>
      <c r="H551" s="194"/>
      <c r="I551" s="194"/>
      <c r="J551" s="193">
        <f t="shared" si="688"/>
        <v>1</v>
      </c>
      <c r="K551" s="193">
        <f t="shared" si="689"/>
        <v>12903.37</v>
      </c>
      <c r="L551" s="193"/>
      <c r="M551" s="193"/>
      <c r="N551" s="193"/>
      <c r="O551" s="622">
        <f t="shared" si="690"/>
        <v>12903.37</v>
      </c>
      <c r="P551" s="194">
        <v>0</v>
      </c>
      <c r="Q551" s="622">
        <f t="shared" si="691"/>
        <v>0</v>
      </c>
      <c r="R551" s="745">
        <f>IFERROR(VLOOKUP(A551,#REF!,18,FALSE),)</f>
        <v>0</v>
      </c>
      <c r="S551" s="746">
        <f t="shared" si="692"/>
        <v>0</v>
      </c>
      <c r="T551" s="194">
        <f t="shared" si="693"/>
        <v>0</v>
      </c>
      <c r="U551" s="630">
        <f t="shared" si="694"/>
        <v>0</v>
      </c>
      <c r="V551" s="194">
        <f t="shared" si="696"/>
        <v>1</v>
      </c>
      <c r="W551" s="630">
        <f t="shared" si="695"/>
        <v>12903.37</v>
      </c>
    </row>
    <row r="552" spans="1:23">
      <c r="A552" s="138"/>
      <c r="B552" s="132"/>
      <c r="C552" s="123"/>
      <c r="D552" s="123"/>
      <c r="E552" s="123"/>
      <c r="F552" s="123"/>
      <c r="G552" s="123"/>
      <c r="H552" s="123"/>
      <c r="I552" s="123"/>
      <c r="J552" s="123"/>
      <c r="K552" s="123"/>
      <c r="L552" s="123"/>
      <c r="M552" s="123"/>
      <c r="N552" s="123"/>
      <c r="O552" s="623"/>
      <c r="P552" s="123"/>
      <c r="Q552" s="623"/>
      <c r="R552" s="791"/>
      <c r="S552" s="792"/>
      <c r="T552" s="123"/>
      <c r="U552" s="631"/>
      <c r="V552" s="123"/>
      <c r="W552" s="631"/>
    </row>
    <row r="553" spans="1:23" s="131" customFormat="1">
      <c r="A553" s="137" t="s">
        <v>686</v>
      </c>
      <c r="B553" s="133"/>
      <c r="C553" s="658" t="s">
        <v>371</v>
      </c>
      <c r="D553" s="126"/>
      <c r="E553" s="127"/>
      <c r="F553" s="128"/>
      <c r="G553" s="128"/>
      <c r="H553" s="128"/>
      <c r="I553" s="128"/>
      <c r="J553" s="129"/>
      <c r="K553" s="129">
        <f>SUBTOTAL(9,K554:K557)</f>
        <v>3378.9830000000002</v>
      </c>
      <c r="L553" s="129"/>
      <c r="M553" s="129"/>
      <c r="N553" s="129"/>
      <c r="O553" s="624"/>
      <c r="P553" s="130"/>
      <c r="Q553" s="624">
        <f>SUBTOTAL(9,Q554:Q557)</f>
        <v>2742.85</v>
      </c>
      <c r="R553" s="743"/>
      <c r="S553" s="744">
        <f>SUBTOTAL(9,S554:S557)</f>
        <v>0</v>
      </c>
      <c r="T553" s="129"/>
      <c r="U553" s="624">
        <f>SUBTOTAL(9,U554:U557)</f>
        <v>2742.85</v>
      </c>
      <c r="V553" s="129">
        <f t="shared" si="696"/>
        <v>0</v>
      </c>
      <c r="W553" s="624">
        <f>SUBTOTAL(9,W554:W557)</f>
        <v>636.13</v>
      </c>
    </row>
    <row r="554" spans="1:23" ht="38.25">
      <c r="A554" s="190" t="s">
        <v>687</v>
      </c>
      <c r="B554" s="191">
        <v>150610</v>
      </c>
      <c r="C554" s="657" t="s">
        <v>376</v>
      </c>
      <c r="D554" s="192" t="s">
        <v>59</v>
      </c>
      <c r="E554" s="193">
        <v>188.46</v>
      </c>
      <c r="F554" s="194">
        <v>4</v>
      </c>
      <c r="G554" s="194"/>
      <c r="H554" s="194"/>
      <c r="I554" s="194"/>
      <c r="J554" s="193">
        <f t="shared" ref="J554:J557" si="697">F554+H554-I554</f>
        <v>4</v>
      </c>
      <c r="K554" s="193">
        <f t="shared" ref="K554:K557" si="698">J554*E554</f>
        <v>753.84</v>
      </c>
      <c r="L554" s="193"/>
      <c r="M554" s="193"/>
      <c r="N554" s="193"/>
      <c r="O554" s="622">
        <f t="shared" ref="O554:O557" si="699">J554*E554</f>
        <v>753.84</v>
      </c>
      <c r="P554" s="194">
        <f>'4.6.2.1'!R20</f>
        <v>2</v>
      </c>
      <c r="Q554" s="622">
        <f t="shared" ref="Q554" si="700">TRUNC(P554*E554,2)</f>
        <v>376.92</v>
      </c>
      <c r="R554" s="745">
        <f>'4.6.2.1'!R21</f>
        <v>0</v>
      </c>
      <c r="S554" s="746">
        <f t="shared" ref="S554" si="701">U554-Q554</f>
        <v>0</v>
      </c>
      <c r="T554" s="194">
        <f t="shared" ref="T554" si="702">R554+P554</f>
        <v>2</v>
      </c>
      <c r="U554" s="630">
        <f t="shared" ref="U554" si="703">TRUNC(T554*E554,2)</f>
        <v>376.92</v>
      </c>
      <c r="V554" s="194">
        <f t="shared" si="696"/>
        <v>2</v>
      </c>
      <c r="W554" s="630">
        <f t="shared" ref="W554:W557" si="704">V554*E554</f>
        <v>376.92</v>
      </c>
    </row>
    <row r="555" spans="1:23" ht="38.25">
      <c r="A555" s="190" t="s">
        <v>688</v>
      </c>
      <c r="B555" s="191">
        <v>160324</v>
      </c>
      <c r="C555" s="657" t="s">
        <v>546</v>
      </c>
      <c r="D555" s="192" t="s">
        <v>59</v>
      </c>
      <c r="E555" s="193">
        <v>199.91</v>
      </c>
      <c r="F555" s="194">
        <v>1</v>
      </c>
      <c r="G555" s="194"/>
      <c r="H555" s="194"/>
      <c r="I555" s="194"/>
      <c r="J555" s="193">
        <f t="shared" si="697"/>
        <v>1</v>
      </c>
      <c r="K555" s="193">
        <f t="shared" si="698"/>
        <v>199.91</v>
      </c>
      <c r="L555" s="193"/>
      <c r="M555" s="193"/>
      <c r="N555" s="193"/>
      <c r="O555" s="622">
        <f t="shared" si="699"/>
        <v>199.91</v>
      </c>
      <c r="P555" s="194">
        <v>0</v>
      </c>
      <c r="Q555" s="622">
        <f>TRUNC(P555*E555,2)</f>
        <v>0</v>
      </c>
      <c r="R555" s="745">
        <f>IFERROR(VLOOKUP(A555,#REF!,18,FALSE),)</f>
        <v>0</v>
      </c>
      <c r="S555" s="746">
        <f>U555-Q555</f>
        <v>0</v>
      </c>
      <c r="T555" s="194">
        <f>R555+P555</f>
        <v>0</v>
      </c>
      <c r="U555" s="630">
        <f>TRUNC(T555*E555,2)</f>
        <v>0</v>
      </c>
      <c r="V555" s="194">
        <f t="shared" si="696"/>
        <v>1</v>
      </c>
      <c r="W555" s="630">
        <f t="shared" si="704"/>
        <v>199.91</v>
      </c>
    </row>
    <row r="556" spans="1:23" ht="25.5">
      <c r="A556" s="190" t="s">
        <v>689</v>
      </c>
      <c r="B556" s="191">
        <v>160317</v>
      </c>
      <c r="C556" s="657" t="s">
        <v>377</v>
      </c>
      <c r="D556" s="192" t="s">
        <v>51</v>
      </c>
      <c r="E556" s="193">
        <v>33.369999999999997</v>
      </c>
      <c r="F556" s="194">
        <v>70.900000000000006</v>
      </c>
      <c r="G556" s="194"/>
      <c r="H556" s="194"/>
      <c r="I556" s="194"/>
      <c r="J556" s="193">
        <f t="shared" si="697"/>
        <v>70.900000000000006</v>
      </c>
      <c r="K556" s="193">
        <f t="shared" si="698"/>
        <v>2365.933</v>
      </c>
      <c r="L556" s="193"/>
      <c r="M556" s="193"/>
      <c r="N556" s="193"/>
      <c r="O556" s="622">
        <f t="shared" si="699"/>
        <v>2365.933</v>
      </c>
      <c r="P556" s="194">
        <f>'4.6.2.3'!R20</f>
        <v>70.900000000000006</v>
      </c>
      <c r="Q556" s="622">
        <f t="shared" ref="Q556:Q557" si="705">TRUNC(P556*E556,2)</f>
        <v>2365.9299999999998</v>
      </c>
      <c r="R556" s="745">
        <f>'4.6.2.3'!R21</f>
        <v>0</v>
      </c>
      <c r="S556" s="746">
        <f t="shared" ref="S556:S557" si="706">U556-Q556</f>
        <v>0</v>
      </c>
      <c r="T556" s="194">
        <f t="shared" ref="T556:T557" si="707">R556+P556</f>
        <v>70.900000000000006</v>
      </c>
      <c r="U556" s="630">
        <f t="shared" ref="U556:U557" si="708">TRUNC(T556*E556,2)</f>
        <v>2365.9299999999998</v>
      </c>
      <c r="V556" s="194">
        <f t="shared" si="696"/>
        <v>0</v>
      </c>
      <c r="W556" s="630">
        <f t="shared" si="704"/>
        <v>0</v>
      </c>
    </row>
    <row r="557" spans="1:23" ht="25.5">
      <c r="A557" s="190" t="s">
        <v>690</v>
      </c>
      <c r="B557" s="191">
        <v>160334</v>
      </c>
      <c r="C557" s="657" t="s">
        <v>378</v>
      </c>
      <c r="D557" s="192" t="s">
        <v>59</v>
      </c>
      <c r="E557" s="193">
        <v>29.65</v>
      </c>
      <c r="F557" s="194">
        <v>2</v>
      </c>
      <c r="G557" s="194"/>
      <c r="H557" s="194"/>
      <c r="I557" s="194"/>
      <c r="J557" s="193">
        <f t="shared" si="697"/>
        <v>2</v>
      </c>
      <c r="K557" s="193">
        <f t="shared" si="698"/>
        <v>59.3</v>
      </c>
      <c r="L557" s="193"/>
      <c r="M557" s="193"/>
      <c r="N557" s="193"/>
      <c r="O557" s="622">
        <f t="shared" si="699"/>
        <v>59.3</v>
      </c>
      <c r="P557" s="194">
        <v>0</v>
      </c>
      <c r="Q557" s="622">
        <f t="shared" si="705"/>
        <v>0</v>
      </c>
      <c r="R557" s="745">
        <f>IFERROR(VLOOKUP(A557,#REF!,18,FALSE),)</f>
        <v>0</v>
      </c>
      <c r="S557" s="746">
        <f t="shared" si="706"/>
        <v>0</v>
      </c>
      <c r="T557" s="194">
        <f t="shared" si="707"/>
        <v>0</v>
      </c>
      <c r="U557" s="630">
        <f t="shared" si="708"/>
        <v>0</v>
      </c>
      <c r="V557" s="194">
        <f t="shared" si="696"/>
        <v>2</v>
      </c>
      <c r="W557" s="630">
        <f t="shared" si="704"/>
        <v>59.3</v>
      </c>
    </row>
    <row r="558" spans="1:23">
      <c r="A558" s="138"/>
      <c r="B558" s="132"/>
      <c r="C558" s="123"/>
      <c r="D558" s="123"/>
      <c r="E558" s="123"/>
      <c r="F558" s="123"/>
      <c r="G558" s="123"/>
      <c r="H558" s="123"/>
      <c r="I558" s="123"/>
      <c r="J558" s="123"/>
      <c r="K558" s="123"/>
      <c r="L558" s="123"/>
      <c r="M558" s="123"/>
      <c r="N558" s="123"/>
      <c r="O558" s="623"/>
      <c r="P558" s="123"/>
      <c r="Q558" s="623"/>
      <c r="R558" s="791"/>
      <c r="S558" s="792"/>
      <c r="T558" s="123"/>
      <c r="U558" s="631"/>
      <c r="V558" s="123"/>
      <c r="W558" s="631"/>
    </row>
    <row r="559" spans="1:23" s="213" customFormat="1">
      <c r="A559" s="210" t="s">
        <v>691</v>
      </c>
      <c r="B559" s="211"/>
      <c r="C559" s="655" t="s">
        <v>380</v>
      </c>
      <c r="D559" s="197"/>
      <c r="E559" s="198"/>
      <c r="F559" s="199"/>
      <c r="G559" s="199"/>
      <c r="H559" s="199"/>
      <c r="I559" s="199"/>
      <c r="J559" s="200"/>
      <c r="K559" s="200">
        <f>SUBTOTAL(9,K560:K565)</f>
        <v>2437.2840000000001</v>
      </c>
      <c r="L559" s="200"/>
      <c r="M559" s="200"/>
      <c r="N559" s="200"/>
      <c r="O559" s="620"/>
      <c r="P559" s="201"/>
      <c r="Q559" s="620">
        <f>SUBTOTAL(9,Q560:Q565)</f>
        <v>0</v>
      </c>
      <c r="R559" s="743"/>
      <c r="S559" s="744">
        <f>SUBTOTAL(9,S560:S565)</f>
        <v>0</v>
      </c>
      <c r="T559" s="200"/>
      <c r="U559" s="620">
        <f>SUBTOTAL(9,U560:U565)</f>
        <v>0</v>
      </c>
      <c r="V559" s="200">
        <f t="shared" si="696"/>
        <v>0</v>
      </c>
      <c r="W559" s="620">
        <f>SUBTOTAL(9,W560:W565)</f>
        <v>2437.2840000000001</v>
      </c>
    </row>
    <row r="560" spans="1:23" s="131" customFormat="1">
      <c r="A560" s="137" t="s">
        <v>692</v>
      </c>
      <c r="B560" s="133"/>
      <c r="C560" s="658" t="s">
        <v>380</v>
      </c>
      <c r="D560" s="126"/>
      <c r="E560" s="127"/>
      <c r="F560" s="128"/>
      <c r="G560" s="128"/>
      <c r="H560" s="128"/>
      <c r="I560" s="128"/>
      <c r="J560" s="129"/>
      <c r="K560" s="129">
        <f>SUBTOTAL(9,K561:K565)</f>
        <v>2437.2840000000001</v>
      </c>
      <c r="L560" s="129"/>
      <c r="M560" s="129"/>
      <c r="N560" s="129"/>
      <c r="O560" s="624"/>
      <c r="P560" s="130"/>
      <c r="Q560" s="624">
        <f>SUBTOTAL(9,Q561:Q565)</f>
        <v>0</v>
      </c>
      <c r="R560" s="743"/>
      <c r="S560" s="744">
        <f>SUBTOTAL(9,S561:S565)</f>
        <v>0</v>
      </c>
      <c r="T560" s="129"/>
      <c r="U560" s="624">
        <f>SUBTOTAL(9,U561:U565)</f>
        <v>0</v>
      </c>
      <c r="V560" s="129">
        <f t="shared" si="696"/>
        <v>0</v>
      </c>
      <c r="W560" s="624">
        <f>SUBTOTAL(9,W561:W565)</f>
        <v>2437.2840000000001</v>
      </c>
    </row>
    <row r="561" spans="1:23" ht="25.5">
      <c r="A561" s="190" t="s">
        <v>693</v>
      </c>
      <c r="B561" s="191">
        <v>160612</v>
      </c>
      <c r="C561" s="657" t="s">
        <v>387</v>
      </c>
      <c r="D561" s="192" t="s">
        <v>59</v>
      </c>
      <c r="E561" s="193">
        <v>29.96</v>
      </c>
      <c r="F561" s="194">
        <v>2</v>
      </c>
      <c r="G561" s="194"/>
      <c r="H561" s="194"/>
      <c r="I561" s="194"/>
      <c r="J561" s="193">
        <f t="shared" ref="J561:J565" si="709">F561+H561-I561</f>
        <v>2</v>
      </c>
      <c r="K561" s="193">
        <f t="shared" ref="K561:K565" si="710">J561*E561</f>
        <v>59.92</v>
      </c>
      <c r="L561" s="193"/>
      <c r="M561" s="193"/>
      <c r="N561" s="193"/>
      <c r="O561" s="622">
        <f t="shared" ref="O561:O565" si="711">J561*E561</f>
        <v>59.92</v>
      </c>
      <c r="P561" s="194">
        <v>0</v>
      </c>
      <c r="Q561" s="622">
        <f t="shared" ref="Q561" si="712">TRUNC(P561*E561,2)</f>
        <v>0</v>
      </c>
      <c r="R561" s="745">
        <v>0</v>
      </c>
      <c r="S561" s="746">
        <f t="shared" ref="S561" si="713">U561-Q561</f>
        <v>0</v>
      </c>
      <c r="T561" s="194">
        <f t="shared" ref="T561" si="714">R561+P561</f>
        <v>0</v>
      </c>
      <c r="U561" s="630">
        <f t="shared" ref="U561" si="715">TRUNC(T561*E561,2)</f>
        <v>0</v>
      </c>
      <c r="V561" s="194">
        <f t="shared" si="696"/>
        <v>2</v>
      </c>
      <c r="W561" s="630">
        <f t="shared" ref="W561:W565" si="716">V561*E561</f>
        <v>59.92</v>
      </c>
    </row>
    <row r="562" spans="1:23" ht="38.25">
      <c r="A562" s="190" t="s">
        <v>694</v>
      </c>
      <c r="B562" s="191">
        <v>160608</v>
      </c>
      <c r="C562" s="657" t="s">
        <v>545</v>
      </c>
      <c r="D562" s="192" t="s">
        <v>59</v>
      </c>
      <c r="E562" s="193">
        <v>320.60000000000002</v>
      </c>
      <c r="F562" s="194">
        <v>3</v>
      </c>
      <c r="G562" s="194"/>
      <c r="H562" s="194"/>
      <c r="I562" s="194"/>
      <c r="J562" s="193">
        <f t="shared" si="709"/>
        <v>3</v>
      </c>
      <c r="K562" s="193">
        <f t="shared" si="710"/>
        <v>961.80000000000007</v>
      </c>
      <c r="L562" s="193"/>
      <c r="M562" s="193"/>
      <c r="N562" s="193"/>
      <c r="O562" s="622">
        <f t="shared" si="711"/>
        <v>961.80000000000007</v>
      </c>
      <c r="P562" s="194">
        <v>0</v>
      </c>
      <c r="Q562" s="622">
        <f>TRUNC(P562*E562,2)</f>
        <v>0</v>
      </c>
      <c r="R562" s="745">
        <v>0</v>
      </c>
      <c r="S562" s="746">
        <f>U562-Q562</f>
        <v>0</v>
      </c>
      <c r="T562" s="194">
        <f>R562+P562</f>
        <v>0</v>
      </c>
      <c r="U562" s="630">
        <f>TRUNC(T562*E562,2)</f>
        <v>0</v>
      </c>
      <c r="V562" s="194">
        <f t="shared" si="696"/>
        <v>3</v>
      </c>
      <c r="W562" s="630">
        <f t="shared" si="716"/>
        <v>961.80000000000007</v>
      </c>
    </row>
    <row r="563" spans="1:23" ht="25.5">
      <c r="A563" s="190" t="s">
        <v>695</v>
      </c>
      <c r="B563" s="191">
        <v>160613</v>
      </c>
      <c r="C563" s="657" t="s">
        <v>389</v>
      </c>
      <c r="D563" s="192" t="s">
        <v>59</v>
      </c>
      <c r="E563" s="193">
        <v>197.45</v>
      </c>
      <c r="F563" s="194">
        <v>4</v>
      </c>
      <c r="G563" s="194"/>
      <c r="H563" s="194"/>
      <c r="I563" s="194"/>
      <c r="J563" s="193">
        <f t="shared" si="709"/>
        <v>4</v>
      </c>
      <c r="K563" s="193">
        <f t="shared" si="710"/>
        <v>789.8</v>
      </c>
      <c r="L563" s="193"/>
      <c r="M563" s="193"/>
      <c r="N563" s="193"/>
      <c r="O563" s="622">
        <f t="shared" si="711"/>
        <v>789.8</v>
      </c>
      <c r="P563" s="194">
        <v>0</v>
      </c>
      <c r="Q563" s="622">
        <f t="shared" ref="Q563:Q565" si="717">TRUNC(P563*E563,2)</f>
        <v>0</v>
      </c>
      <c r="R563" s="745">
        <v>0</v>
      </c>
      <c r="S563" s="746">
        <f t="shared" ref="S563:S565" si="718">U563-Q563</f>
        <v>0</v>
      </c>
      <c r="T563" s="194">
        <f t="shared" ref="T563:T565" si="719">R563+P563</f>
        <v>0</v>
      </c>
      <c r="U563" s="630">
        <f t="shared" ref="U563:U565" si="720">TRUNC(T563*E563,2)</f>
        <v>0</v>
      </c>
      <c r="V563" s="194">
        <f t="shared" si="696"/>
        <v>4</v>
      </c>
      <c r="W563" s="630">
        <f t="shared" si="716"/>
        <v>789.8</v>
      </c>
    </row>
    <row r="564" spans="1:23" ht="38.25">
      <c r="A564" s="190" t="s">
        <v>696</v>
      </c>
      <c r="B564" s="191">
        <v>160607</v>
      </c>
      <c r="C564" s="657" t="s">
        <v>390</v>
      </c>
      <c r="D564" s="192" t="s">
        <v>59</v>
      </c>
      <c r="E564" s="193">
        <v>178.48</v>
      </c>
      <c r="F564" s="194">
        <v>3</v>
      </c>
      <c r="G564" s="194"/>
      <c r="H564" s="194"/>
      <c r="I564" s="194"/>
      <c r="J564" s="193">
        <f t="shared" si="709"/>
        <v>3</v>
      </c>
      <c r="K564" s="193">
        <f t="shared" si="710"/>
        <v>535.43999999999994</v>
      </c>
      <c r="L564" s="193"/>
      <c r="M564" s="193"/>
      <c r="N564" s="193"/>
      <c r="O564" s="622">
        <f t="shared" si="711"/>
        <v>535.43999999999994</v>
      </c>
      <c r="P564" s="194">
        <v>0</v>
      </c>
      <c r="Q564" s="622">
        <f t="shared" si="717"/>
        <v>0</v>
      </c>
      <c r="R564" s="745">
        <v>0</v>
      </c>
      <c r="S564" s="746">
        <f t="shared" si="718"/>
        <v>0</v>
      </c>
      <c r="T564" s="194">
        <f t="shared" si="719"/>
        <v>0</v>
      </c>
      <c r="U564" s="630">
        <f t="shared" si="720"/>
        <v>0</v>
      </c>
      <c r="V564" s="194">
        <f t="shared" si="696"/>
        <v>3</v>
      </c>
      <c r="W564" s="630">
        <f t="shared" si="716"/>
        <v>535.43999999999994</v>
      </c>
    </row>
    <row r="565" spans="1:23" ht="38.25">
      <c r="A565" s="190" t="s">
        <v>697</v>
      </c>
      <c r="B565" s="191">
        <v>190605</v>
      </c>
      <c r="C565" s="657" t="s">
        <v>544</v>
      </c>
      <c r="D565" s="192" t="s">
        <v>57</v>
      </c>
      <c r="E565" s="193">
        <v>50.18</v>
      </c>
      <c r="F565" s="194">
        <v>1.8</v>
      </c>
      <c r="G565" s="194"/>
      <c r="H565" s="194"/>
      <c r="I565" s="194"/>
      <c r="J565" s="193">
        <f t="shared" si="709"/>
        <v>1.8</v>
      </c>
      <c r="K565" s="193">
        <f t="shared" si="710"/>
        <v>90.323999999999998</v>
      </c>
      <c r="L565" s="193"/>
      <c r="M565" s="193"/>
      <c r="N565" s="193"/>
      <c r="O565" s="622">
        <f t="shared" si="711"/>
        <v>90.323999999999998</v>
      </c>
      <c r="P565" s="194">
        <v>0</v>
      </c>
      <c r="Q565" s="622">
        <f t="shared" si="717"/>
        <v>0</v>
      </c>
      <c r="R565" s="745">
        <v>0</v>
      </c>
      <c r="S565" s="746">
        <f t="shared" si="718"/>
        <v>0</v>
      </c>
      <c r="T565" s="194">
        <f t="shared" si="719"/>
        <v>0</v>
      </c>
      <c r="U565" s="630">
        <f t="shared" si="720"/>
        <v>0</v>
      </c>
      <c r="V565" s="194">
        <f t="shared" si="696"/>
        <v>1.8</v>
      </c>
      <c r="W565" s="630">
        <f t="shared" si="716"/>
        <v>90.323999999999998</v>
      </c>
    </row>
    <row r="566" spans="1:23">
      <c r="A566" s="138"/>
      <c r="B566" s="132"/>
      <c r="C566" s="123"/>
      <c r="D566" s="123"/>
      <c r="E566" s="123"/>
      <c r="F566" s="123"/>
      <c r="G566" s="123"/>
      <c r="H566" s="123"/>
      <c r="I566" s="123"/>
      <c r="J566" s="123"/>
      <c r="K566" s="123"/>
      <c r="L566" s="123"/>
      <c r="M566" s="123"/>
      <c r="N566" s="123"/>
      <c r="O566" s="623"/>
      <c r="P566" s="123"/>
      <c r="Q566" s="623"/>
      <c r="R566" s="791"/>
      <c r="S566" s="792"/>
      <c r="T566" s="123"/>
      <c r="U566" s="631"/>
      <c r="V566" s="123"/>
      <c r="W566" s="631"/>
    </row>
    <row r="567" spans="1:23" s="654" customFormat="1" ht="26.25" customHeight="1">
      <c r="A567" s="202">
        <v>5</v>
      </c>
      <c r="B567" s="653" t="s">
        <v>864</v>
      </c>
      <c r="C567" s="740" t="s">
        <v>989</v>
      </c>
      <c r="D567" s="204"/>
      <c r="E567" s="205"/>
      <c r="F567" s="206"/>
      <c r="G567" s="206"/>
      <c r="H567" s="206"/>
      <c r="I567" s="206"/>
      <c r="J567" s="207"/>
      <c r="K567" s="207">
        <f>SUBTOTAL(9,K568:K743)</f>
        <v>1738756.5969641441</v>
      </c>
      <c r="L567" s="207"/>
      <c r="M567" s="207"/>
      <c r="N567" s="207"/>
      <c r="O567" s="619"/>
      <c r="P567" s="208"/>
      <c r="Q567" s="619">
        <f>SUBTOTAL(9,Q568:Q743)</f>
        <v>1573891.3699999999</v>
      </c>
      <c r="R567" s="741"/>
      <c r="S567" s="742">
        <f>SUBTOTAL(9,S568:S743)</f>
        <v>224079.16</v>
      </c>
      <c r="T567" s="207"/>
      <c r="U567" s="619">
        <f>SUBTOTAL(9,U568:U743)</f>
        <v>2179617.5727999988</v>
      </c>
      <c r="V567" s="207">
        <f>F567-T567</f>
        <v>0</v>
      </c>
      <c r="W567" s="619">
        <f>SUBTOTAL(9,W568:W743)</f>
        <v>4369.0759500000104</v>
      </c>
    </row>
    <row r="568" spans="1:23" s="213" customFormat="1">
      <c r="A568" s="210" t="s">
        <v>28</v>
      </c>
      <c r="B568" s="211"/>
      <c r="C568" s="655" t="s">
        <v>65</v>
      </c>
      <c r="D568" s="197"/>
      <c r="E568" s="198"/>
      <c r="F568" s="199"/>
      <c r="G568" s="199"/>
      <c r="H568" s="199"/>
      <c r="I568" s="199"/>
      <c r="J568" s="200"/>
      <c r="K568" s="200">
        <f>SUBTOTAL(9,K569:K575)</f>
        <v>4103.1496999999999</v>
      </c>
      <c r="L568" s="200"/>
      <c r="M568" s="200"/>
      <c r="N568" s="200"/>
      <c r="O568" s="620"/>
      <c r="P568" s="201"/>
      <c r="Q568" s="620">
        <f>SUBTOTAL(9,Q569:Q575)</f>
        <v>4103.1399999999994</v>
      </c>
      <c r="R568" s="743"/>
      <c r="S568" s="744">
        <f>SUBTOTAL(9,S569:S575)</f>
        <v>0</v>
      </c>
      <c r="T568" s="200"/>
      <c r="U568" s="620">
        <f>SUBTOTAL(9,U569:U575)</f>
        <v>4103.1399999999994</v>
      </c>
      <c r="V568" s="200">
        <f t="shared" ref="V568:V635" si="721">F568-T568</f>
        <v>0</v>
      </c>
      <c r="W568" s="620">
        <f>SUBTOTAL(9,W569:W575)</f>
        <v>0</v>
      </c>
    </row>
    <row r="569" spans="1:23" s="131" customFormat="1">
      <c r="A569" s="137" t="s">
        <v>698</v>
      </c>
      <c r="B569" s="133"/>
      <c r="C569" s="658" t="s">
        <v>101</v>
      </c>
      <c r="D569" s="126"/>
      <c r="E569" s="127"/>
      <c r="F569" s="128"/>
      <c r="G569" s="128"/>
      <c r="H569" s="128"/>
      <c r="I569" s="128"/>
      <c r="J569" s="129"/>
      <c r="K569" s="129">
        <f>SUBTOTAL(9,K570:K570)</f>
        <v>1783.68</v>
      </c>
      <c r="L569" s="129"/>
      <c r="M569" s="129"/>
      <c r="N569" s="129"/>
      <c r="O569" s="624"/>
      <c r="P569" s="130"/>
      <c r="Q569" s="624">
        <f>SUBTOTAL(9,Q570:Q570)</f>
        <v>1783.68</v>
      </c>
      <c r="R569" s="743"/>
      <c r="S569" s="744">
        <f>SUBTOTAL(9,S570:S570)</f>
        <v>0</v>
      </c>
      <c r="T569" s="129"/>
      <c r="U569" s="624">
        <f>SUBTOTAL(9,U570:U570)</f>
        <v>1783.68</v>
      </c>
      <c r="V569" s="129">
        <f t="shared" si="721"/>
        <v>0</v>
      </c>
      <c r="W569" s="624">
        <f>SUBTOTAL(9,W570:W570)</f>
        <v>0</v>
      </c>
    </row>
    <row r="570" spans="1:23">
      <c r="A570" s="190" t="s">
        <v>699</v>
      </c>
      <c r="B570" s="191">
        <v>20305</v>
      </c>
      <c r="C570" s="657" t="s">
        <v>103</v>
      </c>
      <c r="D570" s="192" t="s">
        <v>57</v>
      </c>
      <c r="E570" s="193">
        <v>222.96</v>
      </c>
      <c r="F570" s="194">
        <v>8</v>
      </c>
      <c r="G570" s="194"/>
      <c r="H570" s="194"/>
      <c r="I570" s="194"/>
      <c r="J570" s="193">
        <f t="shared" ref="J570" si="722">F570+H570-I570</f>
        <v>8</v>
      </c>
      <c r="K570" s="193">
        <f t="shared" ref="K570" si="723">J570*E570</f>
        <v>1783.68</v>
      </c>
      <c r="L570" s="193"/>
      <c r="M570" s="193"/>
      <c r="N570" s="193"/>
      <c r="O570" s="622">
        <f t="shared" ref="O570" si="724">J570*E570</f>
        <v>1783.68</v>
      </c>
      <c r="P570" s="195">
        <v>8</v>
      </c>
      <c r="Q570" s="622">
        <f>TRUNC(P570*E570,2)</f>
        <v>1783.68</v>
      </c>
      <c r="R570" s="745">
        <v>0</v>
      </c>
      <c r="S570" s="746">
        <f t="shared" ref="S570" si="725">U570-Q570</f>
        <v>0</v>
      </c>
      <c r="T570" s="194">
        <f>R570+P570</f>
        <v>8</v>
      </c>
      <c r="U570" s="630">
        <f>TRUNC(T570*E570,2)</f>
        <v>1783.68</v>
      </c>
      <c r="V570" s="194">
        <f t="shared" si="721"/>
        <v>0</v>
      </c>
      <c r="W570" s="630">
        <f t="shared" ref="W570" si="726">V570*E570</f>
        <v>0</v>
      </c>
    </row>
    <row r="571" spans="1:23">
      <c r="A571" s="138"/>
      <c r="B571" s="132"/>
      <c r="C571" s="123"/>
      <c r="D571" s="123"/>
      <c r="E571" s="123"/>
      <c r="F571" s="123"/>
      <c r="G571" s="123"/>
      <c r="H571" s="123"/>
      <c r="I571" s="123"/>
      <c r="J571" s="123"/>
      <c r="K571" s="123"/>
      <c r="L571" s="123"/>
      <c r="M571" s="123"/>
      <c r="N571" s="123"/>
      <c r="O571" s="623"/>
      <c r="P571" s="123"/>
      <c r="Q571" s="623"/>
      <c r="R571" s="791"/>
      <c r="S571" s="792"/>
      <c r="T571" s="123"/>
      <c r="U571" s="631"/>
      <c r="V571" s="194"/>
      <c r="W571" s="631"/>
    </row>
    <row r="572" spans="1:23" s="131" customFormat="1">
      <c r="A572" s="137" t="s">
        <v>700</v>
      </c>
      <c r="B572" s="133"/>
      <c r="C572" s="658" t="s">
        <v>105</v>
      </c>
      <c r="D572" s="126"/>
      <c r="E572" s="127"/>
      <c r="F572" s="128"/>
      <c r="G572" s="128"/>
      <c r="H572" s="128"/>
      <c r="I572" s="128"/>
      <c r="J572" s="129"/>
      <c r="K572" s="129">
        <f>SUBTOTAL(9,K573:K575)</f>
        <v>2319.4697000000001</v>
      </c>
      <c r="L572" s="129"/>
      <c r="M572" s="129"/>
      <c r="N572" s="129"/>
      <c r="O572" s="624"/>
      <c r="P572" s="130"/>
      <c r="Q572" s="624">
        <f>SUBTOTAL(9,Q573:Q575)</f>
        <v>2319.46</v>
      </c>
      <c r="R572" s="743"/>
      <c r="S572" s="744">
        <f>SUBTOTAL(9,S573:S575)</f>
        <v>0</v>
      </c>
      <c r="T572" s="129"/>
      <c r="U572" s="624">
        <f>SUBTOTAL(9,U573:U575)</f>
        <v>2319.46</v>
      </c>
      <c r="V572" s="129">
        <f t="shared" si="721"/>
        <v>0</v>
      </c>
      <c r="W572" s="624">
        <f>SUBTOTAL(9,W573:W575)</f>
        <v>0</v>
      </c>
    </row>
    <row r="573" spans="1:23">
      <c r="A573" s="190" t="s">
        <v>701</v>
      </c>
      <c r="B573" s="191">
        <v>10402</v>
      </c>
      <c r="C573" s="657" t="s">
        <v>108</v>
      </c>
      <c r="D573" s="192" t="s">
        <v>57</v>
      </c>
      <c r="E573" s="193">
        <v>3.74</v>
      </c>
      <c r="F573" s="194">
        <v>180.88</v>
      </c>
      <c r="G573" s="194"/>
      <c r="H573" s="194"/>
      <c r="I573" s="194"/>
      <c r="J573" s="193">
        <f t="shared" ref="J573:J575" si="727">F573+H573-I573</f>
        <v>180.88</v>
      </c>
      <c r="K573" s="193">
        <f t="shared" ref="K573:K575" si="728">J573*E573</f>
        <v>676.49120000000005</v>
      </c>
      <c r="L573" s="193"/>
      <c r="M573" s="193"/>
      <c r="N573" s="193"/>
      <c r="O573" s="622">
        <f t="shared" ref="O573:O575" si="729">J573*E573</f>
        <v>676.49120000000005</v>
      </c>
      <c r="P573" s="194">
        <f>'5.1.2.1 '!R24</f>
        <v>180.88</v>
      </c>
      <c r="Q573" s="622">
        <f>TRUNC(P573*E573,2)</f>
        <v>676.49</v>
      </c>
      <c r="R573" s="745">
        <f>'5.1.2.1 '!R25</f>
        <v>0</v>
      </c>
      <c r="S573" s="746">
        <f t="shared" ref="S573:S575" si="730">U573-Q573</f>
        <v>0</v>
      </c>
      <c r="T573" s="194">
        <f>R573+P573</f>
        <v>180.88</v>
      </c>
      <c r="U573" s="630">
        <f>TRUNC(T573*E573,2)</f>
        <v>676.49</v>
      </c>
      <c r="V573" s="194">
        <f t="shared" si="721"/>
        <v>0</v>
      </c>
      <c r="W573" s="630">
        <f t="shared" ref="W573:W575" si="731">V573*E573</f>
        <v>0</v>
      </c>
    </row>
    <row r="574" spans="1:23">
      <c r="A574" s="190" t="s">
        <v>702</v>
      </c>
      <c r="B574" s="191">
        <v>10404</v>
      </c>
      <c r="C574" s="657" t="s">
        <v>118</v>
      </c>
      <c r="D574" s="192" t="s">
        <v>59</v>
      </c>
      <c r="E574" s="193">
        <v>111.49</v>
      </c>
      <c r="F574" s="194">
        <v>1</v>
      </c>
      <c r="G574" s="194"/>
      <c r="H574" s="194"/>
      <c r="I574" s="194"/>
      <c r="J574" s="193">
        <f t="shared" si="727"/>
        <v>1</v>
      </c>
      <c r="K574" s="193">
        <f t="shared" si="728"/>
        <v>111.49</v>
      </c>
      <c r="L574" s="193"/>
      <c r="M574" s="193"/>
      <c r="N574" s="193"/>
      <c r="O574" s="622">
        <f t="shared" si="729"/>
        <v>111.49</v>
      </c>
      <c r="P574" s="194">
        <f>'5.1.2.2'!R24</f>
        <v>1</v>
      </c>
      <c r="Q574" s="622">
        <f t="shared" ref="Q574:Q575" si="732">TRUNC(P574*E574,2)</f>
        <v>111.49</v>
      </c>
      <c r="R574" s="745">
        <f>'5.1.2.2'!R25</f>
        <v>0</v>
      </c>
      <c r="S574" s="746">
        <f t="shared" si="730"/>
        <v>0</v>
      </c>
      <c r="T574" s="194">
        <f t="shared" ref="T574:T575" si="733">R574+P574</f>
        <v>1</v>
      </c>
      <c r="U574" s="630">
        <f t="shared" ref="U574:U575" si="734">TRUNC(T574*E574,2)</f>
        <v>111.49</v>
      </c>
      <c r="V574" s="194">
        <f t="shared" si="721"/>
        <v>0</v>
      </c>
      <c r="W574" s="630">
        <f t="shared" si="731"/>
        <v>0</v>
      </c>
    </row>
    <row r="575" spans="1:23" ht="38.25">
      <c r="A575" s="190" t="s">
        <v>703</v>
      </c>
      <c r="B575" s="191">
        <v>30304</v>
      </c>
      <c r="C575" s="657" t="s">
        <v>109</v>
      </c>
      <c r="D575" s="192" t="s">
        <v>58</v>
      </c>
      <c r="E575" s="193">
        <v>56.45</v>
      </c>
      <c r="F575" s="194">
        <v>27.13</v>
      </c>
      <c r="G575" s="194"/>
      <c r="H575" s="194"/>
      <c r="I575" s="194"/>
      <c r="J575" s="193">
        <f t="shared" si="727"/>
        <v>27.13</v>
      </c>
      <c r="K575" s="193">
        <f t="shared" si="728"/>
        <v>1531.4884999999999</v>
      </c>
      <c r="L575" s="193"/>
      <c r="M575" s="193"/>
      <c r="N575" s="193"/>
      <c r="O575" s="622">
        <f t="shared" si="729"/>
        <v>1531.4884999999999</v>
      </c>
      <c r="P575" s="194">
        <f>'5.1.2.3'!R24</f>
        <v>27.13</v>
      </c>
      <c r="Q575" s="622">
        <f t="shared" si="732"/>
        <v>1531.48</v>
      </c>
      <c r="R575" s="745">
        <f>'5.1.2.3'!R25</f>
        <v>0</v>
      </c>
      <c r="S575" s="746">
        <f t="shared" si="730"/>
        <v>0</v>
      </c>
      <c r="T575" s="194">
        <f t="shared" si="733"/>
        <v>27.13</v>
      </c>
      <c r="U575" s="630">
        <f t="shared" si="734"/>
        <v>1531.48</v>
      </c>
      <c r="V575" s="194">
        <f t="shared" si="721"/>
        <v>0</v>
      </c>
      <c r="W575" s="630">
        <f t="shared" si="731"/>
        <v>0</v>
      </c>
    </row>
    <row r="576" spans="1:23">
      <c r="A576" s="138"/>
      <c r="B576" s="132"/>
      <c r="C576" s="123"/>
      <c r="D576" s="123"/>
      <c r="E576" s="123"/>
      <c r="F576" s="123"/>
      <c r="G576" s="123"/>
      <c r="H576" s="123"/>
      <c r="I576" s="123"/>
      <c r="J576" s="123"/>
      <c r="K576" s="123"/>
      <c r="L576" s="123"/>
      <c r="M576" s="123"/>
      <c r="N576" s="123"/>
      <c r="O576" s="623"/>
      <c r="P576" s="123"/>
      <c r="Q576" s="623"/>
      <c r="R576" s="791"/>
      <c r="S576" s="792"/>
      <c r="T576" s="123"/>
      <c r="U576" s="631"/>
      <c r="V576" s="123"/>
      <c r="W576" s="631"/>
    </row>
    <row r="577" spans="1:23" s="213" customFormat="1">
      <c r="A577" s="210" t="s">
        <v>704</v>
      </c>
      <c r="B577" s="211"/>
      <c r="C577" s="655" t="s">
        <v>56</v>
      </c>
      <c r="D577" s="197"/>
      <c r="E577" s="198"/>
      <c r="F577" s="199"/>
      <c r="G577" s="199"/>
      <c r="H577" s="199"/>
      <c r="I577" s="199"/>
      <c r="J577" s="200"/>
      <c r="K577" s="200">
        <f>SUBTOTAL(9,K578:K581)</f>
        <v>9398.8073999999997</v>
      </c>
      <c r="L577" s="200"/>
      <c r="M577" s="200"/>
      <c r="N577" s="200"/>
      <c r="O577" s="620"/>
      <c r="P577" s="201"/>
      <c r="Q577" s="620">
        <f>SUBTOTAL(9,Q578:Q581)</f>
        <v>12980.63</v>
      </c>
      <c r="R577" s="743"/>
      <c r="S577" s="744">
        <f>SUBTOTAL(9,S578:S581)</f>
        <v>0</v>
      </c>
      <c r="T577" s="200"/>
      <c r="U577" s="620">
        <f>SUBTOTAL(9,U578:U581)</f>
        <v>12980.63</v>
      </c>
      <c r="V577" s="200">
        <f t="shared" si="721"/>
        <v>0</v>
      </c>
      <c r="W577" s="620">
        <f>SUBTOTAL(9,W578:W581)</f>
        <v>0</v>
      </c>
    </row>
    <row r="578" spans="1:23" s="131" customFormat="1">
      <c r="A578" s="137" t="s">
        <v>705</v>
      </c>
      <c r="B578" s="133"/>
      <c r="C578" s="658" t="s">
        <v>111</v>
      </c>
      <c r="D578" s="126"/>
      <c r="E578" s="127"/>
      <c r="F578" s="128"/>
      <c r="G578" s="128"/>
      <c r="H578" s="128"/>
      <c r="I578" s="128"/>
      <c r="J578" s="129"/>
      <c r="K578" s="129">
        <f>SUBTOTAL(9,K579:K581)</f>
        <v>9398.8073999999997</v>
      </c>
      <c r="L578" s="129"/>
      <c r="M578" s="129"/>
      <c r="N578" s="129"/>
      <c r="O578" s="624"/>
      <c r="P578" s="130"/>
      <c r="Q578" s="624">
        <f>SUBTOTAL(9,Q579:Q581)</f>
        <v>12980.63</v>
      </c>
      <c r="R578" s="743"/>
      <c r="S578" s="744">
        <f>SUBTOTAL(9,S579:S581)</f>
        <v>0</v>
      </c>
      <c r="T578" s="129"/>
      <c r="U578" s="624">
        <f>SUBTOTAL(9,U579:U581)</f>
        <v>12980.63</v>
      </c>
      <c r="V578" s="129">
        <f t="shared" si="721"/>
        <v>0</v>
      </c>
      <c r="W578" s="624">
        <f>SUBTOTAL(9,W579:W581)</f>
        <v>0</v>
      </c>
    </row>
    <row r="579" spans="1:23">
      <c r="A579" s="190" t="s">
        <v>706</v>
      </c>
      <c r="B579" s="191">
        <v>30103</v>
      </c>
      <c r="C579" s="657" t="s">
        <v>116</v>
      </c>
      <c r="D579" s="192" t="s">
        <v>58</v>
      </c>
      <c r="E579" s="193">
        <v>9.81</v>
      </c>
      <c r="F579" s="194">
        <v>0.88</v>
      </c>
      <c r="G579" s="194"/>
      <c r="H579" s="194">
        <f>REPLANILHAMENTO!H499</f>
        <v>365.12</v>
      </c>
      <c r="I579" s="194"/>
      <c r="J579" s="193">
        <f>F579+H579</f>
        <v>366</v>
      </c>
      <c r="K579" s="193">
        <f>F579*E579</f>
        <v>8.6328000000000014</v>
      </c>
      <c r="L579" s="193">
        <f>H579*E579</f>
        <v>3581.8272000000002</v>
      </c>
      <c r="M579" s="193"/>
      <c r="N579" s="193"/>
      <c r="O579" s="622">
        <f>J579*E579</f>
        <v>3590.46</v>
      </c>
      <c r="P579" s="194">
        <f>'5.2.1.1'!R24</f>
        <v>366</v>
      </c>
      <c r="Q579" s="622">
        <f t="shared" ref="Q579" si="735">TRUNC(P579*E579,2)</f>
        <v>3590.46</v>
      </c>
      <c r="R579" s="745">
        <f>'5.2.1.1'!R25</f>
        <v>0</v>
      </c>
      <c r="S579" s="746">
        <f>R579*E579</f>
        <v>0</v>
      </c>
      <c r="T579" s="194">
        <f t="shared" ref="T579" si="736">R579+P579</f>
        <v>366</v>
      </c>
      <c r="U579" s="630">
        <f t="shared" ref="U579" si="737">TRUNC(T579*E579,2)</f>
        <v>3590.46</v>
      </c>
      <c r="V579" s="194">
        <v>0</v>
      </c>
      <c r="W579" s="630">
        <v>0</v>
      </c>
    </row>
    <row r="580" spans="1:23" ht="25.5">
      <c r="A580" s="190" t="s">
        <v>707</v>
      </c>
      <c r="B580" s="191">
        <v>30210</v>
      </c>
      <c r="C580" s="657" t="s">
        <v>117</v>
      </c>
      <c r="D580" s="192" t="s">
        <v>58</v>
      </c>
      <c r="E580" s="193">
        <v>25.99</v>
      </c>
      <c r="F580" s="194">
        <v>0.88</v>
      </c>
      <c r="G580" s="194"/>
      <c r="H580" s="194"/>
      <c r="I580" s="194"/>
      <c r="J580" s="193">
        <f t="shared" ref="J580:J581" si="738">F580+H580-I580</f>
        <v>0.88</v>
      </c>
      <c r="K580" s="193">
        <f t="shared" ref="K580:K581" si="739">J580*E580</f>
        <v>22.871199999999998</v>
      </c>
      <c r="L580" s="193"/>
      <c r="M580" s="193"/>
      <c r="N580" s="193"/>
      <c r="O580" s="622">
        <f t="shared" ref="O580:O581" si="740">J580*E580</f>
        <v>22.871199999999998</v>
      </c>
      <c r="P580" s="194">
        <v>0.88</v>
      </c>
      <c r="Q580" s="622">
        <f>TRUNC(P580*E580,2)</f>
        <v>22.87</v>
      </c>
      <c r="R580" s="745">
        <v>0</v>
      </c>
      <c r="S580" s="746">
        <f>U580-Q580</f>
        <v>0</v>
      </c>
      <c r="T580" s="194">
        <f>R580+P580</f>
        <v>0.88</v>
      </c>
      <c r="U580" s="630">
        <f>TRUNC(T580*E580,2)</f>
        <v>22.87</v>
      </c>
      <c r="V580" s="194">
        <f t="shared" ref="V580" si="741">F580-T580</f>
        <v>0</v>
      </c>
      <c r="W580" s="630">
        <f t="shared" ref="W580:W581" si="742">V580*E580</f>
        <v>0</v>
      </c>
    </row>
    <row r="581" spans="1:23" ht="25.5">
      <c r="A581" s="190" t="s">
        <v>708</v>
      </c>
      <c r="B581" s="191">
        <v>30208</v>
      </c>
      <c r="C581" s="657" t="s">
        <v>709</v>
      </c>
      <c r="D581" s="192" t="s">
        <v>58</v>
      </c>
      <c r="E581" s="193">
        <v>115.66</v>
      </c>
      <c r="F581" s="194">
        <v>80.989999999999995</v>
      </c>
      <c r="G581" s="194"/>
      <c r="H581" s="194"/>
      <c r="I581" s="194"/>
      <c r="J581" s="193">
        <f t="shared" si="738"/>
        <v>80.989999999999995</v>
      </c>
      <c r="K581" s="193">
        <f t="shared" si="739"/>
        <v>9367.3033999999989</v>
      </c>
      <c r="L581" s="193"/>
      <c r="M581" s="193"/>
      <c r="N581" s="193"/>
      <c r="O581" s="622">
        <f t="shared" si="740"/>
        <v>9367.3033999999989</v>
      </c>
      <c r="P581" s="194">
        <v>80.989999999999995</v>
      </c>
      <c r="Q581" s="622">
        <f>TRUNC(P581*E581,2)</f>
        <v>9367.2999999999993</v>
      </c>
      <c r="R581" s="745">
        <v>0</v>
      </c>
      <c r="S581" s="746">
        <f>U581-Q581</f>
        <v>0</v>
      </c>
      <c r="T581" s="194">
        <f>R581+P581</f>
        <v>80.989999999999995</v>
      </c>
      <c r="U581" s="630">
        <f>TRUNC(T581*E581,2)</f>
        <v>9367.2999999999993</v>
      </c>
      <c r="V581" s="194">
        <f t="shared" si="721"/>
        <v>0</v>
      </c>
      <c r="W581" s="630">
        <f t="shared" si="742"/>
        <v>0</v>
      </c>
    </row>
    <row r="582" spans="1:23" s="213" customFormat="1">
      <c r="A582" s="210" t="s">
        <v>710</v>
      </c>
      <c r="B582" s="211"/>
      <c r="C582" s="655" t="s">
        <v>119</v>
      </c>
      <c r="D582" s="197"/>
      <c r="E582" s="198"/>
      <c r="F582" s="199"/>
      <c r="G582" s="199"/>
      <c r="H582" s="199"/>
      <c r="I582" s="199"/>
      <c r="J582" s="200"/>
      <c r="K582" s="200">
        <f>SUBTOTAL(9,K583:K655)</f>
        <v>373256.74656414409</v>
      </c>
      <c r="L582" s="200"/>
      <c r="M582" s="200"/>
      <c r="N582" s="200"/>
      <c r="O582" s="620"/>
      <c r="P582" s="201"/>
      <c r="Q582" s="620">
        <f>SUBTOTAL(9,Q583:Q655)</f>
        <v>539928.60999999987</v>
      </c>
      <c r="R582" s="743"/>
      <c r="S582" s="744">
        <f>SUBTOTAL(9,S583:S655)</f>
        <v>12806.060000000001</v>
      </c>
      <c r="T582" s="200"/>
      <c r="U582" s="620">
        <f>SUBTOTAL(9,U583:U655)</f>
        <v>553611.54279999994</v>
      </c>
      <c r="V582" s="200">
        <f t="shared" si="721"/>
        <v>0</v>
      </c>
      <c r="W582" s="620">
        <f>SUBTOTAL(9,W583:W655)</f>
        <v>-4.7949999990347575E-2</v>
      </c>
    </row>
    <row r="583" spans="1:23" s="131" customFormat="1">
      <c r="A583" s="137" t="s">
        <v>711</v>
      </c>
      <c r="B583" s="133"/>
      <c r="C583" s="658" t="s">
        <v>98</v>
      </c>
      <c r="D583" s="126"/>
      <c r="E583" s="127"/>
      <c r="F583" s="128"/>
      <c r="G583" s="128"/>
      <c r="H583" s="128"/>
      <c r="I583" s="128"/>
      <c r="J583" s="129"/>
      <c r="K583" s="129">
        <f>SUBTOTAL(9,K584:K585)</f>
        <v>1390.9672</v>
      </c>
      <c r="L583" s="129"/>
      <c r="M583" s="129"/>
      <c r="N583" s="129"/>
      <c r="O583" s="624"/>
      <c r="P583" s="130"/>
      <c r="Q583" s="624">
        <f>SUBTOTAL(9,Q584)</f>
        <v>1390.96</v>
      </c>
      <c r="R583" s="743"/>
      <c r="S583" s="744">
        <f>SUBTOTAL(9,S584:S585)</f>
        <v>0</v>
      </c>
      <c r="T583" s="129"/>
      <c r="U583" s="624">
        <f>SUBTOTAL(9,U584:U585)</f>
        <v>2267.83</v>
      </c>
      <c r="V583" s="129">
        <f t="shared" si="721"/>
        <v>0</v>
      </c>
      <c r="W583" s="624">
        <f>SUBTOTAL(9,W584)</f>
        <v>0</v>
      </c>
    </row>
    <row r="584" spans="1:23">
      <c r="A584" s="190" t="s">
        <v>712</v>
      </c>
      <c r="B584" s="191">
        <v>10501</v>
      </c>
      <c r="C584" s="657" t="s">
        <v>122</v>
      </c>
      <c r="D584" s="192" t="s">
        <v>57</v>
      </c>
      <c r="E584" s="193">
        <v>7.69</v>
      </c>
      <c r="F584" s="194">
        <v>180.88</v>
      </c>
      <c r="G584" s="194"/>
      <c r="H584" s="194"/>
      <c r="I584" s="194"/>
      <c r="J584" s="193">
        <f t="shared" ref="J584" si="743">F584+H584-I584</f>
        <v>180.88</v>
      </c>
      <c r="K584" s="193">
        <f t="shared" ref="K584" si="744">J584*E584</f>
        <v>1390.9672</v>
      </c>
      <c r="L584" s="193"/>
      <c r="M584" s="193"/>
      <c r="N584" s="193"/>
      <c r="O584" s="622">
        <f t="shared" ref="O584" si="745">J584*E584</f>
        <v>1390.9672</v>
      </c>
      <c r="P584" s="194">
        <v>180.88</v>
      </c>
      <c r="Q584" s="622">
        <f t="shared" ref="Q584" si="746">TRUNC(P584*E584,2)</f>
        <v>1390.96</v>
      </c>
      <c r="R584" s="745">
        <v>0</v>
      </c>
      <c r="S584" s="746">
        <f t="shared" ref="S584" si="747">U584-Q584</f>
        <v>0</v>
      </c>
      <c r="T584" s="194">
        <f t="shared" ref="T584:T585" si="748">R584+P584</f>
        <v>180.88</v>
      </c>
      <c r="U584" s="630">
        <f t="shared" ref="U584:U585" si="749">TRUNC(T584*E584,2)</f>
        <v>1390.96</v>
      </c>
      <c r="V584" s="194">
        <f t="shared" si="721"/>
        <v>0</v>
      </c>
      <c r="W584" s="630">
        <f t="shared" ref="W584:W585" si="750">V584*E584</f>
        <v>0</v>
      </c>
    </row>
    <row r="585" spans="1:23">
      <c r="A585" s="190" t="s">
        <v>1220</v>
      </c>
      <c r="B585" s="191" t="s">
        <v>1093</v>
      </c>
      <c r="C585" s="657" t="s">
        <v>1095</v>
      </c>
      <c r="D585" s="192" t="s">
        <v>51</v>
      </c>
      <c r="E585" s="193">
        <v>8.0299999999999994</v>
      </c>
      <c r="F585" s="194">
        <v>0</v>
      </c>
      <c r="G585" s="194"/>
      <c r="H585" s="194">
        <v>114</v>
      </c>
      <c r="I585" s="194"/>
      <c r="J585" s="193">
        <v>109.2</v>
      </c>
      <c r="K585" s="193"/>
      <c r="L585" s="193">
        <f>H585*E585</f>
        <v>915.42</v>
      </c>
      <c r="M585" s="193"/>
      <c r="N585" s="193"/>
      <c r="O585" s="622">
        <f>J585*E585</f>
        <v>876.87599999999998</v>
      </c>
      <c r="P585" s="194">
        <v>109.2</v>
      </c>
      <c r="Q585" s="622"/>
      <c r="R585" s="745">
        <v>0</v>
      </c>
      <c r="S585" s="795">
        <f>R585*E585</f>
        <v>0</v>
      </c>
      <c r="T585" s="560">
        <f t="shared" si="748"/>
        <v>109.2</v>
      </c>
      <c r="U585" s="630">
        <f t="shared" si="749"/>
        <v>876.87</v>
      </c>
      <c r="V585" s="560">
        <f>J585-T585</f>
        <v>0</v>
      </c>
      <c r="W585" s="630">
        <f t="shared" si="750"/>
        <v>0</v>
      </c>
    </row>
    <row r="586" spans="1:23">
      <c r="A586" s="138"/>
      <c r="B586" s="132"/>
      <c r="C586" s="123"/>
      <c r="D586" s="123"/>
      <c r="E586" s="123"/>
      <c r="F586" s="123"/>
      <c r="G586" s="123"/>
      <c r="H586" s="123"/>
      <c r="I586" s="123"/>
      <c r="J586" s="123"/>
      <c r="K586" s="123"/>
      <c r="L586" s="123"/>
      <c r="M586" s="123"/>
      <c r="N586" s="123"/>
      <c r="O586" s="623"/>
      <c r="P586" s="123"/>
      <c r="Q586" s="623"/>
      <c r="R586" s="791"/>
      <c r="S586" s="792"/>
      <c r="T586" s="123"/>
      <c r="U586" s="631"/>
      <c r="V586" s="194"/>
      <c r="W586" s="630"/>
    </row>
    <row r="587" spans="1:23" s="131" customFormat="1">
      <c r="A587" s="137" t="s">
        <v>713</v>
      </c>
      <c r="B587" s="133"/>
      <c r="C587" s="658" t="s">
        <v>124</v>
      </c>
      <c r="D587" s="126"/>
      <c r="E587" s="127"/>
      <c r="F587" s="128"/>
      <c r="G587" s="128"/>
      <c r="H587" s="128"/>
      <c r="I587" s="128"/>
      <c r="J587" s="129"/>
      <c r="K587" s="129">
        <f>SUBTOTAL(9,K588:K598)</f>
        <v>130072.26519999999</v>
      </c>
      <c r="L587" s="129"/>
      <c r="M587" s="129"/>
      <c r="N587" s="129"/>
      <c r="O587" s="624"/>
      <c r="P587" s="130"/>
      <c r="Q587" s="624">
        <f>SUBTOTAL(9,Q588:Q598)</f>
        <v>297812.88</v>
      </c>
      <c r="R587" s="743"/>
      <c r="S587" s="744">
        <f>SUBTOTAL(9,S588:S598)</f>
        <v>0</v>
      </c>
      <c r="T587" s="129"/>
      <c r="U587" s="624">
        <f>SUBTOTAL(9,U588:U598)</f>
        <v>297812.88</v>
      </c>
      <c r="V587" s="129">
        <f t="shared" si="721"/>
        <v>0</v>
      </c>
      <c r="W587" s="624">
        <f>SUBTOTAL(9,W588:W598)</f>
        <v>0</v>
      </c>
    </row>
    <row r="588" spans="1:23" ht="25.5">
      <c r="A588" s="190" t="s">
        <v>714</v>
      </c>
      <c r="B588" s="191" t="s">
        <v>136</v>
      </c>
      <c r="C588" s="657" t="s">
        <v>141</v>
      </c>
      <c r="D588" s="192" t="s">
        <v>60</v>
      </c>
      <c r="E588" s="193">
        <v>462.96</v>
      </c>
      <c r="F588" s="194">
        <v>85</v>
      </c>
      <c r="G588" s="194"/>
      <c r="H588" s="194"/>
      <c r="I588" s="194"/>
      <c r="J588" s="193">
        <f t="shared" ref="J588" si="751">F588+H588-I588</f>
        <v>85</v>
      </c>
      <c r="K588" s="193">
        <f t="shared" ref="K588" si="752">J588*E588</f>
        <v>39351.599999999999</v>
      </c>
      <c r="L588" s="193"/>
      <c r="M588" s="193"/>
      <c r="N588" s="193"/>
      <c r="O588" s="622">
        <f t="shared" ref="O588" si="753">J588*E588</f>
        <v>39351.599999999999</v>
      </c>
      <c r="P588" s="194">
        <v>85</v>
      </c>
      <c r="Q588" s="622">
        <f t="shared" ref="Q588" si="754">TRUNC(P588*E588,2)</f>
        <v>39351.599999999999</v>
      </c>
      <c r="R588" s="745">
        <v>0</v>
      </c>
      <c r="S588" s="746">
        <f t="shared" ref="S588" si="755">U588-Q588</f>
        <v>0</v>
      </c>
      <c r="T588" s="194">
        <f t="shared" ref="T588" si="756">R588+P588</f>
        <v>85</v>
      </c>
      <c r="U588" s="630">
        <f t="shared" ref="U588" si="757">TRUNC(T588*E588,2)</f>
        <v>39351.599999999999</v>
      </c>
      <c r="V588" s="194">
        <f t="shared" si="721"/>
        <v>0</v>
      </c>
      <c r="W588" s="630">
        <f t="shared" ref="W588" si="758">V588*E588</f>
        <v>0</v>
      </c>
    </row>
    <row r="589" spans="1:23">
      <c r="A589" s="190" t="s">
        <v>715</v>
      </c>
      <c r="B589" s="191" t="s">
        <v>137</v>
      </c>
      <c r="C589" s="657" t="s">
        <v>142</v>
      </c>
      <c r="D589" s="192" t="s">
        <v>49</v>
      </c>
      <c r="E589" s="193">
        <v>596.34</v>
      </c>
      <c r="F589" s="194">
        <v>36.83</v>
      </c>
      <c r="G589" s="194"/>
      <c r="H589" s="194"/>
      <c r="I589" s="194">
        <f>F589</f>
        <v>36.83</v>
      </c>
      <c r="J589" s="193">
        <f>F589-I589</f>
        <v>0</v>
      </c>
      <c r="K589" s="193">
        <f>F589*E589</f>
        <v>21963.2022</v>
      </c>
      <c r="L589" s="193"/>
      <c r="M589" s="193"/>
      <c r="N589" s="193">
        <f>I589*E589</f>
        <v>21963.2022</v>
      </c>
      <c r="O589" s="622">
        <f>J589*E589</f>
        <v>0</v>
      </c>
      <c r="P589" s="194">
        <v>0</v>
      </c>
      <c r="Q589" s="622">
        <f>TRUNC(P589*E589,2)</f>
        <v>0</v>
      </c>
      <c r="R589" s="745">
        <f>IFERROR(VLOOKUP(A589,#REF!,18,FALSE),)</f>
        <v>0</v>
      </c>
      <c r="S589" s="746">
        <f>U589-Q589</f>
        <v>0</v>
      </c>
      <c r="T589" s="194">
        <f>R589+P589</f>
        <v>0</v>
      </c>
      <c r="U589" s="630">
        <f>TRUNC(T589*E589,2)</f>
        <v>0</v>
      </c>
      <c r="V589" s="194">
        <v>0</v>
      </c>
      <c r="W589" s="630">
        <f t="shared" ref="W589:W596" si="759">J589-U589</f>
        <v>0</v>
      </c>
    </row>
    <row r="590" spans="1:23" ht="25.5">
      <c r="A590" s="190" t="s">
        <v>716</v>
      </c>
      <c r="B590" s="191" t="s">
        <v>138</v>
      </c>
      <c r="C590" s="657" t="s">
        <v>143</v>
      </c>
      <c r="D590" s="192" t="s">
        <v>29</v>
      </c>
      <c r="E590" s="193">
        <v>4.82</v>
      </c>
      <c r="F590" s="194">
        <v>528</v>
      </c>
      <c r="G590" s="194"/>
      <c r="H590" s="194"/>
      <c r="I590" s="194">
        <f t="shared" ref="I590:I592" si="760">F590</f>
        <v>528</v>
      </c>
      <c r="J590" s="193">
        <f t="shared" ref="J590:J591" si="761">F590-I590</f>
        <v>0</v>
      </c>
      <c r="K590" s="193">
        <f t="shared" ref="K590:K592" si="762">F590*E590</f>
        <v>2544.96</v>
      </c>
      <c r="L590" s="193"/>
      <c r="M590" s="193"/>
      <c r="N590" s="193">
        <f t="shared" ref="N590:N592" si="763">I590*E590</f>
        <v>2544.96</v>
      </c>
      <c r="O590" s="622">
        <f t="shared" ref="O590:O592" si="764">J590*E590</f>
        <v>0</v>
      </c>
      <c r="P590" s="194">
        <v>0</v>
      </c>
      <c r="Q590" s="622">
        <f t="shared" ref="Q590:Q596" si="765">TRUNC(P590*E590,2)</f>
        <v>0</v>
      </c>
      <c r="R590" s="745">
        <f>IFERROR(VLOOKUP(A590,#REF!,18,FALSE),)</f>
        <v>0</v>
      </c>
      <c r="S590" s="746">
        <f t="shared" ref="S590:S596" si="766">U590-Q590</f>
        <v>0</v>
      </c>
      <c r="T590" s="194">
        <f t="shared" ref="T590:T596" si="767">R590+P590</f>
        <v>0</v>
      </c>
      <c r="U590" s="630">
        <f t="shared" ref="U590:U596" si="768">TRUNC(T590*E590,2)</f>
        <v>0</v>
      </c>
      <c r="V590" s="194">
        <v>0</v>
      </c>
      <c r="W590" s="630">
        <f t="shared" si="759"/>
        <v>0</v>
      </c>
    </row>
    <row r="591" spans="1:23" ht="25.5">
      <c r="A591" s="190" t="s">
        <v>717</v>
      </c>
      <c r="B591" s="191" t="s">
        <v>139</v>
      </c>
      <c r="C591" s="657" t="s">
        <v>144</v>
      </c>
      <c r="D591" s="192" t="s">
        <v>29</v>
      </c>
      <c r="E591" s="193">
        <v>6.12</v>
      </c>
      <c r="F591" s="194">
        <v>4554</v>
      </c>
      <c r="G591" s="194"/>
      <c r="H591" s="194"/>
      <c r="I591" s="194">
        <f t="shared" si="760"/>
        <v>4554</v>
      </c>
      <c r="J591" s="193">
        <f t="shared" si="761"/>
        <v>0</v>
      </c>
      <c r="K591" s="193">
        <f t="shared" si="762"/>
        <v>27870.48</v>
      </c>
      <c r="L591" s="193"/>
      <c r="M591" s="193"/>
      <c r="N591" s="193">
        <f t="shared" si="763"/>
        <v>27870.48</v>
      </c>
      <c r="O591" s="622">
        <f t="shared" si="764"/>
        <v>0</v>
      </c>
      <c r="P591" s="194">
        <v>0</v>
      </c>
      <c r="Q591" s="622">
        <f t="shared" si="765"/>
        <v>0</v>
      </c>
      <c r="R591" s="745">
        <v>0</v>
      </c>
      <c r="S591" s="746">
        <f t="shared" si="766"/>
        <v>0</v>
      </c>
      <c r="T591" s="194">
        <f t="shared" si="767"/>
        <v>0</v>
      </c>
      <c r="U591" s="630">
        <f t="shared" si="768"/>
        <v>0</v>
      </c>
      <c r="V591" s="194">
        <v>0</v>
      </c>
      <c r="W591" s="630">
        <f t="shared" si="759"/>
        <v>0</v>
      </c>
    </row>
    <row r="592" spans="1:23" ht="25.5">
      <c r="A592" s="190" t="s">
        <v>718</v>
      </c>
      <c r="B592" s="191">
        <v>30101</v>
      </c>
      <c r="C592" s="657" t="s">
        <v>145</v>
      </c>
      <c r="D592" s="192" t="s">
        <v>58</v>
      </c>
      <c r="E592" s="193">
        <v>48.58</v>
      </c>
      <c r="F592" s="194">
        <v>5.8</v>
      </c>
      <c r="G592" s="194"/>
      <c r="H592" s="194"/>
      <c r="I592" s="194">
        <f t="shared" si="760"/>
        <v>5.8</v>
      </c>
      <c r="J592" s="193">
        <f>F592-I592</f>
        <v>0</v>
      </c>
      <c r="K592" s="193">
        <f t="shared" si="762"/>
        <v>281.76399999999995</v>
      </c>
      <c r="L592" s="193"/>
      <c r="M592" s="193"/>
      <c r="N592" s="193">
        <f t="shared" si="763"/>
        <v>281.76399999999995</v>
      </c>
      <c r="O592" s="622">
        <f t="shared" si="764"/>
        <v>0</v>
      </c>
      <c r="P592" s="194">
        <v>0</v>
      </c>
      <c r="Q592" s="622">
        <f t="shared" si="765"/>
        <v>0</v>
      </c>
      <c r="R592" s="745">
        <f>IFERROR(VLOOKUP(A592,#REF!,18,FALSE),)</f>
        <v>0</v>
      </c>
      <c r="S592" s="746">
        <f t="shared" si="766"/>
        <v>0</v>
      </c>
      <c r="T592" s="194">
        <f t="shared" si="767"/>
        <v>0</v>
      </c>
      <c r="U592" s="630">
        <f t="shared" si="768"/>
        <v>0</v>
      </c>
      <c r="V592" s="194">
        <v>0</v>
      </c>
      <c r="W592" s="630">
        <f t="shared" si="759"/>
        <v>0</v>
      </c>
    </row>
    <row r="593" spans="1:23" ht="51">
      <c r="A593" s="190" t="s">
        <v>719</v>
      </c>
      <c r="B593" s="191">
        <v>40339</v>
      </c>
      <c r="C593" s="657" t="s">
        <v>146</v>
      </c>
      <c r="D593" s="192" t="s">
        <v>57</v>
      </c>
      <c r="E593" s="193">
        <v>91.04</v>
      </c>
      <c r="F593" s="194">
        <v>122.6</v>
      </c>
      <c r="G593" s="194"/>
      <c r="H593" s="194">
        <f>REPLANILHAMENTO!H512</f>
        <v>756.37</v>
      </c>
      <c r="I593" s="194"/>
      <c r="J593" s="193">
        <f>F593+H593</f>
        <v>878.97</v>
      </c>
      <c r="K593" s="193">
        <f>F593*E593</f>
        <v>11161.504000000001</v>
      </c>
      <c r="L593" s="193">
        <f>H593*E593</f>
        <v>68859.924800000008</v>
      </c>
      <c r="M593" s="193"/>
      <c r="N593" s="193"/>
      <c r="O593" s="622">
        <f>J593*E593</f>
        <v>80021.428800000009</v>
      </c>
      <c r="P593" s="194">
        <f>'5.3.2.6'!R24</f>
        <v>878.97</v>
      </c>
      <c r="Q593" s="622">
        <f t="shared" si="765"/>
        <v>80021.42</v>
      </c>
      <c r="R593" s="745">
        <f>'5.3.2.6'!R25</f>
        <v>0</v>
      </c>
      <c r="S593" s="746">
        <f>R593*E593</f>
        <v>0</v>
      </c>
      <c r="T593" s="194">
        <f>R593+P593</f>
        <v>878.97</v>
      </c>
      <c r="U593" s="630">
        <f>TRUNC(T593*E593,2)</f>
        <v>80021.42</v>
      </c>
      <c r="V593" s="194">
        <f>J593-T593</f>
        <v>0</v>
      </c>
      <c r="W593" s="630">
        <f>V593*E593</f>
        <v>0</v>
      </c>
    </row>
    <row r="594" spans="1:23" ht="25.5">
      <c r="A594" s="190" t="s">
        <v>720</v>
      </c>
      <c r="B594" s="191">
        <v>40328</v>
      </c>
      <c r="C594" s="657" t="s">
        <v>147</v>
      </c>
      <c r="D594" s="192" t="s">
        <v>29</v>
      </c>
      <c r="E594" s="193">
        <v>7.98</v>
      </c>
      <c r="F594" s="194">
        <v>584</v>
      </c>
      <c r="G594" s="194"/>
      <c r="H594" s="194">
        <f>REPLANILHAMENTO!H513</f>
        <v>11879</v>
      </c>
      <c r="I594" s="194"/>
      <c r="J594" s="193">
        <f>F594+H594</f>
        <v>12463</v>
      </c>
      <c r="K594" s="193">
        <f>F594*E594</f>
        <v>4660.3200000000006</v>
      </c>
      <c r="L594" s="193">
        <f>H594*E594</f>
        <v>94794.42</v>
      </c>
      <c r="M594" s="193"/>
      <c r="N594" s="193"/>
      <c r="O594" s="622">
        <f>J594*E594</f>
        <v>99454.74</v>
      </c>
      <c r="P594" s="194">
        <f>'5.3.2.7'!R23</f>
        <v>12463</v>
      </c>
      <c r="Q594" s="622">
        <f t="shared" si="765"/>
        <v>99454.74</v>
      </c>
      <c r="R594" s="745">
        <f>'5.3.2.7'!R24</f>
        <v>0</v>
      </c>
      <c r="S594" s="746">
        <f>R594*E594</f>
        <v>0</v>
      </c>
      <c r="T594" s="194">
        <f>R594+P594</f>
        <v>12463</v>
      </c>
      <c r="U594" s="630">
        <f>TRUNC(T594*E594,2)</f>
        <v>99454.74</v>
      </c>
      <c r="V594" s="194">
        <f>J594-T594</f>
        <v>0</v>
      </c>
      <c r="W594" s="630">
        <f>V594*E594</f>
        <v>0</v>
      </c>
    </row>
    <row r="595" spans="1:23" ht="25.5">
      <c r="A595" s="190" t="s">
        <v>721</v>
      </c>
      <c r="B595" s="191">
        <v>40245</v>
      </c>
      <c r="C595" s="657" t="s">
        <v>148</v>
      </c>
      <c r="D595" s="192" t="s">
        <v>29</v>
      </c>
      <c r="E595" s="193">
        <v>8.41</v>
      </c>
      <c r="F595" s="194">
        <v>144</v>
      </c>
      <c r="G595" s="194"/>
      <c r="H595" s="194"/>
      <c r="I595" s="194">
        <f>F595</f>
        <v>144</v>
      </c>
      <c r="J595" s="193">
        <f>F595-I595</f>
        <v>0</v>
      </c>
      <c r="K595" s="193">
        <f t="shared" ref="K595:K596" si="769">F595*E595</f>
        <v>1211.04</v>
      </c>
      <c r="L595" s="193"/>
      <c r="M595" s="193"/>
      <c r="N595" s="193">
        <f t="shared" ref="N595:N596" si="770">I595*E595</f>
        <v>1211.04</v>
      </c>
      <c r="O595" s="622">
        <f t="shared" ref="O595:O596" si="771">J595*E595</f>
        <v>0</v>
      </c>
      <c r="P595" s="194">
        <v>0</v>
      </c>
      <c r="Q595" s="622">
        <f t="shared" si="765"/>
        <v>0</v>
      </c>
      <c r="R595" s="745">
        <v>0</v>
      </c>
      <c r="S595" s="746">
        <f t="shared" si="766"/>
        <v>0</v>
      </c>
      <c r="T595" s="194">
        <f t="shared" si="767"/>
        <v>0</v>
      </c>
      <c r="U595" s="630">
        <f t="shared" si="768"/>
        <v>0</v>
      </c>
      <c r="V595" s="194">
        <v>0</v>
      </c>
      <c r="W595" s="630">
        <f t="shared" si="759"/>
        <v>0</v>
      </c>
    </row>
    <row r="596" spans="1:23" ht="25.5">
      <c r="A596" s="190" t="s">
        <v>722</v>
      </c>
      <c r="B596" s="191">
        <v>40246</v>
      </c>
      <c r="C596" s="657" t="s">
        <v>149</v>
      </c>
      <c r="D596" s="192" t="s">
        <v>29</v>
      </c>
      <c r="E596" s="193">
        <v>8.08</v>
      </c>
      <c r="F596" s="194">
        <v>37</v>
      </c>
      <c r="G596" s="194"/>
      <c r="H596" s="194"/>
      <c r="I596" s="194">
        <f>F596</f>
        <v>37</v>
      </c>
      <c r="J596" s="193">
        <f>F596-I596</f>
        <v>0</v>
      </c>
      <c r="K596" s="193">
        <f t="shared" si="769"/>
        <v>298.95999999999998</v>
      </c>
      <c r="L596" s="193"/>
      <c r="M596" s="193"/>
      <c r="N596" s="193">
        <f t="shared" si="770"/>
        <v>298.95999999999998</v>
      </c>
      <c r="O596" s="622">
        <f t="shared" si="771"/>
        <v>0</v>
      </c>
      <c r="P596" s="194">
        <v>0</v>
      </c>
      <c r="Q596" s="622">
        <f t="shared" si="765"/>
        <v>0</v>
      </c>
      <c r="R596" s="745">
        <v>0</v>
      </c>
      <c r="S596" s="746">
        <f t="shared" si="766"/>
        <v>0</v>
      </c>
      <c r="T596" s="194">
        <f t="shared" si="767"/>
        <v>0</v>
      </c>
      <c r="U596" s="630">
        <f t="shared" si="768"/>
        <v>0</v>
      </c>
      <c r="V596" s="194">
        <v>0</v>
      </c>
      <c r="W596" s="630">
        <f t="shared" si="759"/>
        <v>0</v>
      </c>
    </row>
    <row r="597" spans="1:23" ht="51">
      <c r="A597" s="190" t="s">
        <v>723</v>
      </c>
      <c r="B597" s="191" t="s">
        <v>140</v>
      </c>
      <c r="C597" s="657" t="s">
        <v>177</v>
      </c>
      <c r="D597" s="192" t="s">
        <v>58</v>
      </c>
      <c r="E597" s="193">
        <v>486.08</v>
      </c>
      <c r="F597" s="194">
        <v>16.8</v>
      </c>
      <c r="G597" s="194"/>
      <c r="H597" s="194">
        <f>REPLANILHAMENTO!H517</f>
        <v>119.85000000000001</v>
      </c>
      <c r="I597" s="194"/>
      <c r="J597" s="193">
        <f>F597+H597</f>
        <v>136.65</v>
      </c>
      <c r="K597" s="193">
        <f>F597*E597</f>
        <v>8166.1440000000002</v>
      </c>
      <c r="L597" s="193">
        <f>H597*E597</f>
        <v>58256.688000000002</v>
      </c>
      <c r="M597" s="193"/>
      <c r="N597" s="193"/>
      <c r="O597" s="622">
        <f>J597*E597</f>
        <v>66422.831999999995</v>
      </c>
      <c r="P597" s="194">
        <f>'5.3.2.10'!R37</f>
        <v>136.65</v>
      </c>
      <c r="Q597" s="622">
        <f>TRUNC(P597*E597,2)</f>
        <v>66422.83</v>
      </c>
      <c r="R597" s="745">
        <f>'5.3.2.10'!R38</f>
        <v>0</v>
      </c>
      <c r="S597" s="746">
        <f>U597-Q597</f>
        <v>0</v>
      </c>
      <c r="T597" s="194">
        <f>R597+P597</f>
        <v>136.65</v>
      </c>
      <c r="U597" s="630">
        <f>TRUNC(T597*E597,2)</f>
        <v>66422.83</v>
      </c>
      <c r="V597" s="194">
        <f>J597-T597</f>
        <v>0</v>
      </c>
      <c r="W597" s="630">
        <f>V597*E597</f>
        <v>0</v>
      </c>
    </row>
    <row r="598" spans="1:23">
      <c r="A598" s="190" t="s">
        <v>724</v>
      </c>
      <c r="B598" s="191">
        <v>40813</v>
      </c>
      <c r="C598" s="657" t="s">
        <v>151</v>
      </c>
      <c r="D598" s="192" t="s">
        <v>57</v>
      </c>
      <c r="E598" s="193">
        <v>64.3</v>
      </c>
      <c r="F598" s="194">
        <v>195.37</v>
      </c>
      <c r="G598" s="194"/>
      <c r="H598" s="194"/>
      <c r="I598" s="194"/>
      <c r="J598" s="193">
        <f t="shared" ref="J598" si="772">F598+H598-I598</f>
        <v>195.37</v>
      </c>
      <c r="K598" s="193">
        <f t="shared" ref="K598" si="773">J598*E598</f>
        <v>12562.290999999999</v>
      </c>
      <c r="L598" s="193"/>
      <c r="M598" s="193"/>
      <c r="N598" s="193"/>
      <c r="O598" s="622">
        <f t="shared" ref="O598" si="774">J598*E598</f>
        <v>12562.290999999999</v>
      </c>
      <c r="P598" s="194">
        <v>195.37</v>
      </c>
      <c r="Q598" s="622">
        <f>TRUNC(P598*E598,2)</f>
        <v>12562.29</v>
      </c>
      <c r="R598" s="745">
        <v>0</v>
      </c>
      <c r="S598" s="746">
        <f>U598-Q598</f>
        <v>0</v>
      </c>
      <c r="T598" s="194">
        <f>R598+P598</f>
        <v>195.37</v>
      </c>
      <c r="U598" s="630">
        <f>TRUNC(T598*E598,2)</f>
        <v>12562.29</v>
      </c>
      <c r="V598" s="194">
        <f t="shared" si="721"/>
        <v>0</v>
      </c>
      <c r="W598" s="630">
        <f t="shared" ref="W598" si="775">V598*E598</f>
        <v>0</v>
      </c>
    </row>
    <row r="599" spans="1:23" ht="25.5">
      <c r="A599" s="190" t="s">
        <v>1302</v>
      </c>
      <c r="B599" s="191">
        <v>130110</v>
      </c>
      <c r="C599" s="657" t="str">
        <f>REPLANILHAMENTO!D516</f>
        <v>Lastro regularizado de concreto não estrutural, espessura de 8 cm (máximo de 100m3)</v>
      </c>
      <c r="D599" s="192" t="s">
        <v>57</v>
      </c>
      <c r="E599" s="193">
        <f>REPLANILHAMENTO!F516</f>
        <v>51.84</v>
      </c>
      <c r="F599" s="194">
        <v>0</v>
      </c>
      <c r="G599" s="194"/>
      <c r="H599" s="194">
        <v>226.42</v>
      </c>
      <c r="I599" s="194"/>
      <c r="J599" s="193">
        <f>F599+H599</f>
        <v>226.42</v>
      </c>
      <c r="K599" s="193">
        <v>0</v>
      </c>
      <c r="L599" s="193">
        <f>H599*E599</f>
        <v>11737.612800000001</v>
      </c>
      <c r="M599" s="193"/>
      <c r="N599" s="193"/>
      <c r="O599" s="622">
        <f>J599*E599</f>
        <v>11737.612800000001</v>
      </c>
      <c r="P599" s="194">
        <f>'5.3.2.12'!R23</f>
        <v>226.42</v>
      </c>
      <c r="Q599" s="622">
        <f>TRUNC(P599*E599,2)</f>
        <v>11737.61</v>
      </c>
      <c r="R599" s="745">
        <f>'5.3.2.12'!R24</f>
        <v>0</v>
      </c>
      <c r="S599" s="746">
        <f>R599*E599</f>
        <v>0</v>
      </c>
      <c r="T599" s="194">
        <f>R599+P599</f>
        <v>226.42</v>
      </c>
      <c r="U599" s="630">
        <f>T599*E599</f>
        <v>11737.612800000001</v>
      </c>
      <c r="V599" s="194">
        <f>J599-T599</f>
        <v>0</v>
      </c>
      <c r="W599" s="630">
        <f>V599*E599</f>
        <v>0</v>
      </c>
    </row>
    <row r="600" spans="1:23">
      <c r="A600" s="138"/>
      <c r="B600" s="132"/>
      <c r="C600" s="123"/>
      <c r="D600" s="123"/>
      <c r="E600" s="123"/>
      <c r="F600" s="123"/>
      <c r="G600" s="123"/>
      <c r="H600" s="123"/>
      <c r="I600" s="123"/>
      <c r="J600" s="123"/>
      <c r="K600" s="123"/>
      <c r="L600" s="123"/>
      <c r="M600" s="123"/>
      <c r="N600" s="123"/>
      <c r="O600" s="623"/>
      <c r="P600" s="123"/>
      <c r="Q600" s="623"/>
      <c r="R600" s="791"/>
      <c r="S600" s="792"/>
      <c r="T600" s="123"/>
      <c r="U600" s="631"/>
      <c r="V600" s="123"/>
      <c r="W600" s="631"/>
    </row>
    <row r="601" spans="1:23" s="131" customFormat="1">
      <c r="A601" s="137" t="s">
        <v>725</v>
      </c>
      <c r="B601" s="133"/>
      <c r="C601" s="658" t="s">
        <v>153</v>
      </c>
      <c r="D601" s="126"/>
      <c r="E601" s="127"/>
      <c r="F601" s="128"/>
      <c r="G601" s="128"/>
      <c r="H601" s="128"/>
      <c r="I601" s="128"/>
      <c r="J601" s="129"/>
      <c r="K601" s="129">
        <f>SUBTOTAL(9,K602)</f>
        <v>13844.9586</v>
      </c>
      <c r="L601" s="129"/>
      <c r="M601" s="129"/>
      <c r="N601" s="129"/>
      <c r="O601" s="624"/>
      <c r="P601" s="130"/>
      <c r="Q601" s="624">
        <f>SUBTOTAL(9,Q602)</f>
        <v>13844.95</v>
      </c>
      <c r="R601" s="743"/>
      <c r="S601" s="744">
        <f>SUBTOTAL(9,S602)</f>
        <v>0</v>
      </c>
      <c r="T601" s="129"/>
      <c r="U601" s="624">
        <f>SUBTOTAL(9,U602)</f>
        <v>13844.95</v>
      </c>
      <c r="V601" s="129">
        <f t="shared" si="721"/>
        <v>0</v>
      </c>
      <c r="W601" s="624">
        <f>SUBTOTAL(9,W602)</f>
        <v>0</v>
      </c>
    </row>
    <row r="602" spans="1:23" ht="25.5">
      <c r="A602" s="190" t="s">
        <v>726</v>
      </c>
      <c r="B602" s="191" t="s">
        <v>155</v>
      </c>
      <c r="C602" s="657" t="s">
        <v>156</v>
      </c>
      <c r="D602" s="192" t="s">
        <v>50</v>
      </c>
      <c r="E602" s="193">
        <v>91.41</v>
      </c>
      <c r="F602" s="194">
        <v>151.46</v>
      </c>
      <c r="G602" s="194"/>
      <c r="H602" s="194"/>
      <c r="I602" s="194"/>
      <c r="J602" s="193">
        <f t="shared" ref="J602" si="776">F602+H602-I602</f>
        <v>151.46</v>
      </c>
      <c r="K602" s="193">
        <f t="shared" ref="K602" si="777">J602*E602</f>
        <v>13844.9586</v>
      </c>
      <c r="L602" s="193"/>
      <c r="M602" s="193"/>
      <c r="N602" s="193"/>
      <c r="O602" s="622">
        <f t="shared" ref="O602" si="778">J602*E602</f>
        <v>13844.9586</v>
      </c>
      <c r="P602" s="194">
        <v>151.46</v>
      </c>
      <c r="Q602" s="622">
        <f t="shared" ref="Q602" si="779">TRUNC(P602*E602,2)</f>
        <v>13844.95</v>
      </c>
      <c r="R602" s="745">
        <v>0</v>
      </c>
      <c r="S602" s="746">
        <f t="shared" ref="S602" si="780">U602-Q602</f>
        <v>0</v>
      </c>
      <c r="T602" s="194">
        <f t="shared" ref="T602" si="781">R602+P602</f>
        <v>151.46</v>
      </c>
      <c r="U602" s="630">
        <f t="shared" ref="U602" si="782">TRUNC(T602*E602,2)</f>
        <v>13844.95</v>
      </c>
      <c r="V602" s="194">
        <f t="shared" si="721"/>
        <v>0</v>
      </c>
      <c r="W602" s="630">
        <f t="shared" ref="W602" si="783">V602*E602</f>
        <v>0</v>
      </c>
    </row>
    <row r="603" spans="1:23">
      <c r="A603" s="138"/>
      <c r="B603" s="132"/>
      <c r="C603" s="123"/>
      <c r="D603" s="123"/>
      <c r="E603" s="123"/>
      <c r="F603" s="123"/>
      <c r="G603" s="123"/>
      <c r="H603" s="123"/>
      <c r="I603" s="123"/>
      <c r="J603" s="123"/>
      <c r="K603" s="123"/>
      <c r="L603" s="123"/>
      <c r="M603" s="123"/>
      <c r="N603" s="123"/>
      <c r="O603" s="623"/>
      <c r="P603" s="123"/>
      <c r="Q603" s="623"/>
      <c r="R603" s="791"/>
      <c r="S603" s="792"/>
      <c r="T603" s="123"/>
      <c r="U603" s="631"/>
      <c r="V603" s="123"/>
      <c r="W603" s="631"/>
    </row>
    <row r="604" spans="1:23" s="131" customFormat="1">
      <c r="A604" s="137" t="s">
        <v>727</v>
      </c>
      <c r="B604" s="133"/>
      <c r="C604" s="658" t="s">
        <v>158</v>
      </c>
      <c r="D604" s="126"/>
      <c r="E604" s="127"/>
      <c r="F604" s="128"/>
      <c r="G604" s="128"/>
      <c r="H604" s="128"/>
      <c r="I604" s="128"/>
      <c r="J604" s="129"/>
      <c r="K604" s="129">
        <f>SUBTOTAL(9,K605:K607)</f>
        <v>2958.9223000000002</v>
      </c>
      <c r="L604" s="129"/>
      <c r="M604" s="129"/>
      <c r="N604" s="129"/>
      <c r="O604" s="624"/>
      <c r="P604" s="130"/>
      <c r="Q604" s="624">
        <f>SUBTOTAL(9,Q605:Q607)</f>
        <v>2958.91</v>
      </c>
      <c r="R604" s="743"/>
      <c r="S604" s="744">
        <f>SUBTOTAL(9,S605:S607)</f>
        <v>0</v>
      </c>
      <c r="T604" s="129"/>
      <c r="U604" s="624">
        <f>SUBTOTAL(9,U605:U607)</f>
        <v>2958.91</v>
      </c>
      <c r="V604" s="129">
        <f t="shared" si="721"/>
        <v>0</v>
      </c>
      <c r="W604" s="624">
        <f>SUBTOTAL(9,W605:W607)</f>
        <v>0</v>
      </c>
    </row>
    <row r="605" spans="1:23" ht="25.5">
      <c r="A605" s="190" t="s">
        <v>728</v>
      </c>
      <c r="B605" s="191" t="s">
        <v>155</v>
      </c>
      <c r="C605" s="657" t="s">
        <v>156</v>
      </c>
      <c r="D605" s="192" t="s">
        <v>50</v>
      </c>
      <c r="E605" s="193">
        <v>91.41</v>
      </c>
      <c r="F605" s="194">
        <v>23.59</v>
      </c>
      <c r="G605" s="194"/>
      <c r="H605" s="194"/>
      <c r="I605" s="194"/>
      <c r="J605" s="193">
        <f t="shared" ref="J605:J607" si="784">F605+H605-I605</f>
        <v>23.59</v>
      </c>
      <c r="K605" s="193">
        <f t="shared" ref="K605:K607" si="785">J605*E605</f>
        <v>2156.3618999999999</v>
      </c>
      <c r="L605" s="193"/>
      <c r="M605" s="193"/>
      <c r="N605" s="193"/>
      <c r="O605" s="622">
        <f t="shared" ref="O605:O607" si="786">J605*E605</f>
        <v>2156.3618999999999</v>
      </c>
      <c r="P605" s="194">
        <v>23.59</v>
      </c>
      <c r="Q605" s="622">
        <f t="shared" ref="Q605" si="787">TRUNC(P605*E605,2)</f>
        <v>2156.36</v>
      </c>
      <c r="R605" s="745">
        <v>0</v>
      </c>
      <c r="S605" s="746">
        <f t="shared" ref="S605" si="788">U605-Q605</f>
        <v>0</v>
      </c>
      <c r="T605" s="194">
        <f t="shared" ref="T605" si="789">R605+P605</f>
        <v>23.59</v>
      </c>
      <c r="U605" s="630">
        <f t="shared" ref="U605" si="790">TRUNC(T605*E605,2)</f>
        <v>2156.36</v>
      </c>
      <c r="V605" s="194">
        <f t="shared" si="721"/>
        <v>0</v>
      </c>
      <c r="W605" s="630">
        <f t="shared" ref="W605:W607" si="791">V605*E605</f>
        <v>0</v>
      </c>
    </row>
    <row r="606" spans="1:23">
      <c r="A606" s="190" t="s">
        <v>729</v>
      </c>
      <c r="B606" s="191">
        <v>200323</v>
      </c>
      <c r="C606" s="657" t="s">
        <v>162</v>
      </c>
      <c r="D606" s="192" t="s">
        <v>58</v>
      </c>
      <c r="E606" s="193">
        <v>125.94</v>
      </c>
      <c r="F606" s="194">
        <v>4.76</v>
      </c>
      <c r="G606" s="194"/>
      <c r="H606" s="194"/>
      <c r="I606" s="194"/>
      <c r="J606" s="193">
        <f t="shared" si="784"/>
        <v>4.76</v>
      </c>
      <c r="K606" s="193">
        <f t="shared" si="785"/>
        <v>599.47439999999995</v>
      </c>
      <c r="L606" s="193"/>
      <c r="M606" s="193"/>
      <c r="N606" s="193"/>
      <c r="O606" s="622">
        <f t="shared" si="786"/>
        <v>599.47439999999995</v>
      </c>
      <c r="P606" s="194">
        <v>4.76</v>
      </c>
      <c r="Q606" s="622">
        <f>TRUNC(P606*E606,2)</f>
        <v>599.47</v>
      </c>
      <c r="R606" s="745">
        <v>0</v>
      </c>
      <c r="S606" s="746">
        <f>U606-Q606</f>
        <v>0</v>
      </c>
      <c r="T606" s="194">
        <f>R606+P606</f>
        <v>4.76</v>
      </c>
      <c r="U606" s="630">
        <f>TRUNC(T606*E606,2)</f>
        <v>599.47</v>
      </c>
      <c r="V606" s="194">
        <f t="shared" si="721"/>
        <v>0</v>
      </c>
      <c r="W606" s="630">
        <f t="shared" si="791"/>
        <v>0</v>
      </c>
    </row>
    <row r="607" spans="1:23" ht="38.25">
      <c r="A607" s="190" t="s">
        <v>730</v>
      </c>
      <c r="B607" s="191">
        <v>50501</v>
      </c>
      <c r="C607" s="657" t="s">
        <v>916</v>
      </c>
      <c r="D607" s="192" t="s">
        <v>57</v>
      </c>
      <c r="E607" s="193">
        <v>94.9</v>
      </c>
      <c r="F607" s="194">
        <v>2.14</v>
      </c>
      <c r="G607" s="194"/>
      <c r="H607" s="194"/>
      <c r="I607" s="194"/>
      <c r="J607" s="193">
        <f t="shared" si="784"/>
        <v>2.14</v>
      </c>
      <c r="K607" s="193">
        <f t="shared" si="785"/>
        <v>203.08600000000001</v>
      </c>
      <c r="L607" s="193"/>
      <c r="M607" s="193"/>
      <c r="N607" s="193"/>
      <c r="O607" s="622">
        <f t="shared" si="786"/>
        <v>203.08600000000001</v>
      </c>
      <c r="P607" s="194">
        <v>2.14</v>
      </c>
      <c r="Q607" s="622">
        <f t="shared" ref="Q607" si="792">TRUNC(P607*E607,2)</f>
        <v>203.08</v>
      </c>
      <c r="R607" s="745">
        <v>0</v>
      </c>
      <c r="S607" s="746">
        <f t="shared" ref="S607" si="793">U607-Q607</f>
        <v>0</v>
      </c>
      <c r="T607" s="194">
        <v>2.14</v>
      </c>
      <c r="U607" s="630">
        <f t="shared" ref="U607" si="794">TRUNC(T607*E607,2)</f>
        <v>203.08</v>
      </c>
      <c r="V607" s="194">
        <f>F607-T607</f>
        <v>0</v>
      </c>
      <c r="W607" s="630">
        <f t="shared" si="791"/>
        <v>0</v>
      </c>
    </row>
    <row r="608" spans="1:23">
      <c r="A608" s="138"/>
      <c r="B608" s="132"/>
      <c r="C608" s="123"/>
      <c r="D608" s="123"/>
      <c r="E608" s="123"/>
      <c r="F608" s="123"/>
      <c r="G608" s="123"/>
      <c r="H608" s="123"/>
      <c r="I608" s="123"/>
      <c r="J608" s="123"/>
      <c r="K608" s="123"/>
      <c r="L608" s="123"/>
      <c r="M608" s="123"/>
      <c r="N608" s="123"/>
      <c r="O608" s="623"/>
      <c r="P608" s="123"/>
      <c r="Q608" s="623"/>
      <c r="R608" s="791"/>
      <c r="S608" s="792"/>
      <c r="T608" s="123"/>
      <c r="U608" s="631"/>
      <c r="V608" s="123"/>
      <c r="W608" s="631"/>
    </row>
    <row r="609" spans="1:23" s="131" customFormat="1">
      <c r="A609" s="137" t="s">
        <v>731</v>
      </c>
      <c r="B609" s="133"/>
      <c r="C609" s="658" t="s">
        <v>164</v>
      </c>
      <c r="D609" s="126"/>
      <c r="E609" s="127"/>
      <c r="F609" s="128"/>
      <c r="G609" s="128"/>
      <c r="H609" s="128"/>
      <c r="I609" s="128"/>
      <c r="J609" s="129"/>
      <c r="K609" s="129">
        <f>SUBTOTAL(9,K610:K614)</f>
        <v>9240.366</v>
      </c>
      <c r="L609" s="129"/>
      <c r="M609" s="129"/>
      <c r="N609" s="129"/>
      <c r="O609" s="624"/>
      <c r="P609" s="130"/>
      <c r="Q609" s="624">
        <f>SUBTOTAL(9,Q610:Q614)</f>
        <v>9240.36</v>
      </c>
      <c r="R609" s="743"/>
      <c r="S609" s="744">
        <f>SUBTOTAL(9,S610:S614)</f>
        <v>0</v>
      </c>
      <c r="T609" s="129"/>
      <c r="U609" s="624">
        <f>SUBTOTAL(9,U610:U614)</f>
        <v>9240.36</v>
      </c>
      <c r="V609" s="129">
        <f t="shared" si="721"/>
        <v>0</v>
      </c>
      <c r="W609" s="624">
        <f>SUBTOTAL(9,W610:W614)</f>
        <v>0</v>
      </c>
    </row>
    <row r="610" spans="1:23" ht="51">
      <c r="A610" s="190" t="s">
        <v>732</v>
      </c>
      <c r="B610" s="191">
        <v>40339</v>
      </c>
      <c r="C610" s="657" t="s">
        <v>184</v>
      </c>
      <c r="D610" s="192" t="s">
        <v>57</v>
      </c>
      <c r="E610" s="193">
        <v>91.04</v>
      </c>
      <c r="F610" s="194">
        <v>52.4</v>
      </c>
      <c r="G610" s="194"/>
      <c r="H610" s="194"/>
      <c r="I610" s="194"/>
      <c r="J610" s="193">
        <f t="shared" ref="J610:J614" si="795">F610+H610-I610</f>
        <v>52.4</v>
      </c>
      <c r="K610" s="193">
        <f t="shared" ref="K610:K614" si="796">J610*E610</f>
        <v>4770.4960000000001</v>
      </c>
      <c r="L610" s="193"/>
      <c r="M610" s="193"/>
      <c r="N610" s="193"/>
      <c r="O610" s="622">
        <f t="shared" ref="O610:O614" si="797">J610*E610</f>
        <v>4770.4960000000001</v>
      </c>
      <c r="P610" s="194">
        <f>'5.3.5.1'!R21</f>
        <v>52.4</v>
      </c>
      <c r="Q610" s="622">
        <f t="shared" ref="Q610" si="798">TRUNC(P610*E610,2)</f>
        <v>4770.49</v>
      </c>
      <c r="R610" s="745">
        <f>'5.3.5.1'!R22</f>
        <v>0</v>
      </c>
      <c r="S610" s="746">
        <f t="shared" ref="S610" si="799">U610-Q610</f>
        <v>0</v>
      </c>
      <c r="T610" s="194">
        <f t="shared" ref="T610" si="800">R610+P610</f>
        <v>52.4</v>
      </c>
      <c r="U610" s="630">
        <f t="shared" ref="U610" si="801">TRUNC(T610*E610,2)</f>
        <v>4770.49</v>
      </c>
      <c r="V610" s="194">
        <f t="shared" si="721"/>
        <v>0</v>
      </c>
      <c r="W610" s="630">
        <f t="shared" ref="W610:W614" si="802">V610*E610</f>
        <v>0</v>
      </c>
    </row>
    <row r="611" spans="1:23" ht="25.5">
      <c r="A611" s="190" t="s">
        <v>733</v>
      </c>
      <c r="B611" s="191">
        <v>40328</v>
      </c>
      <c r="C611" s="657" t="s">
        <v>147</v>
      </c>
      <c r="D611" s="192" t="s">
        <v>29</v>
      </c>
      <c r="E611" s="193">
        <v>7.98</v>
      </c>
      <c r="F611" s="194">
        <v>210</v>
      </c>
      <c r="G611" s="194"/>
      <c r="H611" s="194"/>
      <c r="I611" s="194"/>
      <c r="J611" s="193">
        <f t="shared" si="795"/>
        <v>210</v>
      </c>
      <c r="K611" s="193">
        <f t="shared" si="796"/>
        <v>1675.8000000000002</v>
      </c>
      <c r="L611" s="193"/>
      <c r="M611" s="193"/>
      <c r="N611" s="193"/>
      <c r="O611" s="622">
        <f t="shared" si="797"/>
        <v>1675.8000000000002</v>
      </c>
      <c r="P611" s="194">
        <f>'5.3.5.2'!R26</f>
        <v>210</v>
      </c>
      <c r="Q611" s="622">
        <f>TRUNC(P611*E611,2)</f>
        <v>1675.8</v>
      </c>
      <c r="R611" s="745">
        <f>'5.3.5.2'!R27</f>
        <v>0</v>
      </c>
      <c r="S611" s="746">
        <f>U611-Q611</f>
        <v>0</v>
      </c>
      <c r="T611" s="194">
        <f>R611+P611</f>
        <v>210</v>
      </c>
      <c r="U611" s="630">
        <f>TRUNC(T611*E611,2)</f>
        <v>1675.8</v>
      </c>
      <c r="V611" s="194">
        <f t="shared" si="721"/>
        <v>0</v>
      </c>
      <c r="W611" s="630">
        <f t="shared" si="802"/>
        <v>0</v>
      </c>
    </row>
    <row r="612" spans="1:23" ht="25.5">
      <c r="A612" s="190" t="s">
        <v>734</v>
      </c>
      <c r="B612" s="191">
        <v>40245</v>
      </c>
      <c r="C612" s="657" t="s">
        <v>148</v>
      </c>
      <c r="D612" s="192" t="s">
        <v>29</v>
      </c>
      <c r="E612" s="193">
        <v>8.41</v>
      </c>
      <c r="F612" s="194">
        <v>55</v>
      </c>
      <c r="G612" s="194"/>
      <c r="H612" s="194"/>
      <c r="I612" s="194"/>
      <c r="J612" s="193">
        <f t="shared" si="795"/>
        <v>55</v>
      </c>
      <c r="K612" s="193">
        <f t="shared" si="796"/>
        <v>462.55</v>
      </c>
      <c r="L612" s="193"/>
      <c r="M612" s="193"/>
      <c r="N612" s="193"/>
      <c r="O612" s="622">
        <f t="shared" si="797"/>
        <v>462.55</v>
      </c>
      <c r="P612" s="194">
        <f>'5.3.5.3'!R26</f>
        <v>55</v>
      </c>
      <c r="Q612" s="622">
        <f t="shared" ref="Q612:Q614" si="803">TRUNC(P612*E612,2)</f>
        <v>462.55</v>
      </c>
      <c r="R612" s="745">
        <f>'5.3.5.3'!R27</f>
        <v>0</v>
      </c>
      <c r="S612" s="746">
        <f t="shared" ref="S612:S614" si="804">U612-Q612</f>
        <v>0</v>
      </c>
      <c r="T612" s="194">
        <f t="shared" ref="T612:T614" si="805">R612+P612</f>
        <v>55</v>
      </c>
      <c r="U612" s="630">
        <f t="shared" ref="U612:U614" si="806">TRUNC(T612*E612,2)</f>
        <v>462.55</v>
      </c>
      <c r="V612" s="194">
        <f t="shared" si="721"/>
        <v>0</v>
      </c>
      <c r="W612" s="630">
        <f t="shared" si="802"/>
        <v>0</v>
      </c>
    </row>
    <row r="613" spans="1:23" ht="25.5">
      <c r="A613" s="190" t="s">
        <v>735</v>
      </c>
      <c r="B613" s="191">
        <v>40246</v>
      </c>
      <c r="C613" s="657" t="s">
        <v>149</v>
      </c>
      <c r="D613" s="192" t="s">
        <v>29</v>
      </c>
      <c r="E613" s="193">
        <v>8.08</v>
      </c>
      <c r="F613" s="194">
        <v>78</v>
      </c>
      <c r="G613" s="194"/>
      <c r="H613" s="194"/>
      <c r="I613" s="194"/>
      <c r="J613" s="193">
        <f t="shared" si="795"/>
        <v>78</v>
      </c>
      <c r="K613" s="193">
        <f t="shared" si="796"/>
        <v>630.24</v>
      </c>
      <c r="L613" s="193"/>
      <c r="M613" s="193"/>
      <c r="N613" s="193"/>
      <c r="O613" s="622">
        <f t="shared" si="797"/>
        <v>630.24</v>
      </c>
      <c r="P613" s="194">
        <f>'5.3.5.4'!R26</f>
        <v>78</v>
      </c>
      <c r="Q613" s="622">
        <f t="shared" si="803"/>
        <v>630.24</v>
      </c>
      <c r="R613" s="745">
        <f>'5.3.5.4'!R27</f>
        <v>0</v>
      </c>
      <c r="S613" s="746">
        <f t="shared" si="804"/>
        <v>0</v>
      </c>
      <c r="T613" s="194">
        <f t="shared" si="805"/>
        <v>78</v>
      </c>
      <c r="U613" s="630">
        <f t="shared" si="806"/>
        <v>630.24</v>
      </c>
      <c r="V613" s="194">
        <f t="shared" si="721"/>
        <v>0</v>
      </c>
      <c r="W613" s="630">
        <f t="shared" si="802"/>
        <v>0</v>
      </c>
    </row>
    <row r="614" spans="1:23" ht="38.25">
      <c r="A614" s="190" t="s">
        <v>736</v>
      </c>
      <c r="B614" s="191" t="s">
        <v>140</v>
      </c>
      <c r="C614" s="657" t="s">
        <v>150</v>
      </c>
      <c r="D614" s="192" t="s">
        <v>58</v>
      </c>
      <c r="E614" s="193">
        <v>486.08</v>
      </c>
      <c r="F614" s="194">
        <v>3.5</v>
      </c>
      <c r="G614" s="194"/>
      <c r="H614" s="194"/>
      <c r="I614" s="194"/>
      <c r="J614" s="193">
        <f t="shared" si="795"/>
        <v>3.5</v>
      </c>
      <c r="K614" s="193">
        <f t="shared" si="796"/>
        <v>1701.28</v>
      </c>
      <c r="L614" s="193"/>
      <c r="M614" s="193"/>
      <c r="N614" s="193"/>
      <c r="O614" s="622">
        <f t="shared" si="797"/>
        <v>1701.28</v>
      </c>
      <c r="P614" s="194">
        <f>'5.3.5.5'!R26</f>
        <v>3.5</v>
      </c>
      <c r="Q614" s="622">
        <f t="shared" si="803"/>
        <v>1701.28</v>
      </c>
      <c r="R614" s="745">
        <f>'5.3.5.5'!R27</f>
        <v>0</v>
      </c>
      <c r="S614" s="746">
        <f t="shared" si="804"/>
        <v>0</v>
      </c>
      <c r="T614" s="194">
        <f t="shared" si="805"/>
        <v>3.5</v>
      </c>
      <c r="U614" s="630">
        <f t="shared" si="806"/>
        <v>1701.28</v>
      </c>
      <c r="V614" s="194">
        <f t="shared" si="721"/>
        <v>0</v>
      </c>
      <c r="W614" s="630">
        <f t="shared" si="802"/>
        <v>0</v>
      </c>
    </row>
    <row r="615" spans="1:23">
      <c r="A615" s="138"/>
      <c r="B615" s="132"/>
      <c r="C615" s="123"/>
      <c r="D615" s="123"/>
      <c r="E615" s="123"/>
      <c r="F615" s="123"/>
      <c r="G615" s="123"/>
      <c r="H615" s="123"/>
      <c r="I615" s="123"/>
      <c r="J615" s="123"/>
      <c r="K615" s="123"/>
      <c r="L615" s="123"/>
      <c r="M615" s="123"/>
      <c r="N615" s="123"/>
      <c r="O615" s="623"/>
      <c r="P615" s="123"/>
      <c r="Q615" s="623"/>
      <c r="R615" s="791"/>
      <c r="S615" s="792"/>
      <c r="T615" s="123"/>
      <c r="U615" s="631"/>
      <c r="V615" s="123"/>
      <c r="W615" s="631"/>
    </row>
    <row r="616" spans="1:23" s="131" customFormat="1">
      <c r="A616" s="137" t="s">
        <v>737</v>
      </c>
      <c r="B616" s="133"/>
      <c r="C616" s="658" t="s">
        <v>171</v>
      </c>
      <c r="D616" s="126"/>
      <c r="E616" s="127"/>
      <c r="F616" s="128"/>
      <c r="G616" s="128"/>
      <c r="H616" s="128"/>
      <c r="I616" s="128"/>
      <c r="J616" s="129"/>
      <c r="K616" s="129">
        <f>SUBTOTAL(9,K617:K621)</f>
        <v>18264.59</v>
      </c>
      <c r="L616" s="129"/>
      <c r="M616" s="129"/>
      <c r="N616" s="129"/>
      <c r="O616" s="624"/>
      <c r="P616" s="130"/>
      <c r="Q616" s="624">
        <f>SUBTOTAL(9,Q617:Q621)</f>
        <v>18264.579999999998</v>
      </c>
      <c r="R616" s="743"/>
      <c r="S616" s="744">
        <f>SUBTOTAL(9,S617:S621)</f>
        <v>0</v>
      </c>
      <c r="T616" s="129"/>
      <c r="U616" s="624">
        <f>SUBTOTAL(9,U617:U621)</f>
        <v>18264.579999999998</v>
      </c>
      <c r="V616" s="129">
        <f t="shared" si="721"/>
        <v>0</v>
      </c>
      <c r="W616" s="624">
        <f>SUBTOTAL(9,W617:W621)</f>
        <v>0</v>
      </c>
    </row>
    <row r="617" spans="1:23" ht="51">
      <c r="A617" s="190" t="s">
        <v>738</v>
      </c>
      <c r="B617" s="191">
        <v>40339</v>
      </c>
      <c r="C617" s="657" t="s">
        <v>184</v>
      </c>
      <c r="D617" s="192" t="s">
        <v>57</v>
      </c>
      <c r="E617" s="193">
        <v>91.04</v>
      </c>
      <c r="F617" s="194">
        <v>87.7</v>
      </c>
      <c r="G617" s="194"/>
      <c r="H617" s="194"/>
      <c r="I617" s="194"/>
      <c r="J617" s="193">
        <f t="shared" ref="J617:J621" si="807">F617+H617-I617</f>
        <v>87.7</v>
      </c>
      <c r="K617" s="193">
        <f t="shared" ref="K617:K621" si="808">J617*E617</f>
        <v>7984.2080000000005</v>
      </c>
      <c r="L617" s="193"/>
      <c r="M617" s="193"/>
      <c r="N617" s="193"/>
      <c r="O617" s="622">
        <f t="shared" ref="O617:O621" si="809">J617*E617</f>
        <v>7984.2080000000005</v>
      </c>
      <c r="P617" s="194">
        <f>'5.3.6.1'!R26</f>
        <v>87.7</v>
      </c>
      <c r="Q617" s="622">
        <f t="shared" ref="Q617" si="810">TRUNC(P617*E617,2)</f>
        <v>7984.2</v>
      </c>
      <c r="R617" s="745">
        <f>'5.3.6.1'!R27</f>
        <v>0</v>
      </c>
      <c r="S617" s="746">
        <f t="shared" ref="S617" si="811">U617-Q617</f>
        <v>0</v>
      </c>
      <c r="T617" s="194">
        <f t="shared" ref="T617" si="812">R617+P617</f>
        <v>87.7</v>
      </c>
      <c r="U617" s="630">
        <f t="shared" ref="U617" si="813">TRUNC(T617*E617,2)</f>
        <v>7984.2</v>
      </c>
      <c r="V617" s="194">
        <f t="shared" si="721"/>
        <v>0</v>
      </c>
      <c r="W617" s="630">
        <f t="shared" ref="W617:W621" si="814">V617*E617</f>
        <v>0</v>
      </c>
    </row>
    <row r="618" spans="1:23" ht="25.5">
      <c r="A618" s="190" t="s">
        <v>739</v>
      </c>
      <c r="B618" s="191">
        <v>40328</v>
      </c>
      <c r="C618" s="657" t="s">
        <v>147</v>
      </c>
      <c r="D618" s="192" t="s">
        <v>29</v>
      </c>
      <c r="E618" s="193">
        <v>7.98</v>
      </c>
      <c r="F618" s="194">
        <v>502</v>
      </c>
      <c r="G618" s="194"/>
      <c r="H618" s="194"/>
      <c r="I618" s="194"/>
      <c r="J618" s="193">
        <f t="shared" si="807"/>
        <v>502</v>
      </c>
      <c r="K618" s="193">
        <f t="shared" si="808"/>
        <v>4005.96</v>
      </c>
      <c r="L618" s="193"/>
      <c r="M618" s="193"/>
      <c r="N618" s="193"/>
      <c r="O618" s="622">
        <f t="shared" si="809"/>
        <v>4005.96</v>
      </c>
      <c r="P618" s="194">
        <f>'5.3.6.2'!R26</f>
        <v>502</v>
      </c>
      <c r="Q618" s="622">
        <f>TRUNC(P618*E618,2)</f>
        <v>4005.96</v>
      </c>
      <c r="R618" s="745">
        <f>'5.3.6.2'!R27</f>
        <v>0</v>
      </c>
      <c r="S618" s="746">
        <f>U618-Q618</f>
        <v>0</v>
      </c>
      <c r="T618" s="194">
        <f>R618+P618</f>
        <v>502</v>
      </c>
      <c r="U618" s="630">
        <f>TRUNC(T618*E618,2)</f>
        <v>4005.96</v>
      </c>
      <c r="V618" s="194">
        <f t="shared" si="721"/>
        <v>0</v>
      </c>
      <c r="W618" s="630">
        <f t="shared" si="814"/>
        <v>0</v>
      </c>
    </row>
    <row r="619" spans="1:23" ht="25.5">
      <c r="A619" s="190" t="s">
        <v>740</v>
      </c>
      <c r="B619" s="191">
        <v>40245</v>
      </c>
      <c r="C619" s="657" t="s">
        <v>148</v>
      </c>
      <c r="D619" s="192" t="s">
        <v>29</v>
      </c>
      <c r="E619" s="193">
        <v>8.41</v>
      </c>
      <c r="F619" s="194">
        <v>199</v>
      </c>
      <c r="G619" s="194"/>
      <c r="H619" s="194"/>
      <c r="I619" s="194"/>
      <c r="J619" s="193">
        <f t="shared" si="807"/>
        <v>199</v>
      </c>
      <c r="K619" s="193">
        <f t="shared" si="808"/>
        <v>1673.59</v>
      </c>
      <c r="L619" s="193"/>
      <c r="M619" s="193"/>
      <c r="N619" s="193"/>
      <c r="O619" s="622">
        <f t="shared" si="809"/>
        <v>1673.59</v>
      </c>
      <c r="P619" s="194">
        <f>'5.3.6.3'!R26</f>
        <v>199</v>
      </c>
      <c r="Q619" s="622">
        <f t="shared" ref="Q619:Q621" si="815">TRUNC(P619*E619,2)</f>
        <v>1673.59</v>
      </c>
      <c r="R619" s="745">
        <f>'5.3.6.3'!R27</f>
        <v>0</v>
      </c>
      <c r="S619" s="746">
        <f t="shared" ref="S619:S621" si="816">U619-Q619</f>
        <v>0</v>
      </c>
      <c r="T619" s="194">
        <f t="shared" ref="T619:T621" si="817">R619+P619</f>
        <v>199</v>
      </c>
      <c r="U619" s="630">
        <f t="shared" ref="U619:U621" si="818">TRUNC(T619*E619,2)</f>
        <v>1673.59</v>
      </c>
      <c r="V619" s="194">
        <f t="shared" si="721"/>
        <v>0</v>
      </c>
      <c r="W619" s="630">
        <f t="shared" si="814"/>
        <v>0</v>
      </c>
    </row>
    <row r="620" spans="1:23" ht="25.5">
      <c r="A620" s="190" t="s">
        <v>741</v>
      </c>
      <c r="B620" s="191">
        <v>40246</v>
      </c>
      <c r="C620" s="657" t="s">
        <v>149</v>
      </c>
      <c r="D620" s="192" t="s">
        <v>29</v>
      </c>
      <c r="E620" s="193">
        <v>8.08</v>
      </c>
      <c r="F620" s="194">
        <v>34</v>
      </c>
      <c r="G620" s="194"/>
      <c r="H620" s="194"/>
      <c r="I620" s="194"/>
      <c r="J620" s="193">
        <f t="shared" si="807"/>
        <v>34</v>
      </c>
      <c r="K620" s="193">
        <f t="shared" si="808"/>
        <v>274.72000000000003</v>
      </c>
      <c r="L620" s="193"/>
      <c r="M620" s="193"/>
      <c r="N620" s="193"/>
      <c r="O620" s="622">
        <f t="shared" si="809"/>
        <v>274.72000000000003</v>
      </c>
      <c r="P620" s="194">
        <f>'5.3.6.4'!R26</f>
        <v>34</v>
      </c>
      <c r="Q620" s="622">
        <f t="shared" si="815"/>
        <v>274.72000000000003</v>
      </c>
      <c r="R620" s="745">
        <f>'5.3.6.4'!R27</f>
        <v>0</v>
      </c>
      <c r="S620" s="746">
        <f t="shared" si="816"/>
        <v>0</v>
      </c>
      <c r="T620" s="194">
        <f t="shared" si="817"/>
        <v>34</v>
      </c>
      <c r="U620" s="630">
        <f t="shared" si="818"/>
        <v>274.72000000000003</v>
      </c>
      <c r="V620" s="194">
        <f t="shared" si="721"/>
        <v>0</v>
      </c>
      <c r="W620" s="630">
        <f t="shared" si="814"/>
        <v>0</v>
      </c>
    </row>
    <row r="621" spans="1:23" ht="51">
      <c r="A621" s="190" t="s">
        <v>742</v>
      </c>
      <c r="B621" s="191" t="s">
        <v>140</v>
      </c>
      <c r="C621" s="657" t="s">
        <v>177</v>
      </c>
      <c r="D621" s="192" t="s">
        <v>58</v>
      </c>
      <c r="E621" s="193">
        <v>486.08</v>
      </c>
      <c r="F621" s="194">
        <v>8.9</v>
      </c>
      <c r="G621" s="194"/>
      <c r="H621" s="194"/>
      <c r="I621" s="194"/>
      <c r="J621" s="193">
        <f t="shared" si="807"/>
        <v>8.9</v>
      </c>
      <c r="K621" s="193">
        <f t="shared" si="808"/>
        <v>4326.1120000000001</v>
      </c>
      <c r="L621" s="193"/>
      <c r="M621" s="193"/>
      <c r="N621" s="193"/>
      <c r="O621" s="622">
        <f t="shared" si="809"/>
        <v>4326.1120000000001</v>
      </c>
      <c r="P621" s="194">
        <f>'5.3.6.5'!R26</f>
        <v>8.9</v>
      </c>
      <c r="Q621" s="622">
        <f t="shared" si="815"/>
        <v>4326.1099999999997</v>
      </c>
      <c r="R621" s="745">
        <f>'5.3.6.5'!R27</f>
        <v>0</v>
      </c>
      <c r="S621" s="746">
        <f t="shared" si="816"/>
        <v>0</v>
      </c>
      <c r="T621" s="194">
        <f t="shared" si="817"/>
        <v>8.9</v>
      </c>
      <c r="U621" s="630">
        <f t="shared" si="818"/>
        <v>4326.1099999999997</v>
      </c>
      <c r="V621" s="194">
        <f t="shared" si="721"/>
        <v>0</v>
      </c>
      <c r="W621" s="630">
        <f t="shared" si="814"/>
        <v>0</v>
      </c>
    </row>
    <row r="622" spans="1:23">
      <c r="A622" s="138"/>
      <c r="B622" s="132"/>
      <c r="C622" s="123"/>
      <c r="D622" s="123"/>
      <c r="E622" s="123"/>
      <c r="F622" s="123"/>
      <c r="G622" s="123"/>
      <c r="H622" s="123"/>
      <c r="I622" s="123"/>
      <c r="J622" s="123"/>
      <c r="K622" s="123"/>
      <c r="L622" s="123"/>
      <c r="M622" s="123"/>
      <c r="N622" s="123"/>
      <c r="O622" s="623"/>
      <c r="P622" s="123"/>
      <c r="Q622" s="623"/>
      <c r="R622" s="791"/>
      <c r="S622" s="792"/>
      <c r="T622" s="123"/>
      <c r="U622" s="631"/>
      <c r="V622" s="123"/>
      <c r="W622" s="631"/>
    </row>
    <row r="623" spans="1:23" s="131" customFormat="1">
      <c r="A623" s="137" t="s">
        <v>743</v>
      </c>
      <c r="B623" s="133"/>
      <c r="C623" s="658" t="s">
        <v>179</v>
      </c>
      <c r="D623" s="126"/>
      <c r="E623" s="127"/>
      <c r="F623" s="128"/>
      <c r="G623" s="128"/>
      <c r="H623" s="128"/>
      <c r="I623" s="128"/>
      <c r="J623" s="129"/>
      <c r="K623" s="129">
        <f>SUBTOTAL(9,K624:K627)</f>
        <v>22658.711199999998</v>
      </c>
      <c r="L623" s="129"/>
      <c r="M623" s="129"/>
      <c r="N623" s="129"/>
      <c r="O623" s="624"/>
      <c r="P623" s="130"/>
      <c r="Q623" s="624">
        <f>SUBTOTAL(9,Q624:Q627)</f>
        <v>22658.7</v>
      </c>
      <c r="R623" s="743"/>
      <c r="S623" s="744">
        <f>SUBTOTAL(9,S624:S627)</f>
        <v>0</v>
      </c>
      <c r="T623" s="129"/>
      <c r="U623" s="624">
        <f>SUBTOTAL(9,U624:U627)</f>
        <v>22658.7</v>
      </c>
      <c r="V623" s="129">
        <f t="shared" si="721"/>
        <v>0</v>
      </c>
      <c r="W623" s="624">
        <f>SUBTOTAL(9,W624:W627)</f>
        <v>0</v>
      </c>
    </row>
    <row r="624" spans="1:23" ht="51">
      <c r="A624" s="190" t="s">
        <v>744</v>
      </c>
      <c r="B624" s="191">
        <v>40339</v>
      </c>
      <c r="C624" s="657" t="s">
        <v>184</v>
      </c>
      <c r="D624" s="192" t="s">
        <v>57</v>
      </c>
      <c r="E624" s="193">
        <v>91.04</v>
      </c>
      <c r="F624" s="194">
        <v>34.1</v>
      </c>
      <c r="G624" s="194"/>
      <c r="H624" s="194"/>
      <c r="I624" s="194"/>
      <c r="J624" s="193">
        <f t="shared" ref="J624:J627" si="819">F624+H624-I624</f>
        <v>34.1</v>
      </c>
      <c r="K624" s="193">
        <f t="shared" ref="K624:K627" si="820">J624*E624</f>
        <v>3104.4640000000004</v>
      </c>
      <c r="L624" s="193"/>
      <c r="M624" s="193"/>
      <c r="N624" s="193"/>
      <c r="O624" s="622">
        <f t="shared" ref="O624:O627" si="821">J624*E624</f>
        <v>3104.4640000000004</v>
      </c>
      <c r="P624" s="194">
        <f>'5.3.7.1'!R21</f>
        <v>34.1</v>
      </c>
      <c r="Q624" s="622">
        <f t="shared" ref="Q624" si="822">TRUNC(P624*E624,2)</f>
        <v>3104.46</v>
      </c>
      <c r="R624" s="745">
        <f>'5.3.7.1'!R22</f>
        <v>0</v>
      </c>
      <c r="S624" s="746">
        <f t="shared" ref="S624" si="823">U624-Q624</f>
        <v>0</v>
      </c>
      <c r="T624" s="194">
        <f t="shared" ref="T624" si="824">R624+P624</f>
        <v>34.1</v>
      </c>
      <c r="U624" s="630">
        <f t="shared" ref="U624" si="825">TRUNC(T624*E624,2)</f>
        <v>3104.46</v>
      </c>
      <c r="V624" s="194">
        <f t="shared" si="721"/>
        <v>0</v>
      </c>
      <c r="W624" s="630">
        <f t="shared" ref="W624:W627" si="826">V624*E624</f>
        <v>0</v>
      </c>
    </row>
    <row r="625" spans="1:23" ht="25.5">
      <c r="A625" s="190" t="s">
        <v>745</v>
      </c>
      <c r="B625" s="191">
        <v>40328</v>
      </c>
      <c r="C625" s="657" t="s">
        <v>147</v>
      </c>
      <c r="D625" s="192" t="s">
        <v>29</v>
      </c>
      <c r="E625" s="193">
        <v>7.98</v>
      </c>
      <c r="F625" s="194">
        <v>370.3</v>
      </c>
      <c r="G625" s="194"/>
      <c r="H625" s="194"/>
      <c r="I625" s="194"/>
      <c r="J625" s="193">
        <f t="shared" si="819"/>
        <v>370.3</v>
      </c>
      <c r="K625" s="193">
        <f t="shared" si="820"/>
        <v>2954.9940000000001</v>
      </c>
      <c r="L625" s="193"/>
      <c r="M625" s="193"/>
      <c r="N625" s="193"/>
      <c r="O625" s="622">
        <f t="shared" si="821"/>
        <v>2954.9940000000001</v>
      </c>
      <c r="P625" s="194">
        <f>'5.3.7.2'!R21</f>
        <v>370.3</v>
      </c>
      <c r="Q625" s="622">
        <f>TRUNC(P625*E625,2)</f>
        <v>2954.99</v>
      </c>
      <c r="R625" s="745">
        <f>'5.3.7.2'!R22</f>
        <v>0</v>
      </c>
      <c r="S625" s="746">
        <f>U625-Q625</f>
        <v>0</v>
      </c>
      <c r="T625" s="194">
        <f>R625+P625</f>
        <v>370.3</v>
      </c>
      <c r="U625" s="630">
        <f>TRUNC(T625*E625,2)</f>
        <v>2954.99</v>
      </c>
      <c r="V625" s="194">
        <f t="shared" si="721"/>
        <v>0</v>
      </c>
      <c r="W625" s="630">
        <f t="shared" si="826"/>
        <v>0</v>
      </c>
    </row>
    <row r="626" spans="1:23" ht="51">
      <c r="A626" s="190" t="s">
        <v>746</v>
      </c>
      <c r="B626" s="191" t="s">
        <v>140</v>
      </c>
      <c r="C626" s="657" t="s">
        <v>177</v>
      </c>
      <c r="D626" s="192" t="s">
        <v>58</v>
      </c>
      <c r="E626" s="193">
        <v>486.08</v>
      </c>
      <c r="F626" s="194">
        <v>6.54</v>
      </c>
      <c r="G626" s="194"/>
      <c r="H626" s="194"/>
      <c r="I626" s="194"/>
      <c r="J626" s="193">
        <f t="shared" si="819"/>
        <v>6.54</v>
      </c>
      <c r="K626" s="193">
        <f t="shared" si="820"/>
        <v>3178.9631999999997</v>
      </c>
      <c r="L626" s="193"/>
      <c r="M626" s="193"/>
      <c r="N626" s="193"/>
      <c r="O626" s="622">
        <f t="shared" si="821"/>
        <v>3178.9631999999997</v>
      </c>
      <c r="P626" s="194">
        <f>'5.3.7.3'!R21</f>
        <v>6.54</v>
      </c>
      <c r="Q626" s="622">
        <f t="shared" ref="Q626:Q627" si="827">TRUNC(P626*E626,2)</f>
        <v>3178.96</v>
      </c>
      <c r="R626" s="745">
        <f>'5.3.7.3'!R22</f>
        <v>0</v>
      </c>
      <c r="S626" s="746">
        <f t="shared" ref="S626:S627" si="828">U626-Q626</f>
        <v>0</v>
      </c>
      <c r="T626" s="194">
        <f t="shared" ref="T626:T627" si="829">R626+P626</f>
        <v>6.54</v>
      </c>
      <c r="U626" s="630">
        <f t="shared" ref="U626:U627" si="830">TRUNC(T626*E626,2)</f>
        <v>3178.96</v>
      </c>
      <c r="V626" s="194">
        <f t="shared" si="721"/>
        <v>0</v>
      </c>
      <c r="W626" s="630">
        <f t="shared" si="826"/>
        <v>0</v>
      </c>
    </row>
    <row r="627" spans="1:23" ht="25.5">
      <c r="A627" s="190" t="s">
        <v>747</v>
      </c>
      <c r="B627" s="191">
        <v>40602</v>
      </c>
      <c r="C627" s="657" t="s">
        <v>185</v>
      </c>
      <c r="D627" s="192" t="s">
        <v>57</v>
      </c>
      <c r="E627" s="193">
        <v>79.41</v>
      </c>
      <c r="F627" s="194">
        <v>169</v>
      </c>
      <c r="G627" s="194"/>
      <c r="H627" s="194"/>
      <c r="I627" s="194"/>
      <c r="J627" s="193">
        <f t="shared" si="819"/>
        <v>169</v>
      </c>
      <c r="K627" s="193">
        <f t="shared" si="820"/>
        <v>13420.289999999999</v>
      </c>
      <c r="L627" s="193"/>
      <c r="M627" s="193"/>
      <c r="N627" s="193"/>
      <c r="O627" s="622">
        <f t="shared" si="821"/>
        <v>13420.289999999999</v>
      </c>
      <c r="P627" s="194">
        <f>'5.3.7.4'!R26</f>
        <v>169</v>
      </c>
      <c r="Q627" s="622">
        <f t="shared" si="827"/>
        <v>13420.29</v>
      </c>
      <c r="R627" s="745">
        <f>'5.3.7.4'!R27</f>
        <v>0</v>
      </c>
      <c r="S627" s="746">
        <f t="shared" si="828"/>
        <v>0</v>
      </c>
      <c r="T627" s="194">
        <f t="shared" si="829"/>
        <v>169</v>
      </c>
      <c r="U627" s="630">
        <f t="shared" si="830"/>
        <v>13420.29</v>
      </c>
      <c r="V627" s="194">
        <f t="shared" si="721"/>
        <v>0</v>
      </c>
      <c r="W627" s="630">
        <f t="shared" si="826"/>
        <v>0</v>
      </c>
    </row>
    <row r="628" spans="1:23">
      <c r="A628" s="138"/>
      <c r="B628" s="132"/>
      <c r="C628" s="123"/>
      <c r="D628" s="123"/>
      <c r="E628" s="123"/>
      <c r="F628" s="123"/>
      <c r="G628" s="123"/>
      <c r="H628" s="123"/>
      <c r="I628" s="123"/>
      <c r="J628" s="123"/>
      <c r="K628" s="123"/>
      <c r="L628" s="123"/>
      <c r="M628" s="123"/>
      <c r="N628" s="123"/>
      <c r="O628" s="623"/>
      <c r="P628" s="123"/>
      <c r="Q628" s="623"/>
      <c r="R628" s="791"/>
      <c r="S628" s="792"/>
      <c r="T628" s="123"/>
      <c r="U628" s="631"/>
      <c r="V628" s="123"/>
      <c r="W628" s="631"/>
    </row>
    <row r="629" spans="1:23" s="131" customFormat="1">
      <c r="A629" s="137" t="s">
        <v>748</v>
      </c>
      <c r="B629" s="133"/>
      <c r="C629" s="658" t="s">
        <v>187</v>
      </c>
      <c r="D629" s="126"/>
      <c r="E629" s="127"/>
      <c r="F629" s="128"/>
      <c r="G629" s="128"/>
      <c r="H629" s="128"/>
      <c r="I629" s="128"/>
      <c r="J629" s="129"/>
      <c r="K629" s="129">
        <f>SUBTOTAL(9,K630:K635)</f>
        <v>49946.759399999988</v>
      </c>
      <c r="L629" s="129"/>
      <c r="M629" s="129"/>
      <c r="N629" s="129"/>
      <c r="O629" s="624"/>
      <c r="P629" s="130"/>
      <c r="Q629" s="624">
        <f>SUBTOTAL(9,Q630:Q635)</f>
        <v>49946.729999999996</v>
      </c>
      <c r="R629" s="743"/>
      <c r="S629" s="744">
        <f>SUBTOTAL(9,S630:S635)</f>
        <v>0</v>
      </c>
      <c r="T629" s="129"/>
      <c r="U629" s="624">
        <f>SUBTOTAL(9,U630:U635)</f>
        <v>49946.729999999996</v>
      </c>
      <c r="V629" s="129">
        <f t="shared" si="721"/>
        <v>0</v>
      </c>
      <c r="W629" s="624">
        <f>SUM(W630:W635)</f>
        <v>0</v>
      </c>
    </row>
    <row r="630" spans="1:23" ht="51">
      <c r="A630" s="190" t="s">
        <v>749</v>
      </c>
      <c r="B630" s="191">
        <v>90102</v>
      </c>
      <c r="C630" s="657" t="s">
        <v>194</v>
      </c>
      <c r="D630" s="192" t="s">
        <v>57</v>
      </c>
      <c r="E630" s="193">
        <v>89.99</v>
      </c>
      <c r="F630" s="194">
        <v>191.8</v>
      </c>
      <c r="G630" s="194"/>
      <c r="H630" s="194"/>
      <c r="I630" s="194"/>
      <c r="J630" s="193">
        <f t="shared" ref="J630:J635" si="831">F630+H630-I630</f>
        <v>191.8</v>
      </c>
      <c r="K630" s="193">
        <f t="shared" ref="K630:K636" si="832">J630*E630</f>
        <v>17260.081999999999</v>
      </c>
      <c r="L630" s="193"/>
      <c r="M630" s="193"/>
      <c r="N630" s="193"/>
      <c r="O630" s="622">
        <f t="shared" ref="O630:O636" si="833">J630*E630</f>
        <v>17260.081999999999</v>
      </c>
      <c r="P630" s="194">
        <v>191.8</v>
      </c>
      <c r="Q630" s="622">
        <f>TRUNC(P630*E630,2)</f>
        <v>17260.080000000002</v>
      </c>
      <c r="R630" s="745">
        <v>0</v>
      </c>
      <c r="S630" s="746">
        <f t="shared" ref="S630" si="834">U630-Q630</f>
        <v>0</v>
      </c>
      <c r="T630" s="194">
        <f t="shared" ref="T630" si="835">R630+P630</f>
        <v>191.8</v>
      </c>
      <c r="U630" s="630">
        <f t="shared" ref="U630" si="836">TRUNC(T630*E630,2)</f>
        <v>17260.080000000002</v>
      </c>
      <c r="V630" s="194">
        <f>F630-T630</f>
        <v>0</v>
      </c>
      <c r="W630" s="630">
        <f t="shared" ref="W630:W636" si="837">V630*E630</f>
        <v>0</v>
      </c>
    </row>
    <row r="631" spans="1:23" ht="51">
      <c r="A631" s="190" t="s">
        <v>750</v>
      </c>
      <c r="B631" s="191">
        <v>90223</v>
      </c>
      <c r="C631" s="657" t="s">
        <v>195</v>
      </c>
      <c r="D631" s="192" t="s">
        <v>57</v>
      </c>
      <c r="E631" s="193">
        <v>124.46</v>
      </c>
      <c r="F631" s="194">
        <v>200.69</v>
      </c>
      <c r="G631" s="194"/>
      <c r="H631" s="194"/>
      <c r="I631" s="194"/>
      <c r="J631" s="193">
        <f t="shared" si="831"/>
        <v>200.69</v>
      </c>
      <c r="K631" s="193">
        <f t="shared" si="832"/>
        <v>24977.877399999998</v>
      </c>
      <c r="L631" s="193"/>
      <c r="M631" s="193"/>
      <c r="N631" s="193"/>
      <c r="O631" s="622">
        <f t="shared" si="833"/>
        <v>24977.877399999998</v>
      </c>
      <c r="P631" s="194">
        <v>200.69</v>
      </c>
      <c r="Q631" s="622">
        <f>TRUNC(P631*E631,2)</f>
        <v>24977.87</v>
      </c>
      <c r="R631" s="745">
        <v>0</v>
      </c>
      <c r="S631" s="746">
        <f>U631-Q631</f>
        <v>0</v>
      </c>
      <c r="T631" s="194">
        <f>R631+P631</f>
        <v>200.69</v>
      </c>
      <c r="U631" s="630">
        <f>TRUNC(T631*E631,2)</f>
        <v>24977.87</v>
      </c>
      <c r="V631" s="194">
        <f t="shared" si="721"/>
        <v>0</v>
      </c>
      <c r="W631" s="630">
        <f t="shared" si="837"/>
        <v>0</v>
      </c>
    </row>
    <row r="632" spans="1:23" ht="51">
      <c r="A632" s="190" t="s">
        <v>751</v>
      </c>
      <c r="B632" s="191">
        <v>40339</v>
      </c>
      <c r="C632" s="657" t="s">
        <v>196</v>
      </c>
      <c r="D632" s="192" t="s">
        <v>57</v>
      </c>
      <c r="E632" s="193">
        <v>91.04</v>
      </c>
      <c r="F632" s="194">
        <v>25.2</v>
      </c>
      <c r="G632" s="194"/>
      <c r="H632" s="194"/>
      <c r="I632" s="194"/>
      <c r="J632" s="193">
        <f t="shared" si="831"/>
        <v>25.2</v>
      </c>
      <c r="K632" s="193">
        <f t="shared" si="832"/>
        <v>2294.2080000000001</v>
      </c>
      <c r="L632" s="193"/>
      <c r="M632" s="193"/>
      <c r="N632" s="193"/>
      <c r="O632" s="622">
        <f t="shared" si="833"/>
        <v>2294.2080000000001</v>
      </c>
      <c r="P632" s="194">
        <f>'5.3.8.3'!R21</f>
        <v>25.2</v>
      </c>
      <c r="Q632" s="622">
        <f t="shared" ref="Q632:Q635" si="838">TRUNC(P632*E632,2)</f>
        <v>2294.1999999999998</v>
      </c>
      <c r="R632" s="745">
        <f>'5.3.8.3'!R22</f>
        <v>0</v>
      </c>
      <c r="S632" s="746">
        <f t="shared" ref="S632:S636" si="839">U632-Q632</f>
        <v>0</v>
      </c>
      <c r="T632" s="194">
        <f t="shared" ref="T632:T635" si="840">R632+P632</f>
        <v>25.2</v>
      </c>
      <c r="U632" s="630">
        <f t="shared" ref="U632:U635" si="841">TRUNC(T632*E632,2)</f>
        <v>2294.1999999999998</v>
      </c>
      <c r="V632" s="194">
        <f t="shared" si="721"/>
        <v>0</v>
      </c>
      <c r="W632" s="630">
        <f t="shared" si="837"/>
        <v>0</v>
      </c>
    </row>
    <row r="633" spans="1:23" ht="25.5">
      <c r="A633" s="190" t="s">
        <v>752</v>
      </c>
      <c r="B633" s="191">
        <v>40328</v>
      </c>
      <c r="C633" s="657" t="s">
        <v>197</v>
      </c>
      <c r="D633" s="192" t="s">
        <v>29</v>
      </c>
      <c r="E633" s="193">
        <v>7.98</v>
      </c>
      <c r="F633" s="194">
        <v>122</v>
      </c>
      <c r="G633" s="194"/>
      <c r="H633" s="194"/>
      <c r="I633" s="194"/>
      <c r="J633" s="193">
        <f t="shared" si="831"/>
        <v>122</v>
      </c>
      <c r="K633" s="193">
        <f t="shared" si="832"/>
        <v>973.56000000000006</v>
      </c>
      <c r="L633" s="193"/>
      <c r="M633" s="193"/>
      <c r="N633" s="193"/>
      <c r="O633" s="622">
        <f t="shared" si="833"/>
        <v>973.56000000000006</v>
      </c>
      <c r="P633" s="194">
        <f>'5.3.8.4'!R21</f>
        <v>122</v>
      </c>
      <c r="Q633" s="622">
        <f t="shared" si="838"/>
        <v>973.56</v>
      </c>
      <c r="R633" s="745">
        <f>'5.3.8.4'!R22</f>
        <v>0</v>
      </c>
      <c r="S633" s="746">
        <f t="shared" si="839"/>
        <v>0</v>
      </c>
      <c r="T633" s="194">
        <f t="shared" si="840"/>
        <v>122</v>
      </c>
      <c r="U633" s="630">
        <f t="shared" si="841"/>
        <v>973.56</v>
      </c>
      <c r="V633" s="194">
        <f t="shared" si="721"/>
        <v>0</v>
      </c>
      <c r="W633" s="630">
        <f t="shared" si="837"/>
        <v>0</v>
      </c>
    </row>
    <row r="634" spans="1:23" ht="51">
      <c r="A634" s="190" t="s">
        <v>753</v>
      </c>
      <c r="B634" s="191" t="s">
        <v>140</v>
      </c>
      <c r="C634" s="657" t="s">
        <v>198</v>
      </c>
      <c r="D634" s="192" t="s">
        <v>58</v>
      </c>
      <c r="E634" s="193">
        <v>486.08</v>
      </c>
      <c r="F634" s="194">
        <v>1.3</v>
      </c>
      <c r="G634" s="194"/>
      <c r="H634" s="194"/>
      <c r="I634" s="194"/>
      <c r="J634" s="193">
        <f t="shared" si="831"/>
        <v>1.3</v>
      </c>
      <c r="K634" s="193">
        <f t="shared" si="832"/>
        <v>631.904</v>
      </c>
      <c r="L634" s="193"/>
      <c r="M634" s="193"/>
      <c r="N634" s="193"/>
      <c r="O634" s="622">
        <f t="shared" si="833"/>
        <v>631.904</v>
      </c>
      <c r="P634" s="194">
        <f>'5.3.8.5'!R21</f>
        <v>1.3</v>
      </c>
      <c r="Q634" s="622">
        <f t="shared" si="838"/>
        <v>631.9</v>
      </c>
      <c r="R634" s="745">
        <f>'5.3.8.5'!R22</f>
        <v>0</v>
      </c>
      <c r="S634" s="746">
        <f t="shared" si="839"/>
        <v>0</v>
      </c>
      <c r="T634" s="194">
        <f t="shared" si="840"/>
        <v>1.3</v>
      </c>
      <c r="U634" s="630">
        <f t="shared" si="841"/>
        <v>631.9</v>
      </c>
      <c r="V634" s="194">
        <f t="shared" si="721"/>
        <v>0</v>
      </c>
      <c r="W634" s="630">
        <f t="shared" si="837"/>
        <v>0</v>
      </c>
    </row>
    <row r="635" spans="1:23" ht="51">
      <c r="A635" s="190" t="s">
        <v>754</v>
      </c>
      <c r="B635" s="191">
        <v>50602</v>
      </c>
      <c r="C635" s="657" t="s">
        <v>199</v>
      </c>
      <c r="D635" s="192" t="s">
        <v>57</v>
      </c>
      <c r="E635" s="193">
        <v>62.2</v>
      </c>
      <c r="F635" s="194">
        <v>61.24</v>
      </c>
      <c r="G635" s="194"/>
      <c r="H635" s="194"/>
      <c r="I635" s="194"/>
      <c r="J635" s="193">
        <f t="shared" si="831"/>
        <v>61.24</v>
      </c>
      <c r="K635" s="193">
        <f t="shared" si="832"/>
        <v>3809.1280000000002</v>
      </c>
      <c r="L635" s="193"/>
      <c r="M635" s="193"/>
      <c r="N635" s="193"/>
      <c r="O635" s="622">
        <f t="shared" si="833"/>
        <v>3809.1280000000002</v>
      </c>
      <c r="P635" s="194">
        <f>'5.3.8.6'!R21</f>
        <v>61.24</v>
      </c>
      <c r="Q635" s="622">
        <f t="shared" si="838"/>
        <v>3809.12</v>
      </c>
      <c r="R635" s="745">
        <f>'5.3.8.6'!R22</f>
        <v>0</v>
      </c>
      <c r="S635" s="746">
        <f t="shared" si="839"/>
        <v>0</v>
      </c>
      <c r="T635" s="194">
        <f t="shared" si="840"/>
        <v>61.24</v>
      </c>
      <c r="U635" s="630">
        <f t="shared" si="841"/>
        <v>3809.12</v>
      </c>
      <c r="V635" s="194">
        <f t="shared" si="721"/>
        <v>0</v>
      </c>
      <c r="W635" s="630">
        <f t="shared" si="837"/>
        <v>0</v>
      </c>
    </row>
    <row r="636" spans="1:23" s="765" customFormat="1" ht="25.5">
      <c r="A636" s="758" t="s">
        <v>1502</v>
      </c>
      <c r="B636" s="759" t="s">
        <v>1519</v>
      </c>
      <c r="C636" s="760" t="s">
        <v>1504</v>
      </c>
      <c r="D636" s="761" t="s">
        <v>57</v>
      </c>
      <c r="E636" s="757">
        <v>228.49437827999998</v>
      </c>
      <c r="F636" s="762"/>
      <c r="G636" s="762">
        <v>34.799999999999997</v>
      </c>
      <c r="H636" s="762"/>
      <c r="I636" s="762"/>
      <c r="J636" s="757">
        <f>F636+G636+H636-I636</f>
        <v>34.799999999999997</v>
      </c>
      <c r="K636" s="757">
        <f t="shared" si="832"/>
        <v>7951.6043641439983</v>
      </c>
      <c r="L636" s="757"/>
      <c r="M636" s="757">
        <f>G636*E636</f>
        <v>7951.6043641439983</v>
      </c>
      <c r="N636" s="757"/>
      <c r="O636" s="763">
        <f t="shared" si="833"/>
        <v>7951.6043641439983</v>
      </c>
      <c r="P636" s="762">
        <v>0</v>
      </c>
      <c r="Q636" s="763"/>
      <c r="R636" s="787">
        <v>34.799999999999997</v>
      </c>
      <c r="S636" s="788">
        <f t="shared" si="839"/>
        <v>7951.4500000000007</v>
      </c>
      <c r="T636" s="762">
        <f>R636+P636</f>
        <v>34.799999999999997</v>
      </c>
      <c r="U636" s="764">
        <f>TRUNC(T636*E636,2)-0.15</f>
        <v>7951.4500000000007</v>
      </c>
      <c r="V636" s="762">
        <f>J636-T636</f>
        <v>0</v>
      </c>
      <c r="W636" s="764">
        <f t="shared" si="837"/>
        <v>0</v>
      </c>
    </row>
    <row r="637" spans="1:23">
      <c r="A637" s="138"/>
      <c r="B637" s="132"/>
      <c r="C637" s="123"/>
      <c r="D637" s="123"/>
      <c r="E637" s="123"/>
      <c r="F637" s="123"/>
      <c r="G637" s="123"/>
      <c r="H637" s="123"/>
      <c r="I637" s="123"/>
      <c r="J637" s="123"/>
      <c r="K637" s="123"/>
      <c r="L637" s="123"/>
      <c r="M637" s="123"/>
      <c r="N637" s="123"/>
      <c r="O637" s="623"/>
      <c r="P637" s="123"/>
      <c r="Q637" s="623"/>
      <c r="R637" s="791"/>
      <c r="S637" s="792"/>
      <c r="T637" s="123"/>
      <c r="U637" s="631"/>
      <c r="V637" s="123"/>
      <c r="W637" s="631"/>
    </row>
    <row r="638" spans="1:23" s="131" customFormat="1">
      <c r="A638" s="137" t="s">
        <v>755</v>
      </c>
      <c r="B638" s="133"/>
      <c r="C638" s="658" t="s">
        <v>201</v>
      </c>
      <c r="D638" s="126"/>
      <c r="E638" s="127"/>
      <c r="F638" s="128"/>
      <c r="G638" s="128"/>
      <c r="H638" s="128"/>
      <c r="I638" s="128"/>
      <c r="J638" s="129"/>
      <c r="K638" s="129">
        <f>SUBTOTAL(9,K639:K642)</f>
        <v>6322.5289000000002</v>
      </c>
      <c r="L638" s="129"/>
      <c r="M638" s="129"/>
      <c r="N638" s="129"/>
      <c r="O638" s="624"/>
      <c r="P638" s="130"/>
      <c r="Q638" s="624">
        <f>SUBTOTAL(9,Q639:Q642)</f>
        <v>6322.51</v>
      </c>
      <c r="R638" s="743"/>
      <c r="S638" s="744">
        <f>SUBTOTAL(9,S639:S642)</f>
        <v>0</v>
      </c>
      <c r="T638" s="129"/>
      <c r="U638" s="624">
        <f>SUBTOTAL(9,U639:U642)</f>
        <v>6322.51</v>
      </c>
      <c r="V638" s="129">
        <f t="shared" ref="V638:V711" si="842">F638-T638</f>
        <v>0</v>
      </c>
      <c r="W638" s="624">
        <f>SUBTOTAL(9,W639:W642)</f>
        <v>0</v>
      </c>
    </row>
    <row r="639" spans="1:23" ht="34.5" customHeight="1">
      <c r="A639" s="190" t="s">
        <v>756</v>
      </c>
      <c r="B639" s="191" t="s">
        <v>206</v>
      </c>
      <c r="C639" s="657" t="s">
        <v>207</v>
      </c>
      <c r="D639" s="192" t="s">
        <v>60</v>
      </c>
      <c r="E639" s="193">
        <v>72.83</v>
      </c>
      <c r="F639" s="194">
        <v>44.2</v>
      </c>
      <c r="G639" s="194"/>
      <c r="H639" s="194"/>
      <c r="I639" s="194"/>
      <c r="J639" s="193">
        <f t="shared" ref="J639:J642" si="843">F639+H639-I639</f>
        <v>44.2</v>
      </c>
      <c r="K639" s="193">
        <f t="shared" ref="K639:K642" si="844">J639*E639</f>
        <v>3219.0860000000002</v>
      </c>
      <c r="L639" s="193"/>
      <c r="M639" s="193"/>
      <c r="N639" s="193"/>
      <c r="O639" s="622">
        <f t="shared" ref="O639:O642" si="845">J639*E639</f>
        <v>3219.0860000000002</v>
      </c>
      <c r="P639" s="194">
        <v>44.2</v>
      </c>
      <c r="Q639" s="622">
        <f t="shared" ref="Q639" si="846">TRUNC(P639*E639,2)</f>
        <v>3219.08</v>
      </c>
      <c r="R639" s="745">
        <v>0</v>
      </c>
      <c r="S639" s="746">
        <f t="shared" ref="S639" si="847">U639-Q639</f>
        <v>0</v>
      </c>
      <c r="T639" s="194">
        <f t="shared" ref="T639" si="848">R639+P639</f>
        <v>44.2</v>
      </c>
      <c r="U639" s="630">
        <f t="shared" ref="U639" si="849">TRUNC(T639*E639,2)</f>
        <v>3219.08</v>
      </c>
      <c r="V639" s="194">
        <f t="shared" si="842"/>
        <v>0</v>
      </c>
      <c r="W639" s="630">
        <f t="shared" ref="W639:W642" si="850">V639*E639</f>
        <v>0</v>
      </c>
    </row>
    <row r="640" spans="1:23">
      <c r="A640" s="190" t="s">
        <v>757</v>
      </c>
      <c r="B640" s="191">
        <v>90302</v>
      </c>
      <c r="C640" s="657" t="s">
        <v>208</v>
      </c>
      <c r="D640" s="192" t="s">
        <v>51</v>
      </c>
      <c r="E640" s="193">
        <v>31.38</v>
      </c>
      <c r="F640" s="194">
        <v>64.14</v>
      </c>
      <c r="G640" s="194"/>
      <c r="H640" s="194"/>
      <c r="I640" s="194"/>
      <c r="J640" s="193">
        <f t="shared" si="843"/>
        <v>64.14</v>
      </c>
      <c r="K640" s="193">
        <f t="shared" si="844"/>
        <v>2012.7131999999999</v>
      </c>
      <c r="L640" s="193"/>
      <c r="M640" s="193"/>
      <c r="N640" s="193"/>
      <c r="O640" s="622">
        <f t="shared" si="845"/>
        <v>2012.7131999999999</v>
      </c>
      <c r="P640" s="194">
        <v>64.14</v>
      </c>
      <c r="Q640" s="622">
        <f>TRUNC(P640*E640,2)</f>
        <v>2012.71</v>
      </c>
      <c r="R640" s="745">
        <v>0</v>
      </c>
      <c r="S640" s="746">
        <f>U640-Q640</f>
        <v>0</v>
      </c>
      <c r="T640" s="194">
        <f>R640+P640</f>
        <v>64.14</v>
      </c>
      <c r="U640" s="630">
        <f>TRUNC(T640*E640,2)</f>
        <v>2012.71</v>
      </c>
      <c r="V640" s="194">
        <f t="shared" si="842"/>
        <v>0</v>
      </c>
      <c r="W640" s="630">
        <f t="shared" si="850"/>
        <v>0</v>
      </c>
    </row>
    <row r="641" spans="1:23" ht="25.5">
      <c r="A641" s="190" t="s">
        <v>758</v>
      </c>
      <c r="B641" s="191">
        <v>141909</v>
      </c>
      <c r="C641" s="657" t="s">
        <v>209</v>
      </c>
      <c r="D641" s="192" t="s">
        <v>51</v>
      </c>
      <c r="E641" s="193">
        <v>61.57</v>
      </c>
      <c r="F641" s="194">
        <v>9.27</v>
      </c>
      <c r="G641" s="194"/>
      <c r="H641" s="194"/>
      <c r="I641" s="194"/>
      <c r="J641" s="193">
        <f t="shared" si="843"/>
        <v>9.27</v>
      </c>
      <c r="K641" s="193">
        <f t="shared" si="844"/>
        <v>570.75389999999993</v>
      </c>
      <c r="L641" s="193"/>
      <c r="M641" s="193"/>
      <c r="N641" s="193"/>
      <c r="O641" s="622">
        <f t="shared" si="845"/>
        <v>570.75389999999993</v>
      </c>
      <c r="P641" s="194">
        <v>9.27</v>
      </c>
      <c r="Q641" s="622">
        <f t="shared" ref="Q641:Q642" si="851">TRUNC(P641*E641,2)</f>
        <v>570.75</v>
      </c>
      <c r="R641" s="745"/>
      <c r="S641" s="746">
        <f t="shared" ref="S641:S642" si="852">U641-Q641</f>
        <v>0</v>
      </c>
      <c r="T641" s="194">
        <f t="shared" ref="T641:T642" si="853">R641+P641</f>
        <v>9.27</v>
      </c>
      <c r="U641" s="630">
        <f t="shared" ref="U641:U642" si="854">TRUNC(T641*E641,2)</f>
        <v>570.75</v>
      </c>
      <c r="V641" s="194">
        <f t="shared" si="842"/>
        <v>0</v>
      </c>
      <c r="W641" s="630">
        <f t="shared" si="850"/>
        <v>0</v>
      </c>
    </row>
    <row r="642" spans="1:23" ht="25.5">
      <c r="A642" s="190" t="s">
        <v>759</v>
      </c>
      <c r="B642" s="191">
        <v>140903</v>
      </c>
      <c r="C642" s="657" t="s">
        <v>607</v>
      </c>
      <c r="D642" s="192" t="s">
        <v>51</v>
      </c>
      <c r="E642" s="193">
        <v>48.46</v>
      </c>
      <c r="F642" s="194">
        <v>10.73</v>
      </c>
      <c r="G642" s="194"/>
      <c r="H642" s="194"/>
      <c r="I642" s="194"/>
      <c r="J642" s="193">
        <f t="shared" si="843"/>
        <v>10.73</v>
      </c>
      <c r="K642" s="193">
        <f t="shared" si="844"/>
        <v>519.97580000000005</v>
      </c>
      <c r="L642" s="193"/>
      <c r="M642" s="193"/>
      <c r="N642" s="193"/>
      <c r="O642" s="622">
        <f t="shared" si="845"/>
        <v>519.97580000000005</v>
      </c>
      <c r="P642" s="194">
        <v>10.73</v>
      </c>
      <c r="Q642" s="622">
        <f t="shared" si="851"/>
        <v>519.97</v>
      </c>
      <c r="R642" s="745"/>
      <c r="S642" s="746">
        <f t="shared" si="852"/>
        <v>0</v>
      </c>
      <c r="T642" s="194">
        <f t="shared" si="853"/>
        <v>10.73</v>
      </c>
      <c r="U642" s="630">
        <f t="shared" si="854"/>
        <v>519.97</v>
      </c>
      <c r="V642" s="194">
        <f t="shared" si="842"/>
        <v>0</v>
      </c>
      <c r="W642" s="630">
        <f t="shared" si="850"/>
        <v>0</v>
      </c>
    </row>
    <row r="643" spans="1:23">
      <c r="A643" s="138"/>
      <c r="B643" s="132"/>
      <c r="C643" s="123"/>
      <c r="D643" s="123"/>
      <c r="E643" s="123"/>
      <c r="F643" s="123"/>
      <c r="G643" s="123"/>
      <c r="H643" s="123"/>
      <c r="I643" s="123"/>
      <c r="J643" s="123"/>
      <c r="K643" s="123"/>
      <c r="L643" s="123"/>
      <c r="M643" s="123"/>
      <c r="N643" s="123"/>
      <c r="O643" s="623"/>
      <c r="P643" s="123"/>
      <c r="Q643" s="623"/>
      <c r="R643" s="791"/>
      <c r="S643" s="792"/>
      <c r="T643" s="123"/>
      <c r="U643" s="631"/>
      <c r="V643" s="123"/>
      <c r="W643" s="631"/>
    </row>
    <row r="644" spans="1:23" s="131" customFormat="1">
      <c r="A644" s="137" t="s">
        <v>850</v>
      </c>
      <c r="B644" s="133"/>
      <c r="C644" s="658" t="s">
        <v>212</v>
      </c>
      <c r="D644" s="126"/>
      <c r="E644" s="127"/>
      <c r="F644" s="128"/>
      <c r="G644" s="128"/>
      <c r="H644" s="128"/>
      <c r="I644" s="128"/>
      <c r="J644" s="129"/>
      <c r="K644" s="129">
        <f>SUBTOTAL(9,K645:K655)</f>
        <v>110605.07340000001</v>
      </c>
      <c r="L644" s="129"/>
      <c r="M644" s="129"/>
      <c r="N644" s="129"/>
      <c r="O644" s="129">
        <f>SUBTOTAL(9,O645:O655)</f>
        <v>110605.07340000001</v>
      </c>
      <c r="P644" s="130"/>
      <c r="Q644" s="624">
        <f>SUBTOTAL(9,Q645:Q655)</f>
        <v>105750.42000000001</v>
      </c>
      <c r="R644" s="743"/>
      <c r="S644" s="744">
        <f>SUBTOTAL(9,S645:S655)</f>
        <v>4854.6099999999997</v>
      </c>
      <c r="T644" s="129"/>
      <c r="U644" s="624">
        <f>SUBTOTAL(9,U645:U655)</f>
        <v>110605.03</v>
      </c>
      <c r="V644" s="129">
        <f t="shared" si="842"/>
        <v>0</v>
      </c>
      <c r="W644" s="624">
        <f>O644-U644</f>
        <v>4.3400000009569339E-2</v>
      </c>
    </row>
    <row r="645" spans="1:23">
      <c r="A645" s="190" t="s">
        <v>760</v>
      </c>
      <c r="B645" s="191" t="s">
        <v>224</v>
      </c>
      <c r="C645" s="657" t="s">
        <v>229</v>
      </c>
      <c r="D645" s="192" t="s">
        <v>50</v>
      </c>
      <c r="E645" s="193">
        <v>280.31</v>
      </c>
      <c r="F645" s="194">
        <v>111.39</v>
      </c>
      <c r="G645" s="194"/>
      <c r="H645" s="194"/>
      <c r="I645" s="194"/>
      <c r="J645" s="193">
        <f t="shared" ref="J645:J655" si="855">F645+H645-I645</f>
        <v>111.39</v>
      </c>
      <c r="K645" s="193">
        <f t="shared" ref="K645:K655" si="856">J645*E645</f>
        <v>31223.730899999999</v>
      </c>
      <c r="L645" s="193"/>
      <c r="M645" s="193"/>
      <c r="N645" s="193"/>
      <c r="O645" s="622">
        <f t="shared" ref="O645:O655" si="857">J645*E645</f>
        <v>31223.730899999999</v>
      </c>
      <c r="P645" s="194">
        <v>111.39</v>
      </c>
      <c r="Q645" s="622">
        <f t="shared" ref="Q645" si="858">TRUNC(P645*E645,2)</f>
        <v>31223.73</v>
      </c>
      <c r="R645" s="745"/>
      <c r="S645" s="746">
        <f t="shared" ref="S645" si="859">U645-Q645</f>
        <v>0</v>
      </c>
      <c r="T645" s="194">
        <f>R645+P645</f>
        <v>111.39</v>
      </c>
      <c r="U645" s="630">
        <f t="shared" ref="U645" si="860">TRUNC(T645*E645,2)</f>
        <v>31223.73</v>
      </c>
      <c r="V645" s="194">
        <f>J645-T645</f>
        <v>0</v>
      </c>
      <c r="W645" s="630">
        <f t="shared" ref="W645:W655" si="861">V645*E645</f>
        <v>0</v>
      </c>
    </row>
    <row r="646" spans="1:23">
      <c r="A646" s="190" t="s">
        <v>761</v>
      </c>
      <c r="B646" s="191" t="s">
        <v>225</v>
      </c>
      <c r="C646" s="657" t="s">
        <v>230</v>
      </c>
      <c r="D646" s="192" t="s">
        <v>50</v>
      </c>
      <c r="E646" s="193">
        <v>645.84</v>
      </c>
      <c r="F646" s="194">
        <v>15.3</v>
      </c>
      <c r="G646" s="194"/>
      <c r="H646" s="194"/>
      <c r="I646" s="194"/>
      <c r="J646" s="193">
        <f t="shared" si="855"/>
        <v>15.3</v>
      </c>
      <c r="K646" s="193">
        <f t="shared" si="856"/>
        <v>9881.3520000000008</v>
      </c>
      <c r="L646" s="193"/>
      <c r="M646" s="193"/>
      <c r="N646" s="193"/>
      <c r="O646" s="622">
        <f t="shared" si="857"/>
        <v>9881.3520000000008</v>
      </c>
      <c r="P646" s="194">
        <v>15.3</v>
      </c>
      <c r="Q646" s="622">
        <f>TRUNC(P646*E646,2)</f>
        <v>9881.35</v>
      </c>
      <c r="R646" s="745"/>
      <c r="S646" s="746">
        <f>U646-Q646</f>
        <v>0</v>
      </c>
      <c r="T646" s="194">
        <f>R646+P646</f>
        <v>15.3</v>
      </c>
      <c r="U646" s="630">
        <f>TRUNC(T646*E646,2)</f>
        <v>9881.35</v>
      </c>
      <c r="V646" s="194">
        <f t="shared" si="842"/>
        <v>0</v>
      </c>
      <c r="W646" s="630">
        <f t="shared" si="861"/>
        <v>0</v>
      </c>
    </row>
    <row r="647" spans="1:23" ht="25.5">
      <c r="A647" s="190" t="s">
        <v>762</v>
      </c>
      <c r="B647" s="191" t="s">
        <v>226</v>
      </c>
      <c r="C647" s="657" t="s">
        <v>231</v>
      </c>
      <c r="D647" s="192" t="s">
        <v>50</v>
      </c>
      <c r="E647" s="193">
        <v>651.87</v>
      </c>
      <c r="F647" s="194">
        <v>5.63</v>
      </c>
      <c r="G647" s="194"/>
      <c r="H647" s="194"/>
      <c r="I647" s="194"/>
      <c r="J647" s="193">
        <f t="shared" si="855"/>
        <v>5.63</v>
      </c>
      <c r="K647" s="193">
        <f t="shared" si="856"/>
        <v>3670.0281</v>
      </c>
      <c r="L647" s="193"/>
      <c r="M647" s="193"/>
      <c r="N647" s="193"/>
      <c r="O647" s="622">
        <f t="shared" si="857"/>
        <v>3670.0281</v>
      </c>
      <c r="P647" s="194">
        <v>5.63</v>
      </c>
      <c r="Q647" s="622">
        <f t="shared" ref="Q647:Q655" si="862">TRUNC(P647*E647,2)</f>
        <v>3670.02</v>
      </c>
      <c r="R647" s="745"/>
      <c r="S647" s="746">
        <f t="shared" ref="S647:S655" si="863">U647-Q647</f>
        <v>0</v>
      </c>
      <c r="T647" s="194">
        <f t="shared" ref="T647:T655" si="864">R647+P647</f>
        <v>5.63</v>
      </c>
      <c r="U647" s="630">
        <f t="shared" ref="U647:U655" si="865">TRUNC(T647*E647,2)</f>
        <v>3670.02</v>
      </c>
      <c r="V647" s="194">
        <f t="shared" si="842"/>
        <v>0</v>
      </c>
      <c r="W647" s="630">
        <f t="shared" si="861"/>
        <v>0</v>
      </c>
    </row>
    <row r="648" spans="1:23" ht="25.5">
      <c r="A648" s="190" t="s">
        <v>763</v>
      </c>
      <c r="B648" s="191">
        <v>210322</v>
      </c>
      <c r="C648" s="657" t="s">
        <v>232</v>
      </c>
      <c r="D648" s="192" t="s">
        <v>51</v>
      </c>
      <c r="E648" s="193">
        <v>91.5</v>
      </c>
      <c r="F648" s="194">
        <v>13.65</v>
      </c>
      <c r="G648" s="194"/>
      <c r="H648" s="194"/>
      <c r="I648" s="194"/>
      <c r="J648" s="193">
        <f t="shared" si="855"/>
        <v>13.65</v>
      </c>
      <c r="K648" s="193">
        <f t="shared" si="856"/>
        <v>1248.9750000000001</v>
      </c>
      <c r="L648" s="193"/>
      <c r="M648" s="193"/>
      <c r="N648" s="193"/>
      <c r="O648" s="622">
        <f t="shared" si="857"/>
        <v>1248.9750000000001</v>
      </c>
      <c r="P648" s="194">
        <v>13.65</v>
      </c>
      <c r="Q648" s="622">
        <f t="shared" si="862"/>
        <v>1248.97</v>
      </c>
      <c r="R648" s="745"/>
      <c r="S648" s="746">
        <f t="shared" si="863"/>
        <v>0</v>
      </c>
      <c r="T648" s="194">
        <f t="shared" si="864"/>
        <v>13.65</v>
      </c>
      <c r="U648" s="630">
        <f t="shared" si="865"/>
        <v>1248.97</v>
      </c>
      <c r="V648" s="194">
        <f t="shared" si="842"/>
        <v>0</v>
      </c>
      <c r="W648" s="630">
        <f t="shared" si="861"/>
        <v>0</v>
      </c>
    </row>
    <row r="649" spans="1:23" ht="25.5">
      <c r="A649" s="190" t="s">
        <v>764</v>
      </c>
      <c r="B649" s="191" t="s">
        <v>227</v>
      </c>
      <c r="C649" s="657" t="s">
        <v>233</v>
      </c>
      <c r="D649" s="192" t="s">
        <v>51</v>
      </c>
      <c r="E649" s="193">
        <v>366.23</v>
      </c>
      <c r="F649" s="194">
        <v>4.1500000000000004</v>
      </c>
      <c r="G649" s="194"/>
      <c r="H649" s="194"/>
      <c r="I649" s="194"/>
      <c r="J649" s="193">
        <f t="shared" si="855"/>
        <v>4.1500000000000004</v>
      </c>
      <c r="K649" s="193">
        <f t="shared" si="856"/>
        <v>1519.8545000000001</v>
      </c>
      <c r="L649" s="193"/>
      <c r="M649" s="193"/>
      <c r="N649" s="193"/>
      <c r="O649" s="622">
        <f t="shared" si="857"/>
        <v>1519.8545000000001</v>
      </c>
      <c r="P649" s="194">
        <v>4.1500000000000004</v>
      </c>
      <c r="Q649" s="622">
        <f t="shared" si="862"/>
        <v>1519.85</v>
      </c>
      <c r="R649" s="745"/>
      <c r="S649" s="746">
        <f t="shared" si="863"/>
        <v>0</v>
      </c>
      <c r="T649" s="194">
        <f t="shared" si="864"/>
        <v>4.1500000000000004</v>
      </c>
      <c r="U649" s="630">
        <f t="shared" si="865"/>
        <v>1519.85</v>
      </c>
      <c r="V649" s="194">
        <f t="shared" si="842"/>
        <v>0</v>
      </c>
      <c r="W649" s="630">
        <f t="shared" si="861"/>
        <v>0</v>
      </c>
    </row>
    <row r="650" spans="1:23" ht="60.75" customHeight="1">
      <c r="A650" s="190" t="s">
        <v>765</v>
      </c>
      <c r="B650" s="191">
        <v>50608</v>
      </c>
      <c r="C650" s="657" t="s">
        <v>234</v>
      </c>
      <c r="D650" s="192" t="s">
        <v>57</v>
      </c>
      <c r="E650" s="193">
        <v>88.68</v>
      </c>
      <c r="F650" s="194">
        <v>8.32</v>
      </c>
      <c r="G650" s="194"/>
      <c r="H650" s="194"/>
      <c r="I650" s="194"/>
      <c r="J650" s="193">
        <f t="shared" si="855"/>
        <v>8.32</v>
      </c>
      <c r="K650" s="193">
        <f t="shared" si="856"/>
        <v>737.81760000000008</v>
      </c>
      <c r="L650" s="193"/>
      <c r="M650" s="193"/>
      <c r="N650" s="193"/>
      <c r="O650" s="622">
        <f t="shared" si="857"/>
        <v>737.81760000000008</v>
      </c>
      <c r="P650" s="194">
        <f>'5.3.10.6 '!R21</f>
        <v>8.32</v>
      </c>
      <c r="Q650" s="622">
        <f t="shared" si="862"/>
        <v>737.81</v>
      </c>
      <c r="R650" s="745">
        <f>'5.3.10.6 '!R22</f>
        <v>0</v>
      </c>
      <c r="S650" s="746">
        <f t="shared" si="863"/>
        <v>0</v>
      </c>
      <c r="T650" s="194">
        <f t="shared" si="864"/>
        <v>8.32</v>
      </c>
      <c r="U650" s="630">
        <f t="shared" si="865"/>
        <v>737.81</v>
      </c>
      <c r="V650" s="194">
        <f t="shared" si="842"/>
        <v>0</v>
      </c>
      <c r="W650" s="630">
        <f t="shared" si="861"/>
        <v>0</v>
      </c>
    </row>
    <row r="651" spans="1:23" ht="25.5">
      <c r="A651" s="190" t="s">
        <v>766</v>
      </c>
      <c r="B651" s="191">
        <v>120101</v>
      </c>
      <c r="C651" s="657" t="s">
        <v>235</v>
      </c>
      <c r="D651" s="192" t="s">
        <v>57</v>
      </c>
      <c r="E651" s="193">
        <v>5.64</v>
      </c>
      <c r="F651" s="194">
        <v>531.42999999999995</v>
      </c>
      <c r="G651" s="194"/>
      <c r="H651" s="194"/>
      <c r="I651" s="194"/>
      <c r="J651" s="193">
        <f t="shared" si="855"/>
        <v>531.42999999999995</v>
      </c>
      <c r="K651" s="193">
        <f t="shared" si="856"/>
        <v>2997.2651999999994</v>
      </c>
      <c r="L651" s="193"/>
      <c r="M651" s="193"/>
      <c r="N651" s="193"/>
      <c r="O651" s="622">
        <f t="shared" si="857"/>
        <v>2997.2651999999994</v>
      </c>
      <c r="P651" s="194">
        <f>'5.3.10.7'!R21</f>
        <v>531.42999999999995</v>
      </c>
      <c r="Q651" s="622">
        <f t="shared" si="862"/>
        <v>2997.26</v>
      </c>
      <c r="R651" s="745">
        <f>'5.3.10.7'!R22</f>
        <v>0</v>
      </c>
      <c r="S651" s="746">
        <f t="shared" si="863"/>
        <v>0</v>
      </c>
      <c r="T651" s="194">
        <f t="shared" si="864"/>
        <v>531.42999999999995</v>
      </c>
      <c r="U651" s="630">
        <f t="shared" si="865"/>
        <v>2997.26</v>
      </c>
      <c r="V651" s="194">
        <f t="shared" si="842"/>
        <v>0</v>
      </c>
      <c r="W651" s="630">
        <f t="shared" si="861"/>
        <v>0</v>
      </c>
    </row>
    <row r="652" spans="1:23" ht="33" customHeight="1">
      <c r="A652" s="190" t="s">
        <v>767</v>
      </c>
      <c r="B652" s="191">
        <v>120303</v>
      </c>
      <c r="C652" s="657" t="s">
        <v>236</v>
      </c>
      <c r="D652" s="192" t="s">
        <v>57</v>
      </c>
      <c r="E652" s="193">
        <v>49.24</v>
      </c>
      <c r="F652" s="194">
        <v>531.42999999999995</v>
      </c>
      <c r="G652" s="194"/>
      <c r="H652" s="194"/>
      <c r="I652" s="194"/>
      <c r="J652" s="193">
        <f t="shared" si="855"/>
        <v>531.42999999999995</v>
      </c>
      <c r="K652" s="193">
        <f t="shared" si="856"/>
        <v>26167.6132</v>
      </c>
      <c r="L652" s="193"/>
      <c r="M652" s="193"/>
      <c r="N652" s="193"/>
      <c r="O652" s="622">
        <f t="shared" si="857"/>
        <v>26167.6132</v>
      </c>
      <c r="P652" s="194">
        <f>'5.3.10.8'!R21</f>
        <v>531.42999999999995</v>
      </c>
      <c r="Q652" s="622">
        <f t="shared" si="862"/>
        <v>26167.61</v>
      </c>
      <c r="R652" s="745">
        <f>'5.3.10.8'!R22</f>
        <v>0</v>
      </c>
      <c r="S652" s="746">
        <f t="shared" si="863"/>
        <v>0</v>
      </c>
      <c r="T652" s="194">
        <f t="shared" si="864"/>
        <v>531.42999999999995</v>
      </c>
      <c r="U652" s="630">
        <f t="shared" si="865"/>
        <v>26167.61</v>
      </c>
      <c r="V652" s="194">
        <f t="shared" si="842"/>
        <v>0</v>
      </c>
      <c r="W652" s="630">
        <f t="shared" si="861"/>
        <v>0</v>
      </c>
    </row>
    <row r="653" spans="1:23" ht="25.5">
      <c r="A653" s="190" t="s">
        <v>768</v>
      </c>
      <c r="B653" s="191">
        <v>190117</v>
      </c>
      <c r="C653" s="657" t="s">
        <v>237</v>
      </c>
      <c r="D653" s="192" t="s">
        <v>57</v>
      </c>
      <c r="E653" s="193">
        <v>18.27</v>
      </c>
      <c r="F653" s="194">
        <v>531.42999999999995</v>
      </c>
      <c r="G653" s="194"/>
      <c r="H653" s="194"/>
      <c r="I653" s="194"/>
      <c r="J653" s="193">
        <f t="shared" si="855"/>
        <v>531.42999999999995</v>
      </c>
      <c r="K653" s="193">
        <f t="shared" si="856"/>
        <v>9709.226099999998</v>
      </c>
      <c r="L653" s="193"/>
      <c r="M653" s="193"/>
      <c r="N653" s="193"/>
      <c r="O653" s="622">
        <f t="shared" si="857"/>
        <v>9709.226099999998</v>
      </c>
      <c r="P653" s="194">
        <f>'5.3.10.9'!N24-265.715</f>
        <v>265.71499999999997</v>
      </c>
      <c r="Q653" s="622">
        <f t="shared" si="862"/>
        <v>4854.6099999999997</v>
      </c>
      <c r="R653" s="785">
        <v>265.72000000000003</v>
      </c>
      <c r="S653" s="786">
        <f>U653-Q653</f>
        <v>4854.6099999999997</v>
      </c>
      <c r="T653" s="194">
        <f t="shared" si="864"/>
        <v>531.43499999999995</v>
      </c>
      <c r="U653" s="630">
        <f>TRUNC(T653*E653,2)-0.09</f>
        <v>9709.2199999999993</v>
      </c>
      <c r="V653" s="194">
        <f t="shared" si="842"/>
        <v>-4.9999999999954525E-3</v>
      </c>
      <c r="W653" s="630">
        <f t="shared" si="861"/>
        <v>-9.1349999999916914E-2</v>
      </c>
    </row>
    <row r="654" spans="1:23" ht="51">
      <c r="A654" s="190" t="s">
        <v>769</v>
      </c>
      <c r="B654" s="191">
        <v>130230</v>
      </c>
      <c r="C654" s="657" t="s">
        <v>238</v>
      </c>
      <c r="D654" s="192" t="s">
        <v>57</v>
      </c>
      <c r="E654" s="193">
        <v>106.19</v>
      </c>
      <c r="F654" s="194">
        <v>142.32</v>
      </c>
      <c r="G654" s="194"/>
      <c r="H654" s="194"/>
      <c r="I654" s="194"/>
      <c r="J654" s="193">
        <f t="shared" si="855"/>
        <v>142.32</v>
      </c>
      <c r="K654" s="193">
        <f t="shared" si="856"/>
        <v>15112.960799999999</v>
      </c>
      <c r="L654" s="193"/>
      <c r="M654" s="193"/>
      <c r="N654" s="193"/>
      <c r="O654" s="622">
        <f t="shared" si="857"/>
        <v>15112.960799999999</v>
      </c>
      <c r="P654" s="194">
        <f>'5.3.10.10'!N24</f>
        <v>142.32</v>
      </c>
      <c r="Q654" s="622">
        <f t="shared" si="862"/>
        <v>15112.96</v>
      </c>
      <c r="R654" s="745">
        <f>'5.3.10.10'!N25</f>
        <v>0</v>
      </c>
      <c r="S654" s="746">
        <f t="shared" si="863"/>
        <v>0</v>
      </c>
      <c r="T654" s="194">
        <f t="shared" si="864"/>
        <v>142.32</v>
      </c>
      <c r="U654" s="630">
        <f t="shared" si="865"/>
        <v>15112.96</v>
      </c>
      <c r="V654" s="194">
        <f t="shared" si="842"/>
        <v>0</v>
      </c>
      <c r="W654" s="630">
        <f t="shared" si="861"/>
        <v>0</v>
      </c>
    </row>
    <row r="655" spans="1:23" ht="25.5">
      <c r="A655" s="190" t="s">
        <v>770</v>
      </c>
      <c r="B655" s="191" t="s">
        <v>228</v>
      </c>
      <c r="C655" s="657" t="s">
        <v>239</v>
      </c>
      <c r="D655" s="192" t="s">
        <v>72</v>
      </c>
      <c r="E655" s="193">
        <v>333.45</v>
      </c>
      <c r="F655" s="194">
        <v>25</v>
      </c>
      <c r="G655" s="194"/>
      <c r="H655" s="194"/>
      <c r="I655" s="194"/>
      <c r="J655" s="193">
        <f t="shared" si="855"/>
        <v>25</v>
      </c>
      <c r="K655" s="193">
        <f t="shared" si="856"/>
        <v>8336.25</v>
      </c>
      <c r="L655" s="193"/>
      <c r="M655" s="193"/>
      <c r="N655" s="193"/>
      <c r="O655" s="622">
        <f t="shared" si="857"/>
        <v>8336.25</v>
      </c>
      <c r="P655" s="194">
        <v>25</v>
      </c>
      <c r="Q655" s="622">
        <f t="shared" si="862"/>
        <v>8336.25</v>
      </c>
      <c r="R655" s="745">
        <v>0</v>
      </c>
      <c r="S655" s="746">
        <f t="shared" si="863"/>
        <v>0</v>
      </c>
      <c r="T655" s="194">
        <f t="shared" si="864"/>
        <v>25</v>
      </c>
      <c r="U655" s="630">
        <f t="shared" si="865"/>
        <v>8336.25</v>
      </c>
      <c r="V655" s="194">
        <f t="shared" si="842"/>
        <v>0</v>
      </c>
      <c r="W655" s="630">
        <f t="shared" si="861"/>
        <v>0</v>
      </c>
    </row>
    <row r="656" spans="1:23">
      <c r="A656" s="138"/>
      <c r="B656" s="132"/>
      <c r="C656" s="123"/>
      <c r="D656" s="123"/>
      <c r="E656" s="123"/>
      <c r="F656" s="123"/>
      <c r="G656" s="123"/>
      <c r="H656" s="123"/>
      <c r="I656" s="123"/>
      <c r="J656" s="123"/>
      <c r="K656" s="123"/>
      <c r="L656" s="123"/>
      <c r="M656" s="123"/>
      <c r="N656" s="123"/>
      <c r="O656" s="623"/>
      <c r="P656" s="123"/>
      <c r="Q656" s="623"/>
      <c r="R656" s="791"/>
      <c r="S656" s="792"/>
      <c r="T656" s="123"/>
      <c r="U656" s="631"/>
      <c r="V656" s="123"/>
      <c r="W656" s="631"/>
    </row>
    <row r="657" spans="1:23" s="213" customFormat="1">
      <c r="A657" s="210" t="s">
        <v>771</v>
      </c>
      <c r="B657" s="211"/>
      <c r="C657" s="655" t="s">
        <v>240</v>
      </c>
      <c r="D657" s="197"/>
      <c r="E657" s="198"/>
      <c r="F657" s="199"/>
      <c r="G657" s="199"/>
      <c r="H657" s="199"/>
      <c r="I657" s="199"/>
      <c r="J657" s="200"/>
      <c r="K657" s="200">
        <f>SUBTOTAL(9,K658:K699)</f>
        <v>874646.82790000003</v>
      </c>
      <c r="L657" s="200"/>
      <c r="M657" s="200"/>
      <c r="N657" s="200"/>
      <c r="O657" s="620"/>
      <c r="P657" s="201"/>
      <c r="Q657" s="620">
        <f>SUBTOTAL(9,Q658:Q699)</f>
        <v>543616.56000000006</v>
      </c>
      <c r="R657" s="743"/>
      <c r="S657" s="744">
        <f>SUBTOTAL(9,S658:S699)</f>
        <v>207184.48</v>
      </c>
      <c r="T657" s="200"/>
      <c r="U657" s="620">
        <f>SUBTOTAL(9,U658:U699)</f>
        <v>1131571.2100000002</v>
      </c>
      <c r="V657" s="200">
        <f t="shared" si="842"/>
        <v>0</v>
      </c>
      <c r="W657" s="620">
        <f>SUBTOTAL(9,W658:W699)</f>
        <v>4369.1239000000005</v>
      </c>
    </row>
    <row r="658" spans="1:23" s="131" customFormat="1" ht="22.5" customHeight="1">
      <c r="A658" s="137" t="s">
        <v>772</v>
      </c>
      <c r="B658" s="133"/>
      <c r="C658" s="658" t="s">
        <v>242</v>
      </c>
      <c r="D658" s="126"/>
      <c r="E658" s="127"/>
      <c r="F658" s="128"/>
      <c r="G658" s="128"/>
      <c r="H658" s="128"/>
      <c r="I658" s="128"/>
      <c r="J658" s="129"/>
      <c r="K658" s="129">
        <f>SUBTOTAL(9,K659:K670)</f>
        <v>296584.22210000007</v>
      </c>
      <c r="L658" s="129"/>
      <c r="M658" s="129"/>
      <c r="N658" s="129"/>
      <c r="O658" s="624"/>
      <c r="P658" s="130"/>
      <c r="Q658" s="624">
        <f>SUBTOTAL(9,Q659:Q670)</f>
        <v>304353.90000000002</v>
      </c>
      <c r="R658" s="743"/>
      <c r="S658" s="744">
        <f>SUBTOTAL(9,S659:S672)</f>
        <v>90060.94</v>
      </c>
      <c r="T658" s="129"/>
      <c r="U658" s="624">
        <f>SUBTOTAL(9,U659:U670)</f>
        <v>304353.90000000002</v>
      </c>
      <c r="V658" s="129">
        <f t="shared" si="842"/>
        <v>0</v>
      </c>
      <c r="W658" s="624">
        <f>SUBTOTAL(9,W659:W671)</f>
        <v>0</v>
      </c>
    </row>
    <row r="659" spans="1:23" ht="25.5">
      <c r="A659" s="190" t="s">
        <v>773</v>
      </c>
      <c r="B659" s="191">
        <v>40405</v>
      </c>
      <c r="C659" s="657" t="s">
        <v>264</v>
      </c>
      <c r="D659" s="192" t="s">
        <v>57</v>
      </c>
      <c r="E659" s="193">
        <v>86.33</v>
      </c>
      <c r="F659" s="194">
        <v>341</v>
      </c>
      <c r="G659" s="194"/>
      <c r="H659" s="194">
        <f>REPLANILHAMENTO!H568</f>
        <v>90</v>
      </c>
      <c r="I659" s="194"/>
      <c r="J659" s="193">
        <f>F659+H659</f>
        <v>431</v>
      </c>
      <c r="K659" s="193">
        <f>F659*E659</f>
        <v>29438.53</v>
      </c>
      <c r="L659" s="193">
        <f>H659*E659</f>
        <v>7769.7</v>
      </c>
      <c r="M659" s="193"/>
      <c r="N659" s="193"/>
      <c r="O659" s="622">
        <f>J659*E659</f>
        <v>37208.229999999996</v>
      </c>
      <c r="P659" s="194">
        <f>'5.4.1.1'!R24</f>
        <v>431</v>
      </c>
      <c r="Q659" s="622">
        <f t="shared" ref="Q659:Q671" si="866">TRUNC(P659*E659,2)</f>
        <v>37208.230000000003</v>
      </c>
      <c r="R659" s="745">
        <f>'5.4.1.1'!R25</f>
        <v>0</v>
      </c>
      <c r="S659" s="746">
        <f t="shared" ref="S659:S671" si="867">U659-Q659</f>
        <v>0</v>
      </c>
      <c r="T659" s="194">
        <f>R659+P659</f>
        <v>431</v>
      </c>
      <c r="U659" s="630">
        <f t="shared" ref="U659:U670" si="868">TRUNC(T659*E659,2)</f>
        <v>37208.230000000003</v>
      </c>
      <c r="V659" s="194">
        <v>0</v>
      </c>
      <c r="W659" s="630">
        <v>0</v>
      </c>
    </row>
    <row r="660" spans="1:23" ht="25.5">
      <c r="A660" s="190" t="s">
        <v>774</v>
      </c>
      <c r="B660" s="191" t="s">
        <v>255</v>
      </c>
      <c r="C660" s="657" t="s">
        <v>265</v>
      </c>
      <c r="D660" s="192" t="s">
        <v>29</v>
      </c>
      <c r="E660" s="193">
        <v>7.33</v>
      </c>
      <c r="F660" s="194">
        <v>3966.02</v>
      </c>
      <c r="G660" s="194"/>
      <c r="H660" s="194"/>
      <c r="I660" s="194"/>
      <c r="J660" s="193">
        <f t="shared" ref="J660:J670" si="869">F660+H660-I660</f>
        <v>3966.02</v>
      </c>
      <c r="K660" s="193">
        <f t="shared" ref="K660:K670" si="870">J660*E660</f>
        <v>29070.926599999999</v>
      </c>
      <c r="L660" s="193"/>
      <c r="M660" s="193"/>
      <c r="N660" s="193"/>
      <c r="O660" s="622">
        <f t="shared" ref="O660:O670" si="871">J660*E660</f>
        <v>29070.926599999999</v>
      </c>
      <c r="P660" s="194">
        <f>3569.418+396.602</f>
        <v>3966.02</v>
      </c>
      <c r="Q660" s="622">
        <f t="shared" si="866"/>
        <v>29070.92</v>
      </c>
      <c r="R660" s="745">
        <v>0</v>
      </c>
      <c r="S660" s="746">
        <f t="shared" si="867"/>
        <v>0</v>
      </c>
      <c r="T660" s="194">
        <f t="shared" ref="T660:T670" si="872">R660+P660</f>
        <v>3966.02</v>
      </c>
      <c r="U660" s="630">
        <f t="shared" si="868"/>
        <v>29070.92</v>
      </c>
      <c r="V660" s="194">
        <f t="shared" si="842"/>
        <v>0</v>
      </c>
      <c r="W660" s="630">
        <f t="shared" ref="W660:W672" si="873">V660*E660</f>
        <v>0</v>
      </c>
    </row>
    <row r="661" spans="1:23" ht="25.5">
      <c r="A661" s="190" t="s">
        <v>775</v>
      </c>
      <c r="B661" s="191">
        <v>40328</v>
      </c>
      <c r="C661" s="657" t="s">
        <v>147</v>
      </c>
      <c r="D661" s="192" t="s">
        <v>29</v>
      </c>
      <c r="E661" s="193">
        <v>7.98</v>
      </c>
      <c r="F661" s="194">
        <v>1880</v>
      </c>
      <c r="G661" s="194"/>
      <c r="H661" s="194"/>
      <c r="I661" s="194"/>
      <c r="J661" s="193">
        <f t="shared" si="869"/>
        <v>1880</v>
      </c>
      <c r="K661" s="193">
        <f t="shared" si="870"/>
        <v>15002.400000000001</v>
      </c>
      <c r="L661" s="193"/>
      <c r="M661" s="193"/>
      <c r="N661" s="193"/>
      <c r="O661" s="622">
        <f t="shared" si="871"/>
        <v>15002.400000000001</v>
      </c>
      <c r="P661" s="194">
        <v>1880</v>
      </c>
      <c r="Q661" s="622">
        <f t="shared" si="866"/>
        <v>15002.4</v>
      </c>
      <c r="R661" s="745">
        <v>0</v>
      </c>
      <c r="S661" s="746">
        <f t="shared" si="867"/>
        <v>0</v>
      </c>
      <c r="T661" s="194">
        <f t="shared" si="872"/>
        <v>1880</v>
      </c>
      <c r="U661" s="630">
        <f t="shared" si="868"/>
        <v>15002.4</v>
      </c>
      <c r="V661" s="194">
        <f t="shared" si="842"/>
        <v>0</v>
      </c>
      <c r="W661" s="630">
        <f t="shared" si="873"/>
        <v>0</v>
      </c>
    </row>
    <row r="662" spans="1:23">
      <c r="A662" s="190" t="s">
        <v>776</v>
      </c>
      <c r="B662" s="191" t="s">
        <v>256</v>
      </c>
      <c r="C662" s="657" t="s">
        <v>266</v>
      </c>
      <c r="D662" s="192" t="s">
        <v>29</v>
      </c>
      <c r="E662" s="193">
        <v>11.02</v>
      </c>
      <c r="F662" s="194">
        <v>73</v>
      </c>
      <c r="G662" s="194"/>
      <c r="H662" s="194"/>
      <c r="I662" s="194"/>
      <c r="J662" s="193">
        <f t="shared" si="869"/>
        <v>73</v>
      </c>
      <c r="K662" s="193">
        <f t="shared" si="870"/>
        <v>804.45999999999992</v>
      </c>
      <c r="L662" s="193"/>
      <c r="M662" s="193"/>
      <c r="N662" s="193"/>
      <c r="O662" s="622">
        <f t="shared" si="871"/>
        <v>804.45999999999992</v>
      </c>
      <c r="P662" s="194">
        <v>73</v>
      </c>
      <c r="Q662" s="622">
        <f t="shared" si="866"/>
        <v>804.46</v>
      </c>
      <c r="R662" s="745">
        <v>0</v>
      </c>
      <c r="S662" s="746">
        <f t="shared" si="867"/>
        <v>0</v>
      </c>
      <c r="T662" s="194">
        <f t="shared" si="872"/>
        <v>73</v>
      </c>
      <c r="U662" s="630">
        <f t="shared" si="868"/>
        <v>804.46</v>
      </c>
      <c r="V662" s="194">
        <f t="shared" si="842"/>
        <v>0</v>
      </c>
      <c r="W662" s="630">
        <f t="shared" si="873"/>
        <v>0</v>
      </c>
    </row>
    <row r="663" spans="1:23" ht="51">
      <c r="A663" s="190" t="s">
        <v>777</v>
      </c>
      <c r="B663" s="191" t="s">
        <v>257</v>
      </c>
      <c r="C663" s="657" t="s">
        <v>267</v>
      </c>
      <c r="D663" s="192" t="s">
        <v>58</v>
      </c>
      <c r="E663" s="193">
        <v>777.83</v>
      </c>
      <c r="F663" s="194">
        <v>28.05</v>
      </c>
      <c r="G663" s="194"/>
      <c r="H663" s="194"/>
      <c r="I663" s="194"/>
      <c r="J663" s="193">
        <f t="shared" si="869"/>
        <v>28.05</v>
      </c>
      <c r="K663" s="193">
        <f t="shared" si="870"/>
        <v>21818.131500000003</v>
      </c>
      <c r="L663" s="193"/>
      <c r="M663" s="193"/>
      <c r="N663" s="193"/>
      <c r="O663" s="622">
        <f t="shared" si="871"/>
        <v>21818.131500000003</v>
      </c>
      <c r="P663" s="194">
        <v>28.05</v>
      </c>
      <c r="Q663" s="622">
        <f t="shared" si="866"/>
        <v>21818.13</v>
      </c>
      <c r="R663" s="745">
        <v>0</v>
      </c>
      <c r="S663" s="746">
        <f t="shared" si="867"/>
        <v>0</v>
      </c>
      <c r="T663" s="194">
        <f t="shared" si="872"/>
        <v>28.05</v>
      </c>
      <c r="U663" s="630">
        <f t="shared" si="868"/>
        <v>21818.13</v>
      </c>
      <c r="V663" s="194">
        <f t="shared" si="842"/>
        <v>0</v>
      </c>
      <c r="W663" s="630">
        <f t="shared" si="873"/>
        <v>0</v>
      </c>
    </row>
    <row r="664" spans="1:23" ht="25.5">
      <c r="A664" s="190" t="s">
        <v>778</v>
      </c>
      <c r="B664" s="191" t="s">
        <v>258</v>
      </c>
      <c r="C664" s="657" t="s">
        <v>268</v>
      </c>
      <c r="D664" s="192" t="s">
        <v>49</v>
      </c>
      <c r="E664" s="193">
        <v>641.15</v>
      </c>
      <c r="F664" s="194">
        <v>113.84</v>
      </c>
      <c r="G664" s="194"/>
      <c r="H664" s="194"/>
      <c r="I664" s="194"/>
      <c r="J664" s="193">
        <f t="shared" si="869"/>
        <v>113.84</v>
      </c>
      <c r="K664" s="193">
        <f t="shared" si="870"/>
        <v>72988.516000000003</v>
      </c>
      <c r="L664" s="193"/>
      <c r="M664" s="193"/>
      <c r="N664" s="193"/>
      <c r="O664" s="622">
        <f t="shared" si="871"/>
        <v>72988.516000000003</v>
      </c>
      <c r="P664" s="194">
        <v>113.84</v>
      </c>
      <c r="Q664" s="622">
        <f t="shared" si="866"/>
        <v>72988.509999999995</v>
      </c>
      <c r="R664" s="745">
        <v>0</v>
      </c>
      <c r="S664" s="746">
        <f>U664-Q664</f>
        <v>0</v>
      </c>
      <c r="T664" s="194">
        <f t="shared" si="872"/>
        <v>113.84</v>
      </c>
      <c r="U664" s="630">
        <f t="shared" si="868"/>
        <v>72988.509999999995</v>
      </c>
      <c r="V664" s="194">
        <f t="shared" si="842"/>
        <v>0</v>
      </c>
      <c r="W664" s="630">
        <f t="shared" si="873"/>
        <v>0</v>
      </c>
    </row>
    <row r="665" spans="1:23" ht="25.5">
      <c r="A665" s="190" t="s">
        <v>779</v>
      </c>
      <c r="B665" s="191" t="s">
        <v>259</v>
      </c>
      <c r="C665" s="657" t="s">
        <v>269</v>
      </c>
      <c r="D665" s="192" t="s">
        <v>72</v>
      </c>
      <c r="E665" s="193">
        <v>14345.61</v>
      </c>
      <c r="F665" s="194">
        <v>4</v>
      </c>
      <c r="G665" s="194"/>
      <c r="H665" s="194"/>
      <c r="I665" s="194"/>
      <c r="J665" s="193">
        <f t="shared" si="869"/>
        <v>4</v>
      </c>
      <c r="K665" s="193">
        <f t="shared" si="870"/>
        <v>57382.44</v>
      </c>
      <c r="L665" s="193"/>
      <c r="M665" s="193"/>
      <c r="N665" s="193"/>
      <c r="O665" s="622">
        <f t="shared" si="871"/>
        <v>57382.44</v>
      </c>
      <c r="P665" s="194">
        <v>4</v>
      </c>
      <c r="Q665" s="622">
        <f t="shared" si="866"/>
        <v>57382.44</v>
      </c>
      <c r="R665" s="745">
        <v>0</v>
      </c>
      <c r="S665" s="746">
        <f t="shared" si="867"/>
        <v>0</v>
      </c>
      <c r="T665" s="194">
        <f t="shared" si="872"/>
        <v>4</v>
      </c>
      <c r="U665" s="630">
        <f t="shared" si="868"/>
        <v>57382.44</v>
      </c>
      <c r="V665" s="194">
        <f t="shared" si="842"/>
        <v>0</v>
      </c>
      <c r="W665" s="630">
        <f t="shared" si="873"/>
        <v>0</v>
      </c>
    </row>
    <row r="666" spans="1:23" ht="25.5">
      <c r="A666" s="190" t="s">
        <v>780</v>
      </c>
      <c r="B666" s="191" t="s">
        <v>260</v>
      </c>
      <c r="C666" s="657" t="s">
        <v>270</v>
      </c>
      <c r="D666" s="192" t="s">
        <v>72</v>
      </c>
      <c r="E666" s="193">
        <v>5478.19</v>
      </c>
      <c r="F666" s="194">
        <v>2</v>
      </c>
      <c r="G666" s="194"/>
      <c r="H666" s="194"/>
      <c r="I666" s="194"/>
      <c r="J666" s="193">
        <f t="shared" si="869"/>
        <v>2</v>
      </c>
      <c r="K666" s="193">
        <f t="shared" si="870"/>
        <v>10956.38</v>
      </c>
      <c r="L666" s="193"/>
      <c r="M666" s="193"/>
      <c r="N666" s="193"/>
      <c r="O666" s="622">
        <f t="shared" si="871"/>
        <v>10956.38</v>
      </c>
      <c r="P666" s="194">
        <v>2</v>
      </c>
      <c r="Q666" s="622">
        <f t="shared" si="866"/>
        <v>10956.38</v>
      </c>
      <c r="R666" s="745">
        <v>0</v>
      </c>
      <c r="S666" s="746">
        <f t="shared" si="867"/>
        <v>0</v>
      </c>
      <c r="T666" s="194">
        <f t="shared" si="872"/>
        <v>2</v>
      </c>
      <c r="U666" s="630">
        <f t="shared" si="868"/>
        <v>10956.38</v>
      </c>
      <c r="V666" s="194">
        <f>J666-T666</f>
        <v>0</v>
      </c>
      <c r="W666" s="630">
        <f t="shared" si="873"/>
        <v>0</v>
      </c>
    </row>
    <row r="667" spans="1:23" ht="38.25">
      <c r="A667" s="190" t="s">
        <v>781</v>
      </c>
      <c r="B667" s="191">
        <v>40817</v>
      </c>
      <c r="C667" s="657" t="s">
        <v>271</v>
      </c>
      <c r="D667" s="192" t="s">
        <v>58</v>
      </c>
      <c r="E667" s="193">
        <v>3001.6</v>
      </c>
      <c r="F667" s="194">
        <v>0.03</v>
      </c>
      <c r="G667" s="194"/>
      <c r="H667" s="194"/>
      <c r="I667" s="194"/>
      <c r="J667" s="193">
        <f t="shared" si="869"/>
        <v>0.03</v>
      </c>
      <c r="K667" s="193">
        <f t="shared" si="870"/>
        <v>90.047999999999988</v>
      </c>
      <c r="L667" s="193"/>
      <c r="M667" s="193"/>
      <c r="N667" s="193"/>
      <c r="O667" s="622">
        <f t="shared" si="871"/>
        <v>90.047999999999988</v>
      </c>
      <c r="P667" s="194">
        <v>0.03</v>
      </c>
      <c r="Q667" s="622">
        <f t="shared" si="866"/>
        <v>90.04</v>
      </c>
      <c r="R667" s="745"/>
      <c r="S667" s="746">
        <f t="shared" si="867"/>
        <v>0</v>
      </c>
      <c r="T667" s="194">
        <f t="shared" si="872"/>
        <v>0.03</v>
      </c>
      <c r="U667" s="630">
        <f t="shared" si="868"/>
        <v>90.04</v>
      </c>
      <c r="V667" s="194">
        <f t="shared" si="842"/>
        <v>0</v>
      </c>
      <c r="W667" s="630">
        <f t="shared" si="873"/>
        <v>0</v>
      </c>
    </row>
    <row r="668" spans="1:23">
      <c r="A668" s="190" t="s">
        <v>782</v>
      </c>
      <c r="B668" s="191" t="s">
        <v>261</v>
      </c>
      <c r="C668" s="657" t="s">
        <v>272</v>
      </c>
      <c r="D668" s="192" t="s">
        <v>72</v>
      </c>
      <c r="E668" s="193">
        <v>2011.04</v>
      </c>
      <c r="F668" s="194">
        <v>15</v>
      </c>
      <c r="G668" s="194"/>
      <c r="H668" s="194"/>
      <c r="I668" s="194"/>
      <c r="J668" s="193">
        <f t="shared" si="869"/>
        <v>15</v>
      </c>
      <c r="K668" s="193">
        <f t="shared" si="870"/>
        <v>30165.599999999999</v>
      </c>
      <c r="L668" s="193"/>
      <c r="M668" s="193"/>
      <c r="N668" s="193"/>
      <c r="O668" s="622">
        <f t="shared" si="871"/>
        <v>30165.599999999999</v>
      </c>
      <c r="P668" s="194">
        <v>15</v>
      </c>
      <c r="Q668" s="622">
        <f t="shared" si="866"/>
        <v>30165.599999999999</v>
      </c>
      <c r="R668" s="745">
        <v>0</v>
      </c>
      <c r="S668" s="746">
        <f t="shared" si="867"/>
        <v>0</v>
      </c>
      <c r="T668" s="194">
        <f t="shared" si="872"/>
        <v>15</v>
      </c>
      <c r="U668" s="630">
        <f t="shared" si="868"/>
        <v>30165.599999999999</v>
      </c>
      <c r="V668" s="194">
        <f t="shared" si="842"/>
        <v>0</v>
      </c>
      <c r="W668" s="630">
        <f t="shared" si="873"/>
        <v>0</v>
      </c>
    </row>
    <row r="669" spans="1:23" ht="25.5">
      <c r="A669" s="190" t="s">
        <v>783</v>
      </c>
      <c r="B669" s="191" t="s">
        <v>262</v>
      </c>
      <c r="C669" s="657" t="s">
        <v>273</v>
      </c>
      <c r="D669" s="192" t="s">
        <v>72</v>
      </c>
      <c r="E669" s="193">
        <v>28185.33</v>
      </c>
      <c r="F669" s="194">
        <v>1</v>
      </c>
      <c r="G669" s="194"/>
      <c r="H669" s="194"/>
      <c r="I669" s="194"/>
      <c r="J669" s="193">
        <f t="shared" si="869"/>
        <v>1</v>
      </c>
      <c r="K669" s="193">
        <f t="shared" si="870"/>
        <v>28185.33</v>
      </c>
      <c r="L669" s="193"/>
      <c r="M669" s="193"/>
      <c r="N669" s="193"/>
      <c r="O669" s="622">
        <f t="shared" si="871"/>
        <v>28185.33</v>
      </c>
      <c r="P669" s="194">
        <v>1</v>
      </c>
      <c r="Q669" s="622">
        <f t="shared" si="866"/>
        <v>28185.33</v>
      </c>
      <c r="R669" s="745">
        <v>0</v>
      </c>
      <c r="S669" s="746">
        <f t="shared" si="867"/>
        <v>0</v>
      </c>
      <c r="T669" s="194">
        <f t="shared" si="872"/>
        <v>1</v>
      </c>
      <c r="U669" s="630">
        <f t="shared" si="868"/>
        <v>28185.33</v>
      </c>
      <c r="V669" s="194">
        <f t="shared" si="842"/>
        <v>0</v>
      </c>
      <c r="W669" s="630">
        <f t="shared" si="873"/>
        <v>0</v>
      </c>
    </row>
    <row r="670" spans="1:23">
      <c r="A670" s="190" t="s">
        <v>784</v>
      </c>
      <c r="B670" s="191" t="s">
        <v>263</v>
      </c>
      <c r="C670" s="657" t="s">
        <v>274</v>
      </c>
      <c r="D670" s="192" t="s">
        <v>72</v>
      </c>
      <c r="E670" s="193">
        <v>340.73</v>
      </c>
      <c r="F670" s="194">
        <v>2</v>
      </c>
      <c r="G670" s="194"/>
      <c r="H670" s="194"/>
      <c r="I670" s="194"/>
      <c r="J670" s="193">
        <f t="shared" si="869"/>
        <v>2</v>
      </c>
      <c r="K670" s="193">
        <f t="shared" si="870"/>
        <v>681.46</v>
      </c>
      <c r="L670" s="193"/>
      <c r="M670" s="193"/>
      <c r="N670" s="193"/>
      <c r="O670" s="622">
        <f t="shared" si="871"/>
        <v>681.46</v>
      </c>
      <c r="P670" s="194">
        <v>2</v>
      </c>
      <c r="Q670" s="622">
        <f t="shared" si="866"/>
        <v>681.46</v>
      </c>
      <c r="R670" s="745">
        <v>0</v>
      </c>
      <c r="S670" s="746">
        <f t="shared" si="867"/>
        <v>0</v>
      </c>
      <c r="T670" s="194">
        <f t="shared" si="872"/>
        <v>2</v>
      </c>
      <c r="U670" s="630">
        <f t="shared" si="868"/>
        <v>681.46</v>
      </c>
      <c r="V670" s="194">
        <f t="shared" si="842"/>
        <v>0</v>
      </c>
      <c r="W670" s="630">
        <f t="shared" si="873"/>
        <v>0</v>
      </c>
    </row>
    <row r="671" spans="1:23">
      <c r="A671" s="190" t="s">
        <v>1229</v>
      </c>
      <c r="B671" s="191" t="s">
        <v>774</v>
      </c>
      <c r="C671" s="657" t="s">
        <v>1119</v>
      </c>
      <c r="D671" s="192" t="s">
        <v>10</v>
      </c>
      <c r="E671" s="193">
        <v>13295.45</v>
      </c>
      <c r="F671" s="194">
        <v>0</v>
      </c>
      <c r="G671" s="194"/>
      <c r="H671" s="194">
        <v>1</v>
      </c>
      <c r="I671" s="194">
        <v>0</v>
      </c>
      <c r="J671" s="193">
        <v>1</v>
      </c>
      <c r="K671" s="193"/>
      <c r="L671" s="193">
        <f>H671*E671</f>
        <v>13295.45</v>
      </c>
      <c r="M671" s="193"/>
      <c r="N671" s="193"/>
      <c r="O671" s="622">
        <f>J671*E671</f>
        <v>13295.45</v>
      </c>
      <c r="P671" s="194">
        <v>1</v>
      </c>
      <c r="Q671" s="622">
        <f t="shared" si="866"/>
        <v>13295.45</v>
      </c>
      <c r="R671" s="745">
        <v>0</v>
      </c>
      <c r="S671" s="746">
        <f t="shared" si="867"/>
        <v>0</v>
      </c>
      <c r="T671" s="194">
        <f>P671+R671</f>
        <v>1</v>
      </c>
      <c r="U671" s="630">
        <f>TRUNC(T671*E671,2)</f>
        <v>13295.45</v>
      </c>
      <c r="V671" s="194">
        <f>J671-T671</f>
        <v>0</v>
      </c>
      <c r="W671" s="630">
        <f t="shared" si="873"/>
        <v>0</v>
      </c>
    </row>
    <row r="672" spans="1:23" s="765" customFormat="1" ht="22.5" customHeight="1">
      <c r="A672" s="779" t="s">
        <v>1512</v>
      </c>
      <c r="B672" s="780" t="s">
        <v>1520</v>
      </c>
      <c r="C672" s="781" t="s">
        <v>1516</v>
      </c>
      <c r="D672" s="782" t="s">
        <v>72</v>
      </c>
      <c r="E672" s="783">
        <v>90060.94</v>
      </c>
      <c r="F672" s="784">
        <v>0</v>
      </c>
      <c r="G672" s="784">
        <v>1</v>
      </c>
      <c r="H672" s="784"/>
      <c r="I672" s="784"/>
      <c r="J672" s="757">
        <f>F672+G672+H672-I672</f>
        <v>1</v>
      </c>
      <c r="K672" s="757">
        <f t="shared" ref="K672" si="874">J672*E672</f>
        <v>90060.94</v>
      </c>
      <c r="L672" s="757"/>
      <c r="M672" s="757">
        <f>G672*E672</f>
        <v>90060.94</v>
      </c>
      <c r="N672" s="757"/>
      <c r="O672" s="763">
        <f t="shared" ref="O672" si="875">J672*E672</f>
        <v>90060.94</v>
      </c>
      <c r="P672" s="762">
        <v>0</v>
      </c>
      <c r="Q672" s="763"/>
      <c r="R672" s="787">
        <v>1</v>
      </c>
      <c r="S672" s="788">
        <f>R672*E672</f>
        <v>90060.94</v>
      </c>
      <c r="T672" s="762">
        <f>R672+P672</f>
        <v>1</v>
      </c>
      <c r="U672" s="764">
        <f t="shared" ref="U672" si="876">TRUNC(T672*E672,2)</f>
        <v>90060.94</v>
      </c>
      <c r="V672" s="762">
        <f>J672-T672</f>
        <v>0</v>
      </c>
      <c r="W672" s="764">
        <f t="shared" si="873"/>
        <v>0</v>
      </c>
    </row>
    <row r="673" spans="1:23">
      <c r="A673" s="138"/>
      <c r="B673" s="132"/>
      <c r="C673" s="123"/>
      <c r="D673" s="123"/>
      <c r="E673" s="123"/>
      <c r="F673" s="123"/>
      <c r="G673" s="123"/>
      <c r="H673" s="123"/>
      <c r="I673" s="123"/>
      <c r="J673" s="123"/>
      <c r="K673" s="123"/>
      <c r="L673" s="123"/>
      <c r="M673" s="123"/>
      <c r="N673" s="123"/>
      <c r="O673" s="623"/>
      <c r="P673" s="123"/>
      <c r="Q673" s="623"/>
      <c r="R673" s="791"/>
      <c r="S673" s="792"/>
      <c r="T673" s="123"/>
      <c r="U673" s="631"/>
      <c r="V673" s="123"/>
      <c r="W673" s="631"/>
    </row>
    <row r="674" spans="1:23" s="131" customFormat="1">
      <c r="A674" s="137" t="s">
        <v>785</v>
      </c>
      <c r="B674" s="133"/>
      <c r="C674" s="658" t="s">
        <v>276</v>
      </c>
      <c r="D674" s="126"/>
      <c r="E674" s="127"/>
      <c r="F674" s="128"/>
      <c r="G674" s="128"/>
      <c r="H674" s="128"/>
      <c r="I674" s="128"/>
      <c r="J674" s="129"/>
      <c r="K674" s="129">
        <f>SUBTOTAL(9,K675:K675)</f>
        <v>1359.12</v>
      </c>
      <c r="L674" s="129"/>
      <c r="M674" s="129"/>
      <c r="N674" s="129"/>
      <c r="O674" s="624"/>
      <c r="P674" s="130"/>
      <c r="Q674" s="624">
        <f>SUBTOTAL(9,Q675:Q675)</f>
        <v>1359.12</v>
      </c>
      <c r="R674" s="743"/>
      <c r="S674" s="744">
        <f>SUBTOTAL(9,S675:S675)</f>
        <v>0</v>
      </c>
      <c r="T674" s="129"/>
      <c r="U674" s="624">
        <f>SUBTOTAL(9,U675:U675)</f>
        <v>1359.12</v>
      </c>
      <c r="V674" s="129">
        <f t="shared" si="842"/>
        <v>0</v>
      </c>
      <c r="W674" s="624">
        <f>SUBTOTAL(9,W675:W675)</f>
        <v>0</v>
      </c>
    </row>
    <row r="675" spans="1:23" ht="25.5">
      <c r="A675" s="190" t="s">
        <v>786</v>
      </c>
      <c r="B675" s="191" t="s">
        <v>787</v>
      </c>
      <c r="C675" s="657" t="s">
        <v>788</v>
      </c>
      <c r="D675" s="192" t="s">
        <v>72</v>
      </c>
      <c r="E675" s="193">
        <v>1359.12</v>
      </c>
      <c r="F675" s="194">
        <v>1</v>
      </c>
      <c r="G675" s="194"/>
      <c r="H675" s="194"/>
      <c r="I675" s="194"/>
      <c r="J675" s="193">
        <f t="shared" ref="J675" si="877">F675+H675-I675</f>
        <v>1</v>
      </c>
      <c r="K675" s="193">
        <f t="shared" ref="K675" si="878">J675*E675</f>
        <v>1359.12</v>
      </c>
      <c r="L675" s="193"/>
      <c r="M675" s="193"/>
      <c r="N675" s="193"/>
      <c r="O675" s="622">
        <f t="shared" ref="O675" si="879">J675*E675</f>
        <v>1359.12</v>
      </c>
      <c r="P675" s="194">
        <v>1</v>
      </c>
      <c r="Q675" s="622">
        <f t="shared" ref="Q675" si="880">TRUNC(P675*E675,2)</f>
        <v>1359.12</v>
      </c>
      <c r="R675" s="745">
        <v>0</v>
      </c>
      <c r="S675" s="746">
        <f t="shared" ref="S675" si="881">U675-Q675</f>
        <v>0</v>
      </c>
      <c r="T675" s="194">
        <f t="shared" ref="T675" si="882">R675+P675</f>
        <v>1</v>
      </c>
      <c r="U675" s="630">
        <f t="shared" ref="U675" si="883">TRUNC(T675*E675,2)</f>
        <v>1359.12</v>
      </c>
      <c r="V675" s="194">
        <f t="shared" si="842"/>
        <v>0</v>
      </c>
      <c r="W675" s="630">
        <f t="shared" ref="W675" si="884">V675*E675</f>
        <v>0</v>
      </c>
    </row>
    <row r="676" spans="1:23">
      <c r="A676" s="138"/>
      <c r="B676" s="132"/>
      <c r="C676" s="123"/>
      <c r="D676" s="123"/>
      <c r="E676" s="123"/>
      <c r="F676" s="123"/>
      <c r="G676" s="123"/>
      <c r="H676" s="123"/>
      <c r="I676" s="123"/>
      <c r="J676" s="123"/>
      <c r="K676" s="123"/>
      <c r="L676" s="123"/>
      <c r="M676" s="123"/>
      <c r="N676" s="123"/>
      <c r="O676" s="623"/>
      <c r="P676" s="123"/>
      <c r="Q676" s="623"/>
      <c r="R676" s="791"/>
      <c r="S676" s="792"/>
      <c r="T676" s="123"/>
      <c r="U676" s="631"/>
      <c r="V676" s="123"/>
      <c r="W676" s="631"/>
    </row>
    <row r="677" spans="1:23" s="131" customFormat="1">
      <c r="A677" s="137" t="s">
        <v>789</v>
      </c>
      <c r="B677" s="133"/>
      <c r="C677" s="658" t="s">
        <v>281</v>
      </c>
      <c r="D677" s="126"/>
      <c r="E677" s="127"/>
      <c r="F677" s="128"/>
      <c r="G677" s="128"/>
      <c r="H677" s="128"/>
      <c r="I677" s="128"/>
      <c r="J677" s="129"/>
      <c r="K677" s="129">
        <f>SUBTOTAL(9,K678:K691)</f>
        <v>360780.75800000003</v>
      </c>
      <c r="L677" s="129"/>
      <c r="M677" s="129"/>
      <c r="N677" s="129"/>
      <c r="O677" s="624"/>
      <c r="P677" s="130"/>
      <c r="Q677" s="624">
        <f>SUBTOTAL(9,Q678:Q691)</f>
        <v>220238.97</v>
      </c>
      <c r="R677" s="743"/>
      <c r="S677" s="744">
        <f>SUBTOTAL(9,S678:S696)</f>
        <v>117123.54000000001</v>
      </c>
      <c r="T677" s="129"/>
      <c r="U677" s="624">
        <f>SUBTOTAL(9,U678:U691)</f>
        <v>220238.97</v>
      </c>
      <c r="V677" s="129">
        <f t="shared" si="842"/>
        <v>0</v>
      </c>
      <c r="W677" s="624">
        <f>SUBTOTAL(9,W678:W691)</f>
        <v>0</v>
      </c>
    </row>
    <row r="678" spans="1:23" ht="38.25">
      <c r="A678" s="190" t="s">
        <v>790</v>
      </c>
      <c r="B678" s="191" t="s">
        <v>294</v>
      </c>
      <c r="C678" s="657" t="s">
        <v>304</v>
      </c>
      <c r="D678" s="192" t="s">
        <v>315</v>
      </c>
      <c r="E678" s="193">
        <v>18178.13</v>
      </c>
      <c r="F678" s="194">
        <v>2</v>
      </c>
      <c r="G678" s="194"/>
      <c r="H678" s="194"/>
      <c r="I678" s="194"/>
      <c r="J678" s="193">
        <f t="shared" ref="J678" si="885">F678+H678-I678</f>
        <v>2</v>
      </c>
      <c r="K678" s="193">
        <f t="shared" ref="K678" si="886">J678*E678</f>
        <v>36356.26</v>
      </c>
      <c r="L678" s="193"/>
      <c r="M678" s="193"/>
      <c r="N678" s="193"/>
      <c r="O678" s="622">
        <f t="shared" ref="O678:O689" si="887">J678*E678</f>
        <v>36356.26</v>
      </c>
      <c r="P678" s="194">
        <v>2</v>
      </c>
      <c r="Q678" s="622">
        <f t="shared" ref="Q678:Q691" si="888">TRUNC(P678*E678,2)</f>
        <v>36356.26</v>
      </c>
      <c r="R678" s="745">
        <v>0</v>
      </c>
      <c r="S678" s="746">
        <f t="shared" ref="S678:S691" si="889">U678-Q678</f>
        <v>0</v>
      </c>
      <c r="T678" s="194">
        <f t="shared" ref="T678:T693" si="890">R678+P678</f>
        <v>2</v>
      </c>
      <c r="U678" s="630">
        <f>TRUNC(T678*E678,2)</f>
        <v>36356.26</v>
      </c>
      <c r="V678" s="194">
        <f t="shared" si="842"/>
        <v>0</v>
      </c>
      <c r="W678" s="630">
        <f t="shared" ref="W678" si="891">V678*E678</f>
        <v>0</v>
      </c>
    </row>
    <row r="679" spans="1:23" ht="25.5">
      <c r="A679" s="190" t="s">
        <v>791</v>
      </c>
      <c r="B679" s="191" t="s">
        <v>295</v>
      </c>
      <c r="C679" s="657" t="s">
        <v>305</v>
      </c>
      <c r="D679" s="192" t="s">
        <v>51</v>
      </c>
      <c r="E679" s="193">
        <v>1268.83</v>
      </c>
      <c r="F679" s="194">
        <v>92.4</v>
      </c>
      <c r="G679" s="194"/>
      <c r="H679" s="194"/>
      <c r="I679" s="194">
        <f>F679</f>
        <v>92.4</v>
      </c>
      <c r="J679" s="193">
        <f>F679+H679-I679</f>
        <v>0</v>
      </c>
      <c r="K679" s="193">
        <f>F679*E679</f>
        <v>117239.89200000001</v>
      </c>
      <c r="L679" s="193"/>
      <c r="M679" s="193"/>
      <c r="N679" s="193">
        <f>I679*E679</f>
        <v>117239.89200000001</v>
      </c>
      <c r="O679" s="622">
        <f t="shared" si="887"/>
        <v>0</v>
      </c>
      <c r="P679" s="194">
        <v>0</v>
      </c>
      <c r="Q679" s="622">
        <f t="shared" si="888"/>
        <v>0</v>
      </c>
      <c r="R679" s="745">
        <f>IFERROR(VLOOKUP(A679,#REF!,18,FALSE),)</f>
        <v>0</v>
      </c>
      <c r="S679" s="746">
        <f t="shared" si="889"/>
        <v>0</v>
      </c>
      <c r="T679" s="194">
        <f t="shared" si="890"/>
        <v>0</v>
      </c>
      <c r="U679" s="630">
        <f t="shared" ref="U679:U693" si="892">TRUNC(T679*E679,2)</f>
        <v>0</v>
      </c>
      <c r="V679" s="194">
        <f>O679-T679</f>
        <v>0</v>
      </c>
      <c r="W679" s="630">
        <f t="shared" ref="W679:W690" si="893">J679-U679</f>
        <v>0</v>
      </c>
    </row>
    <row r="680" spans="1:23" ht="25.5">
      <c r="A680" s="190" t="s">
        <v>792</v>
      </c>
      <c r="B680" s="191" t="s">
        <v>296</v>
      </c>
      <c r="C680" s="657" t="s">
        <v>306</v>
      </c>
      <c r="D680" s="192" t="s">
        <v>51</v>
      </c>
      <c r="E680" s="193">
        <v>294.97000000000003</v>
      </c>
      <c r="F680" s="194">
        <v>92.4</v>
      </c>
      <c r="G680" s="194"/>
      <c r="H680" s="194">
        <f>REPLANILHAMENTO!H587</f>
        <v>186.6</v>
      </c>
      <c r="I680" s="194"/>
      <c r="J680" s="193">
        <f>F680+H680</f>
        <v>279</v>
      </c>
      <c r="K680" s="193">
        <f>F680*E680</f>
        <v>27255.228000000003</v>
      </c>
      <c r="L680" s="193">
        <f>H680*E680</f>
        <v>55041.402000000002</v>
      </c>
      <c r="M680" s="193"/>
      <c r="N680" s="193"/>
      <c r="O680" s="622">
        <f t="shared" si="887"/>
        <v>82296.63</v>
      </c>
      <c r="P680" s="194">
        <v>279</v>
      </c>
      <c r="Q680" s="622">
        <f t="shared" si="888"/>
        <v>82296.63</v>
      </c>
      <c r="R680" s="745">
        <v>0</v>
      </c>
      <c r="S680" s="746">
        <f t="shared" si="889"/>
        <v>0</v>
      </c>
      <c r="T680" s="194">
        <f t="shared" si="890"/>
        <v>279</v>
      </c>
      <c r="U680" s="630">
        <f t="shared" si="892"/>
        <v>82296.63</v>
      </c>
      <c r="V680" s="194">
        <f>J680-T680</f>
        <v>0</v>
      </c>
      <c r="W680" s="630">
        <f>V680*E680</f>
        <v>0</v>
      </c>
    </row>
    <row r="681" spans="1:23" ht="26.25" customHeight="1">
      <c r="A681" s="190" t="s">
        <v>793</v>
      </c>
      <c r="B681" s="191" t="s">
        <v>297</v>
      </c>
      <c r="C681" s="657" t="s">
        <v>307</v>
      </c>
      <c r="D681" s="192" t="s">
        <v>51</v>
      </c>
      <c r="E681" s="193">
        <v>309.62</v>
      </c>
      <c r="F681" s="194">
        <v>66.599999999999994</v>
      </c>
      <c r="G681" s="194"/>
      <c r="H681" s="194"/>
      <c r="I681" s="194">
        <f>F681</f>
        <v>66.599999999999994</v>
      </c>
      <c r="J681" s="193">
        <f>F681+H681-I681</f>
        <v>0</v>
      </c>
      <c r="K681" s="193">
        <f>F681*E681</f>
        <v>20620.691999999999</v>
      </c>
      <c r="L681" s="193"/>
      <c r="M681" s="193"/>
      <c r="N681" s="193">
        <f>I681*E681</f>
        <v>20620.691999999999</v>
      </c>
      <c r="O681" s="622">
        <f t="shared" si="887"/>
        <v>0</v>
      </c>
      <c r="P681" s="194">
        <v>0</v>
      </c>
      <c r="Q681" s="622">
        <f t="shared" si="888"/>
        <v>0</v>
      </c>
      <c r="R681" s="745">
        <f>IFERROR(VLOOKUP(A681,#REF!,18,FALSE),)</f>
        <v>0</v>
      </c>
      <c r="S681" s="746">
        <f t="shared" si="889"/>
        <v>0</v>
      </c>
      <c r="T681" s="194">
        <f t="shared" si="890"/>
        <v>0</v>
      </c>
      <c r="U681" s="630">
        <f t="shared" si="892"/>
        <v>0</v>
      </c>
      <c r="V681" s="194">
        <f>O681-T681</f>
        <v>0</v>
      </c>
      <c r="W681" s="630">
        <f t="shared" si="893"/>
        <v>0</v>
      </c>
    </row>
    <row r="682" spans="1:23" ht="25.5">
      <c r="A682" s="190" t="s">
        <v>794</v>
      </c>
      <c r="B682" s="191" t="s">
        <v>298</v>
      </c>
      <c r="C682" s="657" t="s">
        <v>308</v>
      </c>
      <c r="D682" s="192" t="s">
        <v>51</v>
      </c>
      <c r="E682" s="193">
        <v>358.26</v>
      </c>
      <c r="F682" s="194">
        <v>66.599999999999994</v>
      </c>
      <c r="G682" s="194"/>
      <c r="H682" s="194">
        <f>REPLANILHAMENTO!H590</f>
        <v>212.4</v>
      </c>
      <c r="I682" s="194"/>
      <c r="J682" s="193">
        <f>F682+H682</f>
        <v>279</v>
      </c>
      <c r="K682" s="193">
        <f>F682*E682</f>
        <v>23860.115999999998</v>
      </c>
      <c r="L682" s="193">
        <f>H682*E682</f>
        <v>76094.423999999999</v>
      </c>
      <c r="M682" s="193"/>
      <c r="N682" s="193"/>
      <c r="O682" s="622">
        <f t="shared" si="887"/>
        <v>99954.54</v>
      </c>
      <c r="P682" s="194">
        <v>279</v>
      </c>
      <c r="Q682" s="622">
        <f t="shared" si="888"/>
        <v>99954.54</v>
      </c>
      <c r="R682" s="745">
        <v>0</v>
      </c>
      <c r="S682" s="746">
        <f t="shared" si="889"/>
        <v>0</v>
      </c>
      <c r="T682" s="194">
        <f t="shared" si="890"/>
        <v>279</v>
      </c>
      <c r="U682" s="630">
        <f t="shared" si="892"/>
        <v>99954.54</v>
      </c>
      <c r="V682" s="194">
        <f>J682-T682</f>
        <v>0</v>
      </c>
      <c r="W682" s="630">
        <f>V682*E682</f>
        <v>0</v>
      </c>
    </row>
    <row r="683" spans="1:23" ht="25.5">
      <c r="A683" s="190" t="s">
        <v>795</v>
      </c>
      <c r="B683" s="191" t="s">
        <v>497</v>
      </c>
      <c r="C683" s="657" t="s">
        <v>500</v>
      </c>
      <c r="D683" s="192" t="s">
        <v>51</v>
      </c>
      <c r="E683" s="193">
        <v>3440.35</v>
      </c>
      <c r="F683" s="194">
        <v>8</v>
      </c>
      <c r="G683" s="194"/>
      <c r="H683" s="194"/>
      <c r="I683" s="194">
        <f>F683</f>
        <v>8</v>
      </c>
      <c r="J683" s="193">
        <f>F683+H683-I683</f>
        <v>0</v>
      </c>
      <c r="K683" s="193">
        <f>F683*E683</f>
        <v>27522.799999999999</v>
      </c>
      <c r="L683" s="193"/>
      <c r="M683" s="193"/>
      <c r="N683" s="193">
        <f>I683*E683</f>
        <v>27522.799999999999</v>
      </c>
      <c r="O683" s="622">
        <f t="shared" si="887"/>
        <v>0</v>
      </c>
      <c r="P683" s="194">
        <v>0</v>
      </c>
      <c r="Q683" s="622">
        <f t="shared" si="888"/>
        <v>0</v>
      </c>
      <c r="R683" s="745">
        <f>IFERROR(VLOOKUP(A683,#REF!,18,FALSE),)</f>
        <v>0</v>
      </c>
      <c r="S683" s="746">
        <f t="shared" si="889"/>
        <v>0</v>
      </c>
      <c r="T683" s="194">
        <f t="shared" si="890"/>
        <v>0</v>
      </c>
      <c r="U683" s="630">
        <f t="shared" si="892"/>
        <v>0</v>
      </c>
      <c r="V683" s="194">
        <f>O683-T683</f>
        <v>0</v>
      </c>
      <c r="W683" s="630">
        <f t="shared" si="893"/>
        <v>0</v>
      </c>
    </row>
    <row r="684" spans="1:23" ht="38.25">
      <c r="A684" s="190" t="s">
        <v>796</v>
      </c>
      <c r="B684" s="191" t="s">
        <v>498</v>
      </c>
      <c r="C684" s="657" t="s">
        <v>501</v>
      </c>
      <c r="D684" s="192" t="s">
        <v>51</v>
      </c>
      <c r="E684" s="193">
        <v>2019.23</v>
      </c>
      <c r="F684" s="194">
        <v>8</v>
      </c>
      <c r="G684" s="194"/>
      <c r="H684" s="194"/>
      <c r="I684" s="194">
        <f t="shared" ref="I684:I688" si="894">F684</f>
        <v>8</v>
      </c>
      <c r="J684" s="193">
        <f t="shared" ref="J684:J689" si="895">F684+H684-I684</f>
        <v>0</v>
      </c>
      <c r="K684" s="193">
        <f t="shared" ref="K684:K688" si="896">F684*E684</f>
        <v>16153.84</v>
      </c>
      <c r="L684" s="193"/>
      <c r="M684" s="193"/>
      <c r="N684" s="193">
        <f t="shared" ref="N684:N688" si="897">I684*E684</f>
        <v>16153.84</v>
      </c>
      <c r="O684" s="622">
        <f t="shared" si="887"/>
        <v>0</v>
      </c>
      <c r="P684" s="194">
        <v>0</v>
      </c>
      <c r="Q684" s="622">
        <f t="shared" si="888"/>
        <v>0</v>
      </c>
      <c r="R684" s="745">
        <f>IFERROR(VLOOKUP(A684,#REF!,18,FALSE),)</f>
        <v>0</v>
      </c>
      <c r="S684" s="746">
        <f t="shared" si="889"/>
        <v>0</v>
      </c>
      <c r="T684" s="194">
        <f t="shared" si="890"/>
        <v>0</v>
      </c>
      <c r="U684" s="630">
        <f t="shared" si="892"/>
        <v>0</v>
      </c>
      <c r="V684" s="194">
        <f t="shared" ref="V684:V688" si="898">O684-T684</f>
        <v>0</v>
      </c>
      <c r="W684" s="630">
        <f t="shared" si="893"/>
        <v>0</v>
      </c>
    </row>
    <row r="685" spans="1:23" ht="25.5">
      <c r="A685" s="190" t="s">
        <v>797</v>
      </c>
      <c r="B685" s="191" t="s">
        <v>299</v>
      </c>
      <c r="C685" s="657" t="s">
        <v>309</v>
      </c>
      <c r="D685" s="192" t="s">
        <v>29</v>
      </c>
      <c r="E685" s="193">
        <v>8.1199999999999992</v>
      </c>
      <c r="F685" s="194">
        <v>6521</v>
      </c>
      <c r="G685" s="194"/>
      <c r="H685" s="194"/>
      <c r="I685" s="194">
        <f t="shared" si="894"/>
        <v>6521</v>
      </c>
      <c r="J685" s="193">
        <f t="shared" si="895"/>
        <v>0</v>
      </c>
      <c r="K685" s="193">
        <f t="shared" si="896"/>
        <v>52950.52</v>
      </c>
      <c r="L685" s="193"/>
      <c r="M685" s="193"/>
      <c r="N685" s="193">
        <f t="shared" si="897"/>
        <v>52950.52</v>
      </c>
      <c r="O685" s="622">
        <f t="shared" si="887"/>
        <v>0</v>
      </c>
      <c r="P685" s="194">
        <v>0</v>
      </c>
      <c r="Q685" s="622">
        <f t="shared" si="888"/>
        <v>0</v>
      </c>
      <c r="R685" s="745">
        <f>IFERROR(VLOOKUP(A685,#REF!,18,FALSE),)</f>
        <v>0</v>
      </c>
      <c r="S685" s="746">
        <f t="shared" si="889"/>
        <v>0</v>
      </c>
      <c r="T685" s="194">
        <f t="shared" si="890"/>
        <v>0</v>
      </c>
      <c r="U685" s="630">
        <f t="shared" si="892"/>
        <v>0</v>
      </c>
      <c r="V685" s="194">
        <f t="shared" si="898"/>
        <v>0</v>
      </c>
      <c r="W685" s="630">
        <f t="shared" si="893"/>
        <v>0</v>
      </c>
    </row>
    <row r="686" spans="1:23">
      <c r="A686" s="190" t="s">
        <v>798</v>
      </c>
      <c r="B686" s="191" t="s">
        <v>300</v>
      </c>
      <c r="C686" s="657" t="s">
        <v>310</v>
      </c>
      <c r="D686" s="192" t="s">
        <v>29</v>
      </c>
      <c r="E686" s="193">
        <v>0.64</v>
      </c>
      <c r="F686" s="194">
        <v>6521</v>
      </c>
      <c r="G686" s="194"/>
      <c r="H686" s="194"/>
      <c r="I686" s="194">
        <f t="shared" si="894"/>
        <v>6521</v>
      </c>
      <c r="J686" s="193">
        <f t="shared" si="895"/>
        <v>0</v>
      </c>
      <c r="K686" s="193">
        <f t="shared" si="896"/>
        <v>4173.4400000000005</v>
      </c>
      <c r="L686" s="193"/>
      <c r="M686" s="193"/>
      <c r="N686" s="193">
        <f t="shared" si="897"/>
        <v>4173.4400000000005</v>
      </c>
      <c r="O686" s="622">
        <f t="shared" si="887"/>
        <v>0</v>
      </c>
      <c r="P686" s="194">
        <v>0</v>
      </c>
      <c r="Q686" s="622">
        <f t="shared" si="888"/>
        <v>0</v>
      </c>
      <c r="R686" s="745">
        <f>IFERROR(VLOOKUP(A686,#REF!,18,FALSE),)</f>
        <v>0</v>
      </c>
      <c r="S686" s="746">
        <f t="shared" si="889"/>
        <v>0</v>
      </c>
      <c r="T686" s="194">
        <f t="shared" si="890"/>
        <v>0</v>
      </c>
      <c r="U686" s="630">
        <f t="shared" si="892"/>
        <v>0</v>
      </c>
      <c r="V686" s="194">
        <f t="shared" si="898"/>
        <v>0</v>
      </c>
      <c r="W686" s="630">
        <f t="shared" si="893"/>
        <v>0</v>
      </c>
    </row>
    <row r="687" spans="1:23" ht="38.25">
      <c r="A687" s="190" t="s">
        <v>799</v>
      </c>
      <c r="B687" s="191" t="s">
        <v>140</v>
      </c>
      <c r="C687" s="657" t="s">
        <v>804</v>
      </c>
      <c r="D687" s="192" t="s">
        <v>58</v>
      </c>
      <c r="E687" s="193">
        <v>486.08</v>
      </c>
      <c r="F687" s="194">
        <v>36.89</v>
      </c>
      <c r="G687" s="194"/>
      <c r="H687" s="194"/>
      <c r="I687" s="194">
        <f t="shared" si="894"/>
        <v>36.89</v>
      </c>
      <c r="J687" s="193">
        <f t="shared" si="895"/>
        <v>0</v>
      </c>
      <c r="K687" s="193">
        <f t="shared" si="896"/>
        <v>17931.4912</v>
      </c>
      <c r="L687" s="193"/>
      <c r="M687" s="193"/>
      <c r="N687" s="193">
        <f t="shared" si="897"/>
        <v>17931.4912</v>
      </c>
      <c r="O687" s="622">
        <f t="shared" si="887"/>
        <v>0</v>
      </c>
      <c r="P687" s="194">
        <v>0</v>
      </c>
      <c r="Q687" s="622">
        <f t="shared" si="888"/>
        <v>0</v>
      </c>
      <c r="R687" s="745">
        <f>IFERROR(VLOOKUP(A687,#REF!,18,FALSE),)</f>
        <v>0</v>
      </c>
      <c r="S687" s="746">
        <f t="shared" si="889"/>
        <v>0</v>
      </c>
      <c r="T687" s="194">
        <f t="shared" si="890"/>
        <v>0</v>
      </c>
      <c r="U687" s="630">
        <f t="shared" si="892"/>
        <v>0</v>
      </c>
      <c r="V687" s="194">
        <f t="shared" si="898"/>
        <v>0</v>
      </c>
      <c r="W687" s="630">
        <f t="shared" si="893"/>
        <v>0</v>
      </c>
    </row>
    <row r="688" spans="1:23">
      <c r="A688" s="190" t="s">
        <v>800</v>
      </c>
      <c r="B688" s="191" t="s">
        <v>301</v>
      </c>
      <c r="C688" s="657" t="s">
        <v>311</v>
      </c>
      <c r="D688" s="192" t="s">
        <v>49</v>
      </c>
      <c r="E688" s="193">
        <v>105.97</v>
      </c>
      <c r="F688" s="194">
        <v>36.89</v>
      </c>
      <c r="G688" s="194"/>
      <c r="H688" s="194"/>
      <c r="I688" s="194">
        <f t="shared" si="894"/>
        <v>36.89</v>
      </c>
      <c r="J688" s="193">
        <f t="shared" si="895"/>
        <v>0</v>
      </c>
      <c r="K688" s="193">
        <f t="shared" si="896"/>
        <v>3909.2332999999999</v>
      </c>
      <c r="L688" s="193"/>
      <c r="M688" s="193"/>
      <c r="N688" s="193">
        <f t="shared" si="897"/>
        <v>3909.2332999999999</v>
      </c>
      <c r="O688" s="622">
        <f t="shared" si="887"/>
        <v>0</v>
      </c>
      <c r="P688" s="194">
        <v>0</v>
      </c>
      <c r="Q688" s="622">
        <f t="shared" si="888"/>
        <v>0</v>
      </c>
      <c r="R688" s="745">
        <f>IFERROR(VLOOKUP(A688,#REF!,18,FALSE),)</f>
        <v>0</v>
      </c>
      <c r="S688" s="746">
        <f t="shared" si="889"/>
        <v>0</v>
      </c>
      <c r="T688" s="194">
        <f t="shared" si="890"/>
        <v>0</v>
      </c>
      <c r="U688" s="630">
        <f t="shared" si="892"/>
        <v>0</v>
      </c>
      <c r="V688" s="194">
        <f t="shared" si="898"/>
        <v>0</v>
      </c>
      <c r="W688" s="630">
        <f t="shared" si="893"/>
        <v>0</v>
      </c>
    </row>
    <row r="689" spans="1:23">
      <c r="A689" s="190" t="s">
        <v>801</v>
      </c>
      <c r="B689" s="191" t="s">
        <v>302</v>
      </c>
      <c r="C689" s="657" t="s">
        <v>312</v>
      </c>
      <c r="D689" s="192" t="s">
        <v>72</v>
      </c>
      <c r="E689" s="193">
        <v>1.62</v>
      </c>
      <c r="F689" s="194">
        <v>4</v>
      </c>
      <c r="G689" s="194"/>
      <c r="H689" s="194"/>
      <c r="I689" s="194"/>
      <c r="J689" s="193">
        <f t="shared" si="895"/>
        <v>4</v>
      </c>
      <c r="K689" s="193">
        <f t="shared" ref="K689" si="899">J689*E689</f>
        <v>6.48</v>
      </c>
      <c r="L689" s="193"/>
      <c r="M689" s="193"/>
      <c r="N689" s="193"/>
      <c r="O689" s="622">
        <f t="shared" si="887"/>
        <v>6.48</v>
      </c>
      <c r="P689" s="194">
        <v>4</v>
      </c>
      <c r="Q689" s="622">
        <f t="shared" si="888"/>
        <v>6.48</v>
      </c>
      <c r="R689" s="745">
        <v>0</v>
      </c>
      <c r="S689" s="746">
        <f t="shared" si="889"/>
        <v>0</v>
      </c>
      <c r="T689" s="194">
        <f t="shared" si="890"/>
        <v>4</v>
      </c>
      <c r="U689" s="630">
        <f t="shared" si="892"/>
        <v>6.48</v>
      </c>
      <c r="V689" s="194">
        <f t="shared" si="842"/>
        <v>0</v>
      </c>
      <c r="W689" s="630">
        <f t="shared" ref="W689" si="900">V689*E689</f>
        <v>0</v>
      </c>
    </row>
    <row r="690" spans="1:23" ht="25.5">
      <c r="A690" s="190" t="s">
        <v>802</v>
      </c>
      <c r="B690" s="191" t="s">
        <v>303</v>
      </c>
      <c r="C690" s="657" t="s">
        <v>313</v>
      </c>
      <c r="D690" s="192" t="s">
        <v>72</v>
      </c>
      <c r="E690" s="193">
        <v>5793.75</v>
      </c>
      <c r="F690" s="194">
        <v>2</v>
      </c>
      <c r="G690" s="194"/>
      <c r="H690" s="194"/>
      <c r="I690" s="194">
        <v>2</v>
      </c>
      <c r="J690" s="193">
        <f>F690+H690-I690</f>
        <v>0</v>
      </c>
      <c r="K690" s="193">
        <f>F690*E690</f>
        <v>11587.5</v>
      </c>
      <c r="L690" s="193"/>
      <c r="M690" s="193"/>
      <c r="N690" s="193">
        <f>I690*E690</f>
        <v>11587.5</v>
      </c>
      <c r="O690" s="622">
        <f>J690*E690</f>
        <v>0</v>
      </c>
      <c r="P690" s="194">
        <v>0</v>
      </c>
      <c r="Q690" s="622">
        <f t="shared" si="888"/>
        <v>0</v>
      </c>
      <c r="R690" s="745">
        <f>IFERROR(VLOOKUP(A690,#REF!,18,FALSE),)</f>
        <v>0</v>
      </c>
      <c r="S690" s="746">
        <f t="shared" si="889"/>
        <v>0</v>
      </c>
      <c r="T690" s="194">
        <f t="shared" si="890"/>
        <v>0</v>
      </c>
      <c r="U690" s="630">
        <f t="shared" si="892"/>
        <v>0</v>
      </c>
      <c r="V690" s="194">
        <f>O690-T690</f>
        <v>0</v>
      </c>
      <c r="W690" s="630">
        <f t="shared" si="893"/>
        <v>0</v>
      </c>
    </row>
    <row r="691" spans="1:23" ht="26.25" customHeight="1">
      <c r="A691" s="190" t="s">
        <v>803</v>
      </c>
      <c r="B691" s="191">
        <v>190418</v>
      </c>
      <c r="C691" s="657" t="s">
        <v>314</v>
      </c>
      <c r="D691" s="192" t="s">
        <v>57</v>
      </c>
      <c r="E691" s="193">
        <v>33.049999999999997</v>
      </c>
      <c r="F691" s="194">
        <v>36.71</v>
      </c>
      <c r="G691" s="194"/>
      <c r="H691" s="194">
        <f>REPLANILHAMENTO!H600</f>
        <v>12.46</v>
      </c>
      <c r="I691" s="194"/>
      <c r="J691" s="193">
        <f>F691+H691</f>
        <v>49.17</v>
      </c>
      <c r="K691" s="193">
        <f>F691*E691</f>
        <v>1213.2655</v>
      </c>
      <c r="L691" s="193">
        <f>H691*E691</f>
        <v>411.803</v>
      </c>
      <c r="M691" s="193"/>
      <c r="N691" s="193"/>
      <c r="O691" s="622">
        <f>J691*E691</f>
        <v>1625.0684999999999</v>
      </c>
      <c r="P691" s="194">
        <v>49.17</v>
      </c>
      <c r="Q691" s="622">
        <f t="shared" si="888"/>
        <v>1625.06</v>
      </c>
      <c r="R691" s="745"/>
      <c r="S691" s="746">
        <f t="shared" si="889"/>
        <v>0</v>
      </c>
      <c r="T691" s="194">
        <f t="shared" si="890"/>
        <v>49.17</v>
      </c>
      <c r="U691" s="630">
        <f t="shared" si="892"/>
        <v>1625.06</v>
      </c>
      <c r="V691" s="194">
        <f t="shared" ref="V691:V696" si="901">J691-T691</f>
        <v>0</v>
      </c>
      <c r="W691" s="630">
        <f>V691*E691</f>
        <v>0</v>
      </c>
    </row>
    <row r="692" spans="1:23" ht="25.5">
      <c r="A692" s="190" t="s">
        <v>1232</v>
      </c>
      <c r="B692" s="191" t="s">
        <v>793</v>
      </c>
      <c r="C692" s="657" t="s">
        <v>1181</v>
      </c>
      <c r="D692" s="192" t="s">
        <v>51</v>
      </c>
      <c r="E692" s="193">
        <v>742.5</v>
      </c>
      <c r="F692" s="194">
        <v>0</v>
      </c>
      <c r="G692" s="194"/>
      <c r="H692" s="194">
        <v>279</v>
      </c>
      <c r="I692" s="194">
        <v>0</v>
      </c>
      <c r="J692" s="193">
        <f>F692+H692-I692</f>
        <v>279</v>
      </c>
      <c r="K692" s="193"/>
      <c r="L692" s="193">
        <f>H692*E692</f>
        <v>207157.5</v>
      </c>
      <c r="M692" s="193"/>
      <c r="N692" s="193"/>
      <c r="O692" s="622">
        <f>J692*E692</f>
        <v>207157.5</v>
      </c>
      <c r="P692" s="194">
        <f>'5.4.3.15'!R19</f>
        <v>279</v>
      </c>
      <c r="Q692" s="622">
        <v>0</v>
      </c>
      <c r="R692" s="745">
        <f>'5.4.3.15'!R20</f>
        <v>0</v>
      </c>
      <c r="S692" s="746">
        <f>R692*E692</f>
        <v>0</v>
      </c>
      <c r="T692" s="194">
        <f t="shared" si="890"/>
        <v>279</v>
      </c>
      <c r="U692" s="630">
        <f t="shared" si="892"/>
        <v>207157.5</v>
      </c>
      <c r="V692" s="194">
        <f t="shared" si="901"/>
        <v>0</v>
      </c>
      <c r="W692" s="630">
        <f>V692*E692</f>
        <v>0</v>
      </c>
    </row>
    <row r="693" spans="1:23" ht="25.5">
      <c r="A693" s="190" t="s">
        <v>1233</v>
      </c>
      <c r="B693" s="191" t="s">
        <v>796</v>
      </c>
      <c r="C693" s="657" t="s">
        <v>1131</v>
      </c>
      <c r="D693" s="192" t="s">
        <v>51</v>
      </c>
      <c r="E693" s="193">
        <v>575.30999999999995</v>
      </c>
      <c r="F693" s="194">
        <v>0</v>
      </c>
      <c r="G693" s="194"/>
      <c r="H693" s="194">
        <v>279</v>
      </c>
      <c r="I693" s="194">
        <v>0</v>
      </c>
      <c r="J693" s="193">
        <f>F693+H693-I693</f>
        <v>279</v>
      </c>
      <c r="K693" s="193"/>
      <c r="L693" s="193">
        <f>H693*E693</f>
        <v>160511.49</v>
      </c>
      <c r="M693" s="193"/>
      <c r="N693" s="193"/>
      <c r="O693" s="622">
        <f>J693*E693</f>
        <v>160511.49</v>
      </c>
      <c r="P693" s="194">
        <f>'5.4.3.16 '!N28</f>
        <v>279</v>
      </c>
      <c r="Q693" s="622">
        <v>0</v>
      </c>
      <c r="R693" s="745">
        <v>0</v>
      </c>
      <c r="S693" s="746">
        <f>R693*E693</f>
        <v>0</v>
      </c>
      <c r="T693" s="194">
        <f t="shared" si="890"/>
        <v>279</v>
      </c>
      <c r="U693" s="630">
        <f t="shared" si="892"/>
        <v>160511.49</v>
      </c>
      <c r="V693" s="194">
        <f t="shared" si="901"/>
        <v>0</v>
      </c>
      <c r="W693" s="630">
        <f>V693*E693</f>
        <v>0</v>
      </c>
    </row>
    <row r="694" spans="1:23" ht="25.5">
      <c r="A694" s="190" t="s">
        <v>1235</v>
      </c>
      <c r="B694" s="191" t="s">
        <v>1235</v>
      </c>
      <c r="C694" s="657" t="s">
        <v>1236</v>
      </c>
      <c r="D694" s="192" t="s">
        <v>72</v>
      </c>
      <c r="E694" s="193">
        <v>6550.59</v>
      </c>
      <c r="F694" s="194">
        <v>0</v>
      </c>
      <c r="G694" s="194"/>
      <c r="H694" s="194">
        <v>2</v>
      </c>
      <c r="I694" s="194">
        <v>0</v>
      </c>
      <c r="J694" s="193">
        <f>F694+H694-I694</f>
        <v>2</v>
      </c>
      <c r="K694" s="193"/>
      <c r="L694" s="193">
        <f>H694*E694</f>
        <v>13101.18</v>
      </c>
      <c r="M694" s="193"/>
      <c r="N694" s="193"/>
      <c r="O694" s="622">
        <f>J694*E694</f>
        <v>13101.18</v>
      </c>
      <c r="P694" s="194">
        <v>2</v>
      </c>
      <c r="Q694" s="622">
        <v>0</v>
      </c>
      <c r="R694" s="745">
        <v>0</v>
      </c>
      <c r="S694" s="746">
        <f>R694*E694</f>
        <v>0</v>
      </c>
      <c r="T694" s="194">
        <f t="shared" ref="T694" si="902">R694+P694</f>
        <v>2</v>
      </c>
      <c r="U694" s="630">
        <f t="shared" ref="U694:U695" si="903">TRUNC(T694*E694,2)</f>
        <v>13101.18</v>
      </c>
      <c r="V694" s="194">
        <f t="shared" si="901"/>
        <v>0</v>
      </c>
      <c r="W694" s="630">
        <f>V694*E694</f>
        <v>0</v>
      </c>
    </row>
    <row r="695" spans="1:23" s="765" customFormat="1" ht="30" customHeight="1">
      <c r="A695" s="758" t="s">
        <v>1188</v>
      </c>
      <c r="B695" s="759" t="s">
        <v>1235</v>
      </c>
      <c r="C695" s="760" t="s">
        <v>1511</v>
      </c>
      <c r="D695" s="761" t="s">
        <v>51</v>
      </c>
      <c r="E695" s="757">
        <v>619.1</v>
      </c>
      <c r="F695" s="762">
        <v>0</v>
      </c>
      <c r="G695" s="762">
        <v>20.2</v>
      </c>
      <c r="H695" s="762"/>
      <c r="I695" s="762"/>
      <c r="J695" s="757">
        <f>F695+G695+H695-I695</f>
        <v>20.2</v>
      </c>
      <c r="K695" s="757">
        <f t="shared" ref="K695:K696" si="904">J695*E695</f>
        <v>12505.82</v>
      </c>
      <c r="L695" s="757"/>
      <c r="M695" s="757">
        <f>G695*E695</f>
        <v>12505.82</v>
      </c>
      <c r="N695" s="757"/>
      <c r="O695" s="763">
        <f t="shared" ref="O695:O696" si="905">J695*E695</f>
        <v>12505.82</v>
      </c>
      <c r="P695" s="762">
        <v>0</v>
      </c>
      <c r="Q695" s="763"/>
      <c r="R695" s="787">
        <v>20.2</v>
      </c>
      <c r="S695" s="788">
        <f>R695*E695</f>
        <v>12505.82</v>
      </c>
      <c r="T695" s="762">
        <f>R695+P695</f>
        <v>20.2</v>
      </c>
      <c r="U695" s="764">
        <f t="shared" si="903"/>
        <v>12505.82</v>
      </c>
      <c r="V695" s="762">
        <f t="shared" si="901"/>
        <v>0</v>
      </c>
      <c r="W695" s="764">
        <f t="shared" ref="W695" si="906">V695*E695</f>
        <v>0</v>
      </c>
    </row>
    <row r="696" spans="1:23" s="765" customFormat="1" ht="30" customHeight="1">
      <c r="A696" s="758" t="s">
        <v>1521</v>
      </c>
      <c r="B696" s="759" t="s">
        <v>1522</v>
      </c>
      <c r="C696" s="760" t="s">
        <v>1523</v>
      </c>
      <c r="D696" s="761" t="s">
        <v>1496</v>
      </c>
      <c r="E696" s="757">
        <v>104617.72</v>
      </c>
      <c r="F696" s="762"/>
      <c r="G696" s="762">
        <v>1</v>
      </c>
      <c r="H696" s="762"/>
      <c r="I696" s="762"/>
      <c r="J696" s="757">
        <f>F696+G696+H696-I696</f>
        <v>1</v>
      </c>
      <c r="K696" s="757">
        <f t="shared" si="904"/>
        <v>104617.72</v>
      </c>
      <c r="L696" s="757"/>
      <c r="M696" s="757">
        <f>G696*E696</f>
        <v>104617.72</v>
      </c>
      <c r="N696" s="757"/>
      <c r="O696" s="763">
        <f t="shared" si="905"/>
        <v>104617.72</v>
      </c>
      <c r="P696" s="762"/>
      <c r="Q696" s="763"/>
      <c r="R696" s="787">
        <v>1</v>
      </c>
      <c r="S696" s="788">
        <f>R696*E696</f>
        <v>104617.72</v>
      </c>
      <c r="T696" s="762">
        <f>R696+P696</f>
        <v>1</v>
      </c>
      <c r="U696" s="764">
        <f t="shared" ref="U696" si="907">TRUNC(T696*E696,2)</f>
        <v>104617.72</v>
      </c>
      <c r="V696" s="762">
        <f t="shared" si="901"/>
        <v>0</v>
      </c>
      <c r="W696" s="764">
        <f t="shared" ref="W696" si="908">V696*E696</f>
        <v>0</v>
      </c>
    </row>
    <row r="697" spans="1:23">
      <c r="A697" s="138"/>
      <c r="B697" s="132"/>
      <c r="C697" s="123"/>
      <c r="D697" s="123"/>
      <c r="E697" s="123"/>
      <c r="F697" s="123"/>
      <c r="G697" s="123"/>
      <c r="H697" s="123"/>
      <c r="I697" s="123"/>
      <c r="J697" s="123"/>
      <c r="K697" s="123"/>
      <c r="L697" s="123"/>
      <c r="M697" s="123"/>
      <c r="N697" s="123"/>
      <c r="O697" s="623"/>
      <c r="P697" s="123"/>
      <c r="Q697" s="623"/>
      <c r="R697" s="791"/>
      <c r="S697" s="792"/>
      <c r="T697" s="123"/>
      <c r="U697" s="631"/>
      <c r="V697" s="123"/>
      <c r="W697" s="631"/>
    </row>
    <row r="698" spans="1:23" s="131" customFormat="1">
      <c r="A698" s="137" t="s">
        <v>805</v>
      </c>
      <c r="B698" s="133"/>
      <c r="C698" s="658" t="s">
        <v>212</v>
      </c>
      <c r="D698" s="126"/>
      <c r="E698" s="127"/>
      <c r="F698" s="128"/>
      <c r="G698" s="128"/>
      <c r="H698" s="128"/>
      <c r="I698" s="128"/>
      <c r="J698" s="129"/>
      <c r="K698" s="129">
        <f>SUBTOTAL(9,K699:K699)</f>
        <v>8738.247800000001</v>
      </c>
      <c r="L698" s="129"/>
      <c r="M698" s="129"/>
      <c r="N698" s="129"/>
      <c r="O698" s="624"/>
      <c r="P698" s="130"/>
      <c r="Q698" s="624">
        <f>SUBTOTAL(9,Q699:Q699)</f>
        <v>4369.12</v>
      </c>
      <c r="R698" s="743"/>
      <c r="S698" s="744">
        <f>SUBTOTAL(9,S699:S699)</f>
        <v>0</v>
      </c>
      <c r="T698" s="129"/>
      <c r="U698" s="624">
        <f>SUBTOTAL(9,U699:U699)</f>
        <v>4369.12</v>
      </c>
      <c r="V698" s="129">
        <f t="shared" si="842"/>
        <v>0</v>
      </c>
      <c r="W698" s="624">
        <f>SUBTOTAL(9,W699:W699)</f>
        <v>4369.1239000000005</v>
      </c>
    </row>
    <row r="699" spans="1:23" ht="25.5">
      <c r="A699" s="190" t="s">
        <v>806</v>
      </c>
      <c r="B699" s="191" t="s">
        <v>227</v>
      </c>
      <c r="C699" s="657" t="s">
        <v>233</v>
      </c>
      <c r="D699" s="192" t="s">
        <v>51</v>
      </c>
      <c r="E699" s="193">
        <v>366.23</v>
      </c>
      <c r="F699" s="194">
        <v>23.86</v>
      </c>
      <c r="G699" s="194"/>
      <c r="H699" s="194"/>
      <c r="I699" s="194"/>
      <c r="J699" s="193">
        <f t="shared" ref="J699" si="909">F699+H699-I699</f>
        <v>23.86</v>
      </c>
      <c r="K699" s="193">
        <f t="shared" ref="K699" si="910">J699*E699</f>
        <v>8738.247800000001</v>
      </c>
      <c r="L699" s="193"/>
      <c r="M699" s="193"/>
      <c r="N699" s="193"/>
      <c r="O699" s="622">
        <f>J699*E699</f>
        <v>8738.247800000001</v>
      </c>
      <c r="P699" s="194">
        <v>11.93</v>
      </c>
      <c r="Q699" s="622">
        <f t="shared" ref="Q699" si="911">TRUNC(P699*E699,2)</f>
        <v>4369.12</v>
      </c>
      <c r="R699" s="745"/>
      <c r="S699" s="746">
        <f t="shared" ref="S699" si="912">U699-Q699</f>
        <v>0</v>
      </c>
      <c r="T699" s="194">
        <f>R699+P699</f>
        <v>11.93</v>
      </c>
      <c r="U699" s="630">
        <f t="shared" ref="U699" si="913">TRUNC(T699*E699,2)</f>
        <v>4369.12</v>
      </c>
      <c r="V699" s="194">
        <f>F699-T699</f>
        <v>11.93</v>
      </c>
      <c r="W699" s="630">
        <f t="shared" ref="W699" si="914">V699*E699</f>
        <v>4369.1239000000005</v>
      </c>
    </row>
    <row r="700" spans="1:23">
      <c r="A700" s="138"/>
      <c r="B700" s="132"/>
      <c r="C700" s="123"/>
      <c r="D700" s="123"/>
      <c r="E700" s="123"/>
      <c r="F700" s="123"/>
      <c r="G700" s="123"/>
      <c r="H700" s="123"/>
      <c r="I700" s="123"/>
      <c r="J700" s="123"/>
      <c r="K700" s="123"/>
      <c r="L700" s="123"/>
      <c r="M700" s="123"/>
      <c r="N700" s="123"/>
      <c r="O700" s="623"/>
      <c r="P700" s="123"/>
      <c r="Q700" s="623"/>
      <c r="R700" s="791"/>
      <c r="S700" s="792"/>
      <c r="T700" s="123"/>
      <c r="U700" s="631"/>
      <c r="V700" s="123"/>
      <c r="W700" s="631"/>
    </row>
    <row r="701" spans="1:23" s="213" customFormat="1">
      <c r="A701" s="210" t="s">
        <v>807</v>
      </c>
      <c r="B701" s="211"/>
      <c r="C701" s="655" t="s">
        <v>318</v>
      </c>
      <c r="D701" s="197"/>
      <c r="E701" s="198"/>
      <c r="F701" s="199"/>
      <c r="G701" s="199"/>
      <c r="H701" s="199"/>
      <c r="I701" s="199"/>
      <c r="J701" s="200"/>
      <c r="K701" s="200">
        <f>SUBTOTAL(9,K702:K706)</f>
        <v>427452.38440000004</v>
      </c>
      <c r="L701" s="200"/>
      <c r="M701" s="200"/>
      <c r="N701" s="200"/>
      <c r="O701" s="620"/>
      <c r="P701" s="201"/>
      <c r="Q701" s="620">
        <f>SUBTOTAL(9,Q702:Q706)</f>
        <v>427452.38</v>
      </c>
      <c r="R701" s="743"/>
      <c r="S701" s="744">
        <f>SUBTOTAL(9,S702:S706)</f>
        <v>0</v>
      </c>
      <c r="T701" s="200"/>
      <c r="U701" s="620">
        <f>SUBTOTAL(9,U702:U706)</f>
        <v>427452.38</v>
      </c>
      <c r="V701" s="200">
        <f t="shared" si="842"/>
        <v>0</v>
      </c>
      <c r="W701" s="620">
        <f>SUBTOTAL(9,W702:W706)</f>
        <v>0</v>
      </c>
    </row>
    <row r="702" spans="1:23" s="131" customFormat="1">
      <c r="A702" s="137" t="s">
        <v>808</v>
      </c>
      <c r="B702" s="133"/>
      <c r="C702" s="658" t="s">
        <v>318</v>
      </c>
      <c r="D702" s="126"/>
      <c r="E702" s="127"/>
      <c r="F702" s="128"/>
      <c r="G702" s="128"/>
      <c r="H702" s="128"/>
      <c r="I702" s="128"/>
      <c r="J702" s="129"/>
      <c r="K702" s="129">
        <f>SUBTOTAL(9,K703:K706)</f>
        <v>427452.38440000004</v>
      </c>
      <c r="L702" s="129"/>
      <c r="M702" s="129"/>
      <c r="N702" s="129"/>
      <c r="O702" s="624"/>
      <c r="P702" s="130"/>
      <c r="Q702" s="624">
        <f>SUBTOTAL(9,Q703:Q706)</f>
        <v>427452.38</v>
      </c>
      <c r="R702" s="743"/>
      <c r="S702" s="744">
        <f>SUBTOTAL(9,S703:S706)</f>
        <v>0</v>
      </c>
      <c r="T702" s="129"/>
      <c r="U702" s="624">
        <f>SUBTOTAL(9,U703:U706)</f>
        <v>427452.38</v>
      </c>
      <c r="V702" s="129">
        <f t="shared" si="842"/>
        <v>0</v>
      </c>
      <c r="W702" s="624">
        <f>SUBTOTAL(9,W703:W706)</f>
        <v>0</v>
      </c>
    </row>
    <row r="703" spans="1:23" ht="25.5">
      <c r="A703" s="190" t="s">
        <v>809</v>
      </c>
      <c r="B703" s="191" t="s">
        <v>323</v>
      </c>
      <c r="C703" s="657" t="s">
        <v>326</v>
      </c>
      <c r="D703" s="192" t="s">
        <v>59</v>
      </c>
      <c r="E703" s="193">
        <v>409453.83</v>
      </c>
      <c r="F703" s="194">
        <v>1</v>
      </c>
      <c r="G703" s="194"/>
      <c r="H703" s="194"/>
      <c r="I703" s="194"/>
      <c r="J703" s="193">
        <f t="shared" ref="J703:J706" si="915">F703+H703-I703</f>
        <v>1</v>
      </c>
      <c r="K703" s="193">
        <f t="shared" ref="K703:K707" si="916">J703*E703</f>
        <v>409453.83</v>
      </c>
      <c r="L703" s="193"/>
      <c r="M703" s="193"/>
      <c r="N703" s="193"/>
      <c r="O703" s="622">
        <f t="shared" ref="O703:O707" si="917">J703*E703</f>
        <v>409453.83</v>
      </c>
      <c r="P703" s="194">
        <v>1</v>
      </c>
      <c r="Q703" s="622">
        <f t="shared" ref="Q703" si="918">TRUNC(P703*E703,2)</f>
        <v>409453.83</v>
      </c>
      <c r="R703" s="745">
        <v>0</v>
      </c>
      <c r="S703" s="746">
        <f t="shared" ref="S703:S704" si="919">U703-Q703</f>
        <v>0</v>
      </c>
      <c r="T703" s="194">
        <f t="shared" ref="T703" si="920">R703+P703</f>
        <v>1</v>
      </c>
      <c r="U703" s="630">
        <f t="shared" ref="U703" si="921">TRUNC(T703*E703,2)</f>
        <v>409453.83</v>
      </c>
      <c r="V703" s="194">
        <f t="shared" si="842"/>
        <v>0</v>
      </c>
      <c r="W703" s="630">
        <f t="shared" ref="W703:W707" si="922">V703*E703</f>
        <v>0</v>
      </c>
    </row>
    <row r="704" spans="1:23">
      <c r="A704" s="190" t="s">
        <v>810</v>
      </c>
      <c r="B704" s="191" t="s">
        <v>324</v>
      </c>
      <c r="C704" s="657" t="s">
        <v>327</v>
      </c>
      <c r="D704" s="192" t="s">
        <v>59</v>
      </c>
      <c r="E704" s="193">
        <v>3812.11</v>
      </c>
      <c r="F704" s="194">
        <v>1</v>
      </c>
      <c r="G704" s="194"/>
      <c r="H704" s="194"/>
      <c r="I704" s="194"/>
      <c r="J704" s="193">
        <f t="shared" si="915"/>
        <v>1</v>
      </c>
      <c r="K704" s="193">
        <f t="shared" si="916"/>
        <v>3812.11</v>
      </c>
      <c r="L704" s="193"/>
      <c r="M704" s="193"/>
      <c r="N704" s="193"/>
      <c r="O704" s="622">
        <f t="shared" si="917"/>
        <v>3812.11</v>
      </c>
      <c r="P704" s="194">
        <v>1</v>
      </c>
      <c r="Q704" s="622">
        <f>TRUNC(P704*E704,2)</f>
        <v>3812.11</v>
      </c>
      <c r="R704" s="745"/>
      <c r="S704" s="746">
        <f t="shared" si="919"/>
        <v>0</v>
      </c>
      <c r="T704" s="194">
        <f>R704+P704</f>
        <v>1</v>
      </c>
      <c r="U704" s="630">
        <f>TRUNC(T704*E704,2)</f>
        <v>3812.11</v>
      </c>
      <c r="V704" s="194">
        <f t="shared" si="842"/>
        <v>0</v>
      </c>
      <c r="W704" s="630">
        <f t="shared" si="922"/>
        <v>0</v>
      </c>
    </row>
    <row r="705" spans="1:23" ht="25.5">
      <c r="A705" s="190" t="s">
        <v>811</v>
      </c>
      <c r="B705" s="191" t="s">
        <v>813</v>
      </c>
      <c r="C705" s="657" t="s">
        <v>814</v>
      </c>
      <c r="D705" s="192" t="s">
        <v>72</v>
      </c>
      <c r="E705" s="193">
        <v>208.08</v>
      </c>
      <c r="F705" s="194">
        <v>1</v>
      </c>
      <c r="G705" s="194"/>
      <c r="H705" s="194"/>
      <c r="I705" s="194"/>
      <c r="J705" s="193">
        <f t="shared" si="915"/>
        <v>1</v>
      </c>
      <c r="K705" s="193">
        <f t="shared" si="916"/>
        <v>208.08</v>
      </c>
      <c r="L705" s="193"/>
      <c r="M705" s="193"/>
      <c r="N705" s="193"/>
      <c r="O705" s="622">
        <f t="shared" si="917"/>
        <v>208.08</v>
      </c>
      <c r="P705" s="194">
        <v>1</v>
      </c>
      <c r="Q705" s="622">
        <f>TRUNC(P705*E705,2)</f>
        <v>208.08</v>
      </c>
      <c r="R705" s="745">
        <v>0</v>
      </c>
      <c r="S705" s="746">
        <f>U705-Q705</f>
        <v>0</v>
      </c>
      <c r="T705" s="194">
        <f>R705+P705</f>
        <v>1</v>
      </c>
      <c r="U705" s="630">
        <f>TRUNC(T705*E705,2)</f>
        <v>208.08</v>
      </c>
      <c r="V705" s="194">
        <f t="shared" si="842"/>
        <v>0</v>
      </c>
      <c r="W705" s="630">
        <f t="shared" si="922"/>
        <v>0</v>
      </c>
    </row>
    <row r="706" spans="1:23" ht="25.5">
      <c r="A706" s="190" t="s">
        <v>812</v>
      </c>
      <c r="B706" s="191" t="s">
        <v>325</v>
      </c>
      <c r="C706" s="657" t="s">
        <v>328</v>
      </c>
      <c r="D706" s="192" t="s">
        <v>50</v>
      </c>
      <c r="E706" s="193">
        <v>115.83</v>
      </c>
      <c r="F706" s="194">
        <v>120.68</v>
      </c>
      <c r="G706" s="194"/>
      <c r="H706" s="194"/>
      <c r="I706" s="194"/>
      <c r="J706" s="193">
        <f t="shared" si="915"/>
        <v>120.68</v>
      </c>
      <c r="K706" s="193">
        <f t="shared" si="916"/>
        <v>13978.3644</v>
      </c>
      <c r="L706" s="193"/>
      <c r="M706" s="193"/>
      <c r="N706" s="193"/>
      <c r="O706" s="622">
        <f t="shared" si="917"/>
        <v>13978.3644</v>
      </c>
      <c r="P706" s="194">
        <v>120.68</v>
      </c>
      <c r="Q706" s="622">
        <f t="shared" ref="Q706" si="923">TRUNC(P706*E706,2)</f>
        <v>13978.36</v>
      </c>
      <c r="R706" s="745">
        <v>0</v>
      </c>
      <c r="S706" s="746">
        <f t="shared" ref="S706" si="924">U706-Q706</f>
        <v>0</v>
      </c>
      <c r="T706" s="194">
        <f t="shared" ref="T706" si="925">R706+P706</f>
        <v>120.68</v>
      </c>
      <c r="U706" s="630">
        <f t="shared" ref="U706:U707" si="926">TRUNC(T706*E706,2)</f>
        <v>13978.36</v>
      </c>
      <c r="V706" s="194">
        <f t="shared" si="842"/>
        <v>0</v>
      </c>
      <c r="W706" s="630">
        <f t="shared" si="922"/>
        <v>0</v>
      </c>
    </row>
    <row r="707" spans="1:23" s="765" customFormat="1" ht="30" customHeight="1">
      <c r="A707" s="758" t="s">
        <v>1517</v>
      </c>
      <c r="B707" s="759" t="s">
        <v>1524</v>
      </c>
      <c r="C707" s="760" t="s">
        <v>1518</v>
      </c>
      <c r="D707" s="761" t="s">
        <v>72</v>
      </c>
      <c r="E707" s="757">
        <v>4088.62</v>
      </c>
      <c r="F707" s="762"/>
      <c r="G707" s="762">
        <v>1</v>
      </c>
      <c r="H707" s="762"/>
      <c r="I707" s="762"/>
      <c r="J707" s="757">
        <f>F707+G707+H707-I707</f>
        <v>1</v>
      </c>
      <c r="K707" s="757">
        <f t="shared" si="916"/>
        <v>4088.62</v>
      </c>
      <c r="L707" s="757"/>
      <c r="M707" s="757">
        <f>G707*E707</f>
        <v>4088.62</v>
      </c>
      <c r="N707" s="757"/>
      <c r="O707" s="763">
        <f t="shared" si="917"/>
        <v>4088.62</v>
      </c>
      <c r="P707" s="762"/>
      <c r="Q707" s="763"/>
      <c r="R707" s="787">
        <v>1</v>
      </c>
      <c r="S707" s="788">
        <f>R707*E707</f>
        <v>4088.62</v>
      </c>
      <c r="T707" s="762">
        <f>R707+P707</f>
        <v>1</v>
      </c>
      <c r="U707" s="764">
        <f t="shared" si="926"/>
        <v>4088.62</v>
      </c>
      <c r="V707" s="762">
        <f>J707-T707</f>
        <v>0</v>
      </c>
      <c r="W707" s="764">
        <f t="shared" si="922"/>
        <v>0</v>
      </c>
    </row>
    <row r="708" spans="1:23">
      <c r="A708" s="138"/>
      <c r="B708" s="132"/>
      <c r="C708" s="123"/>
      <c r="D708" s="123"/>
      <c r="E708" s="123"/>
      <c r="F708" s="123"/>
      <c r="G708" s="123"/>
      <c r="H708" s="123"/>
      <c r="I708" s="123"/>
      <c r="J708" s="123"/>
      <c r="K708" s="123"/>
      <c r="L708" s="123"/>
      <c r="M708" s="123"/>
      <c r="N708" s="123"/>
      <c r="O708" s="623"/>
      <c r="P708" s="123"/>
      <c r="Q708" s="623"/>
      <c r="R708" s="791"/>
      <c r="S708" s="792"/>
      <c r="T708" s="123"/>
      <c r="U708" s="631"/>
      <c r="V708" s="123"/>
      <c r="W708" s="631"/>
    </row>
    <row r="709" spans="1:23" s="213" customFormat="1">
      <c r="A709" s="210" t="s">
        <v>815</v>
      </c>
      <c r="B709" s="211"/>
      <c r="C709" s="655" t="s">
        <v>329</v>
      </c>
      <c r="D709" s="197"/>
      <c r="E709" s="198"/>
      <c r="F709" s="199"/>
      <c r="G709" s="199"/>
      <c r="H709" s="199"/>
      <c r="I709" s="199"/>
      <c r="J709" s="200"/>
      <c r="K709" s="200">
        <f>SUBTOTAL(9,K711:K735)</f>
        <v>43372.777000000002</v>
      </c>
      <c r="L709" s="200"/>
      <c r="M709" s="200"/>
      <c r="N709" s="200"/>
      <c r="O709" s="620"/>
      <c r="P709" s="201"/>
      <c r="Q709" s="620">
        <f>SUBTOTAL(9,Q711:Q735)</f>
        <v>43372.770000000004</v>
      </c>
      <c r="R709" s="743"/>
      <c r="S709" s="744">
        <f>SUBTOTAL(9,S711:S735)</f>
        <v>0</v>
      </c>
      <c r="T709" s="200"/>
      <c r="U709" s="620">
        <f>SUBTOTAL(9,U711:U735)</f>
        <v>43372.770000000004</v>
      </c>
      <c r="V709" s="200">
        <f t="shared" si="842"/>
        <v>0</v>
      </c>
      <c r="W709" s="620">
        <f>SUBTOTAL(9,W711:W735)</f>
        <v>0</v>
      </c>
    </row>
    <row r="710" spans="1:23" s="131" customFormat="1">
      <c r="A710" s="137" t="s">
        <v>816</v>
      </c>
      <c r="B710" s="133"/>
      <c r="C710" s="658" t="s">
        <v>329</v>
      </c>
      <c r="D710" s="126"/>
      <c r="E710" s="127"/>
      <c r="F710" s="128"/>
      <c r="G710" s="128"/>
      <c r="H710" s="128"/>
      <c r="I710" s="128"/>
      <c r="J710" s="129"/>
      <c r="K710" s="129">
        <f>SUBTOTAL(9,K711:K729)</f>
        <v>39993.794000000002</v>
      </c>
      <c r="L710" s="129"/>
      <c r="M710" s="129"/>
      <c r="N710" s="129"/>
      <c r="O710" s="624"/>
      <c r="P710" s="130"/>
      <c r="Q710" s="624">
        <f>SUBTOTAL(9,Q711:Q729)</f>
        <v>39993.79</v>
      </c>
      <c r="R710" s="743"/>
      <c r="S710" s="744">
        <f>SUBTOTAL(9,S711:S729)</f>
        <v>0</v>
      </c>
      <c r="T710" s="129"/>
      <c r="U710" s="624">
        <f>SUBTOTAL(9,U711:U729)</f>
        <v>39993.79</v>
      </c>
      <c r="V710" s="129">
        <f t="shared" si="842"/>
        <v>0</v>
      </c>
      <c r="W710" s="624">
        <f>SUBTOTAL(9,W711:W729)</f>
        <v>0</v>
      </c>
    </row>
    <row r="711" spans="1:23" ht="25.5">
      <c r="A711" s="190" t="s">
        <v>817</v>
      </c>
      <c r="B711" s="191">
        <v>151701</v>
      </c>
      <c r="C711" s="657" t="s">
        <v>685</v>
      </c>
      <c r="D711" s="192" t="s">
        <v>59</v>
      </c>
      <c r="E711" s="193">
        <v>1510.64</v>
      </c>
      <c r="F711" s="194">
        <v>1</v>
      </c>
      <c r="G711" s="194"/>
      <c r="H711" s="194"/>
      <c r="I711" s="194"/>
      <c r="J711" s="193">
        <f t="shared" ref="J711:J729" si="927">F711+H711-I711</f>
        <v>1</v>
      </c>
      <c r="K711" s="193">
        <f t="shared" ref="K711:K729" si="928">J711*E711</f>
        <v>1510.64</v>
      </c>
      <c r="L711" s="193"/>
      <c r="M711" s="193"/>
      <c r="N711" s="193"/>
      <c r="O711" s="622">
        <f t="shared" ref="O711:O729" si="929">J711*E711</f>
        <v>1510.64</v>
      </c>
      <c r="P711" s="194">
        <v>1</v>
      </c>
      <c r="Q711" s="622">
        <f t="shared" ref="Q711:Q729" si="930">TRUNC(P711*E711,2)</f>
        <v>1510.64</v>
      </c>
      <c r="R711" s="745">
        <v>0</v>
      </c>
      <c r="S711" s="746">
        <f t="shared" ref="S711:S729" si="931">U711-Q711</f>
        <v>0</v>
      </c>
      <c r="T711" s="194">
        <f t="shared" ref="T711:T729" si="932">R711+P711</f>
        <v>1</v>
      </c>
      <c r="U711" s="630">
        <f t="shared" ref="U711:U729" si="933">TRUNC(T711*E711,2)</f>
        <v>1510.64</v>
      </c>
      <c r="V711" s="194">
        <f t="shared" si="842"/>
        <v>0</v>
      </c>
      <c r="W711" s="630">
        <f t="shared" ref="W711:W729" si="934">V711*E711</f>
        <v>0</v>
      </c>
    </row>
    <row r="712" spans="1:23" ht="25.5">
      <c r="A712" s="190" t="s">
        <v>818</v>
      </c>
      <c r="B712" s="191">
        <v>150312</v>
      </c>
      <c r="C712" s="657" t="s">
        <v>350</v>
      </c>
      <c r="D712" s="192" t="s">
        <v>59</v>
      </c>
      <c r="E712" s="193">
        <v>103.79</v>
      </c>
      <c r="F712" s="194">
        <v>1</v>
      </c>
      <c r="G712" s="194"/>
      <c r="H712" s="194"/>
      <c r="I712" s="194"/>
      <c r="J712" s="193">
        <f t="shared" si="927"/>
        <v>1</v>
      </c>
      <c r="K712" s="193">
        <f t="shared" si="928"/>
        <v>103.79</v>
      </c>
      <c r="L712" s="193"/>
      <c r="M712" s="193"/>
      <c r="N712" s="193"/>
      <c r="O712" s="622">
        <f t="shared" si="929"/>
        <v>103.79</v>
      </c>
      <c r="P712" s="194">
        <v>1</v>
      </c>
      <c r="Q712" s="622">
        <f t="shared" si="930"/>
        <v>103.79</v>
      </c>
      <c r="R712" s="745">
        <v>0</v>
      </c>
      <c r="S712" s="746">
        <f t="shared" si="931"/>
        <v>0</v>
      </c>
      <c r="T712" s="194">
        <f t="shared" si="932"/>
        <v>1</v>
      </c>
      <c r="U712" s="630">
        <f t="shared" si="933"/>
        <v>103.79</v>
      </c>
      <c r="V712" s="194">
        <f t="shared" ref="V712:V743" si="935">F712-T712</f>
        <v>0</v>
      </c>
      <c r="W712" s="630">
        <f t="shared" si="934"/>
        <v>0</v>
      </c>
    </row>
    <row r="713" spans="1:23">
      <c r="A713" s="190" t="s">
        <v>819</v>
      </c>
      <c r="B713" s="191">
        <v>150628</v>
      </c>
      <c r="C713" s="657" t="s">
        <v>351</v>
      </c>
      <c r="D713" s="192" t="s">
        <v>59</v>
      </c>
      <c r="E713" s="193">
        <v>7.47</v>
      </c>
      <c r="F713" s="194">
        <v>20</v>
      </c>
      <c r="G713" s="194"/>
      <c r="H713" s="194"/>
      <c r="I713" s="194"/>
      <c r="J713" s="193">
        <f t="shared" si="927"/>
        <v>20</v>
      </c>
      <c r="K713" s="193">
        <f t="shared" si="928"/>
        <v>149.4</v>
      </c>
      <c r="L713" s="193"/>
      <c r="M713" s="193"/>
      <c r="N713" s="193"/>
      <c r="O713" s="622">
        <f t="shared" si="929"/>
        <v>149.4</v>
      </c>
      <c r="P713" s="194">
        <v>20</v>
      </c>
      <c r="Q713" s="622">
        <f t="shared" si="930"/>
        <v>149.4</v>
      </c>
      <c r="R713" s="745">
        <v>0</v>
      </c>
      <c r="S713" s="746">
        <f t="shared" si="931"/>
        <v>0</v>
      </c>
      <c r="T713" s="194">
        <f t="shared" si="932"/>
        <v>20</v>
      </c>
      <c r="U713" s="630">
        <f t="shared" si="933"/>
        <v>149.4</v>
      </c>
      <c r="V713" s="194">
        <f t="shared" si="935"/>
        <v>0</v>
      </c>
      <c r="W713" s="630">
        <f t="shared" si="934"/>
        <v>0</v>
      </c>
    </row>
    <row r="714" spans="1:23" ht="25.5">
      <c r="A714" s="190" t="s">
        <v>820</v>
      </c>
      <c r="B714" s="191">
        <v>151417</v>
      </c>
      <c r="C714" s="657" t="s">
        <v>352</v>
      </c>
      <c r="D714" s="192" t="s">
        <v>51</v>
      </c>
      <c r="E714" s="193">
        <v>5.86</v>
      </c>
      <c r="F714" s="194">
        <v>169.2</v>
      </c>
      <c r="G714" s="194"/>
      <c r="H714" s="194"/>
      <c r="I714" s="194"/>
      <c r="J714" s="193">
        <f t="shared" si="927"/>
        <v>169.2</v>
      </c>
      <c r="K714" s="193">
        <f t="shared" si="928"/>
        <v>991.51199999999994</v>
      </c>
      <c r="L714" s="193"/>
      <c r="M714" s="193"/>
      <c r="N714" s="193"/>
      <c r="O714" s="622">
        <f t="shared" si="929"/>
        <v>991.51199999999994</v>
      </c>
      <c r="P714" s="194">
        <v>169.2</v>
      </c>
      <c r="Q714" s="622">
        <f t="shared" si="930"/>
        <v>991.51</v>
      </c>
      <c r="R714" s="745">
        <v>0</v>
      </c>
      <c r="S714" s="746">
        <f t="shared" si="931"/>
        <v>0</v>
      </c>
      <c r="T714" s="194">
        <f t="shared" si="932"/>
        <v>169.2</v>
      </c>
      <c r="U714" s="630">
        <f t="shared" si="933"/>
        <v>991.51</v>
      </c>
      <c r="V714" s="194">
        <f t="shared" si="935"/>
        <v>0</v>
      </c>
      <c r="W714" s="630">
        <f t="shared" si="934"/>
        <v>0</v>
      </c>
    </row>
    <row r="715" spans="1:23" ht="25.5">
      <c r="A715" s="190" t="s">
        <v>821</v>
      </c>
      <c r="B715" s="191">
        <v>151418</v>
      </c>
      <c r="C715" s="657" t="s">
        <v>353</v>
      </c>
      <c r="D715" s="192" t="s">
        <v>51</v>
      </c>
      <c r="E715" s="193">
        <v>6.74</v>
      </c>
      <c r="F715" s="194">
        <v>333.8</v>
      </c>
      <c r="G715" s="194"/>
      <c r="H715" s="194"/>
      <c r="I715" s="194"/>
      <c r="J715" s="193">
        <f t="shared" si="927"/>
        <v>333.8</v>
      </c>
      <c r="K715" s="193">
        <f t="shared" si="928"/>
        <v>2249.8120000000004</v>
      </c>
      <c r="L715" s="193"/>
      <c r="M715" s="193"/>
      <c r="N715" s="193"/>
      <c r="O715" s="622">
        <f t="shared" si="929"/>
        <v>2249.8120000000004</v>
      </c>
      <c r="P715" s="194">
        <v>333.8</v>
      </c>
      <c r="Q715" s="622">
        <f t="shared" si="930"/>
        <v>2249.81</v>
      </c>
      <c r="R715" s="745">
        <v>0</v>
      </c>
      <c r="S715" s="746">
        <f t="shared" si="931"/>
        <v>0</v>
      </c>
      <c r="T715" s="194">
        <f t="shared" si="932"/>
        <v>333.8</v>
      </c>
      <c r="U715" s="630">
        <f t="shared" si="933"/>
        <v>2249.81</v>
      </c>
      <c r="V715" s="194">
        <f t="shared" si="935"/>
        <v>0</v>
      </c>
      <c r="W715" s="630">
        <f t="shared" si="934"/>
        <v>0</v>
      </c>
    </row>
    <row r="716" spans="1:23" ht="25.5">
      <c r="A716" s="190" t="s">
        <v>822</v>
      </c>
      <c r="B716" s="191">
        <v>151420</v>
      </c>
      <c r="C716" s="657" t="s">
        <v>354</v>
      </c>
      <c r="D716" s="192" t="s">
        <v>51</v>
      </c>
      <c r="E716" s="193">
        <v>10.63</v>
      </c>
      <c r="F716" s="194">
        <v>60</v>
      </c>
      <c r="G716" s="194"/>
      <c r="H716" s="194"/>
      <c r="I716" s="194"/>
      <c r="J716" s="193">
        <f t="shared" si="927"/>
        <v>60</v>
      </c>
      <c r="K716" s="193">
        <f t="shared" si="928"/>
        <v>637.80000000000007</v>
      </c>
      <c r="L716" s="193"/>
      <c r="M716" s="193"/>
      <c r="N716" s="193"/>
      <c r="O716" s="622">
        <f t="shared" si="929"/>
        <v>637.80000000000007</v>
      </c>
      <c r="P716" s="194">
        <v>60</v>
      </c>
      <c r="Q716" s="622">
        <f t="shared" si="930"/>
        <v>637.79999999999995</v>
      </c>
      <c r="R716" s="745">
        <v>0</v>
      </c>
      <c r="S716" s="746">
        <f t="shared" si="931"/>
        <v>0</v>
      </c>
      <c r="T716" s="194">
        <f t="shared" si="932"/>
        <v>60</v>
      </c>
      <c r="U716" s="630">
        <f t="shared" si="933"/>
        <v>637.79999999999995</v>
      </c>
      <c r="V716" s="194">
        <f t="shared" si="935"/>
        <v>0</v>
      </c>
      <c r="W716" s="630">
        <f t="shared" si="934"/>
        <v>0</v>
      </c>
    </row>
    <row r="717" spans="1:23" ht="38.25">
      <c r="A717" s="190" t="s">
        <v>823</v>
      </c>
      <c r="B717" s="191">
        <v>151809</v>
      </c>
      <c r="C717" s="657" t="s">
        <v>355</v>
      </c>
      <c r="D717" s="192" t="s">
        <v>59</v>
      </c>
      <c r="E717" s="193">
        <v>150.13</v>
      </c>
      <c r="F717" s="194">
        <v>1</v>
      </c>
      <c r="G717" s="194"/>
      <c r="H717" s="194"/>
      <c r="I717" s="194"/>
      <c r="J717" s="193">
        <f t="shared" si="927"/>
        <v>1</v>
      </c>
      <c r="K717" s="193">
        <f t="shared" si="928"/>
        <v>150.13</v>
      </c>
      <c r="L717" s="193"/>
      <c r="M717" s="193"/>
      <c r="N717" s="193"/>
      <c r="O717" s="622">
        <f t="shared" si="929"/>
        <v>150.13</v>
      </c>
      <c r="P717" s="194">
        <v>1</v>
      </c>
      <c r="Q717" s="622">
        <f t="shared" si="930"/>
        <v>150.13</v>
      </c>
      <c r="R717" s="745">
        <v>0</v>
      </c>
      <c r="S717" s="746">
        <f t="shared" si="931"/>
        <v>0</v>
      </c>
      <c r="T717" s="194">
        <f t="shared" si="932"/>
        <v>1</v>
      </c>
      <c r="U717" s="630">
        <f t="shared" si="933"/>
        <v>150.13</v>
      </c>
      <c r="V717" s="194">
        <f t="shared" si="935"/>
        <v>0</v>
      </c>
      <c r="W717" s="630">
        <f t="shared" si="934"/>
        <v>0</v>
      </c>
    </row>
    <row r="718" spans="1:23" ht="38.25">
      <c r="A718" s="190" t="s">
        <v>824</v>
      </c>
      <c r="B718" s="191">
        <v>151803</v>
      </c>
      <c r="C718" s="657" t="s">
        <v>356</v>
      </c>
      <c r="D718" s="192" t="s">
        <v>59</v>
      </c>
      <c r="E718" s="193">
        <v>170.86</v>
      </c>
      <c r="F718" s="194">
        <v>11</v>
      </c>
      <c r="G718" s="194"/>
      <c r="H718" s="194"/>
      <c r="I718" s="194"/>
      <c r="J718" s="193">
        <f t="shared" si="927"/>
        <v>11</v>
      </c>
      <c r="K718" s="193">
        <f t="shared" si="928"/>
        <v>1879.46</v>
      </c>
      <c r="L718" s="193"/>
      <c r="M718" s="193"/>
      <c r="N718" s="193"/>
      <c r="O718" s="622">
        <f t="shared" si="929"/>
        <v>1879.46</v>
      </c>
      <c r="P718" s="194">
        <v>11</v>
      </c>
      <c r="Q718" s="622">
        <f t="shared" si="930"/>
        <v>1879.46</v>
      </c>
      <c r="R718" s="745">
        <v>0</v>
      </c>
      <c r="S718" s="746">
        <f t="shared" si="931"/>
        <v>0</v>
      </c>
      <c r="T718" s="194">
        <f t="shared" si="932"/>
        <v>11</v>
      </c>
      <c r="U718" s="630">
        <f t="shared" si="933"/>
        <v>1879.46</v>
      </c>
      <c r="V718" s="194">
        <f t="shared" si="935"/>
        <v>0</v>
      </c>
      <c r="W718" s="630">
        <f t="shared" si="934"/>
        <v>0</v>
      </c>
    </row>
    <row r="719" spans="1:23" ht="25.5">
      <c r="A719" s="190" t="s">
        <v>825</v>
      </c>
      <c r="B719" s="191">
        <v>151338</v>
      </c>
      <c r="C719" s="657" t="s">
        <v>357</v>
      </c>
      <c r="D719" s="192" t="s">
        <v>59</v>
      </c>
      <c r="E719" s="193">
        <v>18.14</v>
      </c>
      <c r="F719" s="194">
        <v>1</v>
      </c>
      <c r="G719" s="194"/>
      <c r="H719" s="194"/>
      <c r="I719" s="194"/>
      <c r="J719" s="193">
        <f t="shared" si="927"/>
        <v>1</v>
      </c>
      <c r="K719" s="193">
        <f t="shared" si="928"/>
        <v>18.14</v>
      </c>
      <c r="L719" s="193"/>
      <c r="M719" s="193"/>
      <c r="N719" s="193"/>
      <c r="O719" s="622">
        <f t="shared" si="929"/>
        <v>18.14</v>
      </c>
      <c r="P719" s="194">
        <v>1</v>
      </c>
      <c r="Q719" s="622">
        <f t="shared" si="930"/>
        <v>18.14</v>
      </c>
      <c r="R719" s="745">
        <v>0</v>
      </c>
      <c r="S719" s="746">
        <f t="shared" si="931"/>
        <v>0</v>
      </c>
      <c r="T719" s="194">
        <f t="shared" si="932"/>
        <v>1</v>
      </c>
      <c r="U719" s="630">
        <f t="shared" si="933"/>
        <v>18.14</v>
      </c>
      <c r="V719" s="194">
        <f t="shared" si="935"/>
        <v>0</v>
      </c>
      <c r="W719" s="630">
        <f t="shared" si="934"/>
        <v>0</v>
      </c>
    </row>
    <row r="720" spans="1:23" ht="25.5">
      <c r="A720" s="190" t="s">
        <v>826</v>
      </c>
      <c r="B720" s="191">
        <v>151301</v>
      </c>
      <c r="C720" s="657" t="s">
        <v>358</v>
      </c>
      <c r="D720" s="192" t="s">
        <v>59</v>
      </c>
      <c r="E720" s="193">
        <v>18.14</v>
      </c>
      <c r="F720" s="194">
        <v>1</v>
      </c>
      <c r="G720" s="194"/>
      <c r="H720" s="194"/>
      <c r="I720" s="194"/>
      <c r="J720" s="193">
        <f t="shared" si="927"/>
        <v>1</v>
      </c>
      <c r="K720" s="193">
        <f t="shared" si="928"/>
        <v>18.14</v>
      </c>
      <c r="L720" s="193"/>
      <c r="M720" s="193"/>
      <c r="N720" s="193"/>
      <c r="O720" s="622">
        <f t="shared" si="929"/>
        <v>18.14</v>
      </c>
      <c r="P720" s="194">
        <v>1</v>
      </c>
      <c r="Q720" s="622">
        <f t="shared" si="930"/>
        <v>18.14</v>
      </c>
      <c r="R720" s="745">
        <v>0</v>
      </c>
      <c r="S720" s="746">
        <f t="shared" si="931"/>
        <v>0</v>
      </c>
      <c r="T720" s="194">
        <f t="shared" si="932"/>
        <v>1</v>
      </c>
      <c r="U720" s="630">
        <f t="shared" si="933"/>
        <v>18.14</v>
      </c>
      <c r="V720" s="194">
        <f t="shared" si="935"/>
        <v>0</v>
      </c>
      <c r="W720" s="630">
        <f t="shared" si="934"/>
        <v>0</v>
      </c>
    </row>
    <row r="721" spans="1:23" ht="25.5">
      <c r="A721" s="190" t="s">
        <v>827</v>
      </c>
      <c r="B721" s="191">
        <v>151303</v>
      </c>
      <c r="C721" s="657" t="s">
        <v>359</v>
      </c>
      <c r="D721" s="192" t="s">
        <v>59</v>
      </c>
      <c r="E721" s="193">
        <v>18.14</v>
      </c>
      <c r="F721" s="194">
        <v>1</v>
      </c>
      <c r="G721" s="194"/>
      <c r="H721" s="194"/>
      <c r="I721" s="194"/>
      <c r="J721" s="193">
        <f t="shared" si="927"/>
        <v>1</v>
      </c>
      <c r="K721" s="193">
        <f t="shared" si="928"/>
        <v>18.14</v>
      </c>
      <c r="L721" s="193"/>
      <c r="M721" s="193"/>
      <c r="N721" s="193"/>
      <c r="O721" s="622">
        <f t="shared" si="929"/>
        <v>18.14</v>
      </c>
      <c r="P721" s="194">
        <v>1</v>
      </c>
      <c r="Q721" s="622">
        <f t="shared" si="930"/>
        <v>18.14</v>
      </c>
      <c r="R721" s="745">
        <v>0</v>
      </c>
      <c r="S721" s="746">
        <f t="shared" si="931"/>
        <v>0</v>
      </c>
      <c r="T721" s="194">
        <f t="shared" si="932"/>
        <v>1</v>
      </c>
      <c r="U721" s="630">
        <f t="shared" si="933"/>
        <v>18.14</v>
      </c>
      <c r="V721" s="194">
        <f t="shared" si="935"/>
        <v>0</v>
      </c>
      <c r="W721" s="630">
        <f t="shared" si="934"/>
        <v>0</v>
      </c>
    </row>
    <row r="722" spans="1:23" ht="25.5">
      <c r="A722" s="190" t="s">
        <v>828</v>
      </c>
      <c r="B722" s="191">
        <v>151318</v>
      </c>
      <c r="C722" s="657" t="s">
        <v>547</v>
      </c>
      <c r="D722" s="192" t="s">
        <v>59</v>
      </c>
      <c r="E722" s="193">
        <v>22.63</v>
      </c>
      <c r="F722" s="194">
        <v>1</v>
      </c>
      <c r="G722" s="194"/>
      <c r="H722" s="194"/>
      <c r="I722" s="194"/>
      <c r="J722" s="193">
        <f t="shared" si="927"/>
        <v>1</v>
      </c>
      <c r="K722" s="193">
        <f t="shared" si="928"/>
        <v>22.63</v>
      </c>
      <c r="L722" s="193"/>
      <c r="M722" s="193"/>
      <c r="N722" s="193"/>
      <c r="O722" s="622">
        <f t="shared" si="929"/>
        <v>22.63</v>
      </c>
      <c r="P722" s="194">
        <v>1</v>
      </c>
      <c r="Q722" s="622">
        <f t="shared" si="930"/>
        <v>22.63</v>
      </c>
      <c r="R722" s="745">
        <v>0</v>
      </c>
      <c r="S722" s="746">
        <f t="shared" si="931"/>
        <v>0</v>
      </c>
      <c r="T722" s="194">
        <f t="shared" si="932"/>
        <v>1</v>
      </c>
      <c r="U722" s="630">
        <f t="shared" si="933"/>
        <v>22.63</v>
      </c>
      <c r="V722" s="194">
        <f t="shared" si="935"/>
        <v>0</v>
      </c>
      <c r="W722" s="630">
        <f t="shared" si="934"/>
        <v>0</v>
      </c>
    </row>
    <row r="723" spans="1:23">
      <c r="A723" s="190" t="s">
        <v>829</v>
      </c>
      <c r="B723" s="191">
        <v>151350</v>
      </c>
      <c r="C723" s="657" t="s">
        <v>360</v>
      </c>
      <c r="D723" s="192" t="s">
        <v>59</v>
      </c>
      <c r="E723" s="193">
        <v>133.04</v>
      </c>
      <c r="F723" s="194">
        <v>1</v>
      </c>
      <c r="G723" s="194"/>
      <c r="H723" s="194"/>
      <c r="I723" s="194"/>
      <c r="J723" s="193">
        <f t="shared" si="927"/>
        <v>1</v>
      </c>
      <c r="K723" s="193">
        <f t="shared" si="928"/>
        <v>133.04</v>
      </c>
      <c r="L723" s="193"/>
      <c r="M723" s="193"/>
      <c r="N723" s="193"/>
      <c r="O723" s="622">
        <f t="shared" si="929"/>
        <v>133.04</v>
      </c>
      <c r="P723" s="194">
        <v>1</v>
      </c>
      <c r="Q723" s="622">
        <f t="shared" si="930"/>
        <v>133.04</v>
      </c>
      <c r="R723" s="745">
        <v>0</v>
      </c>
      <c r="S723" s="746">
        <f t="shared" si="931"/>
        <v>0</v>
      </c>
      <c r="T723" s="194">
        <f t="shared" si="932"/>
        <v>1</v>
      </c>
      <c r="U723" s="630">
        <f t="shared" si="933"/>
        <v>133.04</v>
      </c>
      <c r="V723" s="194">
        <f t="shared" si="935"/>
        <v>0</v>
      </c>
      <c r="W723" s="630">
        <f t="shared" si="934"/>
        <v>0</v>
      </c>
    </row>
    <row r="724" spans="1:23">
      <c r="A724" s="190" t="s">
        <v>830</v>
      </c>
      <c r="B724" s="191">
        <v>151132</v>
      </c>
      <c r="C724" s="657" t="s">
        <v>361</v>
      </c>
      <c r="D724" s="192" t="s">
        <v>51</v>
      </c>
      <c r="E724" s="193">
        <v>7.5</v>
      </c>
      <c r="F724" s="194">
        <v>78.400000000000006</v>
      </c>
      <c r="G724" s="194"/>
      <c r="H724" s="194"/>
      <c r="I724" s="194"/>
      <c r="J724" s="193">
        <f t="shared" si="927"/>
        <v>78.400000000000006</v>
      </c>
      <c r="K724" s="193">
        <f t="shared" si="928"/>
        <v>588</v>
      </c>
      <c r="L724" s="193"/>
      <c r="M724" s="193"/>
      <c r="N724" s="193"/>
      <c r="O724" s="622">
        <f t="shared" si="929"/>
        <v>588</v>
      </c>
      <c r="P724" s="194">
        <v>78.400000000000006</v>
      </c>
      <c r="Q724" s="622">
        <f t="shared" si="930"/>
        <v>588</v>
      </c>
      <c r="R724" s="745">
        <v>0</v>
      </c>
      <c r="S724" s="746">
        <f t="shared" si="931"/>
        <v>0</v>
      </c>
      <c r="T724" s="194">
        <f t="shared" si="932"/>
        <v>78.400000000000006</v>
      </c>
      <c r="U724" s="630">
        <f t="shared" si="933"/>
        <v>588</v>
      </c>
      <c r="V724" s="194">
        <f>J724-T724</f>
        <v>0</v>
      </c>
      <c r="W724" s="630">
        <f t="shared" si="934"/>
        <v>0</v>
      </c>
    </row>
    <row r="725" spans="1:23" ht="25.5">
      <c r="A725" s="190" t="s">
        <v>831</v>
      </c>
      <c r="B725" s="191">
        <v>150801</v>
      </c>
      <c r="C725" s="657" t="s">
        <v>362</v>
      </c>
      <c r="D725" s="192" t="s">
        <v>51</v>
      </c>
      <c r="E725" s="193">
        <v>12.67</v>
      </c>
      <c r="F725" s="194">
        <v>70</v>
      </c>
      <c r="G725" s="194"/>
      <c r="H725" s="194"/>
      <c r="I725" s="194"/>
      <c r="J725" s="193">
        <f t="shared" si="927"/>
        <v>70</v>
      </c>
      <c r="K725" s="193">
        <f t="shared" si="928"/>
        <v>886.9</v>
      </c>
      <c r="L725" s="193"/>
      <c r="M725" s="193"/>
      <c r="N725" s="193"/>
      <c r="O725" s="622">
        <f t="shared" si="929"/>
        <v>886.9</v>
      </c>
      <c r="P725" s="194">
        <v>70</v>
      </c>
      <c r="Q725" s="622">
        <f t="shared" si="930"/>
        <v>886.9</v>
      </c>
      <c r="R725" s="745">
        <v>0</v>
      </c>
      <c r="S725" s="746">
        <f t="shared" si="931"/>
        <v>0</v>
      </c>
      <c r="T725" s="194">
        <f>R725+P725</f>
        <v>70</v>
      </c>
      <c r="U725" s="630">
        <f t="shared" si="933"/>
        <v>886.9</v>
      </c>
      <c r="V725" s="194">
        <f t="shared" si="935"/>
        <v>0</v>
      </c>
      <c r="W725" s="630">
        <f t="shared" si="934"/>
        <v>0</v>
      </c>
    </row>
    <row r="726" spans="1:23">
      <c r="A726" s="190" t="s">
        <v>832</v>
      </c>
      <c r="B726" s="191">
        <v>180110</v>
      </c>
      <c r="C726" s="657" t="s">
        <v>363</v>
      </c>
      <c r="D726" s="192" t="s">
        <v>59</v>
      </c>
      <c r="E726" s="193">
        <v>106.15</v>
      </c>
      <c r="F726" s="194">
        <v>5</v>
      </c>
      <c r="G726" s="194"/>
      <c r="H726" s="194"/>
      <c r="I726" s="194"/>
      <c r="J726" s="193">
        <f t="shared" si="927"/>
        <v>5</v>
      </c>
      <c r="K726" s="193">
        <f t="shared" si="928"/>
        <v>530.75</v>
      </c>
      <c r="L726" s="193"/>
      <c r="M726" s="193"/>
      <c r="N726" s="193"/>
      <c r="O726" s="622">
        <f t="shared" si="929"/>
        <v>530.75</v>
      </c>
      <c r="P726" s="194">
        <v>5</v>
      </c>
      <c r="Q726" s="622">
        <f t="shared" si="930"/>
        <v>530.75</v>
      </c>
      <c r="R726" s="745">
        <v>0</v>
      </c>
      <c r="S726" s="746">
        <f t="shared" si="931"/>
        <v>0</v>
      </c>
      <c r="T726" s="194">
        <f t="shared" si="932"/>
        <v>5</v>
      </c>
      <c r="U726" s="630">
        <f t="shared" si="933"/>
        <v>530.75</v>
      </c>
      <c r="V726" s="194">
        <f t="shared" si="935"/>
        <v>0</v>
      </c>
      <c r="W726" s="630">
        <f t="shared" si="934"/>
        <v>0</v>
      </c>
    </row>
    <row r="727" spans="1:23">
      <c r="A727" s="190" t="s">
        <v>833</v>
      </c>
      <c r="B727" s="191" t="s">
        <v>367</v>
      </c>
      <c r="C727" s="657" t="s">
        <v>364</v>
      </c>
      <c r="D727" s="192" t="s">
        <v>72</v>
      </c>
      <c r="E727" s="193">
        <v>362.44</v>
      </c>
      <c r="F727" s="194">
        <v>20</v>
      </c>
      <c r="G727" s="194"/>
      <c r="H727" s="194"/>
      <c r="I727" s="194"/>
      <c r="J727" s="193">
        <f t="shared" si="927"/>
        <v>20</v>
      </c>
      <c r="K727" s="193">
        <f t="shared" si="928"/>
        <v>7248.8</v>
      </c>
      <c r="L727" s="193"/>
      <c r="M727" s="193"/>
      <c r="N727" s="193"/>
      <c r="O727" s="622">
        <f t="shared" si="929"/>
        <v>7248.8</v>
      </c>
      <c r="P727" s="194">
        <v>20</v>
      </c>
      <c r="Q727" s="622">
        <f t="shared" si="930"/>
        <v>7248.8</v>
      </c>
      <c r="R727" s="745">
        <v>0</v>
      </c>
      <c r="S727" s="746">
        <f t="shared" si="931"/>
        <v>0</v>
      </c>
      <c r="T727" s="194">
        <f t="shared" si="932"/>
        <v>20</v>
      </c>
      <c r="U727" s="630">
        <f t="shared" si="933"/>
        <v>7248.8</v>
      </c>
      <c r="V727" s="194">
        <f t="shared" si="935"/>
        <v>0</v>
      </c>
      <c r="W727" s="630">
        <f t="shared" si="934"/>
        <v>0</v>
      </c>
    </row>
    <row r="728" spans="1:23" ht="25.5">
      <c r="A728" s="190" t="s">
        <v>834</v>
      </c>
      <c r="B728" s="191" t="s">
        <v>368</v>
      </c>
      <c r="C728" s="657" t="s">
        <v>365</v>
      </c>
      <c r="D728" s="192" t="s">
        <v>72</v>
      </c>
      <c r="E728" s="193">
        <v>4976.67</v>
      </c>
      <c r="F728" s="194">
        <v>2</v>
      </c>
      <c r="G728" s="194"/>
      <c r="H728" s="194"/>
      <c r="I728" s="194"/>
      <c r="J728" s="193">
        <f t="shared" si="927"/>
        <v>2</v>
      </c>
      <c r="K728" s="193">
        <f t="shared" si="928"/>
        <v>9953.34</v>
      </c>
      <c r="L728" s="193"/>
      <c r="M728" s="193"/>
      <c r="N728" s="193"/>
      <c r="O728" s="622">
        <f t="shared" si="929"/>
        <v>9953.34</v>
      </c>
      <c r="P728" s="194">
        <v>2</v>
      </c>
      <c r="Q728" s="622">
        <f t="shared" si="930"/>
        <v>9953.34</v>
      </c>
      <c r="R728" s="745">
        <v>0</v>
      </c>
      <c r="S728" s="746">
        <f t="shared" si="931"/>
        <v>0</v>
      </c>
      <c r="T728" s="194">
        <f t="shared" si="932"/>
        <v>2</v>
      </c>
      <c r="U728" s="630">
        <f t="shared" si="933"/>
        <v>9953.34</v>
      </c>
      <c r="V728" s="194">
        <f t="shared" si="935"/>
        <v>0</v>
      </c>
      <c r="W728" s="630">
        <f t="shared" si="934"/>
        <v>0</v>
      </c>
    </row>
    <row r="729" spans="1:23" ht="25.5">
      <c r="A729" s="190" t="s">
        <v>835</v>
      </c>
      <c r="B729" s="191" t="s">
        <v>369</v>
      </c>
      <c r="C729" s="657" t="s">
        <v>366</v>
      </c>
      <c r="D729" s="192" t="s">
        <v>10</v>
      </c>
      <c r="E729" s="193">
        <v>12903.37</v>
      </c>
      <c r="F729" s="194">
        <v>1</v>
      </c>
      <c r="G729" s="194"/>
      <c r="H729" s="194"/>
      <c r="I729" s="194"/>
      <c r="J729" s="193">
        <f t="shared" si="927"/>
        <v>1</v>
      </c>
      <c r="K729" s="193">
        <f t="shared" si="928"/>
        <v>12903.37</v>
      </c>
      <c r="L729" s="193"/>
      <c r="M729" s="193"/>
      <c r="N729" s="193"/>
      <c r="O729" s="622">
        <f t="shared" si="929"/>
        <v>12903.37</v>
      </c>
      <c r="P729" s="194">
        <v>1</v>
      </c>
      <c r="Q729" s="622">
        <f t="shared" si="930"/>
        <v>12903.37</v>
      </c>
      <c r="R729" s="745">
        <v>0</v>
      </c>
      <c r="S729" s="746">
        <f t="shared" si="931"/>
        <v>0</v>
      </c>
      <c r="T729" s="194">
        <f t="shared" si="932"/>
        <v>1</v>
      </c>
      <c r="U729" s="630">
        <f t="shared" si="933"/>
        <v>12903.37</v>
      </c>
      <c r="V729" s="194">
        <f t="shared" si="935"/>
        <v>0</v>
      </c>
      <c r="W729" s="630">
        <f t="shared" si="934"/>
        <v>0</v>
      </c>
    </row>
    <row r="730" spans="1:23">
      <c r="A730" s="138"/>
      <c r="B730" s="132"/>
      <c r="C730" s="123"/>
      <c r="D730" s="123"/>
      <c r="E730" s="123"/>
      <c r="F730" s="123"/>
      <c r="G730" s="123"/>
      <c r="H730" s="123"/>
      <c r="I730" s="123"/>
      <c r="J730" s="123"/>
      <c r="K730" s="123"/>
      <c r="L730" s="123"/>
      <c r="M730" s="123"/>
      <c r="N730" s="123"/>
      <c r="O730" s="623"/>
      <c r="P730" s="123"/>
      <c r="Q730" s="623"/>
      <c r="R730" s="791"/>
      <c r="S730" s="792"/>
      <c r="T730" s="123"/>
      <c r="U730" s="631"/>
      <c r="V730" s="123"/>
      <c r="W730" s="631"/>
    </row>
    <row r="731" spans="1:23" s="131" customFormat="1">
      <c r="A731" s="137" t="s">
        <v>836</v>
      </c>
      <c r="B731" s="133"/>
      <c r="C731" s="658" t="s">
        <v>371</v>
      </c>
      <c r="D731" s="126"/>
      <c r="E731" s="127"/>
      <c r="F731" s="128"/>
      <c r="G731" s="128"/>
      <c r="H731" s="128"/>
      <c r="I731" s="128"/>
      <c r="J731" s="129"/>
      <c r="K731" s="129">
        <f>SUBTOTAL(9,K732:K735)</f>
        <v>3378.9830000000002</v>
      </c>
      <c r="L731" s="129"/>
      <c r="M731" s="129"/>
      <c r="N731" s="129"/>
      <c r="O731" s="624"/>
      <c r="P731" s="130"/>
      <c r="Q731" s="624">
        <f>SUBTOTAL(9,Q732:Q735)</f>
        <v>3378.98</v>
      </c>
      <c r="R731" s="743"/>
      <c r="S731" s="744">
        <f>SUBTOTAL(9,S732:S735)</f>
        <v>0</v>
      </c>
      <c r="T731" s="129"/>
      <c r="U731" s="624">
        <f>SUBTOTAL(9,U732:U735)</f>
        <v>3378.98</v>
      </c>
      <c r="V731" s="129">
        <f t="shared" si="935"/>
        <v>0</v>
      </c>
      <c r="W731" s="624">
        <f>SUBTOTAL(9,W732:W735)</f>
        <v>0</v>
      </c>
    </row>
    <row r="732" spans="1:23" ht="38.25">
      <c r="A732" s="190" t="s">
        <v>837</v>
      </c>
      <c r="B732" s="191">
        <v>150610</v>
      </c>
      <c r="C732" s="657" t="s">
        <v>376</v>
      </c>
      <c r="D732" s="192" t="s">
        <v>59</v>
      </c>
      <c r="E732" s="193">
        <v>188.46</v>
      </c>
      <c r="F732" s="194">
        <v>4</v>
      </c>
      <c r="G732" s="194"/>
      <c r="H732" s="194"/>
      <c r="I732" s="194"/>
      <c r="J732" s="193">
        <f t="shared" ref="J732:J735" si="936">F732+H732-I732</f>
        <v>4</v>
      </c>
      <c r="K732" s="193">
        <f t="shared" ref="K732:K735" si="937">J732*E732</f>
        <v>753.84</v>
      </c>
      <c r="L732" s="193"/>
      <c r="M732" s="193"/>
      <c r="N732" s="193"/>
      <c r="O732" s="622">
        <f t="shared" ref="O732:O735" si="938">J732*E732</f>
        <v>753.84</v>
      </c>
      <c r="P732" s="194">
        <v>4</v>
      </c>
      <c r="Q732" s="622">
        <f t="shared" ref="Q732" si="939">TRUNC(P732*E732,2)</f>
        <v>753.84</v>
      </c>
      <c r="R732" s="745">
        <v>0</v>
      </c>
      <c r="S732" s="746">
        <f t="shared" ref="S732" si="940">U732-Q732</f>
        <v>0</v>
      </c>
      <c r="T732" s="194">
        <f t="shared" ref="T732" si="941">R732+P732</f>
        <v>4</v>
      </c>
      <c r="U732" s="630">
        <f t="shared" ref="U732" si="942">TRUNC(T732*E732,2)</f>
        <v>753.84</v>
      </c>
      <c r="V732" s="194">
        <f t="shared" si="935"/>
        <v>0</v>
      </c>
      <c r="W732" s="630">
        <f t="shared" ref="W732:W735" si="943">V732*E732</f>
        <v>0</v>
      </c>
    </row>
    <row r="733" spans="1:23" ht="38.25">
      <c r="A733" s="190" t="s">
        <v>838</v>
      </c>
      <c r="B733" s="191">
        <v>160324</v>
      </c>
      <c r="C733" s="657" t="s">
        <v>546</v>
      </c>
      <c r="D733" s="192" t="s">
        <v>59</v>
      </c>
      <c r="E733" s="193">
        <v>199.91</v>
      </c>
      <c r="F733" s="194">
        <v>1</v>
      </c>
      <c r="G733" s="194"/>
      <c r="H733" s="194"/>
      <c r="I733" s="194"/>
      <c r="J733" s="193">
        <f t="shared" si="936"/>
        <v>1</v>
      </c>
      <c r="K733" s="193">
        <f t="shared" si="937"/>
        <v>199.91</v>
      </c>
      <c r="L733" s="193"/>
      <c r="M733" s="193"/>
      <c r="N733" s="193"/>
      <c r="O733" s="622">
        <f t="shared" si="938"/>
        <v>199.91</v>
      </c>
      <c r="P733" s="194">
        <v>1</v>
      </c>
      <c r="Q733" s="622">
        <f>TRUNC(P733*E733,2)</f>
        <v>199.91</v>
      </c>
      <c r="R733" s="745">
        <v>0</v>
      </c>
      <c r="S733" s="746">
        <f>U733-Q733</f>
        <v>0</v>
      </c>
      <c r="T733" s="194">
        <f>R733+P733</f>
        <v>1</v>
      </c>
      <c r="U733" s="630">
        <f>TRUNC(T733*E733,2)</f>
        <v>199.91</v>
      </c>
      <c r="V733" s="194">
        <f t="shared" si="935"/>
        <v>0</v>
      </c>
      <c r="W733" s="630">
        <f t="shared" si="943"/>
        <v>0</v>
      </c>
    </row>
    <row r="734" spans="1:23" ht="25.5">
      <c r="A734" s="190" t="s">
        <v>839</v>
      </c>
      <c r="B734" s="191">
        <v>160317</v>
      </c>
      <c r="C734" s="657" t="s">
        <v>377</v>
      </c>
      <c r="D734" s="192" t="s">
        <v>51</v>
      </c>
      <c r="E734" s="193">
        <v>33.369999999999997</v>
      </c>
      <c r="F734" s="194">
        <v>70.900000000000006</v>
      </c>
      <c r="G734" s="194"/>
      <c r="H734" s="194"/>
      <c r="I734" s="194"/>
      <c r="J734" s="193">
        <f t="shared" si="936"/>
        <v>70.900000000000006</v>
      </c>
      <c r="K734" s="193">
        <f t="shared" si="937"/>
        <v>2365.933</v>
      </c>
      <c r="L734" s="193"/>
      <c r="M734" s="193"/>
      <c r="N734" s="193"/>
      <c r="O734" s="622">
        <f t="shared" si="938"/>
        <v>2365.933</v>
      </c>
      <c r="P734" s="194">
        <v>70.900000000000006</v>
      </c>
      <c r="Q734" s="622">
        <f t="shared" ref="Q734:Q735" si="944">TRUNC(P734*E734,2)</f>
        <v>2365.9299999999998</v>
      </c>
      <c r="R734" s="745">
        <v>0</v>
      </c>
      <c r="S734" s="746">
        <f t="shared" ref="S734:S735" si="945">U734-Q734</f>
        <v>0</v>
      </c>
      <c r="T734" s="194">
        <f t="shared" ref="T734:T735" si="946">R734+P734</f>
        <v>70.900000000000006</v>
      </c>
      <c r="U734" s="630">
        <f t="shared" ref="U734:U735" si="947">TRUNC(T734*E734,2)</f>
        <v>2365.9299999999998</v>
      </c>
      <c r="V734" s="194">
        <f t="shared" si="935"/>
        <v>0</v>
      </c>
      <c r="W734" s="630">
        <f t="shared" si="943"/>
        <v>0</v>
      </c>
    </row>
    <row r="735" spans="1:23" ht="25.5">
      <c r="A735" s="190" t="s">
        <v>840</v>
      </c>
      <c r="B735" s="191">
        <v>160334</v>
      </c>
      <c r="C735" s="657" t="s">
        <v>378</v>
      </c>
      <c r="D735" s="192" t="s">
        <v>59</v>
      </c>
      <c r="E735" s="193">
        <v>29.65</v>
      </c>
      <c r="F735" s="194">
        <v>2</v>
      </c>
      <c r="G735" s="194"/>
      <c r="H735" s="194"/>
      <c r="I735" s="194"/>
      <c r="J735" s="193">
        <f t="shared" si="936"/>
        <v>2</v>
      </c>
      <c r="K735" s="193">
        <f t="shared" si="937"/>
        <v>59.3</v>
      </c>
      <c r="L735" s="193"/>
      <c r="M735" s="193"/>
      <c r="N735" s="193"/>
      <c r="O735" s="622">
        <f t="shared" si="938"/>
        <v>59.3</v>
      </c>
      <c r="P735" s="194">
        <v>2</v>
      </c>
      <c r="Q735" s="622">
        <f t="shared" si="944"/>
        <v>59.3</v>
      </c>
      <c r="R735" s="745">
        <v>0</v>
      </c>
      <c r="S735" s="746">
        <f t="shared" si="945"/>
        <v>0</v>
      </c>
      <c r="T735" s="194">
        <f t="shared" si="946"/>
        <v>2</v>
      </c>
      <c r="U735" s="630">
        <f t="shared" si="947"/>
        <v>59.3</v>
      </c>
      <c r="V735" s="194">
        <f t="shared" si="935"/>
        <v>0</v>
      </c>
      <c r="W735" s="630">
        <f t="shared" si="943"/>
        <v>0</v>
      </c>
    </row>
    <row r="736" spans="1:23">
      <c r="A736" s="138"/>
      <c r="B736" s="132"/>
      <c r="C736" s="123"/>
      <c r="D736" s="123"/>
      <c r="E736" s="123"/>
      <c r="F736" s="123"/>
      <c r="G736" s="123"/>
      <c r="H736" s="123"/>
      <c r="I736" s="123"/>
      <c r="J736" s="123"/>
      <c r="K736" s="123"/>
      <c r="L736" s="123"/>
      <c r="M736" s="123"/>
      <c r="N736" s="123"/>
      <c r="O736" s="623"/>
      <c r="P736" s="123"/>
      <c r="Q736" s="623"/>
      <c r="R736" s="791"/>
      <c r="S736" s="792"/>
      <c r="T736" s="123"/>
      <c r="U736" s="631"/>
      <c r="V736" s="123"/>
      <c r="W736" s="631"/>
    </row>
    <row r="737" spans="1:23" s="213" customFormat="1">
      <c r="A737" s="210" t="s">
        <v>841</v>
      </c>
      <c r="B737" s="211"/>
      <c r="C737" s="655" t="s">
        <v>380</v>
      </c>
      <c r="D737" s="197"/>
      <c r="E737" s="198"/>
      <c r="F737" s="199"/>
      <c r="G737" s="199"/>
      <c r="H737" s="199"/>
      <c r="I737" s="199"/>
      <c r="J737" s="200"/>
      <c r="K737" s="200">
        <f>SUBTOTAL(9,K738:K743)</f>
        <v>2437.2840000000001</v>
      </c>
      <c r="L737" s="200"/>
      <c r="M737" s="200"/>
      <c r="N737" s="200"/>
      <c r="O737" s="620"/>
      <c r="P737" s="201"/>
      <c r="Q737" s="620">
        <f>SUBTOTAL(9,Q738:Q743)</f>
        <v>2437.2800000000002</v>
      </c>
      <c r="R737" s="743"/>
      <c r="S737" s="744">
        <f>SUBTOTAL(9,S738:S743)</f>
        <v>0</v>
      </c>
      <c r="T737" s="200"/>
      <c r="U737" s="620">
        <f>SUBTOTAL(9,U738:U743)</f>
        <v>2437.2800000000002</v>
      </c>
      <c r="V737" s="200">
        <f t="shared" si="935"/>
        <v>0</v>
      </c>
      <c r="W737" s="620">
        <f>SUBTOTAL(9,W738:W743)</f>
        <v>0</v>
      </c>
    </row>
    <row r="738" spans="1:23" s="131" customFormat="1">
      <c r="A738" s="137" t="s">
        <v>842</v>
      </c>
      <c r="B738" s="133"/>
      <c r="C738" s="658" t="s">
        <v>380</v>
      </c>
      <c r="D738" s="126"/>
      <c r="E738" s="127"/>
      <c r="F738" s="128"/>
      <c r="G738" s="128"/>
      <c r="H738" s="128"/>
      <c r="I738" s="128"/>
      <c r="J738" s="129"/>
      <c r="K738" s="129">
        <f>SUBTOTAL(9,K739:K743)</f>
        <v>2437.2840000000001</v>
      </c>
      <c r="L738" s="129"/>
      <c r="M738" s="129"/>
      <c r="N738" s="129"/>
      <c r="O738" s="624"/>
      <c r="P738" s="130"/>
      <c r="Q738" s="624">
        <f>SUBTOTAL(9,Q739:Q743)</f>
        <v>2437.2800000000002</v>
      </c>
      <c r="R738" s="743"/>
      <c r="S738" s="744">
        <f>SUBTOTAL(9,S739:S743)</f>
        <v>0</v>
      </c>
      <c r="T738" s="129"/>
      <c r="U738" s="624">
        <f>SUBTOTAL(9,U739:U743)</f>
        <v>2437.2800000000002</v>
      </c>
      <c r="V738" s="129">
        <f t="shared" si="935"/>
        <v>0</v>
      </c>
      <c r="W738" s="624">
        <f>SUBTOTAL(9,W739:W743)</f>
        <v>0</v>
      </c>
    </row>
    <row r="739" spans="1:23" ht="25.5">
      <c r="A739" s="190" t="s">
        <v>843</v>
      </c>
      <c r="B739" s="191">
        <v>160612</v>
      </c>
      <c r="C739" s="657" t="s">
        <v>387</v>
      </c>
      <c r="D739" s="192" t="s">
        <v>59</v>
      </c>
      <c r="E739" s="193">
        <v>29.96</v>
      </c>
      <c r="F739" s="194">
        <v>2</v>
      </c>
      <c r="G739" s="194"/>
      <c r="H739" s="194"/>
      <c r="I739" s="194"/>
      <c r="J739" s="193">
        <f t="shared" ref="J739:J743" si="948">F739+H739-I739</f>
        <v>2</v>
      </c>
      <c r="K739" s="193">
        <f t="shared" ref="K739:K743" si="949">J739*E739</f>
        <v>59.92</v>
      </c>
      <c r="L739" s="193"/>
      <c r="M739" s="193"/>
      <c r="N739" s="193"/>
      <c r="O739" s="622">
        <f t="shared" ref="O739:O743" si="950">J739*E739</f>
        <v>59.92</v>
      </c>
      <c r="P739" s="194">
        <v>2</v>
      </c>
      <c r="Q739" s="622">
        <f t="shared" ref="Q739" si="951">TRUNC(P739*E739,2)</f>
        <v>59.92</v>
      </c>
      <c r="R739" s="745">
        <v>0</v>
      </c>
      <c r="S739" s="746">
        <f t="shared" ref="S739" si="952">U739-Q739</f>
        <v>0</v>
      </c>
      <c r="T739" s="194">
        <f t="shared" ref="T739" si="953">R739+P739</f>
        <v>2</v>
      </c>
      <c r="U739" s="630">
        <f t="shared" ref="U739" si="954">TRUNC(T739*E739,2)</f>
        <v>59.92</v>
      </c>
      <c r="V739" s="194">
        <f t="shared" si="935"/>
        <v>0</v>
      </c>
      <c r="W739" s="630">
        <f t="shared" ref="W739:W743" si="955">V739*E739</f>
        <v>0</v>
      </c>
    </row>
    <row r="740" spans="1:23" ht="38.25">
      <c r="A740" s="190" t="s">
        <v>844</v>
      </c>
      <c r="B740" s="191">
        <v>160608</v>
      </c>
      <c r="C740" s="657" t="s">
        <v>545</v>
      </c>
      <c r="D740" s="192" t="s">
        <v>59</v>
      </c>
      <c r="E740" s="193">
        <v>320.60000000000002</v>
      </c>
      <c r="F740" s="194">
        <v>3</v>
      </c>
      <c r="G740" s="194"/>
      <c r="H740" s="194"/>
      <c r="I740" s="194"/>
      <c r="J740" s="193">
        <f t="shared" si="948"/>
        <v>3</v>
      </c>
      <c r="K740" s="193">
        <f t="shared" si="949"/>
        <v>961.80000000000007</v>
      </c>
      <c r="L740" s="193"/>
      <c r="M740" s="193"/>
      <c r="N740" s="193"/>
      <c r="O740" s="622">
        <f t="shared" si="950"/>
        <v>961.80000000000007</v>
      </c>
      <c r="P740" s="194">
        <v>3</v>
      </c>
      <c r="Q740" s="622">
        <f>TRUNC(P740*E740,2)</f>
        <v>961.8</v>
      </c>
      <c r="R740" s="745">
        <v>0</v>
      </c>
      <c r="S740" s="746">
        <f>U740-Q740</f>
        <v>0</v>
      </c>
      <c r="T740" s="194">
        <f>R740+P740</f>
        <v>3</v>
      </c>
      <c r="U740" s="630">
        <f>TRUNC(T740*E740,2)</f>
        <v>961.8</v>
      </c>
      <c r="V740" s="194">
        <f t="shared" si="935"/>
        <v>0</v>
      </c>
      <c r="W740" s="630">
        <f t="shared" si="955"/>
        <v>0</v>
      </c>
    </row>
    <row r="741" spans="1:23" ht="25.5">
      <c r="A741" s="190" t="s">
        <v>845</v>
      </c>
      <c r="B741" s="191">
        <v>160613</v>
      </c>
      <c r="C741" s="657" t="s">
        <v>389</v>
      </c>
      <c r="D741" s="192" t="s">
        <v>59</v>
      </c>
      <c r="E741" s="193">
        <v>197.45</v>
      </c>
      <c r="F741" s="194">
        <v>4</v>
      </c>
      <c r="G741" s="194"/>
      <c r="H741" s="194"/>
      <c r="I741" s="194"/>
      <c r="J741" s="193">
        <f t="shared" si="948"/>
        <v>4</v>
      </c>
      <c r="K741" s="193">
        <f t="shared" si="949"/>
        <v>789.8</v>
      </c>
      <c r="L741" s="193"/>
      <c r="M741" s="193"/>
      <c r="N741" s="193"/>
      <c r="O741" s="622">
        <f t="shared" si="950"/>
        <v>789.8</v>
      </c>
      <c r="P741" s="194">
        <v>4</v>
      </c>
      <c r="Q741" s="622">
        <f t="shared" ref="Q741:Q743" si="956">TRUNC(P741*E741,2)</f>
        <v>789.8</v>
      </c>
      <c r="R741" s="745">
        <v>0</v>
      </c>
      <c r="S741" s="746">
        <f t="shared" ref="S741:S743" si="957">U741-Q741</f>
        <v>0</v>
      </c>
      <c r="T741" s="194">
        <f t="shared" ref="T741:T743" si="958">R741+P741</f>
        <v>4</v>
      </c>
      <c r="U741" s="630">
        <f t="shared" ref="U741:U743" si="959">TRUNC(T741*E741,2)</f>
        <v>789.8</v>
      </c>
      <c r="V741" s="194">
        <f t="shared" si="935"/>
        <v>0</v>
      </c>
      <c r="W741" s="630">
        <f t="shared" si="955"/>
        <v>0</v>
      </c>
    </row>
    <row r="742" spans="1:23" ht="38.25">
      <c r="A742" s="190" t="s">
        <v>846</v>
      </c>
      <c r="B742" s="191">
        <v>160607</v>
      </c>
      <c r="C742" s="657" t="s">
        <v>390</v>
      </c>
      <c r="D742" s="192" t="s">
        <v>59</v>
      </c>
      <c r="E742" s="193">
        <v>178.48</v>
      </c>
      <c r="F742" s="194">
        <v>3</v>
      </c>
      <c r="G742" s="194"/>
      <c r="H742" s="194"/>
      <c r="I742" s="194"/>
      <c r="J742" s="193">
        <f t="shared" si="948"/>
        <v>3</v>
      </c>
      <c r="K742" s="193">
        <f t="shared" si="949"/>
        <v>535.43999999999994</v>
      </c>
      <c r="L742" s="193"/>
      <c r="M742" s="193"/>
      <c r="N742" s="193"/>
      <c r="O742" s="622">
        <f t="shared" si="950"/>
        <v>535.43999999999994</v>
      </c>
      <c r="P742" s="194">
        <v>3</v>
      </c>
      <c r="Q742" s="622">
        <f t="shared" si="956"/>
        <v>535.44000000000005</v>
      </c>
      <c r="R742" s="745">
        <v>0</v>
      </c>
      <c r="S742" s="746">
        <f t="shared" si="957"/>
        <v>0</v>
      </c>
      <c r="T742" s="194">
        <f t="shared" si="958"/>
        <v>3</v>
      </c>
      <c r="U742" s="630">
        <f t="shared" si="959"/>
        <v>535.44000000000005</v>
      </c>
      <c r="V742" s="194">
        <f t="shared" si="935"/>
        <v>0</v>
      </c>
      <c r="W742" s="630">
        <f t="shared" si="955"/>
        <v>0</v>
      </c>
    </row>
    <row r="743" spans="1:23" ht="55.5" customHeight="1">
      <c r="A743" s="190" t="s">
        <v>847</v>
      </c>
      <c r="B743" s="191">
        <v>190605</v>
      </c>
      <c r="C743" s="657" t="s">
        <v>544</v>
      </c>
      <c r="D743" s="192" t="s">
        <v>57</v>
      </c>
      <c r="E743" s="193">
        <v>50.18</v>
      </c>
      <c r="F743" s="194">
        <v>1.8</v>
      </c>
      <c r="G743" s="194"/>
      <c r="H743" s="194"/>
      <c r="I743" s="194"/>
      <c r="J743" s="193">
        <f t="shared" si="948"/>
        <v>1.8</v>
      </c>
      <c r="K743" s="193">
        <f t="shared" si="949"/>
        <v>90.323999999999998</v>
      </c>
      <c r="L743" s="193"/>
      <c r="M743" s="193"/>
      <c r="N743" s="193"/>
      <c r="O743" s="622">
        <f t="shared" si="950"/>
        <v>90.323999999999998</v>
      </c>
      <c r="P743" s="194">
        <v>1.8</v>
      </c>
      <c r="Q743" s="622">
        <f t="shared" si="956"/>
        <v>90.32</v>
      </c>
      <c r="R743" s="745">
        <v>0</v>
      </c>
      <c r="S743" s="746">
        <f t="shared" si="957"/>
        <v>0</v>
      </c>
      <c r="T743" s="194">
        <f t="shared" si="958"/>
        <v>1.8</v>
      </c>
      <c r="U743" s="630">
        <f t="shared" si="959"/>
        <v>90.32</v>
      </c>
      <c r="V743" s="194">
        <f t="shared" si="935"/>
        <v>0</v>
      </c>
      <c r="W743" s="630">
        <f t="shared" si="955"/>
        <v>0</v>
      </c>
    </row>
    <row r="744" spans="1:23">
      <c r="A744" s="138"/>
      <c r="B744" s="132"/>
      <c r="C744" s="123"/>
      <c r="D744" s="123"/>
      <c r="E744" s="123"/>
      <c r="F744" s="123"/>
      <c r="G744" s="123"/>
      <c r="H744" s="123"/>
      <c r="I744" s="123"/>
      <c r="J744" s="123"/>
      <c r="K744" s="123"/>
      <c r="L744" s="123"/>
      <c r="M744" s="123"/>
      <c r="N744" s="123"/>
      <c r="O744" s="623"/>
      <c r="P744" s="123"/>
      <c r="Q744" s="623"/>
      <c r="R744" s="791"/>
      <c r="S744" s="792"/>
      <c r="T744" s="123"/>
      <c r="U744" s="631"/>
      <c r="V744" s="123"/>
      <c r="W744" s="631"/>
    </row>
    <row r="745" spans="1:23" ht="27.75" customHeight="1">
      <c r="A745" s="139"/>
      <c r="B745" s="168"/>
      <c r="C745" s="661" t="s">
        <v>32</v>
      </c>
      <c r="D745" s="6"/>
      <c r="E745" s="7"/>
      <c r="F745" s="170"/>
      <c r="G745" s="170"/>
      <c r="H745" s="170"/>
      <c r="I745" s="170"/>
      <c r="J745" s="8"/>
      <c r="K745" s="8">
        <v>5997821.9000000004</v>
      </c>
      <c r="L745" s="8">
        <f>SUBTOTAL(9,L15:L744)</f>
        <v>1393237.7009786726</v>
      </c>
      <c r="M745" s="8"/>
      <c r="N745" s="8">
        <f>SUBTOTAL(9,N15:N744)</f>
        <v>512054.09500000003</v>
      </c>
      <c r="O745" s="627">
        <v>6879005.5099999998</v>
      </c>
      <c r="P745" s="46"/>
      <c r="Q745" s="627">
        <f>SUBTOTAL(9,Q15:Q744)</f>
        <v>5551362.8319999995</v>
      </c>
      <c r="R745" s="796"/>
      <c r="S745" s="627">
        <f>SUBTOTAL(9,S15:S744)+0.02</f>
        <v>1718560.8140054403</v>
      </c>
      <c r="T745" s="9"/>
      <c r="U745" s="627">
        <f>Q745+S745</f>
        <v>7269923.6460054396</v>
      </c>
      <c r="V745" s="627"/>
      <c r="W745" s="627">
        <f>SUBTOTAL(9,W15:W744)</f>
        <v>829797.05865000025</v>
      </c>
    </row>
    <row r="746" spans="1:23">
      <c r="A746" s="662"/>
      <c r="B746" s="663"/>
      <c r="C746" s="664"/>
      <c r="D746" s="173"/>
      <c r="E746" s="665"/>
      <c r="F746" s="665"/>
      <c r="G746" s="665"/>
      <c r="H746" s="665"/>
      <c r="I746" s="666"/>
      <c r="J746" s="665"/>
      <c r="K746" s="665"/>
      <c r="L746" s="665"/>
      <c r="M746" s="665"/>
      <c r="N746" s="665"/>
      <c r="O746" s="667"/>
      <c r="P746" s="668"/>
      <c r="Q746" s="667"/>
      <c r="R746" s="797"/>
      <c r="S746" s="798"/>
      <c r="T746" s="665"/>
      <c r="U746" s="667"/>
      <c r="V746" s="665"/>
      <c r="W746" s="667"/>
    </row>
    <row r="747" spans="1:23">
      <c r="R747" s="789"/>
      <c r="S747" s="799"/>
    </row>
    <row r="748" spans="1:23">
      <c r="A748" s="942" t="s">
        <v>904</v>
      </c>
      <c r="B748" s="942"/>
      <c r="C748" s="942"/>
      <c r="D748" s="282" t="s">
        <v>1492</v>
      </c>
      <c r="E748" s="282" t="s">
        <v>1474</v>
      </c>
      <c r="F748" s="282" t="s">
        <v>1477</v>
      </c>
      <c r="G748" s="775"/>
      <c r="R748" s="800"/>
      <c r="S748" s="800"/>
    </row>
    <row r="749" spans="1:23">
      <c r="A749" s="939" t="s">
        <v>1369</v>
      </c>
      <c r="B749" s="939"/>
      <c r="C749" s="939" t="s">
        <v>1303</v>
      </c>
      <c r="D749" s="262">
        <f>S15</f>
        <v>1051342.6572054401</v>
      </c>
      <c r="E749" s="285">
        <f>D749*35.479%</f>
        <v>373005.86134991806</v>
      </c>
      <c r="F749" s="756">
        <v>0</v>
      </c>
      <c r="G749" s="776"/>
      <c r="J749" s="645"/>
      <c r="K749" s="645"/>
      <c r="R749" s="800"/>
      <c r="S749" s="800"/>
    </row>
    <row r="750" spans="1:23">
      <c r="A750" s="939" t="s">
        <v>1370</v>
      </c>
      <c r="B750" s="939"/>
      <c r="C750" s="939"/>
      <c r="D750" s="262">
        <f>S567</f>
        <v>224079.16</v>
      </c>
      <c r="E750" s="285">
        <f>D750*35.479%</f>
        <v>79501.045176400003</v>
      </c>
      <c r="F750" s="756">
        <f>SUM(D750:E750)+SUM(D749:E749)+0.005</f>
        <v>1727928.728731758</v>
      </c>
      <c r="G750" s="776"/>
      <c r="J750" s="755"/>
      <c r="K750" s="645"/>
      <c r="R750" s="800"/>
      <c r="S750" s="800"/>
    </row>
    <row r="751" spans="1:23">
      <c r="A751" s="939" t="s">
        <v>905</v>
      </c>
      <c r="B751" s="939"/>
      <c r="C751" s="939"/>
      <c r="D751" s="262">
        <f>S221</f>
        <v>112232.04179999999</v>
      </c>
      <c r="E751" s="285">
        <f>D751*35.479%</f>
        <v>39818.806110221994</v>
      </c>
      <c r="F751" s="756">
        <f t="shared" ref="F751:F753" si="960">SUM(D751:E751)</f>
        <v>152050.84791022199</v>
      </c>
      <c r="G751" s="776"/>
      <c r="J751" s="645"/>
      <c r="K751" s="645"/>
      <c r="R751" s="800"/>
      <c r="S751" s="800"/>
    </row>
    <row r="752" spans="1:23">
      <c r="A752" s="939" t="s">
        <v>906</v>
      </c>
      <c r="B752" s="939"/>
      <c r="C752" s="939"/>
      <c r="D752" s="262">
        <f>S50+S399</f>
        <v>330906.94500000001</v>
      </c>
      <c r="E752" s="285">
        <f t="shared" ref="E752" si="961">D752*35.479%</f>
        <v>117402.47501655</v>
      </c>
      <c r="F752" s="756">
        <f>SUM(D752:E752)+0.005</f>
        <v>448309.42501655</v>
      </c>
      <c r="G752" s="776"/>
      <c r="J752" s="645"/>
      <c r="K752" s="645"/>
      <c r="P752" s="673"/>
      <c r="R752" s="800"/>
      <c r="S752" s="800"/>
    </row>
    <row r="753" spans="1:22">
      <c r="A753" s="954" t="s">
        <v>908</v>
      </c>
      <c r="B753" s="954"/>
      <c r="C753" s="954"/>
      <c r="D753" s="749">
        <f>SUM(D749:D752)+0.005</f>
        <v>1718560.80900544</v>
      </c>
      <c r="E753" s="749">
        <f>SUM(E749:E752)+0.01</f>
        <v>609728.19765309012</v>
      </c>
      <c r="F753" s="754">
        <f t="shared" si="960"/>
        <v>2328289.0066585299</v>
      </c>
      <c r="G753" s="776"/>
      <c r="J753" s="645"/>
      <c r="K753" s="672"/>
      <c r="P753" s="673"/>
      <c r="R753" s="800"/>
      <c r="S753" s="800"/>
    </row>
    <row r="754" spans="1:22">
      <c r="A754" s="670"/>
      <c r="E754" s="645"/>
      <c r="F754" s="645"/>
      <c r="G754" s="645"/>
      <c r="J754" s="726"/>
      <c r="K754" s="726"/>
      <c r="L754" s="672"/>
      <c r="M754" s="672"/>
      <c r="N754" s="672"/>
      <c r="Q754" s="747"/>
      <c r="R754" s="800"/>
      <c r="S754" s="800"/>
    </row>
    <row r="755" spans="1:22">
      <c r="J755" s="672"/>
      <c r="K755" s="672"/>
      <c r="L755" s="672"/>
      <c r="M755" s="672"/>
      <c r="N755" s="672"/>
      <c r="R755" s="800"/>
      <c r="S755" s="800"/>
      <c r="V755" s="672"/>
    </row>
    <row r="756" spans="1:22">
      <c r="R756" s="800"/>
      <c r="S756" s="800"/>
    </row>
    <row r="757" spans="1:22">
      <c r="R757" s="800"/>
      <c r="S757" s="800"/>
    </row>
    <row r="758" spans="1:22" ht="54" customHeight="1">
      <c r="A758" s="921" t="s">
        <v>1024</v>
      </c>
      <c r="B758" s="922"/>
      <c r="C758" s="923"/>
      <c r="D758" s="282" t="s">
        <v>1022</v>
      </c>
      <c r="E758" s="282" t="s">
        <v>1427</v>
      </c>
      <c r="F758" s="282" t="s">
        <v>1254</v>
      </c>
      <c r="G758" s="282"/>
      <c r="H758" s="282" t="s">
        <v>1255</v>
      </c>
      <c r="I758" s="286" t="s">
        <v>1256</v>
      </c>
      <c r="J758" s="282" t="s">
        <v>1532</v>
      </c>
      <c r="K758" s="286" t="s">
        <v>36</v>
      </c>
      <c r="L758" s="287" t="s">
        <v>1023</v>
      </c>
      <c r="M758" s="777"/>
      <c r="N758" s="590"/>
      <c r="O758" s="638"/>
      <c r="R758" s="800"/>
      <c r="S758" s="800"/>
    </row>
    <row r="759" spans="1:22">
      <c r="A759" s="936" t="s">
        <v>1369</v>
      </c>
      <c r="B759" s="937"/>
      <c r="C759" s="938"/>
      <c r="D759" s="283">
        <v>196427.87</v>
      </c>
      <c r="E759" s="283">
        <v>100052.95</v>
      </c>
      <c r="F759" s="283">
        <v>0</v>
      </c>
      <c r="G759" s="283"/>
      <c r="H759" s="283">
        <f>D759+E759-F759</f>
        <v>296480.82</v>
      </c>
      <c r="I759" s="262">
        <f>Q15</f>
        <v>237371.88999999998</v>
      </c>
      <c r="J759" s="262">
        <f>S15</f>
        <v>1051342.6572054401</v>
      </c>
      <c r="K759" s="675">
        <f>I759+J759</f>
        <v>1288714.54720544</v>
      </c>
      <c r="L759" s="288">
        <f>K759/H759</f>
        <v>4.3467046104548688</v>
      </c>
      <c r="M759" s="778"/>
      <c r="N759" s="674"/>
      <c r="O759" s="676"/>
      <c r="R759" s="800"/>
      <c r="S759" s="800"/>
    </row>
    <row r="760" spans="1:22">
      <c r="A760" s="936" t="s">
        <v>1370</v>
      </c>
      <c r="B760" s="937"/>
      <c r="C760" s="938"/>
      <c r="D760" s="283">
        <v>1520449.28</v>
      </c>
      <c r="E760" s="283">
        <v>871581.78</v>
      </c>
      <c r="F760" s="283">
        <v>0</v>
      </c>
      <c r="G760" s="283"/>
      <c r="H760" s="283">
        <f>D760+E760-F760</f>
        <v>2392031.06</v>
      </c>
      <c r="I760" s="262">
        <f>Q567</f>
        <v>1573891.3699999999</v>
      </c>
      <c r="J760" s="262">
        <f>D750</f>
        <v>224079.16</v>
      </c>
      <c r="K760" s="675">
        <f>I760+J760</f>
        <v>1797970.5299999998</v>
      </c>
      <c r="L760" s="288">
        <f>K760/H760</f>
        <v>0.75165016042893684</v>
      </c>
      <c r="M760" s="778"/>
      <c r="N760" s="674"/>
      <c r="O760" s="676"/>
      <c r="R760" s="800"/>
      <c r="S760" s="800"/>
    </row>
    <row r="761" spans="1:22">
      <c r="A761" s="936" t="s">
        <v>905</v>
      </c>
      <c r="B761" s="937"/>
      <c r="C761" s="938"/>
      <c r="D761" s="283">
        <v>1365196.33</v>
      </c>
      <c r="E761" s="283">
        <v>477771.71</v>
      </c>
      <c r="F761" s="283">
        <v>185794.28</v>
      </c>
      <c r="G761" s="283"/>
      <c r="H761" s="283">
        <f t="shared" ref="H761:H762" si="962">D761+E761-F761</f>
        <v>1657173.76</v>
      </c>
      <c r="I761" s="285">
        <f>Q221</f>
        <v>1647987.9920000003</v>
      </c>
      <c r="J761" s="675">
        <f>D751</f>
        <v>112232.04179999999</v>
      </c>
      <c r="K761" s="675">
        <f>I761+J761</f>
        <v>1760220.0338000003</v>
      </c>
      <c r="L761" s="288">
        <f>K761/H761</f>
        <v>1.0621819366727121</v>
      </c>
      <c r="M761" s="778"/>
      <c r="N761" s="674"/>
      <c r="O761" s="676"/>
      <c r="R761" s="800"/>
      <c r="S761" s="800"/>
    </row>
    <row r="762" spans="1:22">
      <c r="A762" s="936" t="s">
        <v>906</v>
      </c>
      <c r="B762" s="937"/>
      <c r="C762" s="938"/>
      <c r="D762" s="283">
        <v>2915748.42</v>
      </c>
      <c r="E762" s="283">
        <v>43884.06</v>
      </c>
      <c r="F762" s="283">
        <v>326259.8</v>
      </c>
      <c r="G762" s="283"/>
      <c r="H762" s="283">
        <f t="shared" si="962"/>
        <v>2633372.6800000002</v>
      </c>
      <c r="I762" s="285">
        <f>Q50+Q399</f>
        <v>2092111.5800000005</v>
      </c>
      <c r="J762" s="675">
        <f>D752</f>
        <v>330906.94500000001</v>
      </c>
      <c r="K762" s="675">
        <f>I762+J762</f>
        <v>2423018.5250000004</v>
      </c>
      <c r="L762" s="288">
        <f>K762/H762</f>
        <v>0.92011986886717467</v>
      </c>
      <c r="M762" s="778"/>
      <c r="N762" s="674"/>
      <c r="O762" s="676"/>
      <c r="R762" s="800"/>
      <c r="S762" s="800"/>
    </row>
    <row r="763" spans="1:22">
      <c r="A763" s="936" t="s">
        <v>981</v>
      </c>
      <c r="B763" s="937"/>
      <c r="C763" s="938" t="s">
        <v>981</v>
      </c>
      <c r="D763" s="285">
        <f t="shared" ref="D763:K763" si="963">SUM(D759:D762)</f>
        <v>5997821.9000000004</v>
      </c>
      <c r="E763" s="285">
        <f t="shared" si="963"/>
        <v>1493290.5</v>
      </c>
      <c r="F763" s="285">
        <f t="shared" si="963"/>
        <v>512054.07999999996</v>
      </c>
      <c r="G763" s="285"/>
      <c r="H763" s="285">
        <f t="shared" si="963"/>
        <v>6979058.3200000003</v>
      </c>
      <c r="I763" s="285">
        <f t="shared" si="963"/>
        <v>5551362.8320000004</v>
      </c>
      <c r="J763" s="285">
        <f t="shared" si="963"/>
        <v>1718560.8040054401</v>
      </c>
      <c r="K763" s="285">
        <f t="shared" si="963"/>
        <v>7269923.6360054407</v>
      </c>
      <c r="L763" s="288">
        <f>K763/H763</f>
        <v>1.0416768713870614</v>
      </c>
      <c r="M763" s="778"/>
      <c r="N763" s="591"/>
      <c r="O763" s="639"/>
      <c r="R763" s="800"/>
      <c r="S763" s="800"/>
    </row>
    <row r="764" spans="1:22">
      <c r="E764" s="672"/>
      <c r="R764" s="800"/>
      <c r="S764" s="800"/>
    </row>
    <row r="765" spans="1:22">
      <c r="R765" s="800"/>
      <c r="S765" s="800"/>
    </row>
    <row r="767" spans="1:22">
      <c r="D767" s="677"/>
      <c r="E767" s="678"/>
      <c r="F767" s="666"/>
      <c r="G767" s="665"/>
      <c r="H767" s="665"/>
      <c r="I767" s="666"/>
      <c r="J767" s="678"/>
      <c r="K767" s="672"/>
      <c r="L767" s="672"/>
      <c r="M767" s="672"/>
      <c r="N767" s="672"/>
      <c r="O767" s="676"/>
      <c r="R767" s="800"/>
      <c r="S767" s="800"/>
      <c r="T767" s="645"/>
    </row>
    <row r="768" spans="1:22">
      <c r="D768" s="935" t="s">
        <v>903</v>
      </c>
      <c r="E768" s="935"/>
      <c r="F768" s="935"/>
      <c r="G768" s="935"/>
      <c r="H768" s="935"/>
      <c r="I768" s="935"/>
      <c r="J768" s="935"/>
      <c r="K768" s="680"/>
      <c r="L768" s="680"/>
      <c r="M768" s="680"/>
      <c r="N768" s="680"/>
      <c r="O768" s="639"/>
      <c r="R768" s="800" t="s">
        <v>902</v>
      </c>
      <c r="S768" s="800"/>
      <c r="T768" s="645"/>
    </row>
    <row r="769" spans="18:20">
      <c r="R769" s="800"/>
      <c r="S769" s="800"/>
      <c r="T769" s="645"/>
    </row>
    <row r="770" spans="18:20">
      <c r="R770" s="800"/>
      <c r="S770" s="800"/>
      <c r="T770" s="645"/>
    </row>
  </sheetData>
  <autoFilter ref="A13:W744" xr:uid="{00000000-0009-0000-0000-000002000000}">
    <filterColumn colId="4" showButton="0"/>
    <filterColumn colId="5" showButton="0"/>
    <filterColumn colId="6" showButton="0"/>
    <filterColumn colId="7" showButton="0"/>
    <filterColumn colId="8" showButton="0"/>
    <filterColumn colId="12" showButton="0"/>
    <filterColumn colId="15" showButton="0"/>
    <filterColumn colId="17" showButton="0"/>
    <filterColumn colId="19" showButton="0"/>
    <filterColumn colId="21" showButton="0"/>
  </autoFilter>
  <mergeCells count="27">
    <mergeCell ref="A2:W5"/>
    <mergeCell ref="A6:C6"/>
    <mergeCell ref="S8:T9"/>
    <mergeCell ref="A11:W11"/>
    <mergeCell ref="A13:A14"/>
    <mergeCell ref="B13:B14"/>
    <mergeCell ref="C13:C14"/>
    <mergeCell ref="D13:D14"/>
    <mergeCell ref="E13:J13"/>
    <mergeCell ref="K13:O13"/>
    <mergeCell ref="R13:S13"/>
    <mergeCell ref="T13:U13"/>
    <mergeCell ref="V13:W13"/>
    <mergeCell ref="A753:C753"/>
    <mergeCell ref="P13:Q13"/>
    <mergeCell ref="D768:J768"/>
    <mergeCell ref="A758:C758"/>
    <mergeCell ref="A759:C759"/>
    <mergeCell ref="A760:C760"/>
    <mergeCell ref="A761:C761"/>
    <mergeCell ref="A762:C762"/>
    <mergeCell ref="A763:C763"/>
    <mergeCell ref="A748:C748"/>
    <mergeCell ref="A749:C749"/>
    <mergeCell ref="A750:C750"/>
    <mergeCell ref="A751:C751"/>
    <mergeCell ref="A752:C752"/>
  </mergeCells>
  <printOptions horizontalCentered="1"/>
  <pageMargins left="0.39370078740157483" right="0.39370078740157483" top="0.78740157480314965" bottom="0.78740157480314965" header="0" footer="0.19685039370078741"/>
  <pageSetup paperSize="9" scale="33" firstPageNumber="7" fitToHeight="0" orientation="landscape" r:id="rId1"/>
  <headerFooter>
    <oddFooter>Página &amp;P de &amp;N</oddFooter>
  </headerFooter>
  <rowBreaks count="3" manualBreakCount="3">
    <brk id="144" max="23" man="1"/>
    <brk id="218" max="23" man="1"/>
    <brk id="716" max="21"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04E45-1033-4A4D-840B-8CD722A843FC}">
  <sheetPr>
    <tabColor rgb="FF339933"/>
    <pageSetUpPr fitToPage="1"/>
  </sheetPr>
  <dimension ref="A1:AJ23"/>
  <sheetViews>
    <sheetView view="pageBreakPreview" zoomScale="50" zoomScaleNormal="55" zoomScaleSheetLayoutView="50" workbookViewId="0">
      <selection activeCell="C34" sqref="C34"/>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13.42578125" style="2"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FINANCEIRO!A481</f>
        <v>4.3.10.8</v>
      </c>
      <c r="C10" s="845" t="str">
        <f>FINANCEIRO!C481</f>
        <v>Reboco tipo paulista de argamassa de cimento, cal hidratada CH1 e areia média ou grossa lavada no traço 1:0.5:6, espessura 25 mm</v>
      </c>
      <c r="D10" s="816" t="s">
        <v>1317</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67.5" customHeight="1">
      <c r="A12" s="64"/>
      <c r="B12" s="112"/>
      <c r="C12" s="76" t="s">
        <v>1473</v>
      </c>
      <c r="D12" s="956"/>
      <c r="E12" s="957"/>
      <c r="F12" s="958"/>
      <c r="G12" s="851"/>
      <c r="H12" s="852"/>
      <c r="I12" s="853"/>
      <c r="J12" s="80"/>
      <c r="K12" s="81">
        <f>1.85*2</f>
        <v>3.7</v>
      </c>
      <c r="L12" s="82"/>
      <c r="M12" s="83"/>
      <c r="N12" s="105"/>
      <c r="O12" s="84"/>
      <c r="P12" s="82"/>
      <c r="Q12" s="93"/>
      <c r="R12" s="85">
        <f>K12</f>
        <v>3.7</v>
      </c>
      <c r="S12" s="111" t="s">
        <v>57</v>
      </c>
      <c r="T12" s="215">
        <v>16</v>
      </c>
      <c r="U12" s="91"/>
      <c r="V12" s="71"/>
      <c r="W12" s="71"/>
      <c r="X12" s="152"/>
      <c r="Y12" s="153"/>
      <c r="Z12" s="72"/>
    </row>
    <row r="13" spans="1:36" s="73" customFormat="1" ht="69" customHeight="1">
      <c r="A13" s="64"/>
      <c r="B13" s="112"/>
      <c r="C13" s="76" t="s">
        <v>1456</v>
      </c>
      <c r="D13" s="860"/>
      <c r="E13" s="861"/>
      <c r="F13" s="862"/>
      <c r="G13" s="77"/>
      <c r="H13" s="78"/>
      <c r="I13" s="79"/>
      <c r="J13" s="80"/>
      <c r="K13" s="81">
        <v>3</v>
      </c>
      <c r="L13" s="82"/>
      <c r="M13" s="83"/>
      <c r="N13" s="105"/>
      <c r="O13" s="84"/>
      <c r="P13" s="82"/>
      <c r="Q13" s="93"/>
      <c r="R13" s="85">
        <f>K13</f>
        <v>3</v>
      </c>
      <c r="S13" s="111" t="s">
        <v>57</v>
      </c>
      <c r="T13" s="215">
        <v>16</v>
      </c>
      <c r="U13" s="91"/>
      <c r="V13" s="71"/>
      <c r="W13" s="71"/>
      <c r="X13" s="152"/>
      <c r="Y13" s="153"/>
      <c r="Z13" s="72"/>
    </row>
    <row r="14" spans="1:36" s="73" customFormat="1" ht="21" customHeight="1">
      <c r="A14" s="64"/>
      <c r="B14" s="109"/>
      <c r="C14" s="237" t="s">
        <v>1533</v>
      </c>
      <c r="D14" s="854">
        <v>18</v>
      </c>
      <c r="E14" s="855"/>
      <c r="F14" s="856"/>
      <c r="G14" s="857">
        <v>5</v>
      </c>
      <c r="H14" s="858"/>
      <c r="I14" s="859"/>
      <c r="J14" s="226"/>
      <c r="K14" s="81">
        <f>D14*G14</f>
        <v>90</v>
      </c>
      <c r="L14" s="67"/>
      <c r="M14" s="68"/>
      <c r="N14" s="85">
        <f>K14</f>
        <v>90</v>
      </c>
      <c r="O14" s="154">
        <f>L18</f>
        <v>0</v>
      </c>
      <c r="P14" s="215"/>
      <c r="Q14" s="106"/>
      <c r="R14" s="85">
        <f>K14</f>
        <v>90</v>
      </c>
      <c r="S14" s="111"/>
      <c r="T14" s="215">
        <v>20</v>
      </c>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73" customFormat="1" ht="21" customHeight="1">
      <c r="A16" s="64"/>
      <c r="B16" s="109"/>
      <c r="C16" s="65"/>
      <c r="D16" s="77"/>
      <c r="E16" s="78"/>
      <c r="G16" s="77"/>
      <c r="H16" s="78"/>
      <c r="I16" s="79"/>
      <c r="J16" s="66"/>
      <c r="K16" s="108"/>
      <c r="L16" s="67"/>
      <c r="M16" s="68"/>
      <c r="N16" s="110"/>
      <c r="O16" s="69"/>
      <c r="P16" s="67"/>
      <c r="Q16" s="106"/>
      <c r="R16" s="70"/>
      <c r="S16" s="111"/>
      <c r="T16" s="215"/>
      <c r="U16" s="94"/>
      <c r="V16" s="71"/>
      <c r="W16" s="71"/>
      <c r="X16" s="152"/>
      <c r="Y16" s="153"/>
      <c r="Z16" s="72"/>
      <c r="AA16" s="71"/>
      <c r="AB16" s="74"/>
    </row>
    <row r="17" spans="1:28" s="73" customFormat="1" ht="21" customHeight="1">
      <c r="A17" s="64"/>
      <c r="B17" s="109"/>
      <c r="C17" s="65"/>
      <c r="D17" s="77"/>
      <c r="E17" s="78"/>
      <c r="F17" s="79"/>
      <c r="G17" s="77"/>
      <c r="H17" s="78"/>
      <c r="I17" s="79"/>
      <c r="J17" s="66"/>
      <c r="K17" s="108"/>
      <c r="L17" s="67"/>
      <c r="M17" s="68"/>
      <c r="N17" s="110"/>
      <c r="O17" s="69"/>
      <c r="P17" s="67"/>
      <c r="Q17" s="106"/>
      <c r="R17" s="70"/>
      <c r="S17" s="111"/>
      <c r="T17" s="215"/>
      <c r="U17" s="94"/>
      <c r="V17" s="71"/>
      <c r="W17" s="71"/>
      <c r="X17" s="152"/>
      <c r="Y17" s="153"/>
      <c r="Z17" s="72"/>
      <c r="AA17" s="71"/>
      <c r="AB17" s="74"/>
    </row>
    <row r="18" spans="1:28" s="90" customFormat="1" ht="21" customHeight="1">
      <c r="A18" s="75"/>
      <c r="B18" s="107"/>
      <c r="C18" s="104"/>
      <c r="D18" s="77"/>
      <c r="E18" s="78"/>
      <c r="F18" s="79"/>
      <c r="G18" s="77"/>
      <c r="H18" s="78"/>
      <c r="I18" s="79"/>
      <c r="J18" s="80"/>
      <c r="K18" s="81"/>
      <c r="L18" s="82"/>
      <c r="M18" s="83"/>
      <c r="N18" s="84"/>
      <c r="O18" s="155"/>
      <c r="P18" s="156"/>
      <c r="Q18" s="85"/>
      <c r="R18" s="85"/>
      <c r="S18" s="154"/>
      <c r="T18" s="215"/>
      <c r="U18" s="92"/>
      <c r="V18" s="86"/>
      <c r="W18" s="86"/>
      <c r="X18" s="86"/>
      <c r="Y18" s="151"/>
      <c r="Z18" s="87"/>
      <c r="AA18" s="88"/>
      <c r="AB18" s="89"/>
    </row>
    <row r="19" spans="1:28" ht="39.6" customHeight="1">
      <c r="B19" s="161"/>
      <c r="C19" s="162"/>
      <c r="D19" s="806" t="s">
        <v>11</v>
      </c>
      <c r="E19" s="807"/>
      <c r="F19" s="807"/>
      <c r="G19" s="807"/>
      <c r="H19" s="807"/>
      <c r="I19" s="808"/>
      <c r="J19" s="809">
        <f>FINANCEIRO!J481</f>
        <v>531.42999999999995</v>
      </c>
      <c r="K19" s="810"/>
      <c r="L19" s="50" t="s">
        <v>57</v>
      </c>
      <c r="M19" s="803" t="s">
        <v>12</v>
      </c>
      <c r="N19" s="811"/>
      <c r="O19" s="811"/>
      <c r="P19" s="811"/>
      <c r="Q19" s="805"/>
      <c r="R19" s="61">
        <f>SUM(R12:R18)</f>
        <v>96.7</v>
      </c>
      <c r="S19" s="51" t="s">
        <v>57</v>
      </c>
      <c r="T19" s="22"/>
      <c r="U19" s="23"/>
    </row>
    <row r="20" spans="1:28" ht="21" customHeight="1">
      <c r="B20" s="163"/>
      <c r="C20" s="19"/>
      <c r="D20" s="817" t="s">
        <v>13</v>
      </c>
      <c r="E20" s="818"/>
      <c r="F20" s="818"/>
      <c r="G20" s="818"/>
      <c r="H20" s="818"/>
      <c r="I20" s="819"/>
      <c r="J20" s="823">
        <f>R19/J19</f>
        <v>0.18196187644656872</v>
      </c>
      <c r="K20" s="824"/>
      <c r="L20" s="827"/>
      <c r="M20" s="803" t="s">
        <v>34</v>
      </c>
      <c r="N20" s="804"/>
      <c r="O20" s="804"/>
      <c r="P20" s="804"/>
      <c r="Q20" s="805"/>
      <c r="R20" s="61">
        <v>5</v>
      </c>
      <c r="S20" s="52" t="str">
        <f>S19</f>
        <v>m2</v>
      </c>
      <c r="T20" s="22"/>
      <c r="U20" s="23"/>
    </row>
    <row r="21" spans="1:28" ht="21" customHeight="1">
      <c r="A21" s="10" t="s">
        <v>809</v>
      </c>
      <c r="B21" s="165"/>
      <c r="C21" s="164"/>
      <c r="D21" s="820"/>
      <c r="E21" s="821"/>
      <c r="F21" s="821"/>
      <c r="G21" s="821"/>
      <c r="H21" s="821"/>
      <c r="I21" s="822"/>
      <c r="J21" s="825"/>
      <c r="K21" s="826"/>
      <c r="L21" s="828"/>
      <c r="M21" s="803" t="s">
        <v>14</v>
      </c>
      <c r="N21" s="804"/>
      <c r="O21" s="804"/>
      <c r="P21" s="804"/>
      <c r="Q21" s="805"/>
      <c r="R21" s="62">
        <f>R19-R20-1.7</f>
        <v>90</v>
      </c>
      <c r="S21" s="53" t="str">
        <f>S19</f>
        <v>m2</v>
      </c>
      <c r="T21" s="54"/>
      <c r="U21" s="24"/>
    </row>
    <row r="22" spans="1:28" ht="21" customHeight="1">
      <c r="B22" s="218"/>
      <c r="C22" s="217"/>
      <c r="M22" s="803" t="s">
        <v>53</v>
      </c>
      <c r="N22" s="804"/>
      <c r="O22" s="804"/>
      <c r="P22" s="804"/>
      <c r="Q22" s="805"/>
      <c r="R22" s="62">
        <f>FINANCEIRO!E481</f>
        <v>49.24</v>
      </c>
      <c r="S22" s="53"/>
      <c r="T22" s="54"/>
      <c r="U22" s="24"/>
    </row>
    <row r="23" spans="1:28" ht="21" customHeight="1">
      <c r="B23" s="163"/>
      <c r="C23" s="219"/>
      <c r="M23" s="803" t="s">
        <v>54</v>
      </c>
      <c r="N23" s="804"/>
      <c r="O23" s="804"/>
      <c r="P23" s="804"/>
      <c r="Q23" s="805"/>
      <c r="R23" s="62">
        <f>TRUNC(R22*R21,2)</f>
        <v>4431.6000000000004</v>
      </c>
      <c r="S23" s="53" t="s">
        <v>55</v>
      </c>
      <c r="T23" s="54"/>
      <c r="U23" s="24"/>
    </row>
  </sheetData>
  <mergeCells count="39">
    <mergeCell ref="M23:Q23"/>
    <mergeCell ref="D20:I21"/>
    <mergeCell ref="J20:K21"/>
    <mergeCell ref="L20:L21"/>
    <mergeCell ref="M20:Q20"/>
    <mergeCell ref="M21:Q21"/>
    <mergeCell ref="M22:Q22"/>
    <mergeCell ref="D19:I19"/>
    <mergeCell ref="J19:K19"/>
    <mergeCell ref="M19:Q19"/>
    <mergeCell ref="N10:N11"/>
    <mergeCell ref="O10:O11"/>
    <mergeCell ref="P10:P11"/>
    <mergeCell ref="Q10:Q11"/>
    <mergeCell ref="D12:F12"/>
    <mergeCell ref="G12:I12"/>
    <mergeCell ref="D13:F13"/>
    <mergeCell ref="D14:F14"/>
    <mergeCell ref="G14:I14"/>
    <mergeCell ref="T8:U8"/>
    <mergeCell ref="T9:U9"/>
    <mergeCell ref="B10:B11"/>
    <mergeCell ref="C10:C11"/>
    <mergeCell ref="D10:F11"/>
    <mergeCell ref="G10:I11"/>
    <mergeCell ref="J10:J11"/>
    <mergeCell ref="K10:K11"/>
    <mergeCell ref="L10:L11"/>
    <mergeCell ref="M10:M11"/>
    <mergeCell ref="T10:T11"/>
    <mergeCell ref="U10:U11"/>
    <mergeCell ref="R10:R11"/>
    <mergeCell ref="S10:S11"/>
    <mergeCell ref="T7:U7"/>
    <mergeCell ref="B1:U4"/>
    <mergeCell ref="V4:AA4"/>
    <mergeCell ref="B5:I5"/>
    <mergeCell ref="J5:O5"/>
    <mergeCell ref="P5:U5"/>
  </mergeCells>
  <conditionalFormatting sqref="J20:K23">
    <cfRule type="cellIs" dxfId="255" priority="1" operator="greaterThanOrEqual">
      <formula>1</formula>
    </cfRule>
    <cfRule type="cellIs" dxfId="254" priority="2" operator="greaterThan">
      <formula>100%</formula>
    </cfRule>
  </conditionalFormatting>
  <pageMargins left="0.51181102362204722" right="0.51181102362204722" top="0.78740157480314965" bottom="0.78740157480314965" header="0.31496062992125984" footer="0.31496062992125984"/>
  <pageSetup paperSize="9" scale="45" fitToHeight="0" orientation="landscape" r:id="rId1"/>
  <headerFooter>
    <oddFooter>Página &amp;P de &amp;N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C1C18-E9CB-47EB-AA64-94AF890A0052}">
  <sheetPr>
    <tabColor rgb="FF339933"/>
    <pageSetUpPr fitToPage="1"/>
  </sheetPr>
  <dimension ref="A1:AJ21"/>
  <sheetViews>
    <sheetView view="pageBreakPreview" zoomScale="50" zoomScaleNormal="55" zoomScaleSheetLayoutView="50" workbookViewId="0">
      <selection activeCell="R33" sqref="R33"/>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13.42578125" style="2" customWidth="1"/>
    <col min="7" max="7" width="6.7109375" style="2" customWidth="1"/>
    <col min="8" max="8" width="2.42578125" style="2" customWidth="1"/>
    <col min="9" max="9" width="7.140625" style="2" bestFit="1" customWidth="1"/>
    <col min="10" max="10" width="15.42578125" style="2" customWidth="1"/>
    <col min="11" max="12" width="13.5703125" style="2" customWidth="1"/>
    <col min="13" max="13" width="12.28515625" style="2" customWidth="1"/>
    <col min="14" max="15" width="13.5703125" style="2" hidden="1" customWidth="1"/>
    <col min="16" max="16" width="15.140625" style="2" bestFit="1" customWidth="1"/>
    <col min="17" max="17" width="7.42578125" style="2" customWidth="1"/>
    <col min="18" max="18" width="26.7109375" style="63" bestFit="1" customWidth="1"/>
    <col min="19" max="19" width="9" style="2" customWidth="1"/>
    <col min="20" max="20" width="15.28515625" style="2" customWidth="1"/>
    <col min="21" max="21" width="38.140625" style="2" bestFit="1" customWidth="1"/>
    <col min="22" max="24" width="9.140625" style="2"/>
    <col min="25" max="25" width="9.140625" style="140"/>
    <col min="26" max="27" width="9.140625" style="2"/>
    <col min="28" max="28" width="12.7109375" style="13" customWidth="1"/>
    <col min="29" max="16384" width="9.140625" style="2"/>
  </cols>
  <sheetData>
    <row r="1" spans="1:36" ht="18.75" customHeight="1">
      <c r="B1" s="831" t="s">
        <v>851</v>
      </c>
      <c r="C1" s="832"/>
      <c r="D1" s="832"/>
      <c r="E1" s="832"/>
      <c r="F1" s="832"/>
      <c r="G1" s="832"/>
      <c r="H1" s="832"/>
      <c r="I1" s="832"/>
      <c r="J1" s="832"/>
      <c r="K1" s="832"/>
      <c r="L1" s="832"/>
      <c r="M1" s="832"/>
      <c r="N1" s="832"/>
      <c r="O1" s="832"/>
      <c r="P1" s="832"/>
      <c r="Q1" s="832"/>
      <c r="R1" s="832"/>
      <c r="S1" s="832"/>
      <c r="T1" s="832"/>
      <c r="U1" s="832"/>
    </row>
    <row r="2" spans="1:36" ht="18.75" customHeight="1">
      <c r="B2" s="832"/>
      <c r="C2" s="832"/>
      <c r="D2" s="832"/>
      <c r="E2" s="832"/>
      <c r="F2" s="832"/>
      <c r="G2" s="832"/>
      <c r="H2" s="832"/>
      <c r="I2" s="832"/>
      <c r="J2" s="832"/>
      <c r="K2" s="832"/>
      <c r="L2" s="832"/>
      <c r="M2" s="832"/>
      <c r="N2" s="832"/>
      <c r="O2" s="832"/>
      <c r="P2" s="832"/>
      <c r="Q2" s="832"/>
      <c r="R2" s="832"/>
      <c r="S2" s="832"/>
      <c r="T2" s="832"/>
      <c r="U2" s="832"/>
    </row>
    <row r="3" spans="1:36" ht="18.75" customHeight="1">
      <c r="B3" s="832"/>
      <c r="C3" s="832"/>
      <c r="D3" s="832"/>
      <c r="E3" s="832"/>
      <c r="F3" s="832"/>
      <c r="G3" s="832"/>
      <c r="H3" s="832"/>
      <c r="I3" s="832"/>
      <c r="J3" s="832"/>
      <c r="K3" s="832"/>
      <c r="L3" s="832"/>
      <c r="M3" s="832"/>
      <c r="N3" s="832"/>
      <c r="O3" s="832"/>
      <c r="P3" s="832"/>
      <c r="Q3" s="832"/>
      <c r="R3" s="832"/>
      <c r="S3" s="832"/>
      <c r="T3" s="832"/>
      <c r="U3" s="832"/>
    </row>
    <row r="4" spans="1:36" ht="18.75" customHeight="1">
      <c r="B4" s="832"/>
      <c r="C4" s="832"/>
      <c r="D4" s="832"/>
      <c r="E4" s="832"/>
      <c r="F4" s="832"/>
      <c r="G4" s="832"/>
      <c r="H4" s="832"/>
      <c r="I4" s="832"/>
      <c r="J4" s="832"/>
      <c r="K4" s="832"/>
      <c r="L4" s="832"/>
      <c r="M4" s="832"/>
      <c r="N4" s="832"/>
      <c r="O4" s="832"/>
      <c r="P4" s="832"/>
      <c r="Q4" s="832"/>
      <c r="R4" s="832"/>
      <c r="S4" s="832"/>
      <c r="T4" s="832"/>
      <c r="U4" s="832"/>
      <c r="V4" s="833"/>
      <c r="W4" s="833"/>
      <c r="X4" s="833"/>
      <c r="Y4" s="833"/>
      <c r="Z4" s="833"/>
      <c r="AA4" s="833"/>
    </row>
    <row r="5" spans="1:36" s="21" customFormat="1" ht="15.75" customHeight="1">
      <c r="A5" s="29"/>
      <c r="B5" s="834" t="s">
        <v>5</v>
      </c>
      <c r="C5" s="835"/>
      <c r="D5" s="835"/>
      <c r="E5" s="835"/>
      <c r="F5" s="835"/>
      <c r="G5" s="835"/>
      <c r="H5" s="835"/>
      <c r="I5" s="836"/>
      <c r="J5" s="837" t="s">
        <v>6</v>
      </c>
      <c r="K5" s="838"/>
      <c r="L5" s="838"/>
      <c r="M5" s="838"/>
      <c r="N5" s="838"/>
      <c r="O5" s="839"/>
      <c r="P5" s="840"/>
      <c r="Q5" s="841"/>
      <c r="R5" s="841"/>
      <c r="S5" s="841"/>
      <c r="T5" s="841"/>
      <c r="U5" s="842"/>
      <c r="V5" s="158"/>
      <c r="W5" s="158"/>
      <c r="X5" s="158"/>
      <c r="Y5" s="158"/>
      <c r="Z5" s="158"/>
      <c r="AA5" s="158"/>
      <c r="AB5" s="30"/>
    </row>
    <row r="6" spans="1:36"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32"/>
      <c r="O6" s="55"/>
      <c r="P6" s="32"/>
      <c r="Q6" s="32"/>
      <c r="R6" s="57"/>
      <c r="S6" s="33"/>
      <c r="T6" s="33"/>
      <c r="U6" s="34"/>
      <c r="Y6" s="141"/>
      <c r="AB6" s="36"/>
    </row>
    <row r="7" spans="1:36" s="35" customFormat="1" ht="15.75">
      <c r="A7" s="31"/>
      <c r="B7" s="98"/>
      <c r="C7" s="145"/>
      <c r="D7" s="37"/>
      <c r="E7" s="38"/>
      <c r="F7" s="38"/>
      <c r="G7" s="37"/>
      <c r="H7" s="38"/>
      <c r="I7" s="56"/>
      <c r="J7" s="136" t="str">
        <f>DEZ!D8</f>
        <v xml:space="preserve">CONTRATO N°: </v>
      </c>
      <c r="K7" s="37"/>
      <c r="L7" s="115" t="str">
        <f>DEZ!F8</f>
        <v>06/2021</v>
      </c>
      <c r="M7" s="37"/>
      <c r="N7" s="115"/>
      <c r="O7" s="116"/>
      <c r="P7" s="115"/>
      <c r="Q7" s="115"/>
      <c r="R7" s="58"/>
      <c r="S7" s="37"/>
      <c r="T7" s="829"/>
      <c r="U7" s="830"/>
      <c r="Y7" s="141"/>
      <c r="AB7" s="36"/>
    </row>
    <row r="8" spans="1:36" s="35" customFormat="1" ht="15.75">
      <c r="A8" s="31"/>
      <c r="B8" s="98" t="s">
        <v>7</v>
      </c>
      <c r="C8" s="121">
        <f>VLOOKUP(B8,DEZ!_xlnm.Print_Area,3,FALSE)</f>
        <v>15</v>
      </c>
      <c r="D8" s="37"/>
      <c r="E8" s="38"/>
      <c r="F8" s="38"/>
      <c r="G8" s="37"/>
      <c r="H8" s="38"/>
      <c r="I8" s="56"/>
      <c r="J8" s="136" t="str">
        <f>DEZ!D9</f>
        <v xml:space="preserve">ASSINATURA: </v>
      </c>
      <c r="K8" s="37"/>
      <c r="L8" s="146">
        <f>DEZ!F9</f>
        <v>44349</v>
      </c>
      <c r="M8" s="38"/>
      <c r="N8" s="38"/>
      <c r="O8" s="56"/>
      <c r="P8" s="38"/>
      <c r="Q8" s="38"/>
      <c r="R8" s="59"/>
      <c r="S8" s="38"/>
      <c r="T8" s="829"/>
      <c r="U8" s="830"/>
      <c r="Y8" s="141"/>
      <c r="AA8" s="39"/>
      <c r="AB8" s="39"/>
      <c r="AC8" s="39"/>
      <c r="AD8" s="39"/>
      <c r="AE8" s="39"/>
      <c r="AF8" s="39"/>
      <c r="AG8" s="39"/>
      <c r="AH8" s="39"/>
      <c r="AI8" s="39"/>
      <c r="AJ8" s="39"/>
    </row>
    <row r="9" spans="1:36" s="35" customFormat="1" ht="15.75">
      <c r="A9" s="31"/>
      <c r="B9" s="99" t="s">
        <v>8</v>
      </c>
      <c r="C9" s="122" t="str">
        <f>VLOOKUP(B9,DEZ!_xlnm.Print_Area,3,FALSE)</f>
        <v>01/12/2022 a 31/12/2022</v>
      </c>
      <c r="D9" s="96"/>
      <c r="E9" s="95"/>
      <c r="F9" s="95"/>
      <c r="G9" s="96"/>
      <c r="H9" s="95"/>
      <c r="I9" s="103"/>
      <c r="J9" s="136" t="str">
        <f>DEZ!D10</f>
        <v xml:space="preserve">INÍCIO DOS SERVIÇOS: </v>
      </c>
      <c r="K9" s="37"/>
      <c r="L9" s="146">
        <f>DEZ!F10</f>
        <v>44473</v>
      </c>
      <c r="M9" s="38"/>
      <c r="N9" s="38"/>
      <c r="O9" s="56"/>
      <c r="P9" s="38"/>
      <c r="Q9" s="38"/>
      <c r="R9" s="59"/>
      <c r="S9" s="38"/>
      <c r="T9" s="829"/>
      <c r="U9" s="830"/>
      <c r="Y9" s="141"/>
      <c r="AA9" s="39"/>
      <c r="AB9" s="39"/>
      <c r="AC9" s="39"/>
      <c r="AD9" s="39"/>
      <c r="AE9" s="39"/>
      <c r="AF9" s="39"/>
      <c r="AG9" s="39"/>
      <c r="AH9" s="39"/>
      <c r="AI9" s="39"/>
      <c r="AJ9" s="39"/>
    </row>
    <row r="10" spans="1:36" s="16" customFormat="1" ht="24.95" customHeight="1">
      <c r="A10" s="14"/>
      <c r="B10" s="843" t="str">
        <f>FINANCEIRO!A482</f>
        <v>4.3.10.9</v>
      </c>
      <c r="C10" s="845" t="str">
        <f>FINANCEIRO!C482</f>
        <v>Pintura com tinta acrílica, marcas de referência Suvinil, Coral e Metalatex, inclusive selador acrílico, em paredes e forros, a duas demãos</v>
      </c>
      <c r="D10" s="816" t="s">
        <v>1317</v>
      </c>
      <c r="E10" s="816"/>
      <c r="F10" s="816"/>
      <c r="G10" s="816" t="s">
        <v>33</v>
      </c>
      <c r="H10" s="816"/>
      <c r="I10" s="816"/>
      <c r="J10" s="812" t="s">
        <v>853</v>
      </c>
      <c r="K10" s="812" t="s">
        <v>855</v>
      </c>
      <c r="L10" s="812" t="s">
        <v>856</v>
      </c>
      <c r="M10" s="812" t="s">
        <v>62</v>
      </c>
      <c r="N10" s="812"/>
      <c r="O10" s="812"/>
      <c r="P10" s="814"/>
      <c r="Q10" s="812"/>
      <c r="R10" s="849" t="s">
        <v>857</v>
      </c>
      <c r="S10" s="812" t="s">
        <v>10</v>
      </c>
      <c r="T10" s="812" t="s">
        <v>858</v>
      </c>
      <c r="U10" s="847" t="s">
        <v>35</v>
      </c>
      <c r="V10" s="120"/>
      <c r="W10" s="120"/>
      <c r="X10" s="143"/>
      <c r="Y10" s="144"/>
      <c r="Z10" s="15"/>
      <c r="AA10" s="12"/>
      <c r="AB10" s="12"/>
      <c r="AC10" s="12"/>
      <c r="AD10" s="12"/>
      <c r="AE10" s="12"/>
      <c r="AF10" s="12"/>
      <c r="AG10" s="12"/>
      <c r="AH10" s="12"/>
      <c r="AI10" s="12"/>
      <c r="AJ10" s="12"/>
    </row>
    <row r="11" spans="1:36" s="16" customFormat="1" ht="39.6" customHeight="1">
      <c r="A11" s="14"/>
      <c r="B11" s="844"/>
      <c r="C11" s="846"/>
      <c r="D11" s="816"/>
      <c r="E11" s="816"/>
      <c r="F11" s="816"/>
      <c r="G11" s="816"/>
      <c r="H11" s="816"/>
      <c r="I11" s="816"/>
      <c r="J11" s="813"/>
      <c r="K11" s="813"/>
      <c r="L11" s="813"/>
      <c r="M11" s="813"/>
      <c r="N11" s="813"/>
      <c r="O11" s="813"/>
      <c r="P11" s="815"/>
      <c r="Q11" s="813"/>
      <c r="R11" s="850"/>
      <c r="S11" s="813"/>
      <c r="T11" s="813"/>
      <c r="U11" s="848"/>
      <c r="V11" s="120"/>
      <c r="W11" s="120"/>
      <c r="X11" s="143"/>
      <c r="Y11" s="144"/>
      <c r="Z11" s="15"/>
      <c r="AA11" s="12"/>
      <c r="AB11" s="12"/>
      <c r="AC11" s="12"/>
      <c r="AD11" s="12"/>
      <c r="AE11" s="12"/>
      <c r="AF11" s="12"/>
      <c r="AG11" s="12"/>
      <c r="AH11" s="12"/>
      <c r="AI11" s="12"/>
      <c r="AJ11" s="12"/>
    </row>
    <row r="12" spans="1:36" s="73" customFormat="1" ht="67.5" customHeight="1">
      <c r="A12" s="64"/>
      <c r="B12" s="112"/>
      <c r="C12" s="76" t="s">
        <v>1534</v>
      </c>
      <c r="D12" s="956"/>
      <c r="E12" s="957"/>
      <c r="F12" s="958"/>
      <c r="G12" s="851"/>
      <c r="H12" s="852"/>
      <c r="I12" s="853"/>
      <c r="J12" s="80"/>
      <c r="K12" s="81"/>
      <c r="L12" s="82"/>
      <c r="M12" s="83"/>
      <c r="N12" s="105"/>
      <c r="O12" s="84"/>
      <c r="P12" s="82"/>
      <c r="Q12" s="93"/>
      <c r="R12" s="85">
        <f>ROUND(531.43*0.06586,2)</f>
        <v>35</v>
      </c>
      <c r="S12" s="111" t="s">
        <v>57</v>
      </c>
      <c r="T12" s="215">
        <v>20</v>
      </c>
      <c r="U12" s="91"/>
      <c r="V12" s="71"/>
      <c r="W12" s="71"/>
      <c r="X12" s="152"/>
      <c r="Y12" s="153"/>
      <c r="Z12" s="72"/>
    </row>
    <row r="13" spans="1:36" s="73" customFormat="1" ht="21" customHeight="1">
      <c r="A13" s="64"/>
      <c r="B13" s="109"/>
      <c r="C13" s="65"/>
      <c r="D13" s="77"/>
      <c r="E13" s="78"/>
      <c r="F13" s="79"/>
      <c r="G13" s="77"/>
      <c r="H13" s="78"/>
      <c r="I13" s="79"/>
      <c r="J13" s="66"/>
      <c r="K13" s="108"/>
      <c r="L13" s="67"/>
      <c r="M13" s="68"/>
      <c r="N13" s="110"/>
      <c r="O13" s="69"/>
      <c r="P13" s="67"/>
      <c r="Q13" s="106"/>
      <c r="R13" s="70"/>
      <c r="S13" s="111"/>
      <c r="T13" s="215"/>
      <c r="U13" s="94"/>
      <c r="V13" s="71"/>
      <c r="W13" s="71"/>
      <c r="X13" s="152"/>
      <c r="Y13" s="153"/>
      <c r="Z13" s="72"/>
      <c r="AA13" s="71"/>
      <c r="AB13" s="74"/>
    </row>
    <row r="14" spans="1:36" s="73" customFormat="1" ht="21" customHeight="1">
      <c r="A14" s="64"/>
      <c r="B14" s="109"/>
      <c r="C14" s="65"/>
      <c r="D14" s="77"/>
      <c r="E14" s="78"/>
      <c r="G14" s="77"/>
      <c r="H14" s="78"/>
      <c r="I14" s="79"/>
      <c r="J14" s="66"/>
      <c r="K14" s="108"/>
      <c r="L14" s="67"/>
      <c r="M14" s="68"/>
      <c r="N14" s="110"/>
      <c r="O14" s="69"/>
      <c r="P14" s="67"/>
      <c r="Q14" s="106"/>
      <c r="R14" s="70"/>
      <c r="S14" s="111"/>
      <c r="T14" s="215"/>
      <c r="U14" s="94"/>
      <c r="V14" s="71"/>
      <c r="W14" s="71"/>
      <c r="X14" s="152"/>
      <c r="Y14" s="153"/>
      <c r="Z14" s="72"/>
      <c r="AA14" s="71"/>
      <c r="AB14" s="74"/>
    </row>
    <row r="15" spans="1:36" s="73" customFormat="1" ht="21" customHeight="1">
      <c r="A15" s="64"/>
      <c r="B15" s="109"/>
      <c r="C15" s="65"/>
      <c r="D15" s="77"/>
      <c r="E15" s="78"/>
      <c r="F15" s="79"/>
      <c r="G15" s="77"/>
      <c r="H15" s="78"/>
      <c r="I15" s="79"/>
      <c r="J15" s="66"/>
      <c r="K15" s="108"/>
      <c r="L15" s="67"/>
      <c r="M15" s="68"/>
      <c r="N15" s="110"/>
      <c r="O15" s="69"/>
      <c r="P15" s="67"/>
      <c r="Q15" s="106"/>
      <c r="R15" s="70"/>
      <c r="S15" s="111"/>
      <c r="T15" s="215"/>
      <c r="U15" s="94"/>
      <c r="V15" s="71"/>
      <c r="W15" s="71"/>
      <c r="X15" s="152"/>
      <c r="Y15" s="153"/>
      <c r="Z15" s="72"/>
      <c r="AA15" s="71"/>
      <c r="AB15" s="74"/>
    </row>
    <row r="16" spans="1:36" s="90" customFormat="1" ht="21" customHeight="1">
      <c r="A16" s="75"/>
      <c r="B16" s="107"/>
      <c r="C16" s="104"/>
      <c r="D16" s="77"/>
      <c r="E16" s="78"/>
      <c r="F16" s="79"/>
      <c r="G16" s="77"/>
      <c r="H16" s="78"/>
      <c r="I16" s="79"/>
      <c r="J16" s="80"/>
      <c r="K16" s="81"/>
      <c r="L16" s="82"/>
      <c r="M16" s="83"/>
      <c r="N16" s="84"/>
      <c r="O16" s="155"/>
      <c r="P16" s="156"/>
      <c r="Q16" s="85"/>
      <c r="R16" s="85"/>
      <c r="S16" s="154"/>
      <c r="T16" s="215"/>
      <c r="U16" s="92"/>
      <c r="V16" s="86"/>
      <c r="W16" s="86"/>
      <c r="X16" s="86"/>
      <c r="Y16" s="151"/>
      <c r="Z16" s="87"/>
      <c r="AA16" s="88"/>
      <c r="AB16" s="89"/>
    </row>
    <row r="17" spans="1:21" ht="39.6" customHeight="1">
      <c r="B17" s="161"/>
      <c r="C17" s="162"/>
      <c r="D17" s="806" t="s">
        <v>11</v>
      </c>
      <c r="E17" s="807"/>
      <c r="F17" s="807"/>
      <c r="G17" s="807"/>
      <c r="H17" s="807"/>
      <c r="I17" s="808"/>
      <c r="J17" s="809">
        <f>FINANCEIRO!F482</f>
        <v>531.42999999999995</v>
      </c>
      <c r="K17" s="810"/>
      <c r="L17" s="50" t="s">
        <v>57</v>
      </c>
      <c r="M17" s="803" t="s">
        <v>12</v>
      </c>
      <c r="N17" s="811"/>
      <c r="O17" s="811"/>
      <c r="P17" s="811"/>
      <c r="Q17" s="805"/>
      <c r="R17" s="61">
        <f>SUM(R12:R16)</f>
        <v>35</v>
      </c>
      <c r="S17" s="51" t="s">
        <v>57</v>
      </c>
      <c r="T17" s="22"/>
      <c r="U17" s="23"/>
    </row>
    <row r="18" spans="1:21" ht="21" customHeight="1">
      <c r="B18" s="163"/>
      <c r="C18" s="19"/>
      <c r="D18" s="817" t="s">
        <v>13</v>
      </c>
      <c r="E18" s="818"/>
      <c r="F18" s="818"/>
      <c r="G18" s="818"/>
      <c r="H18" s="818"/>
      <c r="I18" s="819"/>
      <c r="J18" s="823">
        <f>R17/J17</f>
        <v>6.5860038010650518E-2</v>
      </c>
      <c r="K18" s="824"/>
      <c r="L18" s="827"/>
      <c r="M18" s="803" t="s">
        <v>34</v>
      </c>
      <c r="N18" s="804"/>
      <c r="O18" s="804"/>
      <c r="P18" s="804"/>
      <c r="Q18" s="805"/>
      <c r="R18" s="61">
        <v>5</v>
      </c>
      <c r="S18" s="52" t="str">
        <f>S17</f>
        <v>m2</v>
      </c>
      <c r="T18" s="22"/>
      <c r="U18" s="23"/>
    </row>
    <row r="19" spans="1:21" ht="21" customHeight="1">
      <c r="A19" s="10" t="s">
        <v>809</v>
      </c>
      <c r="B19" s="165"/>
      <c r="C19" s="164"/>
      <c r="D19" s="820"/>
      <c r="E19" s="821"/>
      <c r="F19" s="821"/>
      <c r="G19" s="821"/>
      <c r="H19" s="821"/>
      <c r="I19" s="822"/>
      <c r="J19" s="825"/>
      <c r="K19" s="826"/>
      <c r="L19" s="828"/>
      <c r="M19" s="803" t="s">
        <v>14</v>
      </c>
      <c r="N19" s="804"/>
      <c r="O19" s="804"/>
      <c r="P19" s="804"/>
      <c r="Q19" s="805"/>
      <c r="R19" s="62">
        <f>R12</f>
        <v>35</v>
      </c>
      <c r="S19" s="53" t="str">
        <f>S17</f>
        <v>m2</v>
      </c>
      <c r="T19" s="54"/>
      <c r="U19" s="24"/>
    </row>
    <row r="20" spans="1:21" ht="21" customHeight="1">
      <c r="B20" s="218"/>
      <c r="C20" s="217"/>
      <c r="M20" s="803" t="s">
        <v>53</v>
      </c>
      <c r="N20" s="804"/>
      <c r="O20" s="804"/>
      <c r="P20" s="804"/>
      <c r="Q20" s="805"/>
      <c r="R20" s="62">
        <f>FINANCEIRO!E482</f>
        <v>18.27</v>
      </c>
      <c r="S20" s="53"/>
      <c r="T20" s="54"/>
      <c r="U20" s="24"/>
    </row>
    <row r="21" spans="1:21" ht="21" customHeight="1">
      <c r="B21" s="163"/>
      <c r="C21" s="219"/>
      <c r="M21" s="803" t="s">
        <v>54</v>
      </c>
      <c r="N21" s="804"/>
      <c r="O21" s="804"/>
      <c r="P21" s="804"/>
      <c r="Q21" s="805"/>
      <c r="R21" s="62">
        <f>TRUNC(R20*R19,2)</f>
        <v>639.45000000000005</v>
      </c>
      <c r="S21" s="53" t="s">
        <v>55</v>
      </c>
      <c r="T21" s="54"/>
      <c r="U21" s="24"/>
    </row>
  </sheetData>
  <mergeCells count="36">
    <mergeCell ref="M20:Q20"/>
    <mergeCell ref="M21:Q21"/>
    <mergeCell ref="D17:I17"/>
    <mergeCell ref="J17:K17"/>
    <mergeCell ref="M17:Q17"/>
    <mergeCell ref="D18:I19"/>
    <mergeCell ref="J18:K19"/>
    <mergeCell ref="L18:L19"/>
    <mergeCell ref="M18:Q18"/>
    <mergeCell ref="M19:Q19"/>
    <mergeCell ref="D12:F12"/>
    <mergeCell ref="G12:I12"/>
    <mergeCell ref="N10:N11"/>
    <mergeCell ref="O10:O11"/>
    <mergeCell ref="P10:P11"/>
    <mergeCell ref="T8:U8"/>
    <mergeCell ref="T9:U9"/>
    <mergeCell ref="B10:B11"/>
    <mergeCell ref="C10:C11"/>
    <mergeCell ref="D10:F11"/>
    <mergeCell ref="G10:I11"/>
    <mergeCell ref="J10:J11"/>
    <mergeCell ref="K10:K11"/>
    <mergeCell ref="L10:L11"/>
    <mergeCell ref="M10:M11"/>
    <mergeCell ref="T10:T11"/>
    <mergeCell ref="U10:U11"/>
    <mergeCell ref="Q10:Q11"/>
    <mergeCell ref="R10:R11"/>
    <mergeCell ref="S10:S11"/>
    <mergeCell ref="T7:U7"/>
    <mergeCell ref="B1:U4"/>
    <mergeCell ref="V4:AA4"/>
    <mergeCell ref="B5:I5"/>
    <mergeCell ref="J5:O5"/>
    <mergeCell ref="P5:U5"/>
  </mergeCells>
  <conditionalFormatting sqref="J18:K21">
    <cfRule type="cellIs" dxfId="253" priority="1" operator="greaterThanOrEqual">
      <formula>1</formula>
    </cfRule>
    <cfRule type="cellIs" dxfId="252" priority="2" operator="greaterThan">
      <formula>100%</formula>
    </cfRule>
  </conditionalFormatting>
  <pageMargins left="0.51181102362204722" right="0.51181102362204722" top="0.78740157480314965" bottom="0.78740157480314965" header="0.31496062992125984" footer="0.31496062992125984"/>
  <pageSetup paperSize="9" scale="45" fitToHeight="0" orientation="landscape" r:id="rId1"/>
  <headerFooter>
    <oddFooter>Página &amp;P de &amp;N</oddFooter>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731AF-A77E-454A-A6FC-0C04298FE052}">
  <sheetPr>
    <tabColor rgb="FF339933"/>
    <pageSetUpPr fitToPage="1"/>
  </sheetPr>
  <dimension ref="A1:AE24"/>
  <sheetViews>
    <sheetView showGridLines="0" view="pageBreakPreview" zoomScale="50" zoomScaleNormal="55" zoomScaleSheetLayoutView="50" workbookViewId="0">
      <selection activeCell="U19" sqref="U19"/>
    </sheetView>
  </sheetViews>
  <sheetFormatPr defaultColWidth="9.140625" defaultRowHeight="12.75"/>
  <cols>
    <col min="1" max="1" width="9.140625" style="10"/>
    <col min="2" max="2" width="18.42578125" style="18" bestFit="1" customWidth="1"/>
    <col min="3" max="3" width="67.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1" width="13.5703125" style="2" customWidth="1"/>
    <col min="12" max="12" width="15.28515625" style="2" customWidth="1"/>
    <col min="13" max="13" width="22.85546875" style="2" customWidth="1"/>
    <col min="14" max="14" width="18.28515625" style="63" customWidth="1"/>
    <col min="15" max="15" width="9" style="2" customWidth="1"/>
    <col min="16" max="16" width="15.28515625" style="2" customWidth="1"/>
    <col min="17" max="19" width="9.140625" style="2"/>
    <col min="20" max="20" width="9.140625" style="140"/>
    <col min="21" max="22" width="9.140625" style="2"/>
    <col min="23" max="23" width="12.7109375" style="13" customWidth="1"/>
    <col min="24" max="16384" width="9.140625" style="2"/>
  </cols>
  <sheetData>
    <row r="1" spans="1:31" ht="18.75" customHeight="1">
      <c r="B1" s="831" t="s">
        <v>851</v>
      </c>
      <c r="C1" s="832"/>
      <c r="D1" s="832"/>
      <c r="E1" s="832"/>
      <c r="F1" s="832"/>
      <c r="G1" s="832"/>
      <c r="H1" s="832"/>
      <c r="I1" s="832"/>
      <c r="J1" s="832"/>
      <c r="K1" s="832"/>
      <c r="L1" s="832"/>
      <c r="M1" s="832"/>
      <c r="N1" s="832"/>
      <c r="O1" s="832"/>
      <c r="P1" s="832"/>
    </row>
    <row r="2" spans="1:31" ht="18.75" customHeight="1">
      <c r="B2" s="832"/>
      <c r="C2" s="832"/>
      <c r="D2" s="832"/>
      <c r="E2" s="832"/>
      <c r="F2" s="832"/>
      <c r="G2" s="832"/>
      <c r="H2" s="832"/>
      <c r="I2" s="832"/>
      <c r="J2" s="832"/>
      <c r="K2" s="832"/>
      <c r="L2" s="832"/>
      <c r="M2" s="832"/>
      <c r="N2" s="832"/>
      <c r="O2" s="832"/>
      <c r="P2" s="832"/>
    </row>
    <row r="3" spans="1:31" ht="18.75" customHeight="1">
      <c r="B3" s="832"/>
      <c r="C3" s="832"/>
      <c r="D3" s="832"/>
      <c r="E3" s="832"/>
      <c r="F3" s="832"/>
      <c r="G3" s="832"/>
      <c r="H3" s="832"/>
      <c r="I3" s="832"/>
      <c r="J3" s="832"/>
      <c r="K3" s="832"/>
      <c r="L3" s="832"/>
      <c r="M3" s="832"/>
      <c r="N3" s="832"/>
      <c r="O3" s="832"/>
      <c r="P3" s="832"/>
    </row>
    <row r="4" spans="1:31" ht="18.75" customHeight="1">
      <c r="B4" s="832"/>
      <c r="C4" s="832"/>
      <c r="D4" s="832"/>
      <c r="E4" s="832"/>
      <c r="F4" s="832"/>
      <c r="G4" s="832"/>
      <c r="H4" s="832"/>
      <c r="I4" s="832"/>
      <c r="J4" s="832"/>
      <c r="K4" s="832"/>
      <c r="L4" s="832"/>
      <c r="M4" s="832"/>
      <c r="N4" s="832"/>
      <c r="O4" s="832"/>
      <c r="P4" s="832"/>
      <c r="Q4" s="833"/>
      <c r="R4" s="833"/>
      <c r="S4" s="833"/>
      <c r="T4" s="833"/>
      <c r="U4" s="833"/>
      <c r="V4" s="833"/>
    </row>
    <row r="5" spans="1:31" s="21" customFormat="1" ht="15.75" customHeight="1">
      <c r="A5" s="29"/>
      <c r="B5" s="834" t="s">
        <v>5</v>
      </c>
      <c r="C5" s="835"/>
      <c r="D5" s="835"/>
      <c r="E5" s="835"/>
      <c r="F5" s="835"/>
      <c r="G5" s="835"/>
      <c r="H5" s="835"/>
      <c r="I5" s="836"/>
      <c r="J5" s="837" t="s">
        <v>6</v>
      </c>
      <c r="K5" s="838"/>
      <c r="L5" s="838"/>
      <c r="M5" s="838"/>
      <c r="N5" s="841"/>
      <c r="O5" s="841"/>
      <c r="P5" s="841"/>
      <c r="Q5" s="158"/>
      <c r="R5" s="158"/>
      <c r="S5" s="158"/>
      <c r="T5" s="158"/>
      <c r="U5" s="158"/>
      <c r="V5" s="158"/>
      <c r="W5" s="30"/>
    </row>
    <row r="6" spans="1:31"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T6" s="141"/>
      <c r="W6" s="36"/>
    </row>
    <row r="7" spans="1:31" s="35" customFormat="1" ht="15.75">
      <c r="A7" s="31"/>
      <c r="B7" s="98"/>
      <c r="C7" s="145"/>
      <c r="D7" s="37"/>
      <c r="E7" s="38"/>
      <c r="F7" s="38"/>
      <c r="G7" s="37"/>
      <c r="H7" s="38"/>
      <c r="I7" s="56"/>
      <c r="J7" s="136" t="str">
        <f>DEZ!D8</f>
        <v xml:space="preserve">CONTRATO N°: </v>
      </c>
      <c r="K7" s="37"/>
      <c r="L7" s="115" t="str">
        <f>DEZ!F8</f>
        <v>06/2021</v>
      </c>
      <c r="M7" s="37"/>
      <c r="N7" s="58"/>
      <c r="O7" s="37"/>
      <c r="P7" s="733"/>
      <c r="T7" s="141"/>
      <c r="W7" s="36"/>
    </row>
    <row r="8" spans="1:31" s="35" customFormat="1" ht="15.75">
      <c r="A8" s="31"/>
      <c r="B8" s="98" t="s">
        <v>7</v>
      </c>
      <c r="C8" s="121">
        <f>FINANCEIRO!C9</f>
        <v>20</v>
      </c>
      <c r="D8" s="37"/>
      <c r="E8" s="38"/>
      <c r="F8" s="38"/>
      <c r="G8" s="37"/>
      <c r="H8" s="38"/>
      <c r="I8" s="56"/>
      <c r="J8" s="136" t="str">
        <f>DEZ!D9</f>
        <v xml:space="preserve">ASSINATURA: </v>
      </c>
      <c r="K8" s="37"/>
      <c r="L8" s="146">
        <f>DEZ!F9</f>
        <v>44349</v>
      </c>
      <c r="M8" s="38"/>
      <c r="N8" s="59"/>
      <c r="O8" s="38"/>
      <c r="P8" s="733"/>
      <c r="T8" s="141"/>
      <c r="V8" s="39"/>
      <c r="W8" s="39"/>
      <c r="X8" s="39"/>
      <c r="Y8" s="39"/>
      <c r="Z8" s="39"/>
      <c r="AA8" s="39"/>
      <c r="AB8" s="39"/>
      <c r="AC8" s="39"/>
      <c r="AD8" s="39"/>
      <c r="AE8" s="39"/>
    </row>
    <row r="9" spans="1:31" s="35" customFormat="1" ht="15.75">
      <c r="A9" s="31"/>
      <c r="B9" s="99" t="s">
        <v>8</v>
      </c>
      <c r="C9" s="122" t="str">
        <f>FINANCEIRO!C10</f>
        <v>01/07/2023 a 30/09/2023</v>
      </c>
      <c r="D9" s="96"/>
      <c r="E9" s="95"/>
      <c r="F9" s="95"/>
      <c r="G9" s="96"/>
      <c r="H9" s="95"/>
      <c r="I9" s="103"/>
      <c r="J9" s="136" t="str">
        <f>DEZ!D10</f>
        <v xml:space="preserve">INÍCIO DOS SERVIÇOS: </v>
      </c>
      <c r="K9" s="37"/>
      <c r="L9" s="146">
        <f>DEZ!F10</f>
        <v>44473</v>
      </c>
      <c r="M9" s="38"/>
      <c r="N9" s="59"/>
      <c r="O9" s="38"/>
      <c r="P9" s="733"/>
      <c r="T9" s="141"/>
      <c r="V9" s="39"/>
      <c r="W9" s="39"/>
      <c r="X9" s="39"/>
      <c r="Y9" s="39"/>
      <c r="Z9" s="39"/>
      <c r="AA9" s="39"/>
      <c r="AB9" s="39"/>
      <c r="AC9" s="39"/>
      <c r="AD9" s="39"/>
      <c r="AE9" s="39"/>
    </row>
    <row r="10" spans="1:31" s="16" customFormat="1" ht="24.95" customHeight="1">
      <c r="A10" s="14"/>
      <c r="B10" s="843" t="str">
        <f>FINANCEIRO!A522</f>
        <v>4.4.4.1</v>
      </c>
      <c r="C10" s="845" t="str">
        <f>FINANCEIRO!C522</f>
        <v>Guarda corpo de tubo de ferro galvanizado, diâm. 2" e 1/2", h= 1,1 m inclusive pintura a óleo ou esmalte</v>
      </c>
      <c r="D10" s="816" t="s">
        <v>854</v>
      </c>
      <c r="E10" s="816"/>
      <c r="F10" s="816"/>
      <c r="G10" s="816" t="s">
        <v>33</v>
      </c>
      <c r="H10" s="816"/>
      <c r="I10" s="816"/>
      <c r="J10" s="812" t="s">
        <v>853</v>
      </c>
      <c r="K10" s="812" t="s">
        <v>855</v>
      </c>
      <c r="L10" s="812" t="s">
        <v>856</v>
      </c>
      <c r="M10" s="812" t="s">
        <v>62</v>
      </c>
      <c r="N10" s="849" t="s">
        <v>857</v>
      </c>
      <c r="O10" s="812" t="s">
        <v>10</v>
      </c>
      <c r="P10" s="812" t="s">
        <v>858</v>
      </c>
      <c r="Q10" s="120"/>
      <c r="R10" s="120"/>
      <c r="S10" s="143"/>
      <c r="T10" s="144"/>
      <c r="U10" s="15"/>
      <c r="V10" s="12"/>
      <c r="W10" s="12"/>
      <c r="X10" s="12"/>
      <c r="Y10" s="12"/>
      <c r="Z10" s="12"/>
      <c r="AA10" s="12"/>
      <c r="AB10" s="12"/>
      <c r="AC10" s="12"/>
      <c r="AD10" s="12"/>
      <c r="AE10" s="12"/>
    </row>
    <row r="11" spans="1:31" s="16" customFormat="1" ht="39.6" customHeight="1">
      <c r="A11" s="14"/>
      <c r="B11" s="844"/>
      <c r="C11" s="846"/>
      <c r="D11" s="816"/>
      <c r="E11" s="816"/>
      <c r="F11" s="816"/>
      <c r="G11" s="816"/>
      <c r="H11" s="816"/>
      <c r="I11" s="816"/>
      <c r="J11" s="813"/>
      <c r="K11" s="813"/>
      <c r="L11" s="813"/>
      <c r="M11" s="813"/>
      <c r="N11" s="850"/>
      <c r="O11" s="813"/>
      <c r="P11" s="813"/>
      <c r="Q11" s="120"/>
      <c r="R11" s="120"/>
      <c r="S11" s="143"/>
      <c r="T11" s="144"/>
      <c r="U11" s="15"/>
      <c r="V11" s="12"/>
      <c r="W11" s="12"/>
      <c r="X11" s="12"/>
      <c r="Y11" s="12"/>
      <c r="Z11" s="12"/>
      <c r="AA11" s="12"/>
      <c r="AB11" s="12"/>
      <c r="AC11" s="12"/>
      <c r="AD11" s="12"/>
      <c r="AE11" s="12"/>
    </row>
    <row r="12" spans="1:31" s="73" customFormat="1" ht="58.5" customHeight="1">
      <c r="A12" s="64"/>
      <c r="B12" s="109"/>
      <c r="C12" s="237" t="s">
        <v>1530</v>
      </c>
      <c r="D12" s="854"/>
      <c r="E12" s="855"/>
      <c r="F12" s="856"/>
      <c r="G12" s="857"/>
      <c r="H12" s="858"/>
      <c r="I12" s="859"/>
      <c r="J12" s="226"/>
      <c r="K12" s="81"/>
      <c r="L12" s="67"/>
      <c r="M12" s="68"/>
      <c r="N12" s="85">
        <f>0.6*6</f>
        <v>3.5999999999999996</v>
      </c>
      <c r="O12" s="154" t="str">
        <f>L16</f>
        <v>m</v>
      </c>
      <c r="P12" s="215">
        <v>20</v>
      </c>
      <c r="Q12" s="71"/>
      <c r="R12" s="71"/>
      <c r="S12" s="152"/>
      <c r="T12" s="153"/>
      <c r="U12" s="72"/>
      <c r="V12" s="71"/>
      <c r="W12" s="74"/>
    </row>
    <row r="13" spans="1:31" s="90" customFormat="1" ht="64.5" customHeight="1">
      <c r="A13" s="75"/>
      <c r="B13" s="107"/>
      <c r="C13" s="76"/>
      <c r="D13" s="77"/>
      <c r="E13" s="78"/>
      <c r="F13" s="79"/>
      <c r="G13" s="77"/>
      <c r="H13" s="78"/>
      <c r="I13" s="79"/>
      <c r="J13" s="80"/>
      <c r="K13" s="81"/>
      <c r="L13" s="82"/>
      <c r="M13" s="83"/>
      <c r="N13" s="85"/>
      <c r="O13" s="154"/>
      <c r="P13" s="215"/>
      <c r="Q13" s="86"/>
      <c r="R13" s="86"/>
      <c r="S13" s="86"/>
      <c r="T13" s="151"/>
      <c r="U13" s="87"/>
      <c r="V13" s="88"/>
      <c r="W13" s="89"/>
    </row>
    <row r="14" spans="1:31" s="90" customFormat="1" ht="21" customHeight="1">
      <c r="A14" s="75"/>
      <c r="B14" s="107"/>
      <c r="C14" s="104"/>
      <c r="D14" s="77"/>
      <c r="E14" s="78"/>
      <c r="F14" s="79"/>
      <c r="G14" s="77"/>
      <c r="H14" s="78"/>
      <c r="I14" s="79"/>
      <c r="J14" s="80"/>
      <c r="K14" s="81"/>
      <c r="L14" s="82"/>
      <c r="M14" s="83"/>
      <c r="N14" s="85"/>
      <c r="O14" s="154"/>
      <c r="P14" s="215"/>
      <c r="Q14" s="86"/>
      <c r="R14" s="86"/>
      <c r="S14" s="86"/>
      <c r="T14" s="151"/>
      <c r="U14" s="87"/>
      <c r="V14" s="88"/>
      <c r="W14" s="89"/>
    </row>
    <row r="15" spans="1:31" s="90" customFormat="1" ht="21" customHeight="1">
      <c r="A15" s="75"/>
      <c r="B15" s="157"/>
      <c r="C15" s="76"/>
      <c r="D15" s="77"/>
      <c r="E15" s="78"/>
      <c r="F15" s="79"/>
      <c r="G15" s="77"/>
      <c r="H15" s="78"/>
      <c r="I15" s="79"/>
      <c r="J15" s="80"/>
      <c r="K15" s="81"/>
      <c r="L15" s="82"/>
      <c r="M15" s="83"/>
      <c r="N15" s="85"/>
      <c r="O15" s="154"/>
      <c r="P15" s="215"/>
      <c r="Q15" s="86"/>
      <c r="R15" s="86"/>
      <c r="S15" s="86"/>
      <c r="T15" s="151"/>
      <c r="U15" s="87"/>
      <c r="V15" s="88"/>
      <c r="W15" s="89"/>
    </row>
    <row r="16" spans="1:31" ht="63" customHeight="1">
      <c r="B16" s="161"/>
      <c r="C16" s="162"/>
      <c r="D16" s="806" t="s">
        <v>11</v>
      </c>
      <c r="E16" s="807"/>
      <c r="F16" s="807"/>
      <c r="G16" s="807"/>
      <c r="H16" s="807"/>
      <c r="I16" s="808"/>
      <c r="J16" s="809">
        <f>FINANCEIRO!F522</f>
        <v>23.86</v>
      </c>
      <c r="K16" s="810"/>
      <c r="L16" s="727" t="str">
        <f>FINANCEIRO!D522</f>
        <v>m</v>
      </c>
      <c r="M16" s="732" t="s">
        <v>12</v>
      </c>
      <c r="N16" s="61">
        <f>SUM(N12:N15)</f>
        <v>3.5999999999999996</v>
      </c>
      <c r="O16" s="51" t="str">
        <f>L16</f>
        <v>m</v>
      </c>
      <c r="P16" s="22"/>
    </row>
    <row r="17" spans="1:16" ht="40.5" customHeight="1">
      <c r="B17" s="163"/>
      <c r="C17" s="19"/>
      <c r="D17" s="817" t="s">
        <v>13</v>
      </c>
      <c r="E17" s="818"/>
      <c r="F17" s="818"/>
      <c r="G17" s="818"/>
      <c r="H17" s="818"/>
      <c r="I17" s="819"/>
      <c r="J17" s="823">
        <f>N16/J16</f>
        <v>0.15088013411567475</v>
      </c>
      <c r="K17" s="824"/>
      <c r="L17" s="959" t="s">
        <v>1352</v>
      </c>
      <c r="M17" s="732" t="s">
        <v>34</v>
      </c>
      <c r="N17" s="61">
        <v>0</v>
      </c>
      <c r="O17" s="52" t="str">
        <f>L16</f>
        <v>m</v>
      </c>
      <c r="P17" s="22"/>
    </row>
    <row r="18" spans="1:16" ht="43.5" customHeight="1">
      <c r="A18" s="10" t="s">
        <v>469</v>
      </c>
      <c r="B18" s="165"/>
      <c r="C18" s="164"/>
      <c r="D18" s="820"/>
      <c r="E18" s="821"/>
      <c r="F18" s="821"/>
      <c r="G18" s="821"/>
      <c r="H18" s="821"/>
      <c r="I18" s="822"/>
      <c r="J18" s="825"/>
      <c r="K18" s="826"/>
      <c r="L18" s="960"/>
      <c r="M18" s="732" t="s">
        <v>14</v>
      </c>
      <c r="N18" s="62">
        <f>N16-N17</f>
        <v>3.5999999999999996</v>
      </c>
      <c r="O18" s="53" t="str">
        <f>L16</f>
        <v>m</v>
      </c>
      <c r="P18" s="54"/>
    </row>
    <row r="19" spans="1:16" ht="52.5" customHeight="1">
      <c r="B19" s="218"/>
      <c r="C19" s="217"/>
      <c r="M19" s="732" t="s">
        <v>53</v>
      </c>
      <c r="N19" s="62">
        <f>FINANCEIRO!E522</f>
        <v>366.23</v>
      </c>
      <c r="O19" s="53" t="s">
        <v>55</v>
      </c>
      <c r="P19" s="54"/>
    </row>
    <row r="20" spans="1:16" ht="40.5" customHeight="1">
      <c r="B20" s="163"/>
      <c r="C20" s="219"/>
      <c r="M20" s="732" t="s">
        <v>54</v>
      </c>
      <c r="N20" s="62">
        <f>TRUNC(N19*N18,2)</f>
        <v>1318.42</v>
      </c>
      <c r="O20" s="53" t="s">
        <v>55</v>
      </c>
      <c r="P20" s="54"/>
    </row>
    <row r="23" spans="1:16">
      <c r="C23" s="2">
        <f>18*5</f>
        <v>90</v>
      </c>
    </row>
    <row r="24" spans="1:16">
      <c r="C24" s="2">
        <f>C23*0.09</f>
        <v>8.1</v>
      </c>
    </row>
  </sheetData>
  <mergeCells count="23">
    <mergeCell ref="P10:P11"/>
    <mergeCell ref="B1:P4"/>
    <mergeCell ref="Q4:V4"/>
    <mergeCell ref="B5:I5"/>
    <mergeCell ref="J5:M5"/>
    <mergeCell ref="N5:P5"/>
    <mergeCell ref="B10:B11"/>
    <mergeCell ref="C10:C11"/>
    <mergeCell ref="D10:F11"/>
    <mergeCell ref="G10:I11"/>
    <mergeCell ref="J10:J11"/>
    <mergeCell ref="K10:K11"/>
    <mergeCell ref="L10:L11"/>
    <mergeCell ref="M10:M11"/>
    <mergeCell ref="N10:N11"/>
    <mergeCell ref="O10:O11"/>
    <mergeCell ref="L17:L18"/>
    <mergeCell ref="D12:F12"/>
    <mergeCell ref="G12:I12"/>
    <mergeCell ref="D16:I16"/>
    <mergeCell ref="J16:K16"/>
    <mergeCell ref="D17:I18"/>
    <mergeCell ref="J17:K18"/>
  </mergeCells>
  <conditionalFormatting sqref="J17:K20">
    <cfRule type="cellIs" dxfId="251" priority="1" operator="greaterThanOrEqual">
      <formula>1</formula>
    </cfRule>
    <cfRule type="cellIs" dxfId="250" priority="2" operator="greaterThan">
      <formula>100%</formula>
    </cfRule>
  </conditionalFormatting>
  <pageMargins left="0.51181102362204722" right="0.51181102362204722" top="0.78740157480314965" bottom="0.78740157480314965" header="0.31496062992125984" footer="0.31496062992125984"/>
  <pageSetup paperSize="9" scale="59" fitToHeight="0" orientation="landscape" r:id="rId1"/>
  <headerFooter>
    <oddFooter>Página &amp;P de &amp;N</oddFooter>
  </headerFooter>
  <legacy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BEB8F-B368-41DE-9821-EBD1E4CD2857}">
  <sheetPr>
    <tabColor rgb="FF339933"/>
    <pageSetUpPr fitToPage="1"/>
  </sheetPr>
  <dimension ref="A1:AE25"/>
  <sheetViews>
    <sheetView showGridLines="0" view="pageBreakPreview" zoomScale="50" zoomScaleNormal="55" zoomScaleSheetLayoutView="50" workbookViewId="0">
      <selection activeCell="C12" sqref="C12"/>
    </sheetView>
  </sheetViews>
  <sheetFormatPr defaultColWidth="9.140625" defaultRowHeight="12.75"/>
  <cols>
    <col min="1" max="1" width="9.140625" style="10"/>
    <col min="2" max="2" width="18.42578125" style="18" bestFit="1" customWidth="1"/>
    <col min="3" max="3" width="67.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1" width="13.5703125" style="2" customWidth="1"/>
    <col min="12" max="12" width="15.28515625" style="2" customWidth="1"/>
    <col min="13" max="13" width="22.85546875" style="2" customWidth="1"/>
    <col min="14" max="14" width="18.28515625" style="63" customWidth="1"/>
    <col min="15" max="15" width="9" style="2" customWidth="1"/>
    <col min="16" max="16" width="15.28515625" style="2" customWidth="1"/>
    <col min="17" max="19" width="9.140625" style="2"/>
    <col min="20" max="20" width="9.140625" style="140"/>
    <col min="21" max="22" width="9.140625" style="2"/>
    <col min="23" max="23" width="12.7109375" style="13" customWidth="1"/>
    <col min="24" max="16384" width="9.140625" style="2"/>
  </cols>
  <sheetData>
    <row r="1" spans="1:31" ht="18.75" customHeight="1">
      <c r="B1" s="831" t="s">
        <v>851</v>
      </c>
      <c r="C1" s="832"/>
      <c r="D1" s="832"/>
      <c r="E1" s="832"/>
      <c r="F1" s="832"/>
      <c r="G1" s="832"/>
      <c r="H1" s="832"/>
      <c r="I1" s="832"/>
      <c r="J1" s="832"/>
      <c r="K1" s="832"/>
      <c r="L1" s="832"/>
      <c r="M1" s="832"/>
      <c r="N1" s="832"/>
      <c r="O1" s="832"/>
      <c r="P1" s="832"/>
    </row>
    <row r="2" spans="1:31" ht="18.75" customHeight="1">
      <c r="B2" s="832"/>
      <c r="C2" s="832"/>
      <c r="D2" s="832"/>
      <c r="E2" s="832"/>
      <c r="F2" s="832"/>
      <c r="G2" s="832"/>
      <c r="H2" s="832"/>
      <c r="I2" s="832"/>
      <c r="J2" s="832"/>
      <c r="K2" s="832"/>
      <c r="L2" s="832"/>
      <c r="M2" s="832"/>
      <c r="N2" s="832"/>
      <c r="O2" s="832"/>
      <c r="P2" s="832"/>
    </row>
    <row r="3" spans="1:31" ht="18.75" customHeight="1">
      <c r="B3" s="832"/>
      <c r="C3" s="832"/>
      <c r="D3" s="832"/>
      <c r="E3" s="832"/>
      <c r="F3" s="832"/>
      <c r="G3" s="832"/>
      <c r="H3" s="832"/>
      <c r="I3" s="832"/>
      <c r="J3" s="832"/>
      <c r="K3" s="832"/>
      <c r="L3" s="832"/>
      <c r="M3" s="832"/>
      <c r="N3" s="832"/>
      <c r="O3" s="832"/>
      <c r="P3" s="832"/>
    </row>
    <row r="4" spans="1:31" ht="18.75" customHeight="1">
      <c r="B4" s="832"/>
      <c r="C4" s="832"/>
      <c r="D4" s="832"/>
      <c r="E4" s="832"/>
      <c r="F4" s="832"/>
      <c r="G4" s="832"/>
      <c r="H4" s="832"/>
      <c r="I4" s="832"/>
      <c r="J4" s="832"/>
      <c r="K4" s="832"/>
      <c r="L4" s="832"/>
      <c r="M4" s="832"/>
      <c r="N4" s="832"/>
      <c r="O4" s="832"/>
      <c r="P4" s="832"/>
      <c r="Q4" s="833"/>
      <c r="R4" s="833"/>
      <c r="S4" s="833"/>
      <c r="T4" s="833"/>
      <c r="U4" s="833"/>
      <c r="V4" s="833"/>
    </row>
    <row r="5" spans="1:31" s="21" customFormat="1" ht="15.75" customHeight="1">
      <c r="A5" s="29"/>
      <c r="B5" s="834" t="s">
        <v>5</v>
      </c>
      <c r="C5" s="835"/>
      <c r="D5" s="835"/>
      <c r="E5" s="835"/>
      <c r="F5" s="835"/>
      <c r="G5" s="835"/>
      <c r="H5" s="835"/>
      <c r="I5" s="836"/>
      <c r="J5" s="837" t="s">
        <v>6</v>
      </c>
      <c r="K5" s="838"/>
      <c r="L5" s="838"/>
      <c r="M5" s="838"/>
      <c r="N5" s="841"/>
      <c r="O5" s="841"/>
      <c r="P5" s="841"/>
      <c r="Q5" s="158"/>
      <c r="R5" s="158"/>
      <c r="S5" s="158"/>
      <c r="T5" s="158"/>
      <c r="U5" s="158"/>
      <c r="V5" s="158"/>
      <c r="W5" s="30"/>
    </row>
    <row r="6" spans="1:31"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T6" s="141"/>
      <c r="W6" s="36"/>
    </row>
    <row r="7" spans="1:31" s="35" customFormat="1" ht="15.75">
      <c r="A7" s="31"/>
      <c r="B7" s="98"/>
      <c r="C7" s="145"/>
      <c r="D7" s="37"/>
      <c r="E7" s="38"/>
      <c r="F7" s="38"/>
      <c r="G7" s="37"/>
      <c r="H7" s="38"/>
      <c r="I7" s="56"/>
      <c r="J7" s="136" t="str">
        <f>DEZ!D8</f>
        <v xml:space="preserve">CONTRATO N°: </v>
      </c>
      <c r="K7" s="37"/>
      <c r="L7" s="115" t="str">
        <f>DEZ!F8</f>
        <v>06/2021</v>
      </c>
      <c r="M7" s="37"/>
      <c r="N7" s="58"/>
      <c r="O7" s="37"/>
      <c r="P7" s="733"/>
      <c r="T7" s="141"/>
      <c r="W7" s="36"/>
    </row>
    <row r="8" spans="1:31" s="35" customFormat="1" ht="15.75">
      <c r="A8" s="31"/>
      <c r="B8" s="98" t="s">
        <v>7</v>
      </c>
      <c r="C8" s="121">
        <f>FINANCEIRO!C9</f>
        <v>20</v>
      </c>
      <c r="D8" s="37"/>
      <c r="E8" s="38"/>
      <c r="F8" s="38"/>
      <c r="G8" s="37"/>
      <c r="H8" s="38"/>
      <c r="I8" s="56"/>
      <c r="J8" s="136" t="str">
        <f>DEZ!D9</f>
        <v xml:space="preserve">ASSINATURA: </v>
      </c>
      <c r="K8" s="37"/>
      <c r="L8" s="146">
        <f>DEZ!F9</f>
        <v>44349</v>
      </c>
      <c r="M8" s="38"/>
      <c r="N8" s="59"/>
      <c r="O8" s="38"/>
      <c r="P8" s="733"/>
      <c r="T8" s="141"/>
      <c r="V8" s="39"/>
      <c r="W8" s="39"/>
      <c r="X8" s="39"/>
      <c r="Y8" s="39"/>
      <c r="Z8" s="39"/>
      <c r="AA8" s="39"/>
      <c r="AB8" s="39"/>
      <c r="AC8" s="39"/>
      <c r="AD8" s="39"/>
      <c r="AE8" s="39"/>
    </row>
    <row r="9" spans="1:31" s="35" customFormat="1" ht="15.75">
      <c r="A9" s="31"/>
      <c r="B9" s="99" t="s">
        <v>8</v>
      </c>
      <c r="C9" s="122" t="str">
        <f>FINANCEIRO!C10</f>
        <v>01/07/2023 a 30/09/2023</v>
      </c>
      <c r="D9" s="96"/>
      <c r="E9" s="95"/>
      <c r="F9" s="95"/>
      <c r="G9" s="96"/>
      <c r="H9" s="95"/>
      <c r="I9" s="103"/>
      <c r="J9" s="136" t="str">
        <f>DEZ!D10</f>
        <v xml:space="preserve">INÍCIO DOS SERVIÇOS: </v>
      </c>
      <c r="K9" s="37"/>
      <c r="L9" s="146">
        <f>DEZ!F10</f>
        <v>44473</v>
      </c>
      <c r="M9" s="38"/>
      <c r="N9" s="59"/>
      <c r="O9" s="38"/>
      <c r="P9" s="733"/>
      <c r="T9" s="141"/>
      <c r="V9" s="39"/>
      <c r="W9" s="39"/>
      <c r="X9" s="39"/>
      <c r="Y9" s="39"/>
      <c r="Z9" s="39"/>
      <c r="AA9" s="39"/>
      <c r="AB9" s="39"/>
      <c r="AC9" s="39"/>
      <c r="AD9" s="39"/>
      <c r="AE9" s="39"/>
    </row>
    <row r="10" spans="1:31" s="16" customFormat="1" ht="24.95" customHeight="1">
      <c r="A10" s="14"/>
      <c r="B10" s="843" t="str">
        <f>FINANCEIRO!A494</f>
        <v>4.4.1.7</v>
      </c>
      <c r="C10" s="845" t="str">
        <f>FINANCEIRO!C494</f>
        <v>Rolete guia da estaca conforme especificações de projeto - fornecimento e instalação</v>
      </c>
      <c r="D10" s="816" t="s">
        <v>854</v>
      </c>
      <c r="E10" s="816"/>
      <c r="F10" s="816"/>
      <c r="G10" s="816" t="s">
        <v>33</v>
      </c>
      <c r="H10" s="816"/>
      <c r="I10" s="816"/>
      <c r="J10" s="812" t="s">
        <v>853</v>
      </c>
      <c r="K10" s="812" t="s">
        <v>855</v>
      </c>
      <c r="L10" s="812" t="s">
        <v>856</v>
      </c>
      <c r="M10" s="812" t="s">
        <v>62</v>
      </c>
      <c r="N10" s="849" t="s">
        <v>857</v>
      </c>
      <c r="O10" s="812" t="s">
        <v>10</v>
      </c>
      <c r="P10" s="812" t="s">
        <v>858</v>
      </c>
      <c r="Q10" s="120"/>
      <c r="R10" s="120"/>
      <c r="S10" s="143"/>
      <c r="T10" s="144"/>
      <c r="U10" s="15"/>
      <c r="V10" s="12"/>
      <c r="W10" s="12"/>
      <c r="X10" s="12"/>
      <c r="Y10" s="12"/>
      <c r="Z10" s="12"/>
      <c r="AA10" s="12"/>
      <c r="AB10" s="12"/>
      <c r="AC10" s="12"/>
      <c r="AD10" s="12"/>
      <c r="AE10" s="12"/>
    </row>
    <row r="11" spans="1:31" s="16" customFormat="1" ht="39.6" customHeight="1">
      <c r="A11" s="14"/>
      <c r="B11" s="844"/>
      <c r="C11" s="846"/>
      <c r="D11" s="816"/>
      <c r="E11" s="816"/>
      <c r="F11" s="816"/>
      <c r="G11" s="816"/>
      <c r="H11" s="816"/>
      <c r="I11" s="816"/>
      <c r="J11" s="813"/>
      <c r="K11" s="813"/>
      <c r="L11" s="813"/>
      <c r="M11" s="813"/>
      <c r="N11" s="850"/>
      <c r="O11" s="813"/>
      <c r="P11" s="813"/>
      <c r="Q11" s="120"/>
      <c r="R11" s="120"/>
      <c r="S11" s="143"/>
      <c r="T11" s="144"/>
      <c r="U11" s="15"/>
      <c r="V11" s="12"/>
      <c r="W11" s="12"/>
      <c r="X11" s="12"/>
      <c r="Y11" s="12"/>
      <c r="Z11" s="12"/>
      <c r="AA11" s="12"/>
      <c r="AB11" s="12"/>
      <c r="AC11" s="12"/>
      <c r="AD11" s="12"/>
      <c r="AE11" s="12"/>
    </row>
    <row r="12" spans="1:31" s="73" customFormat="1" ht="58.5" customHeight="1">
      <c r="A12" s="64"/>
      <c r="B12" s="109"/>
      <c r="C12" s="237" t="s">
        <v>1535</v>
      </c>
      <c r="D12" s="854"/>
      <c r="E12" s="855"/>
      <c r="F12" s="856"/>
      <c r="G12" s="857"/>
      <c r="H12" s="858"/>
      <c r="I12" s="859"/>
      <c r="J12" s="226"/>
      <c r="K12" s="81"/>
      <c r="L12" s="67"/>
      <c r="M12" s="68"/>
      <c r="N12" s="85">
        <v>2</v>
      </c>
      <c r="O12" s="154" t="str">
        <f>L16</f>
        <v>un</v>
      </c>
      <c r="P12" s="215">
        <v>20</v>
      </c>
      <c r="Q12" s="71"/>
      <c r="R12" s="71"/>
      <c r="S12" s="152"/>
      <c r="T12" s="153"/>
      <c r="U12" s="72"/>
      <c r="V12" s="71"/>
      <c r="W12" s="74"/>
    </row>
    <row r="13" spans="1:31" s="90" customFormat="1" ht="64.5" customHeight="1">
      <c r="A13" s="75"/>
      <c r="B13" s="107"/>
      <c r="C13" s="76"/>
      <c r="D13" s="77"/>
      <c r="E13" s="78"/>
      <c r="F13" s="79"/>
      <c r="G13" s="77"/>
      <c r="H13" s="78"/>
      <c r="I13" s="79"/>
      <c r="J13" s="80"/>
      <c r="K13" s="81"/>
      <c r="L13" s="82"/>
      <c r="M13" s="83"/>
      <c r="N13" s="85"/>
      <c r="O13" s="154"/>
      <c r="P13" s="215"/>
      <c r="Q13" s="86"/>
      <c r="R13" s="86"/>
      <c r="S13" s="86"/>
      <c r="T13" s="151"/>
      <c r="U13" s="87"/>
      <c r="V13" s="88"/>
      <c r="W13" s="89"/>
    </row>
    <row r="14" spans="1:31" s="90" customFormat="1" ht="21" customHeight="1">
      <c r="A14" s="75"/>
      <c r="B14" s="107"/>
      <c r="C14" s="104"/>
      <c r="D14" s="77"/>
      <c r="E14" s="78"/>
      <c r="F14" s="79"/>
      <c r="G14" s="77"/>
      <c r="H14" s="78"/>
      <c r="I14" s="79"/>
      <c r="J14" s="80"/>
      <c r="K14" s="81"/>
      <c r="L14" s="82"/>
      <c r="M14" s="83"/>
      <c r="N14" s="85"/>
      <c r="O14" s="154"/>
      <c r="P14" s="215"/>
      <c r="Q14" s="86"/>
      <c r="R14" s="86"/>
      <c r="S14" s="86"/>
      <c r="T14" s="151"/>
      <c r="U14" s="87"/>
      <c r="V14" s="88"/>
      <c r="W14" s="89"/>
    </row>
    <row r="15" spans="1:31" s="90" customFormat="1" ht="21" customHeight="1">
      <c r="A15" s="75"/>
      <c r="B15" s="157"/>
      <c r="C15" s="76"/>
      <c r="D15" s="77"/>
      <c r="E15" s="78"/>
      <c r="F15" s="79"/>
      <c r="G15" s="77"/>
      <c r="H15" s="78"/>
      <c r="I15" s="79"/>
      <c r="J15" s="80"/>
      <c r="K15" s="81"/>
      <c r="L15" s="82"/>
      <c r="M15" s="83"/>
      <c r="N15" s="85"/>
      <c r="O15" s="154"/>
      <c r="P15" s="215"/>
      <c r="Q15" s="86"/>
      <c r="R15" s="86"/>
      <c r="S15" s="86"/>
      <c r="T15" s="151"/>
      <c r="U15" s="87"/>
      <c r="V15" s="88"/>
      <c r="W15" s="89"/>
    </row>
    <row r="16" spans="1:31" ht="63" customHeight="1">
      <c r="B16" s="161"/>
      <c r="C16" s="162"/>
      <c r="D16" s="806" t="s">
        <v>11</v>
      </c>
      <c r="E16" s="807"/>
      <c r="F16" s="807"/>
      <c r="G16" s="807"/>
      <c r="H16" s="807"/>
      <c r="I16" s="808"/>
      <c r="J16" s="809">
        <f>FINANCEIRO!F494</f>
        <v>4</v>
      </c>
      <c r="K16" s="810"/>
      <c r="L16" s="727" t="str">
        <f>FINANCEIRO!D494</f>
        <v>un</v>
      </c>
      <c r="M16" s="732" t="s">
        <v>12</v>
      </c>
      <c r="N16" s="61">
        <f>SUM(N12:N15)</f>
        <v>2</v>
      </c>
      <c r="O16" s="51" t="str">
        <f>L16</f>
        <v>un</v>
      </c>
      <c r="P16" s="22"/>
    </row>
    <row r="17" spans="1:16" ht="40.5" customHeight="1">
      <c r="B17" s="163"/>
      <c r="C17" s="19"/>
      <c r="D17" s="817" t="s">
        <v>13</v>
      </c>
      <c r="E17" s="818"/>
      <c r="F17" s="818"/>
      <c r="G17" s="818"/>
      <c r="H17" s="818"/>
      <c r="I17" s="819"/>
      <c r="J17" s="823">
        <f>N16/J16</f>
        <v>0.5</v>
      </c>
      <c r="K17" s="824"/>
      <c r="L17" s="959" t="s">
        <v>1352</v>
      </c>
      <c r="M17" s="732" t="s">
        <v>34</v>
      </c>
      <c r="N17" s="61">
        <v>0</v>
      </c>
      <c r="O17" s="52" t="str">
        <f>L16</f>
        <v>un</v>
      </c>
      <c r="P17" s="22"/>
    </row>
    <row r="18" spans="1:16" ht="43.5" customHeight="1">
      <c r="A18" s="10" t="s">
        <v>469</v>
      </c>
      <c r="B18" s="165"/>
      <c r="C18" s="164"/>
      <c r="D18" s="820"/>
      <c r="E18" s="821"/>
      <c r="F18" s="821"/>
      <c r="G18" s="821"/>
      <c r="H18" s="821"/>
      <c r="I18" s="822"/>
      <c r="J18" s="825"/>
      <c r="K18" s="826"/>
      <c r="L18" s="960"/>
      <c r="M18" s="732" t="s">
        <v>14</v>
      </c>
      <c r="N18" s="62">
        <f>N16-N17</f>
        <v>2</v>
      </c>
      <c r="O18" s="53" t="str">
        <f>L16</f>
        <v>un</v>
      </c>
      <c r="P18" s="54"/>
    </row>
    <row r="19" spans="1:16" ht="52.5" customHeight="1">
      <c r="B19" s="218"/>
      <c r="C19" s="217"/>
      <c r="M19" s="732" t="s">
        <v>53</v>
      </c>
      <c r="N19" s="62">
        <f>FINANCEIRO!E494</f>
        <v>14345.61</v>
      </c>
      <c r="O19" s="53" t="s">
        <v>55</v>
      </c>
      <c r="P19" s="54"/>
    </row>
    <row r="20" spans="1:16" ht="40.5" customHeight="1">
      <c r="B20" s="163"/>
      <c r="C20" s="219"/>
      <c r="M20" s="732" t="s">
        <v>54</v>
      </c>
      <c r="N20" s="62">
        <f>TRUNC(N19*N18,2)</f>
        <v>28691.22</v>
      </c>
      <c r="O20" s="53" t="s">
        <v>55</v>
      </c>
      <c r="P20" s="54"/>
    </row>
    <row r="23" spans="1:16">
      <c r="C23" s="2">
        <f>18*5</f>
        <v>90</v>
      </c>
    </row>
    <row r="24" spans="1:16" ht="30">
      <c r="C24" s="76" t="s">
        <v>1529</v>
      </c>
    </row>
    <row r="25" spans="1:16" ht="45">
      <c r="C25" s="237" t="s">
        <v>1528</v>
      </c>
    </row>
  </sheetData>
  <mergeCells count="23">
    <mergeCell ref="B1:P4"/>
    <mergeCell ref="Q4:V4"/>
    <mergeCell ref="B5:I5"/>
    <mergeCell ref="J5:M5"/>
    <mergeCell ref="N5:P5"/>
    <mergeCell ref="B10:B11"/>
    <mergeCell ref="C10:C11"/>
    <mergeCell ref="D10:F11"/>
    <mergeCell ref="G10:I11"/>
    <mergeCell ref="J10:J11"/>
    <mergeCell ref="P10:P11"/>
    <mergeCell ref="D12:F12"/>
    <mergeCell ref="G12:I12"/>
    <mergeCell ref="N10:N11"/>
    <mergeCell ref="O10:O11"/>
    <mergeCell ref="K10:K11"/>
    <mergeCell ref="L10:L11"/>
    <mergeCell ref="M10:M11"/>
    <mergeCell ref="D16:I16"/>
    <mergeCell ref="J16:K16"/>
    <mergeCell ref="D17:I18"/>
    <mergeCell ref="J17:K18"/>
    <mergeCell ref="L17:L18"/>
  </mergeCells>
  <conditionalFormatting sqref="J17:K20">
    <cfRule type="cellIs" dxfId="249" priority="1" operator="greaterThanOrEqual">
      <formula>1</formula>
    </cfRule>
    <cfRule type="cellIs" dxfId="248" priority="2" operator="greaterThan">
      <formula>100%</formula>
    </cfRule>
  </conditionalFormatting>
  <pageMargins left="0.51181102362204722" right="0.51181102362204722" top="0.78740157480314965" bottom="0.78740157480314965" header="0.31496062992125984" footer="0.31496062992125984"/>
  <pageSetup paperSize="9" scale="59" fitToHeight="0" orientation="landscape" r:id="rId1"/>
  <headerFooter>
    <oddFooter>Página &amp;P de &amp;N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40C62-DEE5-4C8E-871D-04A00B340918}">
  <sheetPr>
    <tabColor rgb="FF339933"/>
    <pageSetUpPr fitToPage="1"/>
  </sheetPr>
  <dimension ref="A1:AE24"/>
  <sheetViews>
    <sheetView showGridLines="0" view="pageBreakPreview" zoomScale="50" zoomScaleNormal="55" zoomScaleSheetLayoutView="50" workbookViewId="0">
      <selection activeCell="N13" sqref="N13"/>
    </sheetView>
  </sheetViews>
  <sheetFormatPr defaultColWidth="9.140625" defaultRowHeight="12.75"/>
  <cols>
    <col min="1" max="1" width="9.140625" style="10"/>
    <col min="2" max="2" width="18.42578125" style="18" bestFit="1" customWidth="1"/>
    <col min="3" max="3" width="67.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1" width="13.5703125" style="2" customWidth="1"/>
    <col min="12" max="12" width="15.28515625" style="2" customWidth="1"/>
    <col min="13" max="13" width="22.85546875" style="2" customWidth="1"/>
    <col min="14" max="14" width="18.28515625" style="63" customWidth="1"/>
    <col min="15" max="15" width="9" style="2" customWidth="1"/>
    <col min="16" max="16" width="15.28515625" style="2" customWidth="1"/>
    <col min="17" max="19" width="9.140625" style="2"/>
    <col min="20" max="20" width="9.140625" style="140"/>
    <col min="21" max="22" width="9.140625" style="2"/>
    <col min="23" max="23" width="12.7109375" style="13" customWidth="1"/>
    <col min="24" max="16384" width="9.140625" style="2"/>
  </cols>
  <sheetData>
    <row r="1" spans="1:31" ht="18.75" customHeight="1">
      <c r="B1" s="831" t="s">
        <v>851</v>
      </c>
      <c r="C1" s="832"/>
      <c r="D1" s="832"/>
      <c r="E1" s="832"/>
      <c r="F1" s="832"/>
      <c r="G1" s="832"/>
      <c r="H1" s="832"/>
      <c r="I1" s="832"/>
      <c r="J1" s="832"/>
      <c r="K1" s="832"/>
      <c r="L1" s="832"/>
      <c r="M1" s="832"/>
      <c r="N1" s="832"/>
      <c r="O1" s="832"/>
      <c r="P1" s="832"/>
    </row>
    <row r="2" spans="1:31" ht="18.75" customHeight="1">
      <c r="B2" s="832"/>
      <c r="C2" s="832"/>
      <c r="D2" s="832"/>
      <c r="E2" s="832"/>
      <c r="F2" s="832"/>
      <c r="G2" s="832"/>
      <c r="H2" s="832"/>
      <c r="I2" s="832"/>
      <c r="J2" s="832"/>
      <c r="K2" s="832"/>
      <c r="L2" s="832"/>
      <c r="M2" s="832"/>
      <c r="N2" s="832"/>
      <c r="O2" s="832"/>
      <c r="P2" s="832"/>
    </row>
    <row r="3" spans="1:31" ht="18.75" customHeight="1">
      <c r="B3" s="832"/>
      <c r="C3" s="832"/>
      <c r="D3" s="832"/>
      <c r="E3" s="832"/>
      <c r="F3" s="832"/>
      <c r="G3" s="832"/>
      <c r="H3" s="832"/>
      <c r="I3" s="832"/>
      <c r="J3" s="832"/>
      <c r="K3" s="832"/>
      <c r="L3" s="832"/>
      <c r="M3" s="832"/>
      <c r="N3" s="832"/>
      <c r="O3" s="832"/>
      <c r="P3" s="832"/>
    </row>
    <row r="4" spans="1:31" ht="18.75" customHeight="1">
      <c r="B4" s="832"/>
      <c r="C4" s="832"/>
      <c r="D4" s="832"/>
      <c r="E4" s="832"/>
      <c r="F4" s="832"/>
      <c r="G4" s="832"/>
      <c r="H4" s="832"/>
      <c r="I4" s="832"/>
      <c r="J4" s="832"/>
      <c r="K4" s="832"/>
      <c r="L4" s="832"/>
      <c r="M4" s="832"/>
      <c r="N4" s="832"/>
      <c r="O4" s="832"/>
      <c r="P4" s="832"/>
      <c r="Q4" s="833"/>
      <c r="R4" s="833"/>
      <c r="S4" s="833"/>
      <c r="T4" s="833"/>
      <c r="U4" s="833"/>
      <c r="V4" s="833"/>
    </row>
    <row r="5" spans="1:31" s="21" customFormat="1" ht="15.75" customHeight="1">
      <c r="A5" s="29"/>
      <c r="B5" s="834" t="s">
        <v>5</v>
      </c>
      <c r="C5" s="835"/>
      <c r="D5" s="835"/>
      <c r="E5" s="835"/>
      <c r="F5" s="835"/>
      <c r="G5" s="835"/>
      <c r="H5" s="835"/>
      <c r="I5" s="836"/>
      <c r="J5" s="837" t="s">
        <v>6</v>
      </c>
      <c r="K5" s="838"/>
      <c r="L5" s="838"/>
      <c r="M5" s="838"/>
      <c r="N5" s="841"/>
      <c r="O5" s="841"/>
      <c r="P5" s="841"/>
      <c r="Q5" s="158"/>
      <c r="R5" s="158"/>
      <c r="S5" s="158"/>
      <c r="T5" s="158"/>
      <c r="U5" s="158"/>
      <c r="V5" s="158"/>
      <c r="W5" s="30"/>
    </row>
    <row r="6" spans="1:31"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T6" s="141"/>
      <c r="W6" s="36"/>
    </row>
    <row r="7" spans="1:31" s="35" customFormat="1" ht="15.75">
      <c r="A7" s="31"/>
      <c r="B7" s="98"/>
      <c r="C7" s="145"/>
      <c r="D7" s="37"/>
      <c r="E7" s="38"/>
      <c r="F7" s="38"/>
      <c r="G7" s="37"/>
      <c r="H7" s="38"/>
      <c r="I7" s="56"/>
      <c r="J7" s="136" t="str">
        <f>DEZ!D8</f>
        <v xml:space="preserve">CONTRATO N°: </v>
      </c>
      <c r="K7" s="37"/>
      <c r="L7" s="115" t="str">
        <f>DEZ!F8</f>
        <v>06/2021</v>
      </c>
      <c r="M7" s="37"/>
      <c r="N7" s="58"/>
      <c r="O7" s="37"/>
      <c r="P7" s="733"/>
      <c r="T7" s="141"/>
      <c r="W7" s="36"/>
    </row>
    <row r="8" spans="1:31" s="35" customFormat="1" ht="15.75">
      <c r="A8" s="31"/>
      <c r="B8" s="98" t="s">
        <v>7</v>
      </c>
      <c r="C8" s="121">
        <f>FINANCEIRO!C9</f>
        <v>20</v>
      </c>
      <c r="D8" s="37"/>
      <c r="E8" s="38"/>
      <c r="F8" s="38"/>
      <c r="G8" s="37"/>
      <c r="H8" s="38"/>
      <c r="I8" s="56"/>
      <c r="J8" s="136" t="str">
        <f>DEZ!D9</f>
        <v xml:space="preserve">ASSINATURA: </v>
      </c>
      <c r="K8" s="37"/>
      <c r="L8" s="146">
        <f>DEZ!F9</f>
        <v>44349</v>
      </c>
      <c r="M8" s="38"/>
      <c r="N8" s="59"/>
      <c r="O8" s="38"/>
      <c r="P8" s="733"/>
      <c r="T8" s="141"/>
      <c r="V8" s="39"/>
      <c r="W8" s="39"/>
      <c r="X8" s="39"/>
      <c r="Y8" s="39"/>
      <c r="Z8" s="39"/>
      <c r="AA8" s="39"/>
      <c r="AB8" s="39"/>
      <c r="AC8" s="39"/>
      <c r="AD8" s="39"/>
      <c r="AE8" s="39"/>
    </row>
    <row r="9" spans="1:31" s="35" customFormat="1" ht="15.75">
      <c r="A9" s="31"/>
      <c r="B9" s="99" t="s">
        <v>8</v>
      </c>
      <c r="C9" s="122" t="str">
        <f>FINANCEIRO!C10</f>
        <v>01/07/2023 a 30/09/2023</v>
      </c>
      <c r="D9" s="96"/>
      <c r="E9" s="95"/>
      <c r="F9" s="95"/>
      <c r="G9" s="96"/>
      <c r="H9" s="95"/>
      <c r="I9" s="103"/>
      <c r="J9" s="136" t="str">
        <f>DEZ!D10</f>
        <v xml:space="preserve">INÍCIO DOS SERVIÇOS: </v>
      </c>
      <c r="K9" s="37"/>
      <c r="L9" s="146">
        <f>DEZ!F10</f>
        <v>44473</v>
      </c>
      <c r="M9" s="38"/>
      <c r="N9" s="59"/>
      <c r="O9" s="38"/>
      <c r="P9" s="733"/>
      <c r="T9" s="141"/>
      <c r="V9" s="39"/>
      <c r="W9" s="39"/>
      <c r="X9" s="39"/>
      <c r="Y9" s="39"/>
      <c r="Z9" s="39"/>
      <c r="AA9" s="39"/>
      <c r="AB9" s="39"/>
      <c r="AC9" s="39"/>
      <c r="AD9" s="39"/>
      <c r="AE9" s="39"/>
    </row>
    <row r="10" spans="1:31" s="16" customFormat="1" ht="24.95" customHeight="1">
      <c r="A10" s="14"/>
      <c r="B10" s="843" t="str">
        <f>FINANCEIRO!A550</f>
        <v>4.6.1.18</v>
      </c>
      <c r="C10" s="845" t="str">
        <f>FINANCEIRO!C549</f>
        <v>Instalação e fornecimento de luminária High Bay LED 100W</v>
      </c>
      <c r="D10" s="816" t="s">
        <v>854</v>
      </c>
      <c r="E10" s="816"/>
      <c r="F10" s="816"/>
      <c r="G10" s="816" t="s">
        <v>33</v>
      </c>
      <c r="H10" s="816"/>
      <c r="I10" s="816"/>
      <c r="J10" s="812" t="s">
        <v>853</v>
      </c>
      <c r="K10" s="812" t="s">
        <v>855</v>
      </c>
      <c r="L10" s="812" t="s">
        <v>856</v>
      </c>
      <c r="M10" s="812" t="s">
        <v>62</v>
      </c>
      <c r="N10" s="849" t="s">
        <v>857</v>
      </c>
      <c r="O10" s="812" t="s">
        <v>10</v>
      </c>
      <c r="P10" s="812" t="s">
        <v>858</v>
      </c>
      <c r="Q10" s="120"/>
      <c r="R10" s="120"/>
      <c r="S10" s="143"/>
      <c r="T10" s="144"/>
      <c r="U10" s="15"/>
      <c r="V10" s="12"/>
      <c r="W10" s="12"/>
      <c r="X10" s="12"/>
      <c r="Y10" s="12"/>
      <c r="Z10" s="12"/>
      <c r="AA10" s="12"/>
      <c r="AB10" s="12"/>
      <c r="AC10" s="12"/>
      <c r="AD10" s="12"/>
      <c r="AE10" s="12"/>
    </row>
    <row r="11" spans="1:31" s="16" customFormat="1" ht="39.6" customHeight="1">
      <c r="A11" s="14"/>
      <c r="B11" s="844"/>
      <c r="C11" s="846"/>
      <c r="D11" s="816"/>
      <c r="E11" s="816"/>
      <c r="F11" s="816"/>
      <c r="G11" s="816"/>
      <c r="H11" s="816"/>
      <c r="I11" s="816"/>
      <c r="J11" s="813"/>
      <c r="K11" s="813"/>
      <c r="L11" s="813"/>
      <c r="M11" s="813"/>
      <c r="N11" s="850"/>
      <c r="O11" s="813"/>
      <c r="P11" s="813"/>
      <c r="Q11" s="120"/>
      <c r="R11" s="120"/>
      <c r="S11" s="143"/>
      <c r="T11" s="144"/>
      <c r="U11" s="15"/>
      <c r="V11" s="12"/>
      <c r="W11" s="12"/>
      <c r="X11" s="12"/>
      <c r="Y11" s="12"/>
      <c r="Z11" s="12"/>
      <c r="AA11" s="12"/>
      <c r="AB11" s="12"/>
      <c r="AC11" s="12"/>
      <c r="AD11" s="12"/>
      <c r="AE11" s="12"/>
    </row>
    <row r="12" spans="1:31" s="73" customFormat="1" ht="58.5" customHeight="1">
      <c r="A12" s="64"/>
      <c r="B12" s="109"/>
      <c r="C12" s="237" t="s">
        <v>1531</v>
      </c>
      <c r="D12" s="854"/>
      <c r="E12" s="855"/>
      <c r="F12" s="856"/>
      <c r="G12" s="857"/>
      <c r="H12" s="858"/>
      <c r="I12" s="859"/>
      <c r="J12" s="226"/>
      <c r="K12" s="81"/>
      <c r="L12" s="67"/>
      <c r="M12" s="68"/>
      <c r="N12" s="85">
        <v>0</v>
      </c>
      <c r="O12" s="154" t="str">
        <f>L16</f>
        <v>m</v>
      </c>
      <c r="P12" s="215">
        <v>20</v>
      </c>
      <c r="Q12" s="71"/>
      <c r="R12" s="71"/>
      <c r="S12" s="152"/>
      <c r="T12" s="153"/>
      <c r="U12" s="72"/>
      <c r="V12" s="71"/>
      <c r="W12" s="74"/>
    </row>
    <row r="13" spans="1:31" s="90" customFormat="1" ht="64.5" customHeight="1">
      <c r="A13" s="75"/>
      <c r="B13" s="107"/>
      <c r="C13" s="76"/>
      <c r="D13" s="77"/>
      <c r="E13" s="78"/>
      <c r="F13" s="79"/>
      <c r="G13" s="77"/>
      <c r="H13" s="78"/>
      <c r="I13" s="79"/>
      <c r="J13" s="80"/>
      <c r="K13" s="81"/>
      <c r="L13" s="82"/>
      <c r="M13" s="83"/>
      <c r="N13" s="85"/>
      <c r="O13" s="154"/>
      <c r="P13" s="215"/>
      <c r="Q13" s="86"/>
      <c r="R13" s="86"/>
      <c r="S13" s="86"/>
      <c r="T13" s="151"/>
      <c r="U13" s="87"/>
      <c r="V13" s="88"/>
      <c r="W13" s="89"/>
    </row>
    <row r="14" spans="1:31" s="90" customFormat="1" ht="21" customHeight="1">
      <c r="A14" s="75"/>
      <c r="B14" s="107"/>
      <c r="C14" s="104"/>
      <c r="D14" s="77"/>
      <c r="E14" s="78"/>
      <c r="F14" s="79"/>
      <c r="G14" s="77"/>
      <c r="H14" s="78"/>
      <c r="I14" s="79"/>
      <c r="J14" s="80"/>
      <c r="K14" s="81"/>
      <c r="L14" s="82"/>
      <c r="M14" s="83"/>
      <c r="N14" s="85"/>
      <c r="O14" s="154"/>
      <c r="P14" s="215"/>
      <c r="Q14" s="86"/>
      <c r="R14" s="86"/>
      <c r="S14" s="86"/>
      <c r="T14" s="151"/>
      <c r="U14" s="87"/>
      <c r="V14" s="88"/>
      <c r="W14" s="89"/>
    </row>
    <row r="15" spans="1:31" s="90" customFormat="1" ht="21" customHeight="1">
      <c r="A15" s="75"/>
      <c r="B15" s="157"/>
      <c r="C15" s="76"/>
      <c r="D15" s="77"/>
      <c r="E15" s="78"/>
      <c r="F15" s="79"/>
      <c r="G15" s="77"/>
      <c r="H15" s="78"/>
      <c r="I15" s="79"/>
      <c r="J15" s="80"/>
      <c r="K15" s="81"/>
      <c r="L15" s="82"/>
      <c r="M15" s="83"/>
      <c r="N15" s="85"/>
      <c r="O15" s="154"/>
      <c r="P15" s="215"/>
      <c r="Q15" s="86"/>
      <c r="R15" s="86"/>
      <c r="S15" s="86"/>
      <c r="T15" s="151"/>
      <c r="U15" s="87"/>
      <c r="V15" s="88"/>
      <c r="W15" s="89"/>
    </row>
    <row r="16" spans="1:31" ht="63" customHeight="1">
      <c r="B16" s="161"/>
      <c r="C16" s="162"/>
      <c r="D16" s="806" t="s">
        <v>11</v>
      </c>
      <c r="E16" s="807"/>
      <c r="F16" s="807"/>
      <c r="G16" s="807"/>
      <c r="H16" s="807"/>
      <c r="I16" s="808"/>
      <c r="J16" s="809">
        <f>FINANCEIRO!F549</f>
        <v>20</v>
      </c>
      <c r="K16" s="810"/>
      <c r="L16" s="727" t="str">
        <f>FINANCEIRO!D522</f>
        <v>m</v>
      </c>
      <c r="M16" s="732" t="s">
        <v>12</v>
      </c>
      <c r="N16" s="61">
        <f>SUM(N12:N15)</f>
        <v>0</v>
      </c>
      <c r="O16" s="51" t="str">
        <f>L16</f>
        <v>m</v>
      </c>
      <c r="P16" s="22"/>
    </row>
    <row r="17" spans="1:16" ht="40.5" customHeight="1">
      <c r="B17" s="163"/>
      <c r="C17" s="19"/>
      <c r="D17" s="817" t="s">
        <v>13</v>
      </c>
      <c r="E17" s="818"/>
      <c r="F17" s="818"/>
      <c r="G17" s="818"/>
      <c r="H17" s="818"/>
      <c r="I17" s="819"/>
      <c r="J17" s="823">
        <f>N16/J16</f>
        <v>0</v>
      </c>
      <c r="K17" s="824"/>
      <c r="L17" s="959" t="s">
        <v>1352</v>
      </c>
      <c r="M17" s="732" t="s">
        <v>34</v>
      </c>
      <c r="N17" s="61">
        <v>8</v>
      </c>
      <c r="O17" s="52" t="str">
        <f>L16</f>
        <v>m</v>
      </c>
      <c r="P17" s="22"/>
    </row>
    <row r="18" spans="1:16" ht="43.5" customHeight="1">
      <c r="A18" s="10" t="s">
        <v>469</v>
      </c>
      <c r="B18" s="165"/>
      <c r="C18" s="164"/>
      <c r="D18" s="820"/>
      <c r="E18" s="821"/>
      <c r="F18" s="821"/>
      <c r="G18" s="821"/>
      <c r="H18" s="821"/>
      <c r="I18" s="822"/>
      <c r="J18" s="825"/>
      <c r="K18" s="826"/>
      <c r="L18" s="960"/>
      <c r="M18" s="732" t="s">
        <v>14</v>
      </c>
      <c r="N18" s="62">
        <f>N12</f>
        <v>0</v>
      </c>
      <c r="O18" s="53" t="str">
        <f>L16</f>
        <v>m</v>
      </c>
      <c r="P18" s="54"/>
    </row>
    <row r="19" spans="1:16" ht="52.5" customHeight="1">
      <c r="B19" s="218"/>
      <c r="C19" s="217"/>
      <c r="M19" s="732" t="s">
        <v>53</v>
      </c>
      <c r="N19" s="62">
        <f>FINANCEIRO!E549</f>
        <v>362.44</v>
      </c>
      <c r="O19" s="53" t="s">
        <v>55</v>
      </c>
      <c r="P19" s="54"/>
    </row>
    <row r="20" spans="1:16" ht="40.5" customHeight="1">
      <c r="B20" s="163"/>
      <c r="C20" s="219"/>
      <c r="M20" s="732" t="s">
        <v>54</v>
      </c>
      <c r="N20" s="62">
        <f>TRUNC(N19*N18,2)</f>
        <v>0</v>
      </c>
      <c r="O20" s="53" t="s">
        <v>55</v>
      </c>
      <c r="P20" s="54"/>
    </row>
    <row r="23" spans="1:16">
      <c r="C23" s="2">
        <f>18*5</f>
        <v>90</v>
      </c>
    </row>
    <row r="24" spans="1:16">
      <c r="C24" s="2">
        <f>C23*0.09</f>
        <v>8.1</v>
      </c>
    </row>
  </sheetData>
  <mergeCells count="23">
    <mergeCell ref="P10:P11"/>
    <mergeCell ref="B1:P4"/>
    <mergeCell ref="Q4:V4"/>
    <mergeCell ref="B5:I5"/>
    <mergeCell ref="J5:M5"/>
    <mergeCell ref="N5:P5"/>
    <mergeCell ref="B10:B11"/>
    <mergeCell ref="C10:C11"/>
    <mergeCell ref="D10:F11"/>
    <mergeCell ref="G10:I11"/>
    <mergeCell ref="J10:J11"/>
    <mergeCell ref="K10:K11"/>
    <mergeCell ref="L10:L11"/>
    <mergeCell ref="M10:M11"/>
    <mergeCell ref="N10:N11"/>
    <mergeCell ref="O10:O11"/>
    <mergeCell ref="L17:L18"/>
    <mergeCell ref="D12:F12"/>
    <mergeCell ref="G12:I12"/>
    <mergeCell ref="D16:I16"/>
    <mergeCell ref="J16:K16"/>
    <mergeCell ref="D17:I18"/>
    <mergeCell ref="J17:K18"/>
  </mergeCells>
  <conditionalFormatting sqref="J17:K20">
    <cfRule type="cellIs" dxfId="247" priority="1" operator="greaterThanOrEqual">
      <formula>1</formula>
    </cfRule>
    <cfRule type="cellIs" dxfId="246" priority="2" operator="greaterThan">
      <formula>100%</formula>
    </cfRule>
  </conditionalFormatting>
  <pageMargins left="0.51181102362204722" right="0.51181102362204722" top="0.78740157480314965" bottom="0.78740157480314965" header="0.31496062992125984" footer="0.31496062992125984"/>
  <pageSetup paperSize="9" scale="59" fitToHeight="0" orientation="landscape" r:id="rId1"/>
  <headerFooter>
    <oddFooter>Página &amp;P de &amp;N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60E98-C4C1-43E8-9AE8-3F77A6D4EECD}">
  <sheetPr>
    <tabColor rgb="FF339933"/>
    <pageSetUpPr fitToPage="1"/>
  </sheetPr>
  <dimension ref="A1:AE24"/>
  <sheetViews>
    <sheetView view="pageBreakPreview" zoomScale="50" zoomScaleNormal="55" zoomScaleSheetLayoutView="50" workbookViewId="0">
      <selection activeCell="N22" sqref="N22"/>
    </sheetView>
  </sheetViews>
  <sheetFormatPr defaultColWidth="9.140625" defaultRowHeight="12.75"/>
  <cols>
    <col min="1" max="1" width="9.140625" style="10"/>
    <col min="2" max="2" width="18.42578125" style="18" bestFit="1" customWidth="1"/>
    <col min="3" max="3" width="75.7109375" style="2" customWidth="1"/>
    <col min="4" max="4" width="6.7109375" style="2" customWidth="1"/>
    <col min="5" max="5" width="2.42578125" style="2" customWidth="1"/>
    <col min="6" max="6" width="7.140625" style="2" bestFit="1" customWidth="1"/>
    <col min="7" max="7" width="6.7109375" style="2" customWidth="1"/>
    <col min="8" max="8" width="2.42578125" style="2" customWidth="1"/>
    <col min="9" max="9" width="9.5703125" style="2" bestFit="1" customWidth="1"/>
    <col min="10" max="10" width="15.42578125" style="2" customWidth="1"/>
    <col min="11" max="12" width="13.5703125" style="2" customWidth="1"/>
    <col min="13" max="13" width="35.42578125" style="2" customWidth="1"/>
    <col min="14" max="14" width="16" style="63" customWidth="1"/>
    <col min="15" max="15" width="9" style="2" customWidth="1"/>
    <col min="16" max="16" width="15.28515625" style="2" customWidth="1"/>
    <col min="17" max="19" width="9.140625" style="2"/>
    <col min="20" max="20" width="9.140625" style="140"/>
    <col min="21" max="22" width="9.140625" style="2"/>
    <col min="23" max="23" width="12.7109375" style="13" customWidth="1"/>
    <col min="24" max="16384" width="9.140625" style="2"/>
  </cols>
  <sheetData>
    <row r="1" spans="1:31" ht="18.75" customHeight="1">
      <c r="B1" s="831" t="s">
        <v>851</v>
      </c>
      <c r="C1" s="832"/>
      <c r="D1" s="832"/>
      <c r="E1" s="832"/>
      <c r="F1" s="832"/>
      <c r="G1" s="832"/>
      <c r="H1" s="832"/>
      <c r="I1" s="832"/>
      <c r="J1" s="832"/>
      <c r="K1" s="832"/>
      <c r="L1" s="832"/>
      <c r="M1" s="832"/>
      <c r="N1" s="832"/>
      <c r="O1" s="832"/>
      <c r="P1" s="832"/>
    </row>
    <row r="2" spans="1:31" ht="18.75" customHeight="1">
      <c r="B2" s="832"/>
      <c r="C2" s="832"/>
      <c r="D2" s="832"/>
      <c r="E2" s="832"/>
      <c r="F2" s="832"/>
      <c r="G2" s="832"/>
      <c r="H2" s="832"/>
      <c r="I2" s="832"/>
      <c r="J2" s="832"/>
      <c r="K2" s="832"/>
      <c r="L2" s="832"/>
      <c r="M2" s="832"/>
      <c r="N2" s="832"/>
      <c r="O2" s="832"/>
      <c r="P2" s="832"/>
    </row>
    <row r="3" spans="1:31" ht="18.75" customHeight="1">
      <c r="B3" s="832"/>
      <c r="C3" s="832"/>
      <c r="D3" s="832"/>
      <c r="E3" s="832"/>
      <c r="F3" s="832"/>
      <c r="G3" s="832"/>
      <c r="H3" s="832"/>
      <c r="I3" s="832"/>
      <c r="J3" s="832"/>
      <c r="K3" s="832"/>
      <c r="L3" s="832"/>
      <c r="M3" s="832"/>
      <c r="N3" s="832"/>
      <c r="O3" s="832"/>
      <c r="P3" s="832"/>
    </row>
    <row r="4" spans="1:31" ht="18.75" customHeight="1">
      <c r="B4" s="832"/>
      <c r="C4" s="832"/>
      <c r="D4" s="832"/>
      <c r="E4" s="832"/>
      <c r="F4" s="832"/>
      <c r="G4" s="832"/>
      <c r="H4" s="832"/>
      <c r="I4" s="832"/>
      <c r="J4" s="832"/>
      <c r="K4" s="832"/>
      <c r="L4" s="832"/>
      <c r="M4" s="832"/>
      <c r="N4" s="832"/>
      <c r="O4" s="832"/>
      <c r="P4" s="832"/>
      <c r="Q4" s="833"/>
      <c r="R4" s="833"/>
      <c r="S4" s="833"/>
      <c r="T4" s="833"/>
      <c r="U4" s="833"/>
      <c r="V4" s="833"/>
    </row>
    <row r="5" spans="1:31" s="21" customFormat="1" ht="15.75" customHeight="1">
      <c r="A5" s="29"/>
      <c r="B5" s="834" t="s">
        <v>5</v>
      </c>
      <c r="C5" s="835"/>
      <c r="D5" s="835"/>
      <c r="E5" s="835"/>
      <c r="F5" s="835"/>
      <c r="G5" s="835"/>
      <c r="H5" s="835"/>
      <c r="I5" s="836"/>
      <c r="J5" s="837" t="s">
        <v>6</v>
      </c>
      <c r="K5" s="838"/>
      <c r="L5" s="838"/>
      <c r="M5" s="838"/>
      <c r="N5" s="841"/>
      <c r="O5" s="841"/>
      <c r="P5" s="841"/>
      <c r="Q5" s="158"/>
      <c r="R5" s="158"/>
      <c r="S5" s="158"/>
      <c r="T5" s="158"/>
      <c r="U5" s="158"/>
      <c r="V5" s="158"/>
      <c r="W5" s="30"/>
    </row>
    <row r="6" spans="1:31" s="35" customFormat="1" ht="15.75">
      <c r="A6" s="31"/>
      <c r="B6" s="97" t="s">
        <v>4</v>
      </c>
      <c r="C6" s="101" t="str">
        <f>VLOOKUP(B6,DEZ!_xlnm.Print_Area,3,FALSE)</f>
        <v>Execução de quatro pontos de embarque e desembarque do sistema aquaviário</v>
      </c>
      <c r="D6" s="33"/>
      <c r="E6" s="100"/>
      <c r="F6" s="100"/>
      <c r="G6" s="33"/>
      <c r="H6" s="100"/>
      <c r="I6" s="102"/>
      <c r="J6" s="135" t="str">
        <f>DEZ!D7</f>
        <v xml:space="preserve">EMPREITEIRA:  </v>
      </c>
      <c r="K6" s="37"/>
      <c r="L6" s="32" t="str">
        <f>DEZ!F7</f>
        <v>AMF Engenharia e Serviços Ltda.</v>
      </c>
      <c r="M6" s="32"/>
      <c r="N6" s="57"/>
      <c r="O6" s="33"/>
      <c r="P6" s="33"/>
      <c r="T6" s="141"/>
      <c r="W6" s="36"/>
    </row>
    <row r="7" spans="1:31" s="35" customFormat="1" ht="15.75">
      <c r="A7" s="31"/>
      <c r="B7" s="98"/>
      <c r="C7" s="145"/>
      <c r="D7" s="37"/>
      <c r="E7" s="38"/>
      <c r="F7" s="38"/>
      <c r="G7" s="37"/>
      <c r="H7" s="38"/>
      <c r="I7" s="56"/>
      <c r="J7" s="136" t="str">
        <f>DEZ!D8</f>
        <v xml:space="preserve">CONTRATO N°: </v>
      </c>
      <c r="K7" s="37"/>
      <c r="L7" s="115" t="str">
        <f>DEZ!F8</f>
        <v>06/2021</v>
      </c>
      <c r="M7" s="37"/>
      <c r="N7" s="58"/>
      <c r="O7" s="37"/>
      <c r="P7" s="733"/>
      <c r="T7" s="141"/>
      <c r="W7" s="36"/>
    </row>
    <row r="8" spans="1:31" s="35" customFormat="1" ht="15.75">
      <c r="A8" s="31"/>
      <c r="B8" s="98" t="s">
        <v>7</v>
      </c>
      <c r="C8" s="121">
        <f>FINANCEIRO!C9</f>
        <v>20</v>
      </c>
      <c r="D8" s="37"/>
      <c r="E8" s="38"/>
      <c r="F8" s="38"/>
      <c r="G8" s="37"/>
      <c r="H8" s="38"/>
      <c r="I8" s="56"/>
      <c r="J8" s="136" t="str">
        <f>DEZ!D9</f>
        <v xml:space="preserve">ASSINATURA: </v>
      </c>
      <c r="K8" s="37"/>
      <c r="L8" s="146">
        <f>DEZ!F9</f>
        <v>44349</v>
      </c>
      <c r="M8" s="38"/>
      <c r="N8" s="59"/>
      <c r="O8" s="38"/>
      <c r="P8" s="733"/>
      <c r="T8" s="141"/>
      <c r="V8" s="39"/>
      <c r="W8" s="39"/>
      <c r="X8" s="39"/>
      <c r="Y8" s="39"/>
      <c r="Z8" s="39"/>
      <c r="AA8" s="39"/>
      <c r="AB8" s="39"/>
      <c r="AC8" s="39"/>
      <c r="AD8" s="39"/>
      <c r="AE8" s="39"/>
    </row>
    <row r="9" spans="1:31" s="35" customFormat="1" ht="15.75">
      <c r="A9" s="31"/>
      <c r="B9" s="99" t="s">
        <v>8</v>
      </c>
      <c r="C9" s="122" t="str">
        <f>FINANCEIRO!C10</f>
        <v>01/07/2023 a 30/09/2023</v>
      </c>
      <c r="D9" s="96"/>
      <c r="E9" s="95"/>
      <c r="F9" s="95"/>
      <c r="G9" s="96"/>
      <c r="H9" s="95"/>
      <c r="I9" s="103"/>
      <c r="J9" s="136" t="str">
        <f>DEZ!D10</f>
        <v xml:space="preserve">INÍCIO DOS SERVIÇOS: </v>
      </c>
      <c r="K9" s="37"/>
      <c r="L9" s="146">
        <f>DEZ!F10</f>
        <v>44473</v>
      </c>
      <c r="M9" s="38"/>
      <c r="N9" s="59"/>
      <c r="O9" s="38"/>
      <c r="P9" s="733"/>
      <c r="T9" s="141"/>
      <c r="V9" s="39"/>
      <c r="W9" s="39"/>
      <c r="X9" s="39"/>
      <c r="Y9" s="39"/>
      <c r="Z9" s="39"/>
      <c r="AA9" s="39"/>
      <c r="AB9" s="39"/>
      <c r="AC9" s="39"/>
      <c r="AD9" s="39"/>
      <c r="AE9" s="39"/>
    </row>
    <row r="10" spans="1:31" s="16" customFormat="1" ht="24.95" customHeight="1">
      <c r="A10" s="14"/>
      <c r="B10" s="843" t="str">
        <f>FINANCEIRO!A405</f>
        <v>4.1.2.1</v>
      </c>
      <c r="C10" s="845" t="str">
        <f>FINANCEIRO!C405</f>
        <v>Demolição de piso cimentado inclusive lastro de concreto</v>
      </c>
      <c r="D10" s="816" t="s">
        <v>854</v>
      </c>
      <c r="E10" s="816"/>
      <c r="F10" s="816"/>
      <c r="G10" s="816" t="s">
        <v>33</v>
      </c>
      <c r="H10" s="816"/>
      <c r="I10" s="816"/>
      <c r="J10" s="812" t="s">
        <v>853</v>
      </c>
      <c r="K10" s="812" t="s">
        <v>855</v>
      </c>
      <c r="L10" s="812" t="s">
        <v>856</v>
      </c>
      <c r="M10" s="812" t="s">
        <v>62</v>
      </c>
      <c r="N10" s="849" t="s">
        <v>857</v>
      </c>
      <c r="O10" s="812" t="s">
        <v>10</v>
      </c>
      <c r="P10" s="812" t="s">
        <v>858</v>
      </c>
      <c r="Q10" s="120"/>
      <c r="R10" s="120"/>
      <c r="S10" s="143"/>
      <c r="T10" s="144"/>
      <c r="U10" s="15"/>
      <c r="V10" s="12"/>
      <c r="W10" s="12"/>
      <c r="X10" s="12"/>
      <c r="Y10" s="12"/>
      <c r="Z10" s="12"/>
      <c r="AA10" s="12"/>
      <c r="AB10" s="12"/>
      <c r="AC10" s="12"/>
      <c r="AD10" s="12"/>
      <c r="AE10" s="12"/>
    </row>
    <row r="11" spans="1:31" s="16" customFormat="1" ht="39.6" customHeight="1">
      <c r="A11" s="14"/>
      <c r="B11" s="844"/>
      <c r="C11" s="846"/>
      <c r="D11" s="816"/>
      <c r="E11" s="816"/>
      <c r="F11" s="816"/>
      <c r="G11" s="816"/>
      <c r="H11" s="816"/>
      <c r="I11" s="816"/>
      <c r="J11" s="813"/>
      <c r="K11" s="813"/>
      <c r="L11" s="813"/>
      <c r="M11" s="813"/>
      <c r="N11" s="850"/>
      <c r="O11" s="813"/>
      <c r="P11" s="813"/>
      <c r="Q11" s="120"/>
      <c r="R11" s="120"/>
      <c r="S11" s="143"/>
      <c r="T11" s="144"/>
      <c r="U11" s="15"/>
      <c r="V11" s="12"/>
      <c r="W11" s="12"/>
      <c r="X11" s="12"/>
      <c r="Y11" s="12"/>
      <c r="Z11" s="12"/>
      <c r="AA11" s="12"/>
      <c r="AB11" s="12"/>
      <c r="AC11" s="12"/>
      <c r="AD11" s="12"/>
      <c r="AE11" s="12"/>
    </row>
    <row r="12" spans="1:31" s="73" customFormat="1" ht="15">
      <c r="A12" s="64"/>
      <c r="B12" s="109"/>
      <c r="C12" s="237" t="s">
        <v>1476</v>
      </c>
      <c r="D12" s="854">
        <v>42</v>
      </c>
      <c r="E12" s="855"/>
      <c r="F12" s="856"/>
      <c r="G12" s="932">
        <v>0.6</v>
      </c>
      <c r="H12" s="933"/>
      <c r="I12" s="934"/>
      <c r="J12" s="226"/>
      <c r="K12" s="81">
        <f>D12*G12</f>
        <v>25.2</v>
      </c>
      <c r="L12" s="82"/>
      <c r="M12" s="83"/>
      <c r="N12" s="85">
        <f>K12</f>
        <v>25.2</v>
      </c>
      <c r="O12" s="154" t="s">
        <v>57</v>
      </c>
      <c r="P12" s="215">
        <v>6</v>
      </c>
      <c r="Q12" s="71"/>
      <c r="R12" s="71"/>
      <c r="S12" s="152"/>
      <c r="T12" s="153"/>
      <c r="U12" s="72"/>
    </row>
    <row r="13" spans="1:31" s="73" customFormat="1" ht="21" customHeight="1">
      <c r="A13" s="64"/>
      <c r="B13" s="109"/>
      <c r="C13" s="237"/>
      <c r="D13" s="77"/>
      <c r="E13" s="78"/>
      <c r="F13" s="79"/>
      <c r="H13" s="78"/>
      <c r="I13" s="79"/>
      <c r="J13" s="66"/>
      <c r="K13" s="108"/>
      <c r="L13" s="67"/>
      <c r="M13" s="68"/>
      <c r="N13" s="85"/>
      <c r="O13" s="154"/>
      <c r="P13" s="215"/>
      <c r="Q13" s="71"/>
      <c r="R13" s="71"/>
      <c r="S13" s="152"/>
      <c r="T13" s="153"/>
      <c r="U13" s="72"/>
      <c r="V13" s="71"/>
      <c r="W13" s="74"/>
    </row>
    <row r="14" spans="1:31" s="73" customFormat="1" ht="21" customHeight="1">
      <c r="A14" s="64"/>
      <c r="B14" s="109"/>
      <c r="C14" s="237"/>
      <c r="D14" s="854"/>
      <c r="E14" s="855"/>
      <c r="F14" s="856"/>
      <c r="G14" s="857"/>
      <c r="H14" s="858"/>
      <c r="I14" s="859"/>
      <c r="J14" s="226"/>
      <c r="K14" s="81"/>
      <c r="L14" s="67"/>
      <c r="M14" s="68"/>
      <c r="N14" s="85"/>
      <c r="O14" s="154"/>
      <c r="P14" s="215"/>
      <c r="Q14" s="71"/>
      <c r="R14" s="71"/>
      <c r="S14" s="152"/>
      <c r="T14" s="153"/>
      <c r="U14" s="72"/>
      <c r="V14" s="71"/>
      <c r="W14" s="74"/>
    </row>
    <row r="15" spans="1:31" s="90" customFormat="1" ht="21" customHeight="1">
      <c r="A15" s="75"/>
      <c r="B15" s="107"/>
      <c r="C15" s="104"/>
      <c r="D15" s="77"/>
      <c r="E15" s="78"/>
      <c r="F15" s="79"/>
      <c r="G15" s="77"/>
      <c r="H15" s="78"/>
      <c r="I15" s="79"/>
      <c r="J15" s="80"/>
      <c r="K15" s="81"/>
      <c r="L15" s="82"/>
      <c r="M15" s="83"/>
      <c r="N15" s="85"/>
      <c r="O15" s="154"/>
      <c r="P15" s="215"/>
      <c r="Q15" s="86"/>
      <c r="R15" s="86"/>
      <c r="S15" s="86"/>
      <c r="T15" s="151"/>
      <c r="U15" s="87"/>
      <c r="V15" s="88"/>
      <c r="W15" s="89"/>
    </row>
    <row r="16" spans="1:31" s="90" customFormat="1" ht="21" customHeight="1">
      <c r="A16" s="75"/>
      <c r="B16" s="107"/>
      <c r="C16" s="104"/>
      <c r="D16" s="77"/>
      <c r="E16" s="78"/>
      <c r="F16" s="79"/>
      <c r="G16" s="77"/>
      <c r="H16" s="78"/>
      <c r="I16" s="79"/>
      <c r="J16" s="80"/>
      <c r="K16" s="81"/>
      <c r="L16" s="82"/>
      <c r="M16" s="83"/>
      <c r="N16" s="85"/>
      <c r="O16" s="154"/>
      <c r="P16" s="215"/>
      <c r="Q16" s="86"/>
      <c r="R16" s="86"/>
      <c r="S16" s="86"/>
      <c r="T16" s="151"/>
      <c r="U16" s="87"/>
      <c r="V16" s="88"/>
      <c r="W16" s="89"/>
    </row>
    <row r="17" spans="1:23" s="90" customFormat="1" ht="21" customHeight="1">
      <c r="A17" s="75"/>
      <c r="B17" s="157"/>
      <c r="C17" s="76"/>
      <c r="D17" s="77"/>
      <c r="E17" s="78"/>
      <c r="F17" s="79"/>
      <c r="G17" s="77"/>
      <c r="H17" s="78"/>
      <c r="I17" s="79"/>
      <c r="J17" s="80"/>
      <c r="K17" s="81"/>
      <c r="L17" s="82"/>
      <c r="M17" s="83"/>
      <c r="N17" s="85"/>
      <c r="O17" s="154"/>
      <c r="P17" s="215"/>
      <c r="Q17" s="86"/>
      <c r="R17" s="86"/>
      <c r="S17" s="86"/>
      <c r="T17" s="151"/>
      <c r="U17" s="87"/>
      <c r="V17" s="88"/>
      <c r="W17" s="89"/>
    </row>
    <row r="18" spans="1:23" s="90" customFormat="1" ht="21" customHeight="1">
      <c r="A18" s="75"/>
      <c r="B18" s="157"/>
      <c r="C18" s="76"/>
      <c r="D18" s="77"/>
      <c r="E18" s="78"/>
      <c r="F18" s="79"/>
      <c r="G18" s="77"/>
      <c r="H18" s="78"/>
      <c r="I18" s="79"/>
      <c r="J18" s="80"/>
      <c r="K18" s="81"/>
      <c r="L18" s="82"/>
      <c r="M18" s="83"/>
      <c r="N18" s="85"/>
      <c r="O18" s="154"/>
      <c r="P18" s="215"/>
      <c r="Q18" s="86"/>
      <c r="R18" s="86"/>
      <c r="S18" s="86"/>
      <c r="T18" s="151"/>
      <c r="U18" s="87"/>
      <c r="V18" s="88"/>
      <c r="W18" s="89"/>
    </row>
    <row r="19" spans="1:23" s="90" customFormat="1" ht="21" customHeight="1">
      <c r="A19" s="75"/>
      <c r="B19" s="157"/>
      <c r="C19" s="76"/>
      <c r="D19" s="77"/>
      <c r="E19" s="78"/>
      <c r="F19" s="79"/>
      <c r="G19" s="77"/>
      <c r="H19" s="78"/>
      <c r="I19" s="79"/>
      <c r="J19" s="80"/>
      <c r="K19" s="81"/>
      <c r="L19" s="82"/>
      <c r="M19" s="83"/>
      <c r="N19" s="85"/>
      <c r="O19" s="154"/>
      <c r="P19" s="215"/>
      <c r="Q19" s="86"/>
      <c r="R19" s="86"/>
      <c r="S19" s="86"/>
      <c r="T19" s="151"/>
      <c r="U19" s="87"/>
      <c r="V19" s="88"/>
      <c r="W19" s="89"/>
    </row>
    <row r="20" spans="1:23" ht="49.5" customHeight="1">
      <c r="B20" s="161"/>
      <c r="C20" s="162"/>
      <c r="D20" s="806" t="s">
        <v>11</v>
      </c>
      <c r="E20" s="807"/>
      <c r="F20" s="807"/>
      <c r="G20" s="807"/>
      <c r="H20" s="807"/>
      <c r="I20" s="808"/>
      <c r="J20" s="809">
        <f>FINANCEIRO!J405</f>
        <v>175.68</v>
      </c>
      <c r="K20" s="810"/>
      <c r="L20" s="50" t="s">
        <v>57</v>
      </c>
      <c r="M20" s="732" t="s">
        <v>12</v>
      </c>
      <c r="N20" s="61">
        <f>SUM(N12:N19)</f>
        <v>25.2</v>
      </c>
      <c r="O20" s="51" t="str">
        <f>L20</f>
        <v>m2</v>
      </c>
      <c r="P20" s="22"/>
    </row>
    <row r="21" spans="1:23" ht="33.75" customHeight="1">
      <c r="B21" s="163"/>
      <c r="C21" s="19"/>
      <c r="D21" s="817" t="s">
        <v>13</v>
      </c>
      <c r="E21" s="818"/>
      <c r="F21" s="818"/>
      <c r="G21" s="818"/>
      <c r="H21" s="818"/>
      <c r="I21" s="819"/>
      <c r="J21" s="823">
        <f>N20/J20</f>
        <v>0.14344262295081966</v>
      </c>
      <c r="K21" s="824"/>
      <c r="L21" s="827"/>
      <c r="M21" s="732" t="s">
        <v>34</v>
      </c>
      <c r="N21" s="61">
        <f>N12</f>
        <v>25.2</v>
      </c>
      <c r="O21" s="52" t="str">
        <f>L20</f>
        <v>m2</v>
      </c>
      <c r="P21" s="22"/>
    </row>
    <row r="22" spans="1:23" ht="32.25" customHeight="1">
      <c r="B22" s="165"/>
      <c r="C22" s="164"/>
      <c r="D22" s="820"/>
      <c r="E22" s="821"/>
      <c r="F22" s="821"/>
      <c r="G22" s="821"/>
      <c r="H22" s="821"/>
      <c r="I22" s="822"/>
      <c r="J22" s="825"/>
      <c r="K22" s="826"/>
      <c r="L22" s="828"/>
      <c r="M22" s="732" t="s">
        <v>14</v>
      </c>
      <c r="N22" s="62">
        <f>N20-N21</f>
        <v>0</v>
      </c>
      <c r="O22" s="53" t="str">
        <f>L20</f>
        <v>m2</v>
      </c>
      <c r="P22" s="54"/>
    </row>
    <row r="23" spans="1:23" ht="37.5" customHeight="1">
      <c r="B23" s="218"/>
      <c r="C23" s="217"/>
      <c r="M23" s="732" t="s">
        <v>53</v>
      </c>
      <c r="N23" s="62">
        <f>FINANCEIRO!E405</f>
        <v>22.08</v>
      </c>
      <c r="O23" s="53"/>
      <c r="P23" s="54"/>
    </row>
    <row r="24" spans="1:23" ht="38.25" customHeight="1">
      <c r="B24" s="163"/>
      <c r="C24" s="219"/>
      <c r="M24" s="732" t="s">
        <v>54</v>
      </c>
      <c r="N24" s="62">
        <f>TRUNC(N23*N22,2)</f>
        <v>0</v>
      </c>
      <c r="O24" s="53" t="s">
        <v>55</v>
      </c>
      <c r="P24" s="54"/>
    </row>
  </sheetData>
  <mergeCells count="25">
    <mergeCell ref="D20:I20"/>
    <mergeCell ref="J20:K20"/>
    <mergeCell ref="D21:I22"/>
    <mergeCell ref="J21:K22"/>
    <mergeCell ref="L21:L22"/>
    <mergeCell ref="P10:P11"/>
    <mergeCell ref="D12:F12"/>
    <mergeCell ref="G12:I12"/>
    <mergeCell ref="D14:F14"/>
    <mergeCell ref="G14:I14"/>
    <mergeCell ref="N10:N11"/>
    <mergeCell ref="O10:O11"/>
    <mergeCell ref="K10:K11"/>
    <mergeCell ref="L10:L11"/>
    <mergeCell ref="M10:M11"/>
    <mergeCell ref="B10:B11"/>
    <mergeCell ref="C10:C11"/>
    <mergeCell ref="D10:F11"/>
    <mergeCell ref="G10:I11"/>
    <mergeCell ref="J10:J11"/>
    <mergeCell ref="B1:P4"/>
    <mergeCell ref="Q4:V4"/>
    <mergeCell ref="B5:I5"/>
    <mergeCell ref="J5:M5"/>
    <mergeCell ref="N5:P5"/>
  </mergeCells>
  <conditionalFormatting sqref="J21:K24">
    <cfRule type="cellIs" dxfId="245" priority="1" operator="greaterThanOrEqual">
      <formula>1</formula>
    </cfRule>
    <cfRule type="cellIs" dxfId="244" priority="2" operator="greaterThan">
      <formula>100%</formula>
    </cfRule>
  </conditionalFormatting>
  <pageMargins left="0.51181102362204722" right="0.51181102362204722" top="0.78740157480314965" bottom="0.78740157480314965" header="0.31496062992125984" footer="0.31496062992125984"/>
  <pageSetup paperSize="9" scale="55" fitToHeight="0" orientation="landscape" r:id="rId1"/>
  <headerFooter>
    <oddFooter>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222</vt:i4>
      </vt:variant>
      <vt:variant>
        <vt:lpstr>Intervalos Nomeados</vt:lpstr>
      </vt:variant>
      <vt:variant>
        <vt:i4>296</vt:i4>
      </vt:variant>
    </vt:vector>
  </HeadingPairs>
  <TitlesOfParts>
    <vt:vector size="518" baseType="lpstr">
      <vt:lpstr>1.1.1.1</vt:lpstr>
      <vt:lpstr>1.1.2.1</vt:lpstr>
      <vt:lpstr>1.1.2.5</vt:lpstr>
      <vt:lpstr>1.1.2.6</vt:lpstr>
      <vt:lpstr>1.1.2.8</vt:lpstr>
      <vt:lpstr>1.1.2.9</vt:lpstr>
      <vt:lpstr>2.4.3.1</vt:lpstr>
      <vt:lpstr>1.1.2.10</vt:lpstr>
      <vt:lpstr>1.1.2.11</vt:lpstr>
      <vt:lpstr>1.1.2.12</vt:lpstr>
      <vt:lpstr>1.1.3.1</vt:lpstr>
      <vt:lpstr>1.1.3.2</vt:lpstr>
      <vt:lpstr>1.1.3.3</vt:lpstr>
      <vt:lpstr>1.1.3.4</vt:lpstr>
      <vt:lpstr>1.1.3.5</vt:lpstr>
      <vt:lpstr>1.1.3.8</vt:lpstr>
      <vt:lpstr>1.1.3.9</vt:lpstr>
      <vt:lpstr>1.1.3.6</vt:lpstr>
      <vt:lpstr>3.1.2.1</vt:lpstr>
      <vt:lpstr>3.1.1.1</vt:lpstr>
      <vt:lpstr>2.1.1.1</vt:lpstr>
      <vt:lpstr>2.4.1.5</vt:lpstr>
      <vt:lpstr>2.4.1.12</vt:lpstr>
      <vt:lpstr>3.3.10.2</vt:lpstr>
      <vt:lpstr>3.3.10.3</vt:lpstr>
      <vt:lpstr>3.3.10.4</vt:lpstr>
      <vt:lpstr>3.3.10.5</vt:lpstr>
      <vt:lpstr>2.3.1.1</vt:lpstr>
      <vt:lpstr>1.1.2.2</vt:lpstr>
      <vt:lpstr>1.1.2.3</vt:lpstr>
      <vt:lpstr>1.1.2.4</vt:lpstr>
      <vt:lpstr>2.3.2.3</vt:lpstr>
      <vt:lpstr>2.3.2.4</vt:lpstr>
      <vt:lpstr>2.3.2.5</vt:lpstr>
      <vt:lpstr>2.4.3.2</vt:lpstr>
      <vt:lpstr>1.1.2.7</vt:lpstr>
      <vt:lpstr>1.2.1.1</vt:lpstr>
      <vt:lpstr>3.3.10.10</vt:lpstr>
      <vt:lpstr>3.4.1.1</vt:lpstr>
      <vt:lpstr>2.3.2.1</vt:lpstr>
      <vt:lpstr>3.3.2.1</vt:lpstr>
      <vt:lpstr>REPLANILHAMENTO</vt:lpstr>
      <vt:lpstr>7 medicao</vt:lpstr>
      <vt:lpstr>2.4.1.1</vt:lpstr>
      <vt:lpstr>2.4.1.2 </vt:lpstr>
      <vt:lpstr>2.4.1.3 </vt:lpstr>
      <vt:lpstr>3.4.1.3</vt:lpstr>
      <vt:lpstr>2.4.1.4</vt:lpstr>
      <vt:lpstr>2.4.3.1 </vt:lpstr>
      <vt:lpstr>3,3.6.5</vt:lpstr>
      <vt:lpstr>3.3.7.</vt:lpstr>
      <vt:lpstr>5.4.3.1</vt:lpstr>
      <vt:lpstr>3.2.1.1</vt:lpstr>
      <vt:lpstr>3.2.1.2</vt:lpstr>
      <vt:lpstr>3.4.3.1</vt:lpstr>
      <vt:lpstr>3.3.1.1</vt:lpstr>
      <vt:lpstr>3.3.2.11</vt:lpstr>
      <vt:lpstr>3.3.5.2</vt:lpstr>
      <vt:lpstr>3.3.5.3</vt:lpstr>
      <vt:lpstr>3.3.5.4</vt:lpstr>
      <vt:lpstr>3.3.5.5</vt:lpstr>
      <vt:lpstr>3.3.6.1</vt:lpstr>
      <vt:lpstr>3.3.6.2</vt:lpstr>
      <vt:lpstr>3.3.6.3</vt:lpstr>
      <vt:lpstr>3.3.6.4</vt:lpstr>
      <vt:lpstr>3.3.6.5</vt:lpstr>
      <vt:lpstr>3.3.7.1</vt:lpstr>
      <vt:lpstr>3.3.7.2</vt:lpstr>
      <vt:lpstr>3.3.7.3</vt:lpstr>
      <vt:lpstr>3.3.7.4</vt:lpstr>
      <vt:lpstr>3.4.1.5</vt:lpstr>
      <vt:lpstr>3.4.1.11</vt:lpstr>
      <vt:lpstr>3.4.1.12</vt:lpstr>
      <vt:lpstr>3.3.8.3</vt:lpstr>
      <vt:lpstr>3.3.8.5</vt:lpstr>
      <vt:lpstr>3.3.3.1</vt:lpstr>
      <vt:lpstr>2.4.1.6</vt:lpstr>
      <vt:lpstr>2.4.1.13</vt:lpstr>
      <vt:lpstr>3.1.2.2</vt:lpstr>
      <vt:lpstr>3.1.2.3</vt:lpstr>
      <vt:lpstr>3.3.1.2</vt:lpstr>
      <vt:lpstr>3.3.2.5</vt:lpstr>
      <vt:lpstr>3.3.2.6</vt:lpstr>
      <vt:lpstr>3.3.2.7</vt:lpstr>
      <vt:lpstr>3.3.2.8</vt:lpstr>
      <vt:lpstr>3.3.2.10</vt:lpstr>
      <vt:lpstr>3.3.2.12</vt:lpstr>
      <vt:lpstr>3.3.2.13</vt:lpstr>
      <vt:lpstr>3.3.4.1</vt:lpstr>
      <vt:lpstr>FEV</vt:lpstr>
      <vt:lpstr>DEZ</vt:lpstr>
      <vt:lpstr>1.1.3.7</vt:lpstr>
      <vt:lpstr>FINANCEIRO</vt:lpstr>
      <vt:lpstr>4.3.10.8</vt:lpstr>
      <vt:lpstr>4.3.10.9</vt:lpstr>
      <vt:lpstr>4.4.1.4</vt:lpstr>
      <vt:lpstr>4.4.1.7</vt:lpstr>
      <vt:lpstr>4.4.1.17excluir</vt:lpstr>
      <vt:lpstr>4.1.2.1</vt:lpstr>
      <vt:lpstr>4.3.7.3</vt:lpstr>
      <vt:lpstr>4.3.2.11</vt:lpstr>
      <vt:lpstr>4.3.3.1 </vt:lpstr>
      <vt:lpstr>4.3.6.5</vt:lpstr>
      <vt:lpstr>4.3.10.1</vt:lpstr>
      <vt:lpstr>5.4.3.16 </vt:lpstr>
      <vt:lpstr>5.4.4.1</vt:lpstr>
      <vt:lpstr>4.3.10.6</vt:lpstr>
      <vt:lpstr>4.3.10.7</vt:lpstr>
      <vt:lpstr>4.6.1.13</vt:lpstr>
      <vt:lpstr>4.6.1.14</vt:lpstr>
      <vt:lpstr>4.6.1.17</vt:lpstr>
      <vt:lpstr>4.6.2.1</vt:lpstr>
      <vt:lpstr>4.6.2.3</vt:lpstr>
      <vt:lpstr>2.3.2.2</vt:lpstr>
      <vt:lpstr>3.4.3.3</vt:lpstr>
      <vt:lpstr>3.4.3.5</vt:lpstr>
      <vt:lpstr>3.4.3.7</vt:lpstr>
      <vt:lpstr>3.4.3.12</vt:lpstr>
      <vt:lpstr>3.4.3.15</vt:lpstr>
      <vt:lpstr>3.4.3.16</vt:lpstr>
      <vt:lpstr>3.4.3.17</vt:lpstr>
      <vt:lpstr>3.4.3.14</vt:lpstr>
      <vt:lpstr>3.4.3.18</vt:lpstr>
      <vt:lpstr>2.5.1.1</vt:lpstr>
      <vt:lpstr>2.4.1.10</vt:lpstr>
      <vt:lpstr>3.4.1.10</vt:lpstr>
      <vt:lpstr>3.5.1.1</vt:lpstr>
      <vt:lpstr>3.5.1.2</vt:lpstr>
      <vt:lpstr>3.5.1.3</vt:lpstr>
      <vt:lpstr>3.6.3.19</vt:lpstr>
      <vt:lpstr>4.5.1.1</vt:lpstr>
      <vt:lpstr>3.5.1.4</vt:lpstr>
      <vt:lpstr>5.3.7.1</vt:lpstr>
      <vt:lpstr>5.3.7.2</vt:lpstr>
      <vt:lpstr>5.3.7.3</vt:lpstr>
      <vt:lpstr>5.3.8.3</vt:lpstr>
      <vt:lpstr>5.3.8.4</vt:lpstr>
      <vt:lpstr>5.3.8.5</vt:lpstr>
      <vt:lpstr>5.3.8.6</vt:lpstr>
      <vt:lpstr>5.3.9.1</vt:lpstr>
      <vt:lpstr>5.3.9.2</vt:lpstr>
      <vt:lpstr>5.3.9.3</vt:lpstr>
      <vt:lpstr>5.3.9.4</vt:lpstr>
      <vt:lpstr>5.3.10.6 </vt:lpstr>
      <vt:lpstr>5.3.10.7</vt:lpstr>
      <vt:lpstr>5.3.10.8</vt:lpstr>
      <vt:lpstr>5.3.5.1</vt:lpstr>
      <vt:lpstr>5.3.5.2</vt:lpstr>
      <vt:lpstr>5.3.5.3</vt:lpstr>
      <vt:lpstr>5.3.5.4</vt:lpstr>
      <vt:lpstr>5.3.6.1</vt:lpstr>
      <vt:lpstr>5.3.5.5</vt:lpstr>
      <vt:lpstr>5.3.6.2</vt:lpstr>
      <vt:lpstr>5.3.6.3</vt:lpstr>
      <vt:lpstr>5.3.6.4</vt:lpstr>
      <vt:lpstr>5.3.6.5</vt:lpstr>
      <vt:lpstr>3.3.5.1</vt:lpstr>
      <vt:lpstr>4.4.1.1</vt:lpstr>
      <vt:lpstr>3.3.4.2</vt:lpstr>
      <vt:lpstr>3.3.4.3</vt:lpstr>
      <vt:lpstr>3.3.8.2</vt:lpstr>
      <vt:lpstr>3.3.9.1</vt:lpstr>
      <vt:lpstr>3.3.9.2</vt:lpstr>
      <vt:lpstr>3.3.9.3</vt:lpstr>
      <vt:lpstr>3.3.9.4</vt:lpstr>
      <vt:lpstr>4.4.1.2</vt:lpstr>
      <vt:lpstr>4.4.1.5</vt:lpstr>
      <vt:lpstr>4.4.1.6</vt:lpstr>
      <vt:lpstr>3.3.8.4</vt:lpstr>
      <vt:lpstr>3.3.8.6</vt:lpstr>
      <vt:lpstr>3.3.10.1</vt:lpstr>
      <vt:lpstr>3.3.10.6</vt:lpstr>
      <vt:lpstr>3.3.10.7</vt:lpstr>
      <vt:lpstr>3.3.10.8</vt:lpstr>
      <vt:lpstr>3.3.10.9</vt:lpstr>
      <vt:lpstr>4.4.1.3</vt:lpstr>
      <vt:lpstr>5.2.1.2</vt:lpstr>
      <vt:lpstr>5.2.1.3</vt:lpstr>
      <vt:lpstr>5.3.10.1 </vt:lpstr>
      <vt:lpstr>5.3.10.9</vt:lpstr>
      <vt:lpstr>5.3.10.10</vt:lpstr>
      <vt:lpstr>5.3.1.1</vt:lpstr>
      <vt:lpstr>5.3.10.11</vt:lpstr>
      <vt:lpstr>5.4.1.10 </vt:lpstr>
      <vt:lpstr>5.4.3.3 </vt:lpstr>
      <vt:lpstr>5.4.3.5</vt:lpstr>
      <vt:lpstr>3.6.1.19</vt:lpstr>
      <vt:lpstr>5.1.2.1 </vt:lpstr>
      <vt:lpstr>5.1.2.2</vt:lpstr>
      <vt:lpstr>5.1.2.3</vt:lpstr>
      <vt:lpstr>3.4.1.2</vt:lpstr>
      <vt:lpstr>3.4.1.4</vt:lpstr>
      <vt:lpstr>3.4.1.6</vt:lpstr>
      <vt:lpstr>4.3.2.1</vt:lpstr>
      <vt:lpstr>3.4.1.8</vt:lpstr>
      <vt:lpstr>4.4.3.1</vt:lpstr>
      <vt:lpstr>5.1.1.1</vt:lpstr>
      <vt:lpstr>5.4.1.2</vt:lpstr>
      <vt:lpstr>5.4.1.3</vt:lpstr>
      <vt:lpstr>5.4.1.4</vt:lpstr>
      <vt:lpstr>5.2.1.1</vt:lpstr>
      <vt:lpstr>4.4.1.8</vt:lpstr>
      <vt:lpstr>4.4.1.12</vt:lpstr>
      <vt:lpstr>5.3.2.6</vt:lpstr>
      <vt:lpstr>5.3.2.7</vt:lpstr>
      <vt:lpstr>CONCRETO VV</vt:lpstr>
      <vt:lpstr>5.3.2.10</vt:lpstr>
      <vt:lpstr>5.6.1.14</vt:lpstr>
      <vt:lpstr>5.3.2.12</vt:lpstr>
      <vt:lpstr>5.4.1.1</vt:lpstr>
      <vt:lpstr>5.3.2.4</vt:lpstr>
      <vt:lpstr>5.3.2.8</vt:lpstr>
      <vt:lpstr>5.3.2.9</vt:lpstr>
      <vt:lpstr>5.4.1.5</vt:lpstr>
      <vt:lpstr>5.4.1.11</vt:lpstr>
      <vt:lpstr>5.4.1.12</vt:lpstr>
      <vt:lpstr>5.4.1.6</vt:lpstr>
      <vt:lpstr>5.3.2.1</vt:lpstr>
      <vt:lpstr>5.3.7.4</vt:lpstr>
      <vt:lpstr>5.4.3.15</vt:lpstr>
      <vt:lpstr>5.5.1.4</vt:lpstr>
      <vt:lpstr>5.5.1.1</vt:lpstr>
      <vt:lpstr>'1.1.1.1'!Area_de_impressao</vt:lpstr>
      <vt:lpstr>'1.1.2.1'!Area_de_impressao</vt:lpstr>
      <vt:lpstr>'1.1.2.10'!Area_de_impressao</vt:lpstr>
      <vt:lpstr>'1.1.2.11'!Area_de_impressao</vt:lpstr>
      <vt:lpstr>'1.1.2.12'!Area_de_impressao</vt:lpstr>
      <vt:lpstr>'1.1.2.2'!Area_de_impressao</vt:lpstr>
      <vt:lpstr>'1.1.2.3'!Area_de_impressao</vt:lpstr>
      <vt:lpstr>'1.1.2.4'!Area_de_impressao</vt:lpstr>
      <vt:lpstr>'1.1.2.5'!Area_de_impressao</vt:lpstr>
      <vt:lpstr>'1.1.2.6'!Area_de_impressao</vt:lpstr>
      <vt:lpstr>'1.1.2.7'!Area_de_impressao</vt:lpstr>
      <vt:lpstr>'1.1.2.8'!Area_de_impressao</vt:lpstr>
      <vt:lpstr>'1.1.2.9'!Area_de_impressao</vt:lpstr>
      <vt:lpstr>'1.1.3.1'!Area_de_impressao</vt:lpstr>
      <vt:lpstr>'1.1.3.2'!Area_de_impressao</vt:lpstr>
      <vt:lpstr>'1.1.3.3'!Area_de_impressao</vt:lpstr>
      <vt:lpstr>'1.1.3.4'!Area_de_impressao</vt:lpstr>
      <vt:lpstr>'1.1.3.5'!Area_de_impressao</vt:lpstr>
      <vt:lpstr>'1.1.3.6'!Area_de_impressao</vt:lpstr>
      <vt:lpstr>'1.1.3.7'!Area_de_impressao</vt:lpstr>
      <vt:lpstr>'1.1.3.8'!Area_de_impressao</vt:lpstr>
      <vt:lpstr>'1.1.3.9'!Area_de_impressao</vt:lpstr>
      <vt:lpstr>'1.2.1.1'!Area_de_impressao</vt:lpstr>
      <vt:lpstr>'2.1.1.1'!Area_de_impressao</vt:lpstr>
      <vt:lpstr>'2.3.1.1'!Area_de_impressao</vt:lpstr>
      <vt:lpstr>'2.3.2.1'!Area_de_impressao</vt:lpstr>
      <vt:lpstr>'2.3.2.2'!Area_de_impressao</vt:lpstr>
      <vt:lpstr>'2.3.2.3'!Area_de_impressao</vt:lpstr>
      <vt:lpstr>'2.3.2.4'!Area_de_impressao</vt:lpstr>
      <vt:lpstr>'2.3.2.5'!Area_de_impressao</vt:lpstr>
      <vt:lpstr>'2.4.1.1'!Area_de_impressao</vt:lpstr>
      <vt:lpstr>'2.4.1.12'!Area_de_impressao</vt:lpstr>
      <vt:lpstr>'2.4.1.13'!Area_de_impressao</vt:lpstr>
      <vt:lpstr>'2.4.1.2 '!Area_de_impressao</vt:lpstr>
      <vt:lpstr>'2.4.1.3 '!Area_de_impressao</vt:lpstr>
      <vt:lpstr>'2.4.1.4'!Area_de_impressao</vt:lpstr>
      <vt:lpstr>'2.4.1.5'!Area_de_impressao</vt:lpstr>
      <vt:lpstr>'2.4.1.6'!Area_de_impressao</vt:lpstr>
      <vt:lpstr>'2.4.3.1'!Area_de_impressao</vt:lpstr>
      <vt:lpstr>'2.4.3.1 '!Area_de_impressao</vt:lpstr>
      <vt:lpstr>'2.4.3.2'!Area_de_impressao</vt:lpstr>
      <vt:lpstr>'2.5.1.1'!Area_de_impressao</vt:lpstr>
      <vt:lpstr>'3,3.6.5'!Area_de_impressao</vt:lpstr>
      <vt:lpstr>'3.1.1.1'!Area_de_impressao</vt:lpstr>
      <vt:lpstr>'3.1.2.1'!Area_de_impressao</vt:lpstr>
      <vt:lpstr>'3.1.2.2'!Area_de_impressao</vt:lpstr>
      <vt:lpstr>'3.1.2.3'!Area_de_impressao</vt:lpstr>
      <vt:lpstr>'3.2.1.1'!Area_de_impressao</vt:lpstr>
      <vt:lpstr>'3.2.1.2'!Area_de_impressao</vt:lpstr>
      <vt:lpstr>'3.3.1.1'!Area_de_impressao</vt:lpstr>
      <vt:lpstr>'3.3.1.2'!Area_de_impressao</vt:lpstr>
      <vt:lpstr>'3.3.10.1'!Area_de_impressao</vt:lpstr>
      <vt:lpstr>'3.3.10.10'!Area_de_impressao</vt:lpstr>
      <vt:lpstr>'3.3.10.2'!Area_de_impressao</vt:lpstr>
      <vt:lpstr>'3.3.10.3'!Area_de_impressao</vt:lpstr>
      <vt:lpstr>'3.3.10.4'!Area_de_impressao</vt:lpstr>
      <vt:lpstr>'3.3.10.5'!Area_de_impressao</vt:lpstr>
      <vt:lpstr>'3.3.10.6'!Area_de_impressao</vt:lpstr>
      <vt:lpstr>'3.3.10.7'!Area_de_impressao</vt:lpstr>
      <vt:lpstr>'3.3.10.8'!Area_de_impressao</vt:lpstr>
      <vt:lpstr>'3.3.10.9'!Area_de_impressao</vt:lpstr>
      <vt:lpstr>'3.3.2.1'!Area_de_impressao</vt:lpstr>
      <vt:lpstr>'3.3.2.10'!Area_de_impressao</vt:lpstr>
      <vt:lpstr>'3.3.2.11'!Area_de_impressao</vt:lpstr>
      <vt:lpstr>'3.3.2.12'!Area_de_impressao</vt:lpstr>
      <vt:lpstr>'3.3.2.13'!Area_de_impressao</vt:lpstr>
      <vt:lpstr>'3.3.2.5'!Area_de_impressao</vt:lpstr>
      <vt:lpstr>'3.3.2.6'!Area_de_impressao</vt:lpstr>
      <vt:lpstr>'3.3.2.7'!Area_de_impressao</vt:lpstr>
      <vt:lpstr>'3.3.2.8'!Area_de_impressao</vt:lpstr>
      <vt:lpstr>'3.3.3.1'!Area_de_impressao</vt:lpstr>
      <vt:lpstr>'3.3.4.1'!Area_de_impressao</vt:lpstr>
      <vt:lpstr>'3.3.4.2'!Area_de_impressao</vt:lpstr>
      <vt:lpstr>'3.3.4.3'!Area_de_impressao</vt:lpstr>
      <vt:lpstr>'3.3.5.1'!Area_de_impressao</vt:lpstr>
      <vt:lpstr>'3.3.5.2'!Area_de_impressao</vt:lpstr>
      <vt:lpstr>'3.3.5.3'!Area_de_impressao</vt:lpstr>
      <vt:lpstr>'3.3.5.4'!Area_de_impressao</vt:lpstr>
      <vt:lpstr>'3.3.5.5'!Area_de_impressao</vt:lpstr>
      <vt:lpstr>'3.3.6.1'!Area_de_impressao</vt:lpstr>
      <vt:lpstr>'3.3.6.2'!Area_de_impressao</vt:lpstr>
      <vt:lpstr>'3.3.6.3'!Area_de_impressao</vt:lpstr>
      <vt:lpstr>'3.3.6.4'!Area_de_impressao</vt:lpstr>
      <vt:lpstr>'3.3.6.5'!Area_de_impressao</vt:lpstr>
      <vt:lpstr>'3.3.7.'!Area_de_impressao</vt:lpstr>
      <vt:lpstr>'3.3.7.1'!Area_de_impressao</vt:lpstr>
      <vt:lpstr>'3.3.7.2'!Area_de_impressao</vt:lpstr>
      <vt:lpstr>'3.3.7.3'!Area_de_impressao</vt:lpstr>
      <vt:lpstr>'3.3.7.4'!Area_de_impressao</vt:lpstr>
      <vt:lpstr>'3.3.8.2'!Area_de_impressao</vt:lpstr>
      <vt:lpstr>'3.3.8.3'!Area_de_impressao</vt:lpstr>
      <vt:lpstr>'3.3.8.4'!Area_de_impressao</vt:lpstr>
      <vt:lpstr>'3.3.8.5'!Area_de_impressao</vt:lpstr>
      <vt:lpstr>'3.3.8.6'!Area_de_impressao</vt:lpstr>
      <vt:lpstr>'3.3.9.1'!Area_de_impressao</vt:lpstr>
      <vt:lpstr>'3.3.9.2'!Area_de_impressao</vt:lpstr>
      <vt:lpstr>'3.3.9.3'!Area_de_impressao</vt:lpstr>
      <vt:lpstr>'3.3.9.4'!Area_de_impressao</vt:lpstr>
      <vt:lpstr>'3.4.1.1'!Area_de_impressao</vt:lpstr>
      <vt:lpstr>'3.4.1.11'!Area_de_impressao</vt:lpstr>
      <vt:lpstr>'3.4.1.12'!Area_de_impressao</vt:lpstr>
      <vt:lpstr>'3.4.1.2'!Area_de_impressao</vt:lpstr>
      <vt:lpstr>'3.4.1.3'!Area_de_impressao</vt:lpstr>
      <vt:lpstr>'3.4.1.4'!Area_de_impressao</vt:lpstr>
      <vt:lpstr>'3.4.1.5'!Area_de_impressao</vt:lpstr>
      <vt:lpstr>'3.4.1.6'!Area_de_impressao</vt:lpstr>
      <vt:lpstr>'3.4.1.8'!Area_de_impressao</vt:lpstr>
      <vt:lpstr>'3.4.3.1'!Area_de_impressao</vt:lpstr>
      <vt:lpstr>'3.4.3.12'!Area_de_impressao</vt:lpstr>
      <vt:lpstr>'3.4.3.14'!Area_de_impressao</vt:lpstr>
      <vt:lpstr>'3.4.3.15'!Area_de_impressao</vt:lpstr>
      <vt:lpstr>'3.4.3.16'!Area_de_impressao</vt:lpstr>
      <vt:lpstr>'3.4.3.17'!Area_de_impressao</vt:lpstr>
      <vt:lpstr>'3.4.3.18'!Area_de_impressao</vt:lpstr>
      <vt:lpstr>'3.4.3.3'!Area_de_impressao</vt:lpstr>
      <vt:lpstr>'3.4.3.5'!Area_de_impressao</vt:lpstr>
      <vt:lpstr>'3.4.3.7'!Area_de_impressao</vt:lpstr>
      <vt:lpstr>'3.5.1.1'!Area_de_impressao</vt:lpstr>
      <vt:lpstr>'3.5.1.2'!Area_de_impressao</vt:lpstr>
      <vt:lpstr>'3.5.1.3'!Area_de_impressao</vt:lpstr>
      <vt:lpstr>'3.5.1.4'!Area_de_impressao</vt:lpstr>
      <vt:lpstr>'3.6.1.19'!Area_de_impressao</vt:lpstr>
      <vt:lpstr>'3.6.3.19'!Area_de_impressao</vt:lpstr>
      <vt:lpstr>'4.1.2.1'!Area_de_impressao</vt:lpstr>
      <vt:lpstr>'4.3.10.1'!Area_de_impressao</vt:lpstr>
      <vt:lpstr>'4.3.10.6'!Area_de_impressao</vt:lpstr>
      <vt:lpstr>'4.3.10.7'!Area_de_impressao</vt:lpstr>
      <vt:lpstr>'4.3.10.8'!Area_de_impressao</vt:lpstr>
      <vt:lpstr>'4.3.10.9'!Area_de_impressao</vt:lpstr>
      <vt:lpstr>'4.3.2.1'!Area_de_impressao</vt:lpstr>
      <vt:lpstr>'4.3.2.11'!Area_de_impressao</vt:lpstr>
      <vt:lpstr>'4.3.3.1 '!Area_de_impressao</vt:lpstr>
      <vt:lpstr>'4.3.6.5'!Area_de_impressao</vt:lpstr>
      <vt:lpstr>'4.3.7.3'!Area_de_impressao</vt:lpstr>
      <vt:lpstr>'4.4.1.1'!Area_de_impressao</vt:lpstr>
      <vt:lpstr>'4.4.1.12'!Area_de_impressao</vt:lpstr>
      <vt:lpstr>'4.4.1.17excluir'!Area_de_impressao</vt:lpstr>
      <vt:lpstr>'4.4.1.2'!Area_de_impressao</vt:lpstr>
      <vt:lpstr>'4.4.1.3'!Area_de_impressao</vt:lpstr>
      <vt:lpstr>'4.4.1.4'!Area_de_impressao</vt:lpstr>
      <vt:lpstr>'4.4.1.5'!Area_de_impressao</vt:lpstr>
      <vt:lpstr>'4.4.1.6'!Area_de_impressao</vt:lpstr>
      <vt:lpstr>'4.4.1.7'!Area_de_impressao</vt:lpstr>
      <vt:lpstr>'4.4.1.8'!Area_de_impressao</vt:lpstr>
      <vt:lpstr>'4.4.3.1'!Area_de_impressao</vt:lpstr>
      <vt:lpstr>'4.5.1.1'!Area_de_impressao</vt:lpstr>
      <vt:lpstr>'4.6.1.13'!Area_de_impressao</vt:lpstr>
      <vt:lpstr>'4.6.1.14'!Area_de_impressao</vt:lpstr>
      <vt:lpstr>'4.6.1.17'!Area_de_impressao</vt:lpstr>
      <vt:lpstr>'4.6.2.1'!Area_de_impressao</vt:lpstr>
      <vt:lpstr>'4.6.2.3'!Area_de_impressao</vt:lpstr>
      <vt:lpstr>'5.1.1.1'!Area_de_impressao</vt:lpstr>
      <vt:lpstr>'5.1.2.1 '!Area_de_impressao</vt:lpstr>
      <vt:lpstr>'5.1.2.2'!Area_de_impressao</vt:lpstr>
      <vt:lpstr>'5.1.2.3'!Area_de_impressao</vt:lpstr>
      <vt:lpstr>'5.2.1.1'!Area_de_impressao</vt:lpstr>
      <vt:lpstr>'5.2.1.2'!Area_de_impressao</vt:lpstr>
      <vt:lpstr>'5.2.1.3'!Area_de_impressao</vt:lpstr>
      <vt:lpstr>'5.3.1.1'!Area_de_impressao</vt:lpstr>
      <vt:lpstr>'5.3.10.1 '!Area_de_impressao</vt:lpstr>
      <vt:lpstr>'5.3.10.10'!Area_de_impressao</vt:lpstr>
      <vt:lpstr>'5.3.10.11'!Area_de_impressao</vt:lpstr>
      <vt:lpstr>'5.3.10.6 '!Area_de_impressao</vt:lpstr>
      <vt:lpstr>'5.3.10.7'!Area_de_impressao</vt:lpstr>
      <vt:lpstr>'5.3.10.8'!Area_de_impressao</vt:lpstr>
      <vt:lpstr>'5.3.10.9'!Area_de_impressao</vt:lpstr>
      <vt:lpstr>'5.3.2.1'!Area_de_impressao</vt:lpstr>
      <vt:lpstr>'5.3.2.10'!Area_de_impressao</vt:lpstr>
      <vt:lpstr>'5.3.2.12'!Area_de_impressao</vt:lpstr>
      <vt:lpstr>'5.3.2.4'!Area_de_impressao</vt:lpstr>
      <vt:lpstr>'5.3.2.6'!Area_de_impressao</vt:lpstr>
      <vt:lpstr>'5.3.2.7'!Area_de_impressao</vt:lpstr>
      <vt:lpstr>'5.3.2.8'!Area_de_impressao</vt:lpstr>
      <vt:lpstr>'5.3.2.9'!Area_de_impressao</vt:lpstr>
      <vt:lpstr>'5.3.5.1'!Area_de_impressao</vt:lpstr>
      <vt:lpstr>'5.3.5.2'!Area_de_impressao</vt:lpstr>
      <vt:lpstr>'5.3.5.3'!Area_de_impressao</vt:lpstr>
      <vt:lpstr>'5.3.5.4'!Area_de_impressao</vt:lpstr>
      <vt:lpstr>'5.3.5.5'!Area_de_impressao</vt:lpstr>
      <vt:lpstr>'5.3.6.1'!Area_de_impressao</vt:lpstr>
      <vt:lpstr>'5.3.6.2'!Area_de_impressao</vt:lpstr>
      <vt:lpstr>'5.3.6.3'!Area_de_impressao</vt:lpstr>
      <vt:lpstr>'5.3.6.4'!Area_de_impressao</vt:lpstr>
      <vt:lpstr>'5.3.6.5'!Area_de_impressao</vt:lpstr>
      <vt:lpstr>'5.3.7.1'!Area_de_impressao</vt:lpstr>
      <vt:lpstr>'5.3.7.2'!Area_de_impressao</vt:lpstr>
      <vt:lpstr>'5.3.7.3'!Area_de_impressao</vt:lpstr>
      <vt:lpstr>'5.3.7.4'!Area_de_impressao</vt:lpstr>
      <vt:lpstr>'5.3.8.3'!Area_de_impressao</vt:lpstr>
      <vt:lpstr>'5.3.8.4'!Area_de_impressao</vt:lpstr>
      <vt:lpstr>'5.3.8.5'!Area_de_impressao</vt:lpstr>
      <vt:lpstr>'5.3.8.6'!Area_de_impressao</vt:lpstr>
      <vt:lpstr>'5.3.9.1'!Area_de_impressao</vt:lpstr>
      <vt:lpstr>'5.3.9.2'!Area_de_impressao</vt:lpstr>
      <vt:lpstr>'5.3.9.3'!Area_de_impressao</vt:lpstr>
      <vt:lpstr>'5.3.9.4'!Area_de_impressao</vt:lpstr>
      <vt:lpstr>'5.4.1.1'!Area_de_impressao</vt:lpstr>
      <vt:lpstr>'5.4.1.11'!Area_de_impressao</vt:lpstr>
      <vt:lpstr>'5.4.1.12'!Area_de_impressao</vt:lpstr>
      <vt:lpstr>'5.4.1.2'!Area_de_impressao</vt:lpstr>
      <vt:lpstr>'5.4.1.3'!Area_de_impressao</vt:lpstr>
      <vt:lpstr>'5.4.1.4'!Area_de_impressao</vt:lpstr>
      <vt:lpstr>'5.4.1.5'!Area_de_impressao</vt:lpstr>
      <vt:lpstr>'5.4.1.6'!Area_de_impressao</vt:lpstr>
      <vt:lpstr>'5.4.3.1'!Area_de_impressao</vt:lpstr>
      <vt:lpstr>'5.4.3.15'!Area_de_impressao</vt:lpstr>
      <vt:lpstr>'5.4.3.16 '!Area_de_impressao</vt:lpstr>
      <vt:lpstr>'5.4.3.3 '!Area_de_impressao</vt:lpstr>
      <vt:lpstr>'5.4.3.5'!Area_de_impressao</vt:lpstr>
      <vt:lpstr>'5.4.4.1'!Area_de_impressao</vt:lpstr>
      <vt:lpstr>'5.5.1.1'!Area_de_impressao</vt:lpstr>
      <vt:lpstr>'5.5.1.4'!Area_de_impressao</vt:lpstr>
      <vt:lpstr>'5.6.1.14'!Area_de_impressao</vt:lpstr>
      <vt:lpstr>'7 medicao'!Area_de_impressao</vt:lpstr>
      <vt:lpstr>'CONCRETO VV'!Area_de_impressao</vt:lpstr>
      <vt:lpstr>DEZ!Area_de_impressao</vt:lpstr>
      <vt:lpstr>FEV!Area_de_impressao</vt:lpstr>
      <vt:lpstr>FINANCEIRO!Area_de_impressao</vt:lpstr>
      <vt:lpstr>REPLANILHAMENTO!Area_de_impressao</vt:lpstr>
      <vt:lpstr>'1.1.1.1'!Titulos_de_impressao</vt:lpstr>
      <vt:lpstr>'1.1.2.1'!Titulos_de_impressao</vt:lpstr>
      <vt:lpstr>'1.1.2.10'!Titulos_de_impressao</vt:lpstr>
      <vt:lpstr>'1.1.2.11'!Titulos_de_impressao</vt:lpstr>
      <vt:lpstr>'1.1.2.12'!Titulos_de_impressao</vt:lpstr>
      <vt:lpstr>'1.1.2.2'!Titulos_de_impressao</vt:lpstr>
      <vt:lpstr>'1.1.2.3'!Titulos_de_impressao</vt:lpstr>
      <vt:lpstr>'1.1.2.4'!Titulos_de_impressao</vt:lpstr>
      <vt:lpstr>'1.1.2.5'!Titulos_de_impressao</vt:lpstr>
      <vt:lpstr>'1.1.2.6'!Titulos_de_impressao</vt:lpstr>
      <vt:lpstr>'1.1.2.7'!Titulos_de_impressao</vt:lpstr>
      <vt:lpstr>'1.1.2.8'!Titulos_de_impressao</vt:lpstr>
      <vt:lpstr>'1.1.2.9'!Titulos_de_impressao</vt:lpstr>
      <vt:lpstr>'1.1.3.1'!Titulos_de_impressao</vt:lpstr>
      <vt:lpstr>'1.1.3.2'!Titulos_de_impressao</vt:lpstr>
      <vt:lpstr>'1.1.3.3'!Titulos_de_impressao</vt:lpstr>
      <vt:lpstr>'1.1.3.4'!Titulos_de_impressao</vt:lpstr>
      <vt:lpstr>'1.1.3.5'!Titulos_de_impressao</vt:lpstr>
      <vt:lpstr>'1.1.3.6'!Titulos_de_impressao</vt:lpstr>
      <vt:lpstr>'1.1.3.7'!Titulos_de_impressao</vt:lpstr>
      <vt:lpstr>'1.1.3.8'!Titulos_de_impressao</vt:lpstr>
      <vt:lpstr>'1.1.3.9'!Titulos_de_impressao</vt:lpstr>
      <vt:lpstr>'1.2.1.1'!Titulos_de_impressao</vt:lpstr>
      <vt:lpstr>'2.3.1.1'!Titulos_de_impressao</vt:lpstr>
      <vt:lpstr>'2.3.2.2'!Titulos_de_impressao</vt:lpstr>
      <vt:lpstr>'2.3.2.3'!Titulos_de_impressao</vt:lpstr>
      <vt:lpstr>'2.3.2.4'!Titulos_de_impressao</vt:lpstr>
      <vt:lpstr>'2.3.2.5'!Titulos_de_impressao</vt:lpstr>
      <vt:lpstr>'2.4.1.10'!Titulos_de_impressao</vt:lpstr>
      <vt:lpstr>'2.4.3.1 '!Titulos_de_impressao</vt:lpstr>
      <vt:lpstr>'2.5.1.1'!Titulos_de_impressao</vt:lpstr>
      <vt:lpstr>'3,3.6.5'!Titulos_de_impressao</vt:lpstr>
      <vt:lpstr>'3.3.2.1'!Titulos_de_impressao</vt:lpstr>
      <vt:lpstr>'3.4.1.10'!Titulos_de_impressao</vt:lpstr>
      <vt:lpstr>'3.4.3.1'!Titulos_de_impressao</vt:lpstr>
      <vt:lpstr>'3.5.1.1'!Titulos_de_impressao</vt:lpstr>
      <vt:lpstr>'3.5.1.2'!Titulos_de_impressao</vt:lpstr>
      <vt:lpstr>'3.5.1.3'!Titulos_de_impressao</vt:lpstr>
      <vt:lpstr>'3.5.1.4'!Titulos_de_impressao</vt:lpstr>
      <vt:lpstr>'4.3.10.1'!Titulos_de_impressao</vt:lpstr>
      <vt:lpstr>'4.3.10.6'!Titulos_de_impressao</vt:lpstr>
      <vt:lpstr>'4.3.10.7'!Titulos_de_impressao</vt:lpstr>
      <vt:lpstr>'4.3.10.8'!Titulos_de_impressao</vt:lpstr>
      <vt:lpstr>'4.3.10.9'!Titulos_de_impressao</vt:lpstr>
      <vt:lpstr>'4.3.2.11'!Titulos_de_impressao</vt:lpstr>
      <vt:lpstr>'4.3.3.1 '!Titulos_de_impressao</vt:lpstr>
      <vt:lpstr>'4.3.6.5'!Titulos_de_impressao</vt:lpstr>
      <vt:lpstr>'4.5.1.1'!Titulos_de_impressao</vt:lpstr>
      <vt:lpstr>'4.6.1.13'!Titulos_de_impressao</vt:lpstr>
      <vt:lpstr>'4.6.1.14'!Titulos_de_impressao</vt:lpstr>
      <vt:lpstr>'4.6.1.17'!Titulos_de_impressao</vt:lpstr>
      <vt:lpstr>'4.6.2.1'!Titulos_de_impressao</vt:lpstr>
      <vt:lpstr>'4.6.2.3'!Titulos_de_impressao</vt:lpstr>
      <vt:lpstr>'5.3.10.6 '!Titulos_de_impressao</vt:lpstr>
      <vt:lpstr>'5.3.10.7'!Titulos_de_impressao</vt:lpstr>
      <vt:lpstr>'5.3.10.8'!Titulos_de_impressao</vt:lpstr>
      <vt:lpstr>'5.3.2.1'!Titulos_de_impressao</vt:lpstr>
      <vt:lpstr>'5.3.7.1'!Titulos_de_impressao</vt:lpstr>
      <vt:lpstr>'5.3.7.2'!Titulos_de_impressao</vt:lpstr>
      <vt:lpstr>'5.3.7.3'!Titulos_de_impressao</vt:lpstr>
      <vt:lpstr>'5.3.8.3'!Titulos_de_impressao</vt:lpstr>
      <vt:lpstr>'5.3.8.4'!Titulos_de_impressao</vt:lpstr>
      <vt:lpstr>'5.3.8.5'!Titulos_de_impressao</vt:lpstr>
      <vt:lpstr>'5.3.8.6'!Titulos_de_impressao</vt:lpstr>
      <vt:lpstr>'5.3.9.1'!Titulos_de_impressao</vt:lpstr>
      <vt:lpstr>'5.3.9.2'!Titulos_de_impressao</vt:lpstr>
      <vt:lpstr>'5.3.9.3'!Titulos_de_impressao</vt:lpstr>
      <vt:lpstr>'5.3.9.4'!Titulos_de_impressao</vt:lpstr>
      <vt:lpstr>'5.4.1.10 '!Titulos_de_impressao</vt:lpstr>
      <vt:lpstr>'5.4.3.1'!Titulos_de_impressao</vt:lpstr>
      <vt:lpstr>'5.5.1.1'!Titulos_de_impressao</vt:lpstr>
      <vt:lpstr>'5.5.1.4'!Titulos_de_impressao</vt:lpstr>
      <vt:lpstr>'7 medicao'!Titulos_de_impressao</vt:lpstr>
      <vt:lpstr>DEZ!Titulos_de_impressao</vt:lpstr>
      <vt:lpstr>FEV!Titulos_de_impressao</vt:lpstr>
      <vt:lpstr>FINANCEIRO!Titulos_de_impressao</vt:lpstr>
      <vt:lpstr>REPLANILHAMENTO!Titulos_de_impressao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dc:creator>
  <cp:lastModifiedBy>Antonio Fernando Prescholdt</cp:lastModifiedBy>
  <cp:lastPrinted>2023-05-04T17:00:14Z</cp:lastPrinted>
  <dcterms:created xsi:type="dcterms:W3CDTF">2013-09-17T17:39:40Z</dcterms:created>
  <dcterms:modified xsi:type="dcterms:W3CDTF">2026-07-17T17:57:00Z</dcterms:modified>
</cp:coreProperties>
</file>